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1955" yWindow="-75" windowWidth="12285" windowHeight="10095" tabRatio="955"/>
  </bookViews>
  <sheets>
    <sheet name="Cover" sheetId="315" r:id="rId1"/>
    <sheet name="CONTENTS vol 1" sheetId="3" r:id="rId2"/>
    <sheet name="A 2" sheetId="6" r:id="rId3"/>
    <sheet name="A 3" sheetId="7" r:id="rId4"/>
    <sheet name="A 4" sheetId="8" r:id="rId5"/>
    <sheet name="A 6" sheetId="10" r:id="rId6"/>
    <sheet name="A 6 (a)" sheetId="181" r:id="rId7"/>
    <sheet name="A 7" sheetId="11" r:id="rId8"/>
    <sheet name="A 8" sheetId="12" r:id="rId9"/>
    <sheet name="A 10" sheetId="14" r:id="rId10"/>
    <sheet name="A 10 (a)" sheetId="183" r:id="rId11"/>
    <sheet name="A 11" sheetId="15" r:id="rId12"/>
    <sheet name="A 12" sheetId="16" r:id="rId13"/>
    <sheet name="A 12 (a)" sheetId="184" r:id="rId14"/>
    <sheet name="A 13" sheetId="17" r:id="rId15"/>
    <sheet name="A 14" sheetId="18" r:id="rId16"/>
    <sheet name="A 14 (a)" sheetId="185" r:id="rId17"/>
    <sheet name="A 15" sheetId="19" r:id="rId18"/>
    <sheet name="A 16" sheetId="20" r:id="rId19"/>
    <sheet name="A 17" sheetId="141" r:id="rId20"/>
    <sheet name="A 18" sheetId="142" r:id="rId21"/>
    <sheet name="A 18 (a)" sheetId="186" r:id="rId22"/>
    <sheet name="A 19" sheetId="144" r:id="rId23"/>
    <sheet name="A 19 (a)" sheetId="187" r:id="rId24"/>
    <sheet name="B 2" sheetId="25" r:id="rId25"/>
    <sheet name="B 3" sheetId="132" r:id="rId26"/>
    <sheet name="B 4" sheetId="27" r:id="rId27"/>
    <sheet name="B 6" sheetId="29" r:id="rId28"/>
    <sheet name="B 8" sheetId="261" r:id="rId29"/>
    <sheet name="B 9" sheetId="32" r:id="rId30"/>
    <sheet name="B 10" sheetId="262" r:id="rId31"/>
    <sheet name="B 11" sheetId="34" r:id="rId32"/>
    <sheet name="B 12" sheetId="290" r:id="rId33"/>
    <sheet name="B 12 (2)" sheetId="291" r:id="rId34"/>
    <sheet name="B 12 (3)" sheetId="292" r:id="rId35"/>
    <sheet name="B 12 (4)" sheetId="293" r:id="rId36"/>
    <sheet name="B 12 (5)" sheetId="294" r:id="rId37"/>
    <sheet name="B 12 (6)" sheetId="295" r:id="rId38"/>
    <sheet name="B 12 (7)" sheetId="296" r:id="rId39"/>
    <sheet name="B 12 (8)" sheetId="297" r:id="rId40"/>
    <sheet name="B 12 (9)" sheetId="298" r:id="rId41"/>
    <sheet name="B 12 (10)" sheetId="299" r:id="rId42"/>
    <sheet name="B 12 (11)" sheetId="300" r:id="rId43"/>
    <sheet name="B 12 (12)" sheetId="301" r:id="rId44"/>
    <sheet name="B 12 (13)" sheetId="302" r:id="rId45"/>
    <sheet name="B 14" sheetId="37" r:id="rId46"/>
    <sheet name="B 15" sheetId="38" r:id="rId47"/>
    <sheet name="C 1" sheetId="41" r:id="rId48"/>
    <sheet name="C 2 (s)" sheetId="42" r:id="rId49"/>
    <sheet name="C 3" sheetId="164" r:id="rId50"/>
    <sheet name="C 4" sheetId="44" r:id="rId51"/>
    <sheet name="C 5 (s)" sheetId="165" r:id="rId52"/>
    <sheet name="C 6" sheetId="166" r:id="rId53"/>
    <sheet name="C 7" sheetId="47" r:id="rId54"/>
    <sheet name="C 8" sheetId="48" r:id="rId55"/>
    <sheet name="C 9" sheetId="49" r:id="rId56"/>
    <sheet name="C 10" sheetId="50" r:id="rId57"/>
    <sheet name="D 1" sheetId="124" r:id="rId58"/>
    <sheet name="D 2" sheetId="125" r:id="rId59"/>
    <sheet name="D 3" sheetId="126" r:id="rId60"/>
    <sheet name="D 4" sheetId="127" r:id="rId61"/>
    <sheet name="D 5" sheetId="128" r:id="rId62"/>
    <sheet name="D 6" sheetId="129" r:id="rId63"/>
    <sheet name="D 7" sheetId="130" r:id="rId64"/>
    <sheet name="E 1 (s)" sheetId="170" r:id="rId65"/>
    <sheet name="E 2 (s)" sheetId="211" r:id="rId66"/>
    <sheet name="E 3" sheetId="149" r:id="rId67"/>
    <sheet name="E 4 (s)" sheetId="151" r:id="rId68"/>
    <sheet name="E 5 (s)" sheetId="162" r:id="rId69"/>
    <sheet name="E 6" sheetId="140" r:id="rId70"/>
    <sheet name="E 7" sheetId="133" r:id="rId71"/>
    <sheet name="E 8" sheetId="134" r:id="rId72"/>
    <sheet name="E 9" sheetId="135" r:id="rId73"/>
    <sheet name="E 10" sheetId="148" r:id="rId74"/>
    <sheet name="E 11" sheetId="147" r:id="rId75"/>
    <sheet name="E 12" sheetId="137" r:id="rId76"/>
    <sheet name="E 13" sheetId="138" r:id="rId77"/>
    <sheet name="E 14" sheetId="139" r:id="rId78"/>
    <sheet name="F 2" sheetId="313" r:id="rId79"/>
    <sheet name="F 4" sheetId="312" r:id="rId80"/>
    <sheet name="F 6" sheetId="311" r:id="rId81"/>
    <sheet name="F 6(2)" sheetId="310" r:id="rId82"/>
    <sheet name="F 7" sheetId="309" r:id="rId83"/>
    <sheet name="F 8" sheetId="308" r:id="rId84"/>
    <sheet name="F 10" sheetId="307" r:id="rId85"/>
    <sheet name="Trial Blc" sheetId="285" r:id="rId86"/>
    <sheet name="O&amp;M per TB" sheetId="286" r:id="rId87"/>
    <sheet name="12-31-15 Plant Acc Bal_PerAR" sheetId="178" r:id="rId88"/>
    <sheet name="12-31-15 CIAC Bal &amp; Proj_PerAR" sheetId="175" r:id="rId89"/>
    <sheet name="Working Capital_PerAR" sheetId="212" r:id="rId90"/>
    <sheet name="Other BalSheet Acct_PerAR" sheetId="216" r:id="rId91"/>
    <sheet name="O&amp;M" sheetId="283" r:id="rId92"/>
    <sheet name="12-31-15 Depreciation Exp_PerAR" sheetId="179" r:id="rId93"/>
    <sheet name="12-31-15 CIAC Amort Exp_PerAR" sheetId="230" r:id="rId94"/>
    <sheet name="Rev &amp; other exp" sheetId="287" r:id="rId95"/>
    <sheet name="IncomeAccountsAllocationPerAR " sheetId="176" r:id="rId96"/>
    <sheet name="CommonPlant_PerAR" sheetId="214" r:id="rId97"/>
    <sheet name="Interest Expense Adj_PerAR" sheetId="215" r:id="rId98"/>
    <sheet name="Rev Requirements Final" sheetId="264" r:id="rId99"/>
    <sheet name="PROFORMA YEAR" sheetId="281" r:id="rId100"/>
    <sheet name="AR to MFR" sheetId="288" r:id="rId101"/>
    <sheet name="Chemicals" sheetId="289" r:id="rId102"/>
    <sheet name="ProformaAdd" sheetId="303" r:id="rId103"/>
    <sheet name="ProformaExp" sheetId="314" r:id="rId104"/>
  </sheets>
  <externalReferences>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s>
  <definedNames>
    <definedName name="\D" localSheetId="93">#REF!</definedName>
    <definedName name="\D" localSheetId="30">#REF!</definedName>
    <definedName name="\D" localSheetId="65">#REF!</definedName>
    <definedName name="\D" localSheetId="97">#REF!</definedName>
    <definedName name="\D" localSheetId="98">#REF!</definedName>
    <definedName name="\D" localSheetId="89">#REF!</definedName>
    <definedName name="\D">#REF!</definedName>
    <definedName name="\G" localSheetId="93">#REF!</definedName>
    <definedName name="\G" localSheetId="30">#REF!</definedName>
    <definedName name="\G" localSheetId="65">#REF!</definedName>
    <definedName name="\G" localSheetId="97">#REF!</definedName>
    <definedName name="\G" localSheetId="89">#REF!</definedName>
    <definedName name="\G">#REF!</definedName>
    <definedName name="\P" localSheetId="93">[1]Macros!#REF!</definedName>
    <definedName name="\P" localSheetId="88">[1]Macros!#REF!</definedName>
    <definedName name="\P" localSheetId="92">[1]Macros!#REF!</definedName>
    <definedName name="\P" localSheetId="87">[1]Macros!#REF!</definedName>
    <definedName name="\P" localSheetId="30">[2]Macros!#REF!</definedName>
    <definedName name="\P" localSheetId="25">[3]Macros!#REF!</definedName>
    <definedName name="\P" localSheetId="28">[4]Macros!#REF!</definedName>
    <definedName name="\P" localSheetId="52">#REF!</definedName>
    <definedName name="\P" localSheetId="64">[5]Macros!#REF!</definedName>
    <definedName name="\P" localSheetId="74">[5]Macros!#REF!</definedName>
    <definedName name="\P" localSheetId="75">[6]Macros!#REF!</definedName>
    <definedName name="\P" localSheetId="76">[6]Macros!#REF!</definedName>
    <definedName name="\P" localSheetId="77">[6]Macros!#REF!</definedName>
    <definedName name="\P" localSheetId="65">#REF!</definedName>
    <definedName name="\P" localSheetId="69">[6]Macros!#REF!</definedName>
    <definedName name="\P" localSheetId="70">[7]Macros!#REF!</definedName>
    <definedName name="\P" localSheetId="71">[6]Macros!#REF!</definedName>
    <definedName name="\P" localSheetId="72">[6]Macros!#REF!</definedName>
    <definedName name="\P" localSheetId="95">[1]Macros!#REF!</definedName>
    <definedName name="\P" localSheetId="97">[8]Macros!#REF!</definedName>
    <definedName name="\P" localSheetId="98">[9]Macros!#REF!</definedName>
    <definedName name="\P" localSheetId="89">#REF!</definedName>
    <definedName name="\P">#REF!</definedName>
    <definedName name="\Q" localSheetId="93">[1]Macros!#REF!</definedName>
    <definedName name="\Q" localSheetId="88">[1]Macros!#REF!</definedName>
    <definedName name="\Q" localSheetId="92">[1]Macros!#REF!</definedName>
    <definedName name="\Q" localSheetId="87">[1]Macros!#REF!</definedName>
    <definedName name="\Q" localSheetId="30">[2]Macros!#REF!</definedName>
    <definedName name="\Q" localSheetId="25">[3]Macros!#REF!</definedName>
    <definedName name="\Q" localSheetId="28">[4]Macros!#REF!</definedName>
    <definedName name="\Q" localSheetId="52">#REF!</definedName>
    <definedName name="\Q" localSheetId="64">[5]Macros!#REF!</definedName>
    <definedName name="\Q" localSheetId="74">[5]Macros!#REF!</definedName>
    <definedName name="\Q" localSheetId="75">[6]Macros!#REF!</definedName>
    <definedName name="\Q" localSheetId="76">[6]Macros!#REF!</definedName>
    <definedName name="\Q" localSheetId="77">[6]Macros!#REF!</definedName>
    <definedName name="\Q" localSheetId="69">[6]Macros!#REF!</definedName>
    <definedName name="\Q" localSheetId="70">[7]Macros!#REF!</definedName>
    <definedName name="\Q" localSheetId="71">[6]Macros!#REF!</definedName>
    <definedName name="\Q" localSheetId="72">[6]Macros!#REF!</definedName>
    <definedName name="\Q" localSheetId="95">[1]Macros!#REF!</definedName>
    <definedName name="\Q" localSheetId="97">[8]Macros!#REF!</definedName>
    <definedName name="\Q" localSheetId="98">[9]Macros!#REF!</definedName>
    <definedName name="\Q" localSheetId="89">#REF!</definedName>
    <definedName name="\Q">#REF!</definedName>
    <definedName name="\S" localSheetId="93">#REF!</definedName>
    <definedName name="\S" localSheetId="30">#REF!</definedName>
    <definedName name="\S" localSheetId="28">#REF!</definedName>
    <definedName name="\S" localSheetId="65">#REF!</definedName>
    <definedName name="\S" localSheetId="97">#REF!</definedName>
    <definedName name="\S" localSheetId="98">#REF!</definedName>
    <definedName name="\S" localSheetId="89">#REF!</definedName>
    <definedName name="\S">#REF!</definedName>
    <definedName name="___________pri0062">'[10]F-1'!#REF!</definedName>
    <definedName name="___________pri0065">'[10]F-1'!#REF!</definedName>
    <definedName name="___________pri0066">'[10]F-1'!#REF!</definedName>
    <definedName name="___________pri0067">'[10]F-1'!#REF!</definedName>
    <definedName name="___________pri0068">'[10]F-1'!#REF!</definedName>
    <definedName name="__________pri0061">#REF!</definedName>
    <definedName name="__________pri0062">#REF!</definedName>
    <definedName name="__________pri0065">#REF!</definedName>
    <definedName name="__________pri0066">#REF!</definedName>
    <definedName name="__________pri0067">#REF!</definedName>
    <definedName name="__________pri0068">#REF!</definedName>
    <definedName name="_____pg1">'[11]A 7'!$D$4</definedName>
    <definedName name="_____TY2">[11]Macros!#REF!</definedName>
    <definedName name="____pg1" localSheetId="30">'[12]A 7'!$D$4</definedName>
    <definedName name="____pg1">'[8]A 7'!$D$4</definedName>
    <definedName name="____pri0004" localSheetId="93">#REF!</definedName>
    <definedName name="____pri0004" localSheetId="30">#REF!</definedName>
    <definedName name="____pri0004" localSheetId="28">#REF!</definedName>
    <definedName name="____pri0004">#REF!</definedName>
    <definedName name="____pri0005" localSheetId="93">#REF!</definedName>
    <definedName name="____pri0005" localSheetId="30">#REF!</definedName>
    <definedName name="____pri0005" localSheetId="28">#REF!</definedName>
    <definedName name="____pri0005">#REF!</definedName>
    <definedName name="____pri0006" localSheetId="93">#REF!</definedName>
    <definedName name="____pri0006" localSheetId="30">#REF!</definedName>
    <definedName name="____pri0006" localSheetId="28">#REF!</definedName>
    <definedName name="____pri0006">#REF!</definedName>
    <definedName name="____pri0007" localSheetId="93">#REF!</definedName>
    <definedName name="____pri0007">#REF!</definedName>
    <definedName name="____pri0008" localSheetId="93">#REF!</definedName>
    <definedName name="____pri0008">#REF!</definedName>
    <definedName name="____pri0009" localSheetId="93">#REF!</definedName>
    <definedName name="____pri0009">#REF!</definedName>
    <definedName name="____pri0010" localSheetId="93">#REF!</definedName>
    <definedName name="____pri0010">#REF!</definedName>
    <definedName name="____pri0011" localSheetId="93">#REF!</definedName>
    <definedName name="____pri0011">#REF!</definedName>
    <definedName name="____pri0012" localSheetId="93">#REF!</definedName>
    <definedName name="____pri0012">#REF!</definedName>
    <definedName name="____pri0013" localSheetId="93">#REF!</definedName>
    <definedName name="____pri0013">#REF!</definedName>
    <definedName name="____pri0014" localSheetId="93">#REF!</definedName>
    <definedName name="____pri0014">#REF!</definedName>
    <definedName name="____pri0015" localSheetId="93">#REF!</definedName>
    <definedName name="____pri0015">#REF!</definedName>
    <definedName name="____pri0016" localSheetId="93">#REF!</definedName>
    <definedName name="____pri0016">#REF!</definedName>
    <definedName name="____pri0017" localSheetId="93">#REF!</definedName>
    <definedName name="____pri0017">#REF!</definedName>
    <definedName name="____pri0018" localSheetId="93">#REF!</definedName>
    <definedName name="____pri0018">#REF!</definedName>
    <definedName name="____pri0019" localSheetId="93">#REF!</definedName>
    <definedName name="____pri0019">#REF!</definedName>
    <definedName name="____pri0061" localSheetId="93">#REF!</definedName>
    <definedName name="____pri0061">#REF!</definedName>
    <definedName name="____pri0062" localSheetId="93">#REF!</definedName>
    <definedName name="____pri0062">#REF!</definedName>
    <definedName name="____pri0065" localSheetId="93">#REF!</definedName>
    <definedName name="____pri0065">#REF!</definedName>
    <definedName name="____pri0066" localSheetId="93">#REF!</definedName>
    <definedName name="____pri0066">#REF!</definedName>
    <definedName name="____pri0067" localSheetId="93">#REF!</definedName>
    <definedName name="____pri0067">#REF!</definedName>
    <definedName name="____pri0068" localSheetId="93">#REF!</definedName>
    <definedName name="____pri0068">#REF!</definedName>
    <definedName name="____TY2" localSheetId="93">[8]Macros!#REF!</definedName>
    <definedName name="____TY2" localSheetId="30">[12]Macros!#REF!</definedName>
    <definedName name="____TY2">[8]Macros!#REF!</definedName>
    <definedName name="___pg1">'[13]A 7'!$D$4</definedName>
    <definedName name="___pri0004" localSheetId="93">#REF!</definedName>
    <definedName name="___pri0004" localSheetId="30">#REF!</definedName>
    <definedName name="___pri0004" localSheetId="28">#REF!</definedName>
    <definedName name="___pri0004">#REF!</definedName>
    <definedName name="___pri0005" localSheetId="93">#REF!</definedName>
    <definedName name="___pri0005" localSheetId="30">#REF!</definedName>
    <definedName name="___pri0005" localSheetId="28">#REF!</definedName>
    <definedName name="___pri0005">#REF!</definedName>
    <definedName name="___pri0006" localSheetId="93">#REF!</definedName>
    <definedName name="___pri0006" localSheetId="30">#REF!</definedName>
    <definedName name="___pri0006" localSheetId="28">#REF!</definedName>
    <definedName name="___pri0006">#REF!</definedName>
    <definedName name="___pri0007" localSheetId="93">#REF!</definedName>
    <definedName name="___pri0007">#REF!</definedName>
    <definedName name="___pri0008" localSheetId="93">#REF!</definedName>
    <definedName name="___pri0008">#REF!</definedName>
    <definedName name="___pri0009" localSheetId="93">#REF!</definedName>
    <definedName name="___pri0009">#REF!</definedName>
    <definedName name="___pri0010" localSheetId="93">#REF!</definedName>
    <definedName name="___pri0010">#REF!</definedName>
    <definedName name="___pri0011" localSheetId="93">#REF!</definedName>
    <definedName name="___pri0011">#REF!</definedName>
    <definedName name="___pri0012" localSheetId="93">#REF!</definedName>
    <definedName name="___pri0012">#REF!</definedName>
    <definedName name="___pri0013" localSheetId="93">#REF!</definedName>
    <definedName name="___pri0013">#REF!</definedName>
    <definedName name="___pri0014" localSheetId="93">#REF!</definedName>
    <definedName name="___pri0014">#REF!</definedName>
    <definedName name="___pri0015" localSheetId="93">#REF!</definedName>
    <definedName name="___pri0015">#REF!</definedName>
    <definedName name="___pri0016" localSheetId="93">#REF!</definedName>
    <definedName name="___pri0016">#REF!</definedName>
    <definedName name="___pri0017" localSheetId="93">#REF!</definedName>
    <definedName name="___pri0017">#REF!</definedName>
    <definedName name="___pri0018" localSheetId="93">#REF!</definedName>
    <definedName name="___pri0018">#REF!</definedName>
    <definedName name="___pri0019" localSheetId="93">#REF!</definedName>
    <definedName name="___pri0019">#REF!</definedName>
    <definedName name="___pri0061" localSheetId="93">#REF!</definedName>
    <definedName name="___pri0061">#REF!</definedName>
    <definedName name="___pri0062" localSheetId="93">#REF!</definedName>
    <definedName name="___pri0062">#REF!</definedName>
    <definedName name="___pri0065" localSheetId="93">#REF!</definedName>
    <definedName name="___pri0065">#REF!</definedName>
    <definedName name="___pri0066" localSheetId="93">#REF!</definedName>
    <definedName name="___pri0066">#REF!</definedName>
    <definedName name="___pri0067" localSheetId="93">#REF!</definedName>
    <definedName name="___pri0067">#REF!</definedName>
    <definedName name="___pri0068" localSheetId="93">#REF!</definedName>
    <definedName name="___pri0068">#REF!</definedName>
    <definedName name="___TY2" localSheetId="93">[8]Macros!#REF!</definedName>
    <definedName name="___TY2" localSheetId="30">[13]Macros!#REF!</definedName>
    <definedName name="___TY2">[8]Macros!#REF!</definedName>
    <definedName name="__pg1">'[8]A 7'!$D$4</definedName>
    <definedName name="__pri0004" localSheetId="93">#REF!</definedName>
    <definedName name="__pri0004" localSheetId="30">#REF!</definedName>
    <definedName name="__pri0004" localSheetId="28">#REF!</definedName>
    <definedName name="__pri0004">#REF!</definedName>
    <definedName name="__pri0005" localSheetId="93">#REF!</definedName>
    <definedName name="__pri0005" localSheetId="30">#REF!</definedName>
    <definedName name="__pri0005" localSheetId="28">#REF!</definedName>
    <definedName name="__pri0005">#REF!</definedName>
    <definedName name="__pri0006" localSheetId="93">#REF!</definedName>
    <definedName name="__pri0006" localSheetId="30">#REF!</definedName>
    <definedName name="__pri0006" localSheetId="28">#REF!</definedName>
    <definedName name="__pri0006">#REF!</definedName>
    <definedName name="__pri0007" localSheetId="93">#REF!</definedName>
    <definedName name="__pri0007">#REF!</definedName>
    <definedName name="__pri0008" localSheetId="93">#REF!</definedName>
    <definedName name="__pri0008">#REF!</definedName>
    <definedName name="__pri0009" localSheetId="93">#REF!</definedName>
    <definedName name="__pri0009">#REF!</definedName>
    <definedName name="__pri0010" localSheetId="93">#REF!</definedName>
    <definedName name="__pri0010">#REF!</definedName>
    <definedName name="__pri0011" localSheetId="93">#REF!</definedName>
    <definedName name="__pri0011">#REF!</definedName>
    <definedName name="__pri0012" localSheetId="93">#REF!</definedName>
    <definedName name="__pri0012">#REF!</definedName>
    <definedName name="__pri0013" localSheetId="93">#REF!</definedName>
    <definedName name="__pri0013">#REF!</definedName>
    <definedName name="__pri0014" localSheetId="93">#REF!</definedName>
    <definedName name="__pri0014">#REF!</definedName>
    <definedName name="__pri0015" localSheetId="93">#REF!</definedName>
    <definedName name="__pri0015">#REF!</definedName>
    <definedName name="__pri0016" localSheetId="93">#REF!</definedName>
    <definedName name="__pri0016">#REF!</definedName>
    <definedName name="__pri0017" localSheetId="93">#REF!</definedName>
    <definedName name="__pri0017">#REF!</definedName>
    <definedName name="__pri0018" localSheetId="93">#REF!</definedName>
    <definedName name="__pri0018">#REF!</definedName>
    <definedName name="__pri0019" localSheetId="93">#REF!</definedName>
    <definedName name="__pri0019">#REF!</definedName>
    <definedName name="__pri0061" localSheetId="93">#REF!</definedName>
    <definedName name="__pri0061">#REF!</definedName>
    <definedName name="__pri0062" localSheetId="93">#REF!</definedName>
    <definedName name="__pri0062">#REF!</definedName>
    <definedName name="__pri0065" localSheetId="93">#REF!</definedName>
    <definedName name="__pri0065">#REF!</definedName>
    <definedName name="__pri0066" localSheetId="93">#REF!</definedName>
    <definedName name="__pri0066">#REF!</definedName>
    <definedName name="__pri0067" localSheetId="93">#REF!</definedName>
    <definedName name="__pri0067">#REF!</definedName>
    <definedName name="__pri0068" localSheetId="93">#REF!</definedName>
    <definedName name="__pri0068">#REF!</definedName>
    <definedName name="__TY2" localSheetId="93">[8]Macros!#REF!</definedName>
    <definedName name="__TY2">[8]Macros!#REF!</definedName>
    <definedName name="_1PLANT_W">[14]Plnt!$A$1</definedName>
    <definedName name="_2S_RATEAL" localSheetId="28">#REF!</definedName>
    <definedName name="_2S_RATEAL">#REF!</definedName>
    <definedName name="_3S_RATES" localSheetId="28">#REF!</definedName>
    <definedName name="_3S_RATES">#REF!</definedName>
    <definedName name="_4W_RATEAL" localSheetId="28">#REF!</definedName>
    <definedName name="_4W_RATEAL">#REF!</definedName>
    <definedName name="_pg1" localSheetId="30">'[2]A 7'!$D$4</definedName>
    <definedName name="_pg1" localSheetId="28">'[4]A 7'!$C$4</definedName>
    <definedName name="_pg1" localSheetId="52">#REF!</definedName>
    <definedName name="_pg1" localSheetId="98">'[9]A 7'!$D$4</definedName>
    <definedName name="_pg1">'A 7'!#REF!</definedName>
    <definedName name="_pri0004" localSheetId="93">#REF!</definedName>
    <definedName name="_pri0004" localSheetId="30">#REF!</definedName>
    <definedName name="_pri0004" localSheetId="28">#REF!</definedName>
    <definedName name="_pri0004" localSheetId="65">#REF!</definedName>
    <definedName name="_pri0004" localSheetId="98">#REF!</definedName>
    <definedName name="_pri0004" localSheetId="89">#REF!</definedName>
    <definedName name="_pri0004">#REF!</definedName>
    <definedName name="_pri0005" localSheetId="93">#REF!</definedName>
    <definedName name="_pri0005" localSheetId="30">#REF!</definedName>
    <definedName name="_pri0005" localSheetId="28">#REF!</definedName>
    <definedName name="_pri0005" localSheetId="65">#REF!</definedName>
    <definedName name="_pri0005" localSheetId="89">#REF!</definedName>
    <definedName name="_pri0005">#REF!</definedName>
    <definedName name="_pri0006" localSheetId="93">#REF!</definedName>
    <definedName name="_pri0006" localSheetId="30">#REF!</definedName>
    <definedName name="_pri0006" localSheetId="28">#REF!</definedName>
    <definedName name="_pri0006" localSheetId="65">#REF!</definedName>
    <definedName name="_pri0006" localSheetId="89">#REF!</definedName>
    <definedName name="_pri0006">#REF!</definedName>
    <definedName name="_pri0007" localSheetId="93">#REF!</definedName>
    <definedName name="_pri0007" localSheetId="65">#REF!</definedName>
    <definedName name="_pri0007" localSheetId="89">#REF!</definedName>
    <definedName name="_pri0007">#REF!</definedName>
    <definedName name="_pri0008" localSheetId="93">#REF!</definedName>
    <definedName name="_pri0008" localSheetId="65">#REF!</definedName>
    <definedName name="_pri0008" localSheetId="89">#REF!</definedName>
    <definedName name="_pri0008">#REF!</definedName>
    <definedName name="_pri0009" localSheetId="93">#REF!</definedName>
    <definedName name="_pri0009" localSheetId="65">#REF!</definedName>
    <definedName name="_pri0009" localSheetId="89">#REF!</definedName>
    <definedName name="_pri0009">#REF!</definedName>
    <definedName name="_pri0010" localSheetId="93">#REF!</definedName>
    <definedName name="_pri0010" localSheetId="65">#REF!</definedName>
    <definedName name="_pri0010" localSheetId="89">#REF!</definedName>
    <definedName name="_pri0010">#REF!</definedName>
    <definedName name="_pri0011" localSheetId="93">#REF!</definedName>
    <definedName name="_pri0011" localSheetId="65">#REF!</definedName>
    <definedName name="_pri0011" localSheetId="89">#REF!</definedName>
    <definedName name="_pri0011">#REF!</definedName>
    <definedName name="_pri0012" localSheetId="93">#REF!</definedName>
    <definedName name="_pri0012" localSheetId="65">#REF!</definedName>
    <definedName name="_pri0012" localSheetId="89">#REF!</definedName>
    <definedName name="_pri0012">#REF!</definedName>
    <definedName name="_pri0013" localSheetId="93">#REF!</definedName>
    <definedName name="_pri0013" localSheetId="65">#REF!</definedName>
    <definedName name="_pri0013" localSheetId="89">#REF!</definedName>
    <definedName name="_pri0013">#REF!</definedName>
    <definedName name="_pri0014" localSheetId="93">#REF!</definedName>
    <definedName name="_pri0014" localSheetId="65">#REF!</definedName>
    <definedName name="_pri0014" localSheetId="89">#REF!</definedName>
    <definedName name="_pri0014">#REF!</definedName>
    <definedName name="_pri0015" localSheetId="93">#REF!</definedName>
    <definedName name="_pri0015" localSheetId="65">#REF!</definedName>
    <definedName name="_pri0015" localSheetId="89">#REF!</definedName>
    <definedName name="_pri0015">#REF!</definedName>
    <definedName name="_pri0016" localSheetId="93">#REF!</definedName>
    <definedName name="_pri0016" localSheetId="65">#REF!</definedName>
    <definedName name="_pri0016" localSheetId="89">#REF!</definedName>
    <definedName name="_pri0016">#REF!</definedName>
    <definedName name="_pri0017" localSheetId="93">#REF!</definedName>
    <definedName name="_pri0017" localSheetId="65">#REF!</definedName>
    <definedName name="_pri0017" localSheetId="89">#REF!</definedName>
    <definedName name="_pri0017">#REF!</definedName>
    <definedName name="_pri0018" localSheetId="93">#REF!</definedName>
    <definedName name="_pri0018" localSheetId="65">#REF!</definedName>
    <definedName name="_pri0018" localSheetId="89">#REF!</definedName>
    <definedName name="_pri0018">#REF!</definedName>
    <definedName name="_pri0019" localSheetId="93">#REF!</definedName>
    <definedName name="_pri0019" localSheetId="65">#REF!</definedName>
    <definedName name="_pri0019" localSheetId="89">#REF!</definedName>
    <definedName name="_pri0019">#REF!</definedName>
    <definedName name="_pri0061" localSheetId="93">#REF!</definedName>
    <definedName name="_pri0061" localSheetId="65">#REF!</definedName>
    <definedName name="_pri0061" localSheetId="89">#REF!</definedName>
    <definedName name="_pri0061">#REF!</definedName>
    <definedName name="_pri0062" localSheetId="93">#REF!</definedName>
    <definedName name="_pri0062" localSheetId="65">#REF!</definedName>
    <definedName name="_pri0062" localSheetId="89">#REF!</definedName>
    <definedName name="_pri0062">#REF!</definedName>
    <definedName name="_pri0065" localSheetId="93">#REF!</definedName>
    <definedName name="_pri0065" localSheetId="65">#REF!</definedName>
    <definedName name="_pri0065" localSheetId="89">#REF!</definedName>
    <definedName name="_pri0065">#REF!</definedName>
    <definedName name="_pri0066" localSheetId="93">#REF!</definedName>
    <definedName name="_pri0066" localSheetId="65">#REF!</definedName>
    <definedName name="_pri0066" localSheetId="89">#REF!</definedName>
    <definedName name="_pri0066">#REF!</definedName>
    <definedName name="_pri0067" localSheetId="93">#REF!</definedName>
    <definedName name="_pri0067" localSheetId="65">#REF!</definedName>
    <definedName name="_pri0067" localSheetId="89">#REF!</definedName>
    <definedName name="_pri0067">#REF!</definedName>
    <definedName name="_pri0068" localSheetId="93">#REF!</definedName>
    <definedName name="_pri0068" localSheetId="65">#REF!</definedName>
    <definedName name="_pri0068" localSheetId="89">#REF!</definedName>
    <definedName name="_pri0068">#REF!</definedName>
    <definedName name="_SY1" localSheetId="52">#REF!</definedName>
    <definedName name="_SY1">#REF!</definedName>
    <definedName name="_SY2" localSheetId="52">#REF!</definedName>
    <definedName name="_SY2">#REF!</definedName>
    <definedName name="_SY3" localSheetId="52">#REF!</definedName>
    <definedName name="_SY3">#REF!</definedName>
    <definedName name="_TY1" localSheetId="30">[2]Macros!$E$14</definedName>
    <definedName name="_TY1" localSheetId="28">[4]Macros!$E$14</definedName>
    <definedName name="_TY1" localSheetId="52">#REF!</definedName>
    <definedName name="_TY1">#REF!</definedName>
    <definedName name="_TY2" localSheetId="93">[1]Macros!#REF!</definedName>
    <definedName name="_TY2" localSheetId="88">[1]Macros!#REF!</definedName>
    <definedName name="_TY2" localSheetId="92">[1]Macros!#REF!</definedName>
    <definedName name="_TY2" localSheetId="87">[1]Macros!#REF!</definedName>
    <definedName name="_TY2" localSheetId="30">[2]Macros!#REF!</definedName>
    <definedName name="_TY2" localSheetId="25">[3]Macros!#REF!</definedName>
    <definedName name="_TY2" localSheetId="28">[4]Macros!#REF!</definedName>
    <definedName name="_TY2" localSheetId="52">#REF!</definedName>
    <definedName name="_TY2" localSheetId="64">[5]Macros!#REF!</definedName>
    <definedName name="_TY2" localSheetId="74">[5]Macros!#REF!</definedName>
    <definedName name="_TY2" localSheetId="75">[6]Macros!#REF!</definedName>
    <definedName name="_TY2" localSheetId="76">[6]Macros!#REF!</definedName>
    <definedName name="_TY2" localSheetId="77">[6]Macros!#REF!</definedName>
    <definedName name="_TY2" localSheetId="69">[6]Macros!#REF!</definedName>
    <definedName name="_TY2" localSheetId="70">[7]Macros!#REF!</definedName>
    <definedName name="_TY2" localSheetId="71">[6]Macros!#REF!</definedName>
    <definedName name="_TY2" localSheetId="72">[6]Macros!#REF!</definedName>
    <definedName name="_TY2" localSheetId="95">[1]Macros!#REF!</definedName>
    <definedName name="_TY2" localSheetId="98">[9]Macros!#REF!</definedName>
    <definedName name="_TY2" localSheetId="89">#REF!</definedName>
    <definedName name="_TY2">#REF!</definedName>
    <definedName name="_TY3" localSheetId="52">#REF!</definedName>
    <definedName name="_TY3">#REF!</definedName>
    <definedName name="a">#REF!</definedName>
    <definedName name="A_1" localSheetId="93">#REF!</definedName>
    <definedName name="A_1" localSheetId="88">#REF!</definedName>
    <definedName name="A_1" localSheetId="92">#REF!</definedName>
    <definedName name="A_1" localSheetId="87">#REF!</definedName>
    <definedName name="A_1" localSheetId="30">#REF!</definedName>
    <definedName name="A_1" localSheetId="28">#REF!</definedName>
    <definedName name="A_1" localSheetId="52">#REF!</definedName>
    <definedName name="A_1" localSheetId="64">#REF!</definedName>
    <definedName name="A_1" localSheetId="74">#REF!</definedName>
    <definedName name="A_1" localSheetId="75">#REF!</definedName>
    <definedName name="A_1" localSheetId="76">#REF!</definedName>
    <definedName name="A_1" localSheetId="77">#REF!</definedName>
    <definedName name="A_1" localSheetId="69">#REF!</definedName>
    <definedName name="A_1" localSheetId="95">#REF!</definedName>
    <definedName name="A_1" localSheetId="97">#REF!</definedName>
    <definedName name="A_1" localSheetId="98">#REF!</definedName>
    <definedName name="A_1" localSheetId="89">#REF!</definedName>
    <definedName name="A_1">#REF!</definedName>
    <definedName name="A_10" localSheetId="10">'A 10 (a)'!$A$1:$P$60</definedName>
    <definedName name="A_10" localSheetId="52">#REF!</definedName>
    <definedName name="A_10">'A 10'!$A$1:$J$60</definedName>
    <definedName name="A_11" localSheetId="52">#REF!</definedName>
    <definedName name="A_11">'A 11'!$A$1:$D$44</definedName>
    <definedName name="A_12" localSheetId="13">'A 12 (a)'!$A$1:$P$47</definedName>
    <definedName name="A_12" localSheetId="52">#REF!</definedName>
    <definedName name="A_12">'A 12'!$A$1:$I$47</definedName>
    <definedName name="A_13" localSheetId="52">#REF!</definedName>
    <definedName name="A_13">'A 13'!$A$1:$D$39</definedName>
    <definedName name="A_14" localSheetId="16">'A 14 (a)'!$A$1:$P$59</definedName>
    <definedName name="A_14" localSheetId="52">#REF!</definedName>
    <definedName name="A_14">'A 14'!$A$1:$I$60</definedName>
    <definedName name="A_15" localSheetId="52">#REF!</definedName>
    <definedName name="A_15">'A 15'!$A$1:$D$57</definedName>
    <definedName name="A_16" localSheetId="52">#REF!</definedName>
    <definedName name="A_16">'A 16'!$A$1:$D$72</definedName>
    <definedName name="A_17" localSheetId="93">#REF!</definedName>
    <definedName name="A_17" localSheetId="30">#REF!</definedName>
    <definedName name="A_17" localSheetId="28">#REF!</definedName>
    <definedName name="A_17" localSheetId="52">#REF!</definedName>
    <definedName name="A_17" localSheetId="97">#REF!</definedName>
    <definedName name="A_17" localSheetId="89">#REF!</definedName>
    <definedName name="A_17">#REF!</definedName>
    <definedName name="A_18" localSheetId="93">#REF!</definedName>
    <definedName name="A_18" localSheetId="30">#REF!</definedName>
    <definedName name="A_18" localSheetId="28">#REF!</definedName>
    <definedName name="A_18" localSheetId="97">#REF!</definedName>
    <definedName name="A_18" localSheetId="89">#REF!</definedName>
    <definedName name="A_18">#REF!</definedName>
    <definedName name="A_19" localSheetId="93">#REF!</definedName>
    <definedName name="A_19" localSheetId="52">#REF!</definedName>
    <definedName name="A_19" localSheetId="97">#REF!</definedName>
    <definedName name="A_19" localSheetId="89">#REF!</definedName>
    <definedName name="A_19">#REF!</definedName>
    <definedName name="A_2" localSheetId="52">#REF!</definedName>
    <definedName name="A_2">'A 2'!$A$1:$G$52</definedName>
    <definedName name="A_3" localSheetId="52">#REF!</definedName>
    <definedName name="A_3">'A 3'!$A$1:$D$103</definedName>
    <definedName name="A_4" localSheetId="52">#REF!</definedName>
    <definedName name="A_4">'A 4'!$A$1:$D$67</definedName>
    <definedName name="A_5" localSheetId="93">#REF!</definedName>
    <definedName name="A_5" localSheetId="88">#REF!</definedName>
    <definedName name="A_5" localSheetId="92">#REF!</definedName>
    <definedName name="A_5" localSheetId="87">#REF!</definedName>
    <definedName name="A_5" localSheetId="52">#REF!</definedName>
    <definedName name="A_5" localSheetId="64">#REF!</definedName>
    <definedName name="A_5" localSheetId="74">#REF!</definedName>
    <definedName name="A_5" localSheetId="75">#REF!</definedName>
    <definedName name="A_5" localSheetId="76">#REF!</definedName>
    <definedName name="A_5" localSheetId="77">#REF!</definedName>
    <definedName name="A_5" localSheetId="69">#REF!</definedName>
    <definedName name="A_5" localSheetId="95">#REF!</definedName>
    <definedName name="A_5" localSheetId="97">#REF!</definedName>
    <definedName name="A_5" localSheetId="89">#REF!</definedName>
    <definedName name="A_5">#REF!</definedName>
    <definedName name="A_6" localSheetId="6">'A 6 (a)'!$A$1:$O$61</definedName>
    <definedName name="A_6" localSheetId="52">#REF!</definedName>
    <definedName name="A_6">'A 6'!$A$1:$I$63</definedName>
    <definedName name="A_7" localSheetId="52">#REF!</definedName>
    <definedName name="A_7">'A 7'!$A$1:$E$53</definedName>
    <definedName name="A_8" localSheetId="52">#REF!</definedName>
    <definedName name="A_8">'A 8'!$A$1:$D$43</definedName>
    <definedName name="A_9" localSheetId="93">#REF!</definedName>
    <definedName name="A_9" localSheetId="88">#REF!</definedName>
    <definedName name="A_9" localSheetId="92">#REF!</definedName>
    <definedName name="A_9" localSheetId="87">#REF!</definedName>
    <definedName name="A_9" localSheetId="52">#REF!</definedName>
    <definedName name="A_9" localSheetId="64">#REF!</definedName>
    <definedName name="A_9" localSheetId="74">#REF!</definedName>
    <definedName name="A_9" localSheetId="75">#REF!</definedName>
    <definedName name="A_9" localSheetId="76">#REF!</definedName>
    <definedName name="A_9" localSheetId="77">#REF!</definedName>
    <definedName name="A_9" localSheetId="69">#REF!</definedName>
    <definedName name="A_9" localSheetId="95">#REF!</definedName>
    <definedName name="A_9" localSheetId="97">#REF!</definedName>
    <definedName name="A_9" localSheetId="89">#REF!</definedName>
    <definedName name="A_9">#REF!</definedName>
    <definedName name="a10x">#REF!</definedName>
    <definedName name="a11x">#REF!</definedName>
    <definedName name="a12x">#REF!</definedName>
    <definedName name="a13x">#REF!</definedName>
    <definedName name="a14x">#REF!</definedName>
    <definedName name="a15x">#REF!</definedName>
    <definedName name="a16x">#REF!</definedName>
    <definedName name="a17x">#REF!</definedName>
    <definedName name="a18x">#REF!</definedName>
    <definedName name="a19x">#REF!</definedName>
    <definedName name="a1i">#REF!</definedName>
    <definedName name="a1x">#REF!</definedName>
    <definedName name="a2i">#REF!</definedName>
    <definedName name="a2x">#REF!</definedName>
    <definedName name="a3i">#REF!</definedName>
    <definedName name="a3x">#REF!</definedName>
    <definedName name="a4x">#REF!</definedName>
    <definedName name="a5x">#REF!</definedName>
    <definedName name="a6x">#REF!</definedName>
    <definedName name="a7x">#REF!</definedName>
    <definedName name="a8x">#REF!</definedName>
    <definedName name="a9x">#REF!</definedName>
    <definedName name="AccumDepr">[15]Data!$I$13:$J$131</definedName>
    <definedName name="AFUDC" localSheetId="93">#REF!</definedName>
    <definedName name="AFUDC" localSheetId="65">#REF!</definedName>
    <definedName name="AFUDC" localSheetId="97">#REF!</definedName>
    <definedName name="AFUDC" localSheetId="89">#REF!</definedName>
    <definedName name="AFUDC">#REF!</definedName>
    <definedName name="AIAC">[15]Data!$O$13:$P$131</definedName>
    <definedName name="ANNAACIAC" localSheetId="93">#REF!</definedName>
    <definedName name="ANNAACIAC" localSheetId="65">#REF!</definedName>
    <definedName name="ANNAACIAC" localSheetId="97">#REF!</definedName>
    <definedName name="ANNAACIAC" localSheetId="89">#REF!</definedName>
    <definedName name="ANNAACIAC">#REF!</definedName>
    <definedName name="ANNAD" localSheetId="93">#REF!</definedName>
    <definedName name="ANNAD" localSheetId="65">#REF!</definedName>
    <definedName name="ANNAD" localSheetId="97">#REF!</definedName>
    <definedName name="ANNAD" localSheetId="89">#REF!</definedName>
    <definedName name="ANNAD">#REF!</definedName>
    <definedName name="ANNAFC" localSheetId="93">#REF!</definedName>
    <definedName name="ANNAFC" localSheetId="65">#REF!</definedName>
    <definedName name="ANNAFC" localSheetId="97">#REF!</definedName>
    <definedName name="ANNAFC" localSheetId="89">#REF!</definedName>
    <definedName name="ANNAFC">#REF!</definedName>
    <definedName name="ANNCIAC" localSheetId="93">#REF!</definedName>
    <definedName name="ANNCIAC" localSheetId="65">#REF!</definedName>
    <definedName name="ANNCIAC" localSheetId="97">#REF!</definedName>
    <definedName name="ANNCIAC" localSheetId="89">#REF!</definedName>
    <definedName name="ANNCIAC">#REF!</definedName>
    <definedName name="ANNPL" localSheetId="93">#REF!</definedName>
    <definedName name="ANNPL" localSheetId="65">#REF!</definedName>
    <definedName name="ANNPL" localSheetId="97">#REF!</definedName>
    <definedName name="ANNPL" localSheetId="89">#REF!</definedName>
    <definedName name="ANNPL">#REF!</definedName>
    <definedName name="ARB" localSheetId="93">#REF!</definedName>
    <definedName name="ARB" localSheetId="65">#REF!</definedName>
    <definedName name="ARB" localSheetId="97">#REF!</definedName>
    <definedName name="ARB" localSheetId="89">#REF!</definedName>
    <definedName name="ARB">#REF!</definedName>
    <definedName name="ASECT" localSheetId="93">[1]Macros!#REF!</definedName>
    <definedName name="ASECT" localSheetId="88">[1]Macros!#REF!</definedName>
    <definedName name="ASECT" localSheetId="92">[1]Macros!#REF!</definedName>
    <definedName name="ASECT" localSheetId="87">[1]Macros!#REF!</definedName>
    <definedName name="ASECT" localSheetId="30">[2]Macros!#REF!</definedName>
    <definedName name="ASECT" localSheetId="25">[3]Macros!#REF!</definedName>
    <definedName name="ASECT" localSheetId="28">[4]Macros!#REF!</definedName>
    <definedName name="ASECT" localSheetId="52">#REF!</definedName>
    <definedName name="ASECT" localSheetId="64">[5]Macros!#REF!</definedName>
    <definedName name="ASECT" localSheetId="74">[5]Macros!#REF!</definedName>
    <definedName name="ASECT" localSheetId="75">[6]Macros!#REF!</definedName>
    <definedName name="ASECT" localSheetId="76">[6]Macros!#REF!</definedName>
    <definedName name="ASECT" localSheetId="77">[6]Macros!#REF!</definedName>
    <definedName name="ASECT" localSheetId="69">[6]Macros!#REF!</definedName>
    <definedName name="ASECT" localSheetId="70">[7]Macros!#REF!</definedName>
    <definedName name="ASECT" localSheetId="71">[6]Macros!#REF!</definedName>
    <definedName name="ASECT" localSheetId="72">[6]Macros!#REF!</definedName>
    <definedName name="ASECT" localSheetId="95">[1]Macros!#REF!</definedName>
    <definedName name="ASECT" localSheetId="97">[8]Macros!#REF!</definedName>
    <definedName name="ASECT" localSheetId="98">[9]Macros!#REF!</definedName>
    <definedName name="ASECT" localSheetId="89">#REF!</definedName>
    <definedName name="ASECT">#REF!</definedName>
    <definedName name="B_1" localSheetId="93">#REF!</definedName>
    <definedName name="B_1" localSheetId="88">#REF!</definedName>
    <definedName name="B_1" localSheetId="92">#REF!</definedName>
    <definedName name="B_1" localSheetId="87">#REF!</definedName>
    <definedName name="B_1" localSheetId="30">#REF!</definedName>
    <definedName name="B_1" localSheetId="28">#REF!</definedName>
    <definedName name="B_1" localSheetId="52">#REF!</definedName>
    <definedName name="B_1" localSheetId="64">#REF!</definedName>
    <definedName name="B_1" localSheetId="74">#REF!</definedName>
    <definedName name="B_1" localSheetId="75">#REF!</definedName>
    <definedName name="B_1" localSheetId="76">#REF!</definedName>
    <definedName name="B_1" localSheetId="77">#REF!</definedName>
    <definedName name="B_1" localSheetId="69">#REF!</definedName>
    <definedName name="B_1" localSheetId="95">#REF!</definedName>
    <definedName name="B_1" localSheetId="97">#REF!</definedName>
    <definedName name="B_1" localSheetId="98">#REF!</definedName>
    <definedName name="B_1" localSheetId="89">#REF!</definedName>
    <definedName name="B_1">#REF!</definedName>
    <definedName name="B_10" localSheetId="30">'B 10'!$A$1:$G$49</definedName>
    <definedName name="B_10" localSheetId="52">#REF!</definedName>
    <definedName name="B_10">#REF!</definedName>
    <definedName name="B_11" localSheetId="52">#REF!</definedName>
    <definedName name="B_11">'B 11'!$A$1:$G$44</definedName>
    <definedName name="B_12" localSheetId="93">#REF!</definedName>
    <definedName name="B_12" localSheetId="30">#REF!</definedName>
    <definedName name="B_12" localSheetId="28">#REF!</definedName>
    <definedName name="B_12" localSheetId="52">#REF!</definedName>
    <definedName name="B_12" localSheetId="97">#REF!</definedName>
    <definedName name="B_12" localSheetId="89">#REF!</definedName>
    <definedName name="B_12">#REF!</definedName>
    <definedName name="B_13" localSheetId="93">#REF!</definedName>
    <definedName name="B_13" localSheetId="88">#REF!</definedName>
    <definedName name="B_13" localSheetId="92">#REF!</definedName>
    <definedName name="B_13" localSheetId="87">#REF!</definedName>
    <definedName name="B_13" localSheetId="30">#REF!</definedName>
    <definedName name="B_13" localSheetId="28">#REF!</definedName>
    <definedName name="B_13" localSheetId="52">#REF!</definedName>
    <definedName name="B_13" localSheetId="64">#REF!</definedName>
    <definedName name="B_13" localSheetId="74">#REF!</definedName>
    <definedName name="B_13" localSheetId="75">#REF!</definedName>
    <definedName name="B_13" localSheetId="76">#REF!</definedName>
    <definedName name="B_13" localSheetId="77">#REF!</definedName>
    <definedName name="B_13" localSheetId="69">#REF!</definedName>
    <definedName name="B_13" localSheetId="95">#REF!</definedName>
    <definedName name="B_13" localSheetId="97">#REF!</definedName>
    <definedName name="B_13" localSheetId="89">#REF!</definedName>
    <definedName name="B_13">#REF!</definedName>
    <definedName name="B_14" localSheetId="52">#REF!</definedName>
    <definedName name="B_14">'B 14'!$A$1:$G$69</definedName>
    <definedName name="B_15" localSheetId="52">#REF!</definedName>
    <definedName name="B_15">'B 15'!$A$1:$H$78</definedName>
    <definedName name="B_2">'B 2'!$A$1:$J$41</definedName>
    <definedName name="B_3" localSheetId="93">#REF!</definedName>
    <definedName name="B_3" localSheetId="88">#REF!</definedName>
    <definedName name="B_3" localSheetId="92">#REF!</definedName>
    <definedName name="B_3" localSheetId="87">#REF!</definedName>
    <definedName name="B_3" localSheetId="30">#REF!</definedName>
    <definedName name="B_3" localSheetId="25">'B 3'!$A$1:$E$28</definedName>
    <definedName name="B_3" localSheetId="52">#REF!</definedName>
    <definedName name="B_3" localSheetId="75">#REF!</definedName>
    <definedName name="B_3" localSheetId="76">#REF!</definedName>
    <definedName name="B_3" localSheetId="77">#REF!</definedName>
    <definedName name="B_3" localSheetId="69">#REF!</definedName>
    <definedName name="B_3" localSheetId="70">#REF!</definedName>
    <definedName name="B_3" localSheetId="71">#REF!</definedName>
    <definedName name="B_3" localSheetId="72">#REF!</definedName>
    <definedName name="B_3" localSheetId="95">#REF!</definedName>
    <definedName name="B_3" localSheetId="97">#REF!</definedName>
    <definedName name="B_3" localSheetId="89">#REF!</definedName>
    <definedName name="B_3">#REF!</definedName>
    <definedName name="B_3A" localSheetId="93">#REF!</definedName>
    <definedName name="B_3A" localSheetId="88">#REF!</definedName>
    <definedName name="B_3A" localSheetId="92">#REF!</definedName>
    <definedName name="B_3A" localSheetId="87">#REF!</definedName>
    <definedName name="B_3A" localSheetId="25">'B 3'!#REF!</definedName>
    <definedName name="B_3A" localSheetId="52">#REF!</definedName>
    <definedName name="B_3A" localSheetId="64">'[5]B 3'!#REF!</definedName>
    <definedName name="B_3A" localSheetId="74">'[5]B 3'!#REF!</definedName>
    <definedName name="B_3A" localSheetId="75">'[6]B 3'!#REF!</definedName>
    <definedName name="B_3A" localSheetId="76">'[6]B 3'!#REF!</definedName>
    <definedName name="B_3A" localSheetId="77">'[6]B 3'!#REF!</definedName>
    <definedName name="B_3A" localSheetId="69">'[6]B 3'!#REF!</definedName>
    <definedName name="B_3A" localSheetId="70">'[7]B 3'!#REF!</definedName>
    <definedName name="B_3A" localSheetId="71">'[6]B 3'!#REF!</definedName>
    <definedName name="B_3A" localSheetId="72">'[6]B 3'!#REF!</definedName>
    <definedName name="B_3A" localSheetId="95">#REF!</definedName>
    <definedName name="B_3A" localSheetId="97">#REF!</definedName>
    <definedName name="B_3A" localSheetId="89">#REF!</definedName>
    <definedName name="B_3A">#REF!</definedName>
    <definedName name="B_3B" localSheetId="93">#REF!</definedName>
    <definedName name="B_3B" localSheetId="88">#REF!</definedName>
    <definedName name="B_3B" localSheetId="92">#REF!</definedName>
    <definedName name="B_3B" localSheetId="87">#REF!</definedName>
    <definedName name="B_3B" localSheetId="25">'B 3'!#REF!</definedName>
    <definedName name="B_3B" localSheetId="52">#REF!</definedName>
    <definedName name="B_3B" localSheetId="64">'[5]B 3'!#REF!</definedName>
    <definedName name="B_3B" localSheetId="74">'[5]B 3'!#REF!</definedName>
    <definedName name="B_3B" localSheetId="75">'[6]B 3'!#REF!</definedName>
    <definedName name="B_3B" localSheetId="76">'[6]B 3'!#REF!</definedName>
    <definedName name="B_3B" localSheetId="77">'[6]B 3'!#REF!</definedName>
    <definedName name="B_3B" localSheetId="69">'[6]B 3'!#REF!</definedName>
    <definedName name="B_3B" localSheetId="70">'[7]B 3'!#REF!</definedName>
    <definedName name="B_3B" localSheetId="71">'[6]B 3'!#REF!</definedName>
    <definedName name="B_3B" localSheetId="72">'[6]B 3'!#REF!</definedName>
    <definedName name="B_3B" localSheetId="95">#REF!</definedName>
    <definedName name="B_3B" localSheetId="97">#REF!</definedName>
    <definedName name="B_3B" localSheetId="89">#REF!</definedName>
    <definedName name="B_3B">#REF!</definedName>
    <definedName name="B_4" localSheetId="52">#REF!</definedName>
    <definedName name="B_4">'B 4'!$A$1:$H$52</definedName>
    <definedName name="B_5" localSheetId="93">#REF!</definedName>
    <definedName name="B_5" localSheetId="88">#REF!</definedName>
    <definedName name="B_5" localSheetId="92">#REF!</definedName>
    <definedName name="B_5" localSheetId="87">#REF!</definedName>
    <definedName name="B_5" localSheetId="52">#REF!</definedName>
    <definedName name="B_5" localSheetId="64">#REF!</definedName>
    <definedName name="B_5" localSheetId="74">#REF!</definedName>
    <definedName name="B_5" localSheetId="75">#REF!</definedName>
    <definedName name="B_5" localSheetId="76">#REF!</definedName>
    <definedName name="B_5" localSheetId="77">#REF!</definedName>
    <definedName name="B_5" localSheetId="69">#REF!</definedName>
    <definedName name="B_5" localSheetId="95">#REF!</definedName>
    <definedName name="B_5" localSheetId="97">#REF!</definedName>
    <definedName name="B_5" localSheetId="89">#REF!</definedName>
    <definedName name="B_5">#REF!</definedName>
    <definedName name="B_6" localSheetId="52">#REF!</definedName>
    <definedName name="B_6">'B 6'!#REF!</definedName>
    <definedName name="B_7" localSheetId="93">#REF!</definedName>
    <definedName name="B_7" localSheetId="88">#REF!</definedName>
    <definedName name="B_7" localSheetId="92">#REF!</definedName>
    <definedName name="B_7" localSheetId="87">#REF!</definedName>
    <definedName name="B_7" localSheetId="52">#REF!</definedName>
    <definedName name="B_7" localSheetId="64">#REF!</definedName>
    <definedName name="B_7" localSheetId="74">#REF!</definedName>
    <definedName name="B_7" localSheetId="75">#REF!</definedName>
    <definedName name="B_7" localSheetId="76">#REF!</definedName>
    <definedName name="B_7" localSheetId="77">#REF!</definedName>
    <definedName name="B_7" localSheetId="69">#REF!</definedName>
    <definedName name="B_7" localSheetId="95">#REF!</definedName>
    <definedName name="B_7" localSheetId="97">#REF!</definedName>
    <definedName name="B_7" localSheetId="89">#REF!</definedName>
    <definedName name="B_7">#REF!</definedName>
    <definedName name="B_8" localSheetId="28">'B 8'!$A$1:$K$57</definedName>
    <definedName name="B_8" localSheetId="52">#REF!</definedName>
    <definedName name="B_8">#REF!</definedName>
    <definedName name="B_9" localSheetId="52">#REF!</definedName>
    <definedName name="B_9">'B 9'!$A$1:$E$49</definedName>
    <definedName name="b10x" localSheetId="28">#REF!</definedName>
    <definedName name="b10x">#REF!</definedName>
    <definedName name="b11x" localSheetId="28">#REF!</definedName>
    <definedName name="b11x">#REF!</definedName>
    <definedName name="b12x" localSheetId="28">#REF!</definedName>
    <definedName name="b12x">#REF!</definedName>
    <definedName name="b13x">#REF!</definedName>
    <definedName name="B14x">#REF!</definedName>
    <definedName name="b15i">#REF!</definedName>
    <definedName name="b15x">#REF!</definedName>
    <definedName name="b1i">#REF!</definedName>
    <definedName name="b1x">#REF!</definedName>
    <definedName name="b2i">#REF!</definedName>
    <definedName name="b2x">#REF!</definedName>
    <definedName name="B3B">'[16]A1 OPERATING INCOME ADJUST'!$A$49:$P$97</definedName>
    <definedName name="b3i" localSheetId="28">#REF!</definedName>
    <definedName name="b3i">#REF!</definedName>
    <definedName name="B3R">'[16]A1 OPERATING INCOME ADJUST'!$A$1:$P$48</definedName>
    <definedName name="b3x" localSheetId="28">#REF!</definedName>
    <definedName name="b3x">#REF!</definedName>
    <definedName name="b4x" localSheetId="28">#REF!</definedName>
    <definedName name="b4x">#REF!</definedName>
    <definedName name="b5x" localSheetId="28">#REF!</definedName>
    <definedName name="b5x">#REF!</definedName>
    <definedName name="b6x">#REF!</definedName>
    <definedName name="b7x">#REF!</definedName>
    <definedName name="b8x">#REF!</definedName>
    <definedName name="b9x">#REF!</definedName>
    <definedName name="BALANCE" localSheetId="93">#REF!</definedName>
    <definedName name="BALANCE" localSheetId="65">#REF!</definedName>
    <definedName name="BALANCE" localSheetId="97">#REF!</definedName>
    <definedName name="BALANCE" localSheetId="89">#REF!</definedName>
    <definedName name="BALANCE">#REF!</definedName>
    <definedName name="BSECT" localSheetId="93">[1]Macros!#REF!</definedName>
    <definedName name="BSECT" localSheetId="88">[1]Macros!#REF!</definedName>
    <definedName name="BSECT" localSheetId="92">[1]Macros!#REF!</definedName>
    <definedName name="BSECT" localSheetId="87">[1]Macros!#REF!</definedName>
    <definedName name="BSECT" localSheetId="30">[2]Macros!#REF!</definedName>
    <definedName name="BSECT" localSheetId="25">[3]Macros!#REF!</definedName>
    <definedName name="BSECT" localSheetId="28">[4]Macros!#REF!</definedName>
    <definedName name="BSECT" localSheetId="52">#REF!</definedName>
    <definedName name="BSECT" localSheetId="64">[5]Macros!#REF!</definedName>
    <definedName name="BSECT" localSheetId="74">[5]Macros!#REF!</definedName>
    <definedName name="BSECT" localSheetId="75">[6]Macros!#REF!</definedName>
    <definedName name="BSECT" localSheetId="76">[6]Macros!#REF!</definedName>
    <definedName name="BSECT" localSheetId="77">[6]Macros!#REF!</definedName>
    <definedName name="BSECT" localSheetId="69">[6]Macros!#REF!</definedName>
    <definedName name="BSECT" localSheetId="70">[7]Macros!#REF!</definedName>
    <definedName name="BSECT" localSheetId="71">[6]Macros!#REF!</definedName>
    <definedName name="BSECT" localSheetId="72">[6]Macros!#REF!</definedName>
    <definedName name="BSECT" localSheetId="95">[1]Macros!#REF!</definedName>
    <definedName name="BSECT" localSheetId="97">[8]Macros!#REF!</definedName>
    <definedName name="BSECT" localSheetId="98">[9]Macros!#REF!</definedName>
    <definedName name="BSECT" localSheetId="89">#REF!</definedName>
    <definedName name="BSECT">#REF!</definedName>
    <definedName name="C_1">'C 1'!$A$1:$H$46</definedName>
    <definedName name="C_10">'C 10'!$A$1:$G$67</definedName>
    <definedName name="c_10x" localSheetId="28">#REF!</definedName>
    <definedName name="c_10x">#REF!</definedName>
    <definedName name="c_1i" localSheetId="28">#REF!</definedName>
    <definedName name="c_1i">#REF!</definedName>
    <definedName name="c_1x" localSheetId="28">#REF!</definedName>
    <definedName name="c_1x">#REF!</definedName>
    <definedName name="C_2">'C 2 (s)'!$A$1:$G$52</definedName>
    <definedName name="c_2i" localSheetId="28">#REF!</definedName>
    <definedName name="c_2i">#REF!</definedName>
    <definedName name="c_2x" localSheetId="28">#REF!</definedName>
    <definedName name="c_2x">#REF!</definedName>
    <definedName name="C_3" localSheetId="93">#REF!</definedName>
    <definedName name="C_3" localSheetId="30">#REF!</definedName>
    <definedName name="C_3" localSheetId="49">'C 3'!$A$1:$G$52</definedName>
    <definedName name="C_3">#REF!</definedName>
    <definedName name="c_3x">#REF!</definedName>
    <definedName name="C_4">'C 4'!$A$1:$G$28</definedName>
    <definedName name="c_4x" localSheetId="28">#REF!</definedName>
    <definedName name="c_4x">#REF!</definedName>
    <definedName name="C_5" localSheetId="93">#REF!</definedName>
    <definedName name="C_5" localSheetId="30">#REF!</definedName>
    <definedName name="C_5" localSheetId="51">'C 5 (s)'!$A$1:$G$52</definedName>
    <definedName name="C_5">#REF!</definedName>
    <definedName name="c_5i">#REF!</definedName>
    <definedName name="c_5x">#REF!</definedName>
    <definedName name="C_6" localSheetId="93">#REF!</definedName>
    <definedName name="C_6" localSheetId="30">#REF!</definedName>
    <definedName name="C_6" localSheetId="52">'C 6'!#REF!</definedName>
    <definedName name="C_6" localSheetId="97">#REF!</definedName>
    <definedName name="C_6" localSheetId="98">#REF!</definedName>
    <definedName name="C_6" localSheetId="89">#REF!</definedName>
    <definedName name="C_6">#REF!</definedName>
    <definedName name="c_6x1">#REF!</definedName>
    <definedName name="c_6x2">#REF!</definedName>
    <definedName name="c_6x3">#REF!</definedName>
    <definedName name="C_7">'C 7'!$A$1:$N$39</definedName>
    <definedName name="C_7A" localSheetId="93">#REF!</definedName>
    <definedName name="C_7A" localSheetId="52">#REF!</definedName>
    <definedName name="C_7A" localSheetId="97">#REF!</definedName>
    <definedName name="C_7A" localSheetId="89">#REF!</definedName>
    <definedName name="C_7A">#REF!</definedName>
    <definedName name="c_7x1">#REF!</definedName>
    <definedName name="c_7x2">#REF!</definedName>
    <definedName name="c_7x3">#REF!</definedName>
    <definedName name="c_7x4">#REF!</definedName>
    <definedName name="C_8">'C 8'!$A$1:$H$57</definedName>
    <definedName name="c_8x" localSheetId="28">#REF!</definedName>
    <definedName name="c_8x">#REF!</definedName>
    <definedName name="C_9">'C 9'!$A$1:$G$67</definedName>
    <definedName name="c_9x" localSheetId="28">#REF!</definedName>
    <definedName name="c_9x">#REF!</definedName>
    <definedName name="CIAC">[15]Data!$R$13:$S$131</definedName>
    <definedName name="CINST" localSheetId="52">#REF!</definedName>
    <definedName name="CINST" localSheetId="70">#REF!</definedName>
    <definedName name="CINST">#REF!</definedName>
    <definedName name="CNC2.CE">'[17]Cust Eq Input'!#REF!</definedName>
    <definedName name="CO__02">#REF!</definedName>
    <definedName name="COMPANY" localSheetId="28">[4]Macros!$E$4</definedName>
    <definedName name="COMPANY" localSheetId="52">#REF!</definedName>
    <definedName name="COMPANY">#REF!</definedName>
    <definedName name="CONTENTS" localSheetId="52">#REF!</definedName>
    <definedName name="CONTENTS" localSheetId="75">#REF!</definedName>
    <definedName name="CONTENTS" localSheetId="76">#REF!</definedName>
    <definedName name="CONTENTS" localSheetId="77">#REF!</definedName>
    <definedName name="CONTENTS" localSheetId="70">#REF!</definedName>
    <definedName name="CONTENTS" localSheetId="71">#REF!</definedName>
    <definedName name="CONTENTS" localSheetId="72">#REF!</definedName>
    <definedName name="CONTENTS">'CONTENTS vol 1'!$A$1:$E$17</definedName>
    <definedName name="COVER" localSheetId="52">#REF!</definedName>
    <definedName name="COVER">#REF!</definedName>
    <definedName name="CSECT" localSheetId="93">[1]Macros!#REF!</definedName>
    <definedName name="CSECT" localSheetId="88">[1]Macros!#REF!</definedName>
    <definedName name="CSECT" localSheetId="92">[1]Macros!#REF!</definedName>
    <definedName name="CSECT" localSheetId="87">[1]Macros!#REF!</definedName>
    <definedName name="CSECT" localSheetId="30">[2]Macros!#REF!</definedName>
    <definedName name="CSECT" localSheetId="25">[3]Macros!#REF!</definedName>
    <definedName name="CSECT" localSheetId="28">[4]Macros!#REF!</definedName>
    <definedName name="CSECT" localSheetId="52">#REF!</definedName>
    <definedName name="CSECT" localSheetId="64">[5]Macros!#REF!</definedName>
    <definedName name="CSECT" localSheetId="74">[5]Macros!#REF!</definedName>
    <definedName name="CSECT" localSheetId="75">[6]Macros!#REF!</definedName>
    <definedName name="CSECT" localSheetId="76">[6]Macros!#REF!</definedName>
    <definedName name="CSECT" localSheetId="77">[6]Macros!#REF!</definedName>
    <definedName name="CSECT" localSheetId="69">[6]Macros!#REF!</definedName>
    <definedName name="CSECT" localSheetId="70">[7]Macros!#REF!</definedName>
    <definedName name="CSECT" localSheetId="71">[6]Macros!#REF!</definedName>
    <definedName name="CSECT" localSheetId="72">[6]Macros!#REF!</definedName>
    <definedName name="CSECT" localSheetId="95">[1]Macros!#REF!</definedName>
    <definedName name="CSECT" localSheetId="97">[8]Macros!#REF!</definedName>
    <definedName name="CSECT" localSheetId="98">[9]Macros!#REF!</definedName>
    <definedName name="CSECT" localSheetId="89">#REF!</definedName>
    <definedName name="CSECT">#REF!</definedName>
    <definedName name="CustomerDeposits">[15]Data!$AA$13:$AB$131</definedName>
    <definedName name="CWIP">[15]Data!$F$13:$G$131</definedName>
    <definedName name="CWS.CE">'[17]Cust Eq Input'!#REF!</definedName>
    <definedName name="D_1" localSheetId="93">#REF!</definedName>
    <definedName name="D_1" localSheetId="30">#REF!</definedName>
    <definedName name="D_1" localSheetId="28">#REF!</definedName>
    <definedName name="D_1" localSheetId="52">#REF!</definedName>
    <definedName name="D_1" localSheetId="64">#REF!</definedName>
    <definedName name="D_1" localSheetId="74">#REF!</definedName>
    <definedName name="D_1" localSheetId="75">#REF!</definedName>
    <definedName name="D_1" localSheetId="76">#REF!</definedName>
    <definedName name="D_1" localSheetId="77">#REF!</definedName>
    <definedName name="D_1" localSheetId="69">#REF!</definedName>
    <definedName name="D_1" localSheetId="97">#REF!</definedName>
    <definedName name="D_1" localSheetId="98">#REF!</definedName>
    <definedName name="D_1" localSheetId="89">#REF!</definedName>
    <definedName name="D_1">#REF!</definedName>
    <definedName name="D_2" localSheetId="93">#REF!</definedName>
    <definedName name="D_2" localSheetId="30">#REF!</definedName>
    <definedName name="D_2" localSheetId="28">#REF!</definedName>
    <definedName name="D_2" localSheetId="52">#REF!</definedName>
    <definedName name="D_2" localSheetId="64">#REF!</definedName>
    <definedName name="D_2" localSheetId="74">#REF!</definedName>
    <definedName name="D_2" localSheetId="75">#REF!</definedName>
    <definedName name="D_2" localSheetId="76">#REF!</definedName>
    <definedName name="D_2" localSheetId="77">#REF!</definedName>
    <definedName name="D_2" localSheetId="69">#REF!</definedName>
    <definedName name="D_2" localSheetId="97">#REF!</definedName>
    <definedName name="D_2" localSheetId="89">#REF!</definedName>
    <definedName name="D_2">#REF!</definedName>
    <definedName name="D_3" localSheetId="93">#REF!</definedName>
    <definedName name="D_3" localSheetId="30">#REF!</definedName>
    <definedName name="D_3" localSheetId="28">#REF!</definedName>
    <definedName name="D_3" localSheetId="52">#REF!</definedName>
    <definedName name="D_3" localSheetId="64">#REF!</definedName>
    <definedName name="D_3" localSheetId="74">#REF!</definedName>
    <definedName name="D_3" localSheetId="75">#REF!</definedName>
    <definedName name="D_3" localSheetId="76">#REF!</definedName>
    <definedName name="D_3" localSheetId="77">#REF!</definedName>
    <definedName name="D_3" localSheetId="69">#REF!</definedName>
    <definedName name="D_3" localSheetId="97">#REF!</definedName>
    <definedName name="D_3" localSheetId="89">#REF!</definedName>
    <definedName name="D_3">#REF!</definedName>
    <definedName name="D_4" localSheetId="93">#REF!</definedName>
    <definedName name="D_4" localSheetId="52">#REF!</definedName>
    <definedName name="D_4" localSheetId="64">#REF!</definedName>
    <definedName name="D_4" localSheetId="74">#REF!</definedName>
    <definedName name="D_4" localSheetId="75">#REF!</definedName>
    <definedName name="D_4" localSheetId="76">#REF!</definedName>
    <definedName name="D_4" localSheetId="77">#REF!</definedName>
    <definedName name="D_4" localSheetId="69">#REF!</definedName>
    <definedName name="D_4" localSheetId="97">#REF!</definedName>
    <definedName name="D_4" localSheetId="89">#REF!</definedName>
    <definedName name="D_4">#REF!</definedName>
    <definedName name="D_5" localSheetId="93">#REF!</definedName>
    <definedName name="D_5" localSheetId="52">#REF!</definedName>
    <definedName name="D_5" localSheetId="64">#REF!</definedName>
    <definedName name="D_5" localSheetId="74">#REF!</definedName>
    <definedName name="D_5" localSheetId="75">#REF!</definedName>
    <definedName name="D_5" localSheetId="76">#REF!</definedName>
    <definedName name="D_5" localSheetId="77">#REF!</definedName>
    <definedName name="D_5" localSheetId="69">#REF!</definedName>
    <definedName name="D_5" localSheetId="97">#REF!</definedName>
    <definedName name="D_5" localSheetId="89">#REF!</definedName>
    <definedName name="D_5">#REF!</definedName>
    <definedName name="D_6" localSheetId="93">#REF!</definedName>
    <definedName name="D_6" localSheetId="52">#REF!</definedName>
    <definedName name="D_6" localSheetId="64">#REF!</definedName>
    <definedName name="D_6" localSheetId="74">#REF!</definedName>
    <definedName name="D_6" localSheetId="75">#REF!</definedName>
    <definedName name="D_6" localSheetId="76">#REF!</definedName>
    <definedName name="D_6" localSheetId="77">#REF!</definedName>
    <definedName name="D_6" localSheetId="69">#REF!</definedName>
    <definedName name="D_6" localSheetId="97">#REF!</definedName>
    <definedName name="D_6" localSheetId="89">#REF!</definedName>
    <definedName name="D_6">#REF!</definedName>
    <definedName name="D_7" localSheetId="93">#REF!</definedName>
    <definedName name="D_7" localSheetId="52">#REF!</definedName>
    <definedName name="D_7" localSheetId="64">#REF!</definedName>
    <definedName name="D_7" localSheetId="74">#REF!</definedName>
    <definedName name="D_7" localSheetId="75">#REF!</definedName>
    <definedName name="D_7" localSheetId="76">#REF!</definedName>
    <definedName name="D_7" localSheetId="77">#REF!</definedName>
    <definedName name="D_7" localSheetId="69">#REF!</definedName>
    <definedName name="D_7" localSheetId="97">#REF!</definedName>
    <definedName name="D_7" localSheetId="89">#REF!</definedName>
    <definedName name="D_7">#REF!</definedName>
    <definedName name="D1I">#REF!</definedName>
    <definedName name="d1x">#REF!</definedName>
    <definedName name="d2i">#REF!</definedName>
    <definedName name="D2x">#REF!</definedName>
    <definedName name="D3x">#REF!</definedName>
    <definedName name="D4x">#REF!</definedName>
    <definedName name="D5x">#REF!</definedName>
    <definedName name="D6x">#REF!</definedName>
    <definedName name="D7x">#REF!</definedName>
    <definedName name="DeferredCharges">[15]Data!$U$13:$V$131</definedName>
    <definedName name="DeferredIncomeTaxes">[15]Data!$X$13:$Y$131</definedName>
    <definedName name="DIR" localSheetId="93">#REF!</definedName>
    <definedName name="DIR" localSheetId="65">#REF!</definedName>
    <definedName name="DIR" localSheetId="97">#REF!</definedName>
    <definedName name="DIR" localSheetId="89">#REF!</definedName>
    <definedName name="DIR">#REF!</definedName>
    <definedName name="DisallowedPAA">[15]Data!$CF$13:$CG$131</definedName>
    <definedName name="DOCKET" localSheetId="52">#REF!</definedName>
    <definedName name="DOCKET">#REF!</definedName>
    <definedName name="DSECT" localSheetId="93">[1]Macros!#REF!</definedName>
    <definedName name="DSECT" localSheetId="88">[1]Macros!#REF!</definedName>
    <definedName name="DSECT" localSheetId="92">[1]Macros!#REF!</definedName>
    <definedName name="DSECT" localSheetId="87">[1]Macros!#REF!</definedName>
    <definedName name="DSECT" localSheetId="30">[2]Macros!#REF!</definedName>
    <definedName name="DSECT" localSheetId="25">[3]Macros!#REF!</definedName>
    <definedName name="DSECT" localSheetId="28">[4]Macros!#REF!</definedName>
    <definedName name="DSECT" localSheetId="52">#REF!</definedName>
    <definedName name="DSECT" localSheetId="64">[5]Macros!#REF!</definedName>
    <definedName name="DSECT" localSheetId="74">[5]Macros!#REF!</definedName>
    <definedName name="DSECT" localSheetId="75">[6]Macros!#REF!</definedName>
    <definedName name="DSECT" localSheetId="76">[6]Macros!#REF!</definedName>
    <definedName name="DSECT" localSheetId="77">[6]Macros!#REF!</definedName>
    <definedName name="DSECT" localSheetId="69">[6]Macros!#REF!</definedName>
    <definedName name="DSECT" localSheetId="70">[7]Macros!#REF!</definedName>
    <definedName name="DSECT" localSheetId="71">[6]Macros!#REF!</definedName>
    <definedName name="DSECT" localSheetId="72">[6]Macros!#REF!</definedName>
    <definedName name="DSECT" localSheetId="95">[1]Macros!#REF!</definedName>
    <definedName name="DSECT" localSheetId="97">[8]Macros!#REF!</definedName>
    <definedName name="DSECT" localSheetId="98">[9]Macros!#REF!</definedName>
    <definedName name="DSECT" localSheetId="89">#REF!</definedName>
    <definedName name="DSECT">#REF!</definedName>
    <definedName name="E_1" localSheetId="93">#REF!</definedName>
    <definedName name="E_1" localSheetId="30">#REF!</definedName>
    <definedName name="E_1" localSheetId="28">#REF!</definedName>
    <definedName name="E_1" localSheetId="52">#REF!</definedName>
    <definedName name="E_1" localSheetId="64">'E 1 (s)'!$A$1:$H$66</definedName>
    <definedName name="E_1" localSheetId="75">#REF!</definedName>
    <definedName name="E_1" localSheetId="76">#REF!</definedName>
    <definedName name="E_1" localSheetId="77">#REF!</definedName>
    <definedName name="E_1" localSheetId="69">#REF!</definedName>
    <definedName name="E_1" localSheetId="70">#REF!</definedName>
    <definedName name="E_1" localSheetId="71">#REF!</definedName>
    <definedName name="E_1" localSheetId="72">#REF!</definedName>
    <definedName name="E_1" localSheetId="97">#REF!</definedName>
    <definedName name="E_1" localSheetId="98">#REF!</definedName>
    <definedName name="E_1" localSheetId="89">#REF!</definedName>
    <definedName name="E_1">#REF!</definedName>
    <definedName name="E_10" localSheetId="93">#REF!</definedName>
    <definedName name="E_10" localSheetId="30">#REF!</definedName>
    <definedName name="E_10" localSheetId="28">#REF!</definedName>
    <definedName name="E_10" localSheetId="52">#REF!</definedName>
    <definedName name="E_10" localSheetId="75">#REF!</definedName>
    <definedName name="E_10" localSheetId="76">#REF!</definedName>
    <definedName name="E_10" localSheetId="77">#REF!</definedName>
    <definedName name="E_10" localSheetId="69">#REF!</definedName>
    <definedName name="E_10" localSheetId="97">#REF!</definedName>
    <definedName name="E_10" localSheetId="89">#REF!</definedName>
    <definedName name="E_10">#REF!</definedName>
    <definedName name="E_11" localSheetId="93">#REF!</definedName>
    <definedName name="E_11" localSheetId="30">#REF!</definedName>
    <definedName name="E_11" localSheetId="28">#REF!</definedName>
    <definedName name="E_11" localSheetId="52">#REF!</definedName>
    <definedName name="E_11" localSheetId="74">'E 11'!$A$1:$F$50</definedName>
    <definedName name="E_11" localSheetId="75">#REF!</definedName>
    <definedName name="E_11" localSheetId="76">#REF!</definedName>
    <definedName name="E_11" localSheetId="77">#REF!</definedName>
    <definedName name="E_11" localSheetId="69">#REF!</definedName>
    <definedName name="E_11" localSheetId="97">#REF!</definedName>
    <definedName name="E_11" localSheetId="89">#REF!</definedName>
    <definedName name="E_11">#REF!</definedName>
    <definedName name="E_12" localSheetId="93">#REF!</definedName>
    <definedName name="E_12" localSheetId="52">#REF!</definedName>
    <definedName name="E_12" localSheetId="75">'E 12'!$A$1:$I$83</definedName>
    <definedName name="E_12" localSheetId="76">#REF!</definedName>
    <definedName name="E_12" localSheetId="77">#REF!</definedName>
    <definedName name="E_12" localSheetId="69">#REF!</definedName>
    <definedName name="E_12" localSheetId="97">#REF!</definedName>
    <definedName name="E_12" localSheetId="89">#REF!</definedName>
    <definedName name="E_12">#REF!</definedName>
    <definedName name="E_13" localSheetId="93">#REF!</definedName>
    <definedName name="E_13" localSheetId="52">#REF!</definedName>
    <definedName name="E_13" localSheetId="75">#REF!</definedName>
    <definedName name="E_13" localSheetId="76">'E 13'!$A$1:$L$61</definedName>
    <definedName name="E_13" localSheetId="77">#REF!</definedName>
    <definedName name="E_13" localSheetId="69">#REF!</definedName>
    <definedName name="E_13" localSheetId="97">#REF!</definedName>
    <definedName name="E_13" localSheetId="89">#REF!</definedName>
    <definedName name="E_13">#REF!</definedName>
    <definedName name="E_14" localSheetId="93">#REF!</definedName>
    <definedName name="E_14" localSheetId="52">#REF!</definedName>
    <definedName name="E_14" localSheetId="75">#REF!</definedName>
    <definedName name="E_14" localSheetId="76">#REF!</definedName>
    <definedName name="E_14" localSheetId="77">'E 14'!$B$1:$I$57</definedName>
    <definedName name="E_14" localSheetId="69">#REF!</definedName>
    <definedName name="E_14" localSheetId="97">#REF!</definedName>
    <definedName name="E_14" localSheetId="89">#REF!</definedName>
    <definedName name="E_14">#REF!</definedName>
    <definedName name="E_2" localSheetId="93">#REF!</definedName>
    <definedName name="E_2" localSheetId="52">#REF!</definedName>
    <definedName name="E_2" localSheetId="75">#REF!</definedName>
    <definedName name="E_2" localSheetId="76">#REF!</definedName>
    <definedName name="E_2" localSheetId="77">#REF!</definedName>
    <definedName name="E_2" localSheetId="69">#REF!</definedName>
    <definedName name="E_2" localSheetId="70">#REF!</definedName>
    <definedName name="E_2" localSheetId="97">#REF!</definedName>
    <definedName name="E_2" localSheetId="89">#REF!</definedName>
    <definedName name="E_2">#REF!</definedName>
    <definedName name="E_2A" localSheetId="93">'[18]E 2'!#REF!</definedName>
    <definedName name="E_2A" localSheetId="88">'[18]E 2'!#REF!</definedName>
    <definedName name="E_2A" localSheetId="92">'[18]E 2'!#REF!</definedName>
    <definedName name="E_2A" localSheetId="87">'[18]E 2'!#REF!</definedName>
    <definedName name="E_2A" localSheetId="30">#REF!</definedName>
    <definedName name="E_2A" localSheetId="25">'[3]E 2'!#REF!</definedName>
    <definedName name="E_2A" localSheetId="28">#REF!</definedName>
    <definedName name="E_2A" localSheetId="52">#REF!</definedName>
    <definedName name="E_2A" localSheetId="64">'[5]E 2'!#REF!</definedName>
    <definedName name="E_2A" localSheetId="74">'[5]E 2'!#REF!</definedName>
    <definedName name="E_2A" localSheetId="75">'[6]E 2'!#REF!</definedName>
    <definedName name="E_2A" localSheetId="76">'[6]E 2'!#REF!</definedName>
    <definedName name="E_2A" localSheetId="77">'[6]E 2'!#REF!</definedName>
    <definedName name="E_2A" localSheetId="69">'[6]E 2'!#REF!</definedName>
    <definedName name="E_2A" localSheetId="71">'[6]E 2'!#REF!</definedName>
    <definedName name="E_2A" localSheetId="72">'[6]E 2'!#REF!</definedName>
    <definedName name="E_2A" localSheetId="95">'[18]E 2'!#REF!</definedName>
    <definedName name="E_2A" localSheetId="97">#REF!</definedName>
    <definedName name="E_2A" localSheetId="98">#REF!</definedName>
    <definedName name="E_2A" localSheetId="89">#REF!</definedName>
    <definedName name="E_2A">#REF!</definedName>
    <definedName name="E_3" localSheetId="93">#REF!</definedName>
    <definedName name="E_3" localSheetId="52">#REF!</definedName>
    <definedName name="E_3" localSheetId="75">#REF!</definedName>
    <definedName name="E_3" localSheetId="76">#REF!</definedName>
    <definedName name="E_3" localSheetId="77">#REF!</definedName>
    <definedName name="E_3" localSheetId="69">#REF!</definedName>
    <definedName name="E_3" localSheetId="97">#REF!</definedName>
    <definedName name="E_3" localSheetId="89">#REF!</definedName>
    <definedName name="E_3">#REF!</definedName>
    <definedName name="E_4" localSheetId="93">#REF!</definedName>
    <definedName name="E_4" localSheetId="52">#REF!</definedName>
    <definedName name="E_4" localSheetId="75">#REF!</definedName>
    <definedName name="E_4" localSheetId="76">#REF!</definedName>
    <definedName name="E_4" localSheetId="77">#REF!</definedName>
    <definedName name="E_4" localSheetId="69">#REF!</definedName>
    <definedName name="E_4" localSheetId="97">#REF!</definedName>
    <definedName name="E_4" localSheetId="89">#REF!</definedName>
    <definedName name="E_4">#REF!</definedName>
    <definedName name="E_5" localSheetId="93">#REF!</definedName>
    <definedName name="E_5" localSheetId="52">#REF!</definedName>
    <definedName name="E_5" localSheetId="75">#REF!</definedName>
    <definedName name="E_5" localSheetId="76">#REF!</definedName>
    <definedName name="E_5" localSheetId="77">#REF!</definedName>
    <definedName name="E_5" localSheetId="69">#REF!</definedName>
    <definedName name="E_5" localSheetId="97">#REF!</definedName>
    <definedName name="E_5" localSheetId="89">#REF!</definedName>
    <definedName name="E_5">#REF!</definedName>
    <definedName name="E_6" localSheetId="93">#REF!</definedName>
    <definedName name="E_6" localSheetId="52">#REF!</definedName>
    <definedName name="E_6" localSheetId="75">#REF!</definedName>
    <definedName name="E_6" localSheetId="76">#REF!</definedName>
    <definedName name="E_6" localSheetId="77">#REF!</definedName>
    <definedName name="E_6" localSheetId="69">'E 6'!$A$1:$D$22</definedName>
    <definedName name="E_6" localSheetId="97">#REF!</definedName>
    <definedName name="E_6" localSheetId="89">#REF!</definedName>
    <definedName name="E_6">#REF!</definedName>
    <definedName name="E_7" localSheetId="93">#REF!</definedName>
    <definedName name="E_7" localSheetId="52">#REF!</definedName>
    <definedName name="E_7" localSheetId="75">#REF!</definedName>
    <definedName name="E_7" localSheetId="76">#REF!</definedName>
    <definedName name="E_7" localSheetId="77">#REF!</definedName>
    <definedName name="E_7" localSheetId="69">#REF!</definedName>
    <definedName name="E_7" localSheetId="70">'E 7'!$A$1:$H$80</definedName>
    <definedName name="E_7" localSheetId="97">#REF!</definedName>
    <definedName name="E_7" localSheetId="89">#REF!</definedName>
    <definedName name="E_7">#REF!</definedName>
    <definedName name="E_8" localSheetId="93">#REF!</definedName>
    <definedName name="E_8" localSheetId="52">#REF!</definedName>
    <definedName name="E_8" localSheetId="75">#REF!</definedName>
    <definedName name="E_8" localSheetId="76">#REF!</definedName>
    <definedName name="E_8" localSheetId="77">#REF!</definedName>
    <definedName name="E_8" localSheetId="69">#REF!</definedName>
    <definedName name="E_8" localSheetId="71">'E 8'!$A$1:$G$80</definedName>
    <definedName name="E_8" localSheetId="97">#REF!</definedName>
    <definedName name="E_8" localSheetId="89">#REF!</definedName>
    <definedName name="E_8">#REF!</definedName>
    <definedName name="E_9" localSheetId="93">#REF!</definedName>
    <definedName name="E_9" localSheetId="52">#REF!</definedName>
    <definedName name="E_9" localSheetId="75">#REF!</definedName>
    <definedName name="E_9" localSheetId="76">#REF!</definedName>
    <definedName name="E_9" localSheetId="77">#REF!</definedName>
    <definedName name="E_9" localSheetId="69">#REF!</definedName>
    <definedName name="E_9" localSheetId="72">'E 9'!$A$1:$F$83</definedName>
    <definedName name="E_9" localSheetId="97">#REF!</definedName>
    <definedName name="E_9" localSheetId="89">#REF!</definedName>
    <definedName name="E_9">#REF!</definedName>
    <definedName name="e10x1">#REF!</definedName>
    <definedName name="e10x2">#REF!</definedName>
    <definedName name="e11x">#REF!</definedName>
    <definedName name="e12x">#REF!</definedName>
    <definedName name="e13x">#REF!</definedName>
    <definedName name="e14x">#REF!</definedName>
    <definedName name="e1x">#REF!</definedName>
    <definedName name="e1x2">#REF!</definedName>
    <definedName name="e2i">#REF!</definedName>
    <definedName name="e2i2">#REF!</definedName>
    <definedName name="e2x">#REF!</definedName>
    <definedName name="e2x2">#REF!</definedName>
    <definedName name="E3s">#REF!</definedName>
    <definedName name="E3w">#REF!</definedName>
    <definedName name="e3x">#REF!</definedName>
    <definedName name="e4x">#REF!</definedName>
    <definedName name="e5x">#REF!</definedName>
    <definedName name="e6x">#REF!</definedName>
    <definedName name="e7x">#REF!</definedName>
    <definedName name="e8x">#REF!</definedName>
    <definedName name="e9x">#REF!</definedName>
    <definedName name="ERC_S" localSheetId="93">#REF!</definedName>
    <definedName name="ERC_S" localSheetId="65">#REF!</definedName>
    <definedName name="ERC_S" localSheetId="97">#REF!</definedName>
    <definedName name="ERC_S" localSheetId="89">#REF!</definedName>
    <definedName name="ERC_S">#REF!</definedName>
    <definedName name="ERC_W" localSheetId="93">#REF!</definedName>
    <definedName name="ERC_W" localSheetId="65">#REF!</definedName>
    <definedName name="ERC_W" localSheetId="97">#REF!</definedName>
    <definedName name="ERC_W" localSheetId="89">#REF!</definedName>
    <definedName name="ERC_W">#REF!</definedName>
    <definedName name="ESECT" localSheetId="93">[1]Macros!#REF!</definedName>
    <definedName name="ESECT" localSheetId="88">[1]Macros!#REF!</definedName>
    <definedName name="ESECT" localSheetId="92">[1]Macros!#REF!</definedName>
    <definedName name="ESECT" localSheetId="87">[1]Macros!#REF!</definedName>
    <definedName name="ESECT" localSheetId="30">[2]Macros!#REF!</definedName>
    <definedName name="ESECT" localSheetId="25">[3]Macros!#REF!</definedName>
    <definedName name="ESECT" localSheetId="28">[4]Macros!#REF!</definedName>
    <definedName name="ESECT" localSheetId="52">#REF!</definedName>
    <definedName name="ESECT" localSheetId="64">[5]Macros!#REF!</definedName>
    <definedName name="ESECT" localSheetId="74">[5]Macros!#REF!</definedName>
    <definedName name="ESECT" localSheetId="75">[6]Macros!#REF!</definedName>
    <definedName name="ESECT" localSheetId="76">[6]Macros!#REF!</definedName>
    <definedName name="ESECT" localSheetId="77">[6]Macros!#REF!</definedName>
    <definedName name="ESECT" localSheetId="69">[6]Macros!#REF!</definedName>
    <definedName name="ESECT" localSheetId="70">[7]Macros!#REF!</definedName>
    <definedName name="ESECT" localSheetId="71">[6]Macros!#REF!</definedName>
    <definedName name="ESECT" localSheetId="72">[6]Macros!#REF!</definedName>
    <definedName name="ESECT" localSheetId="95">[1]Macros!#REF!</definedName>
    <definedName name="ESECT" localSheetId="97">[8]Macros!#REF!</definedName>
    <definedName name="ESECT" localSheetId="98">[9]Macros!#REF!</definedName>
    <definedName name="ESECT" localSheetId="89">#REF!</definedName>
    <definedName name="ESECT">#REF!</definedName>
    <definedName name="F_1" localSheetId="93">#REF!</definedName>
    <definedName name="F_1" localSheetId="88">#REF!</definedName>
    <definedName name="F_1" localSheetId="92">#REF!</definedName>
    <definedName name="F_1" localSheetId="87">#REF!</definedName>
    <definedName name="F_1" localSheetId="30">#REF!</definedName>
    <definedName name="F_1" localSheetId="28">#REF!</definedName>
    <definedName name="F_1" localSheetId="52">#REF!</definedName>
    <definedName name="F_1" localSheetId="64">#REF!</definedName>
    <definedName name="F_1" localSheetId="74">#REF!</definedName>
    <definedName name="F_1" localSheetId="75">#REF!</definedName>
    <definedName name="F_1" localSheetId="76">#REF!</definedName>
    <definedName name="F_1" localSheetId="77">#REF!</definedName>
    <definedName name="F_1" localSheetId="69">#REF!</definedName>
    <definedName name="F_1" localSheetId="95">#REF!</definedName>
    <definedName name="F_1" localSheetId="97">#REF!</definedName>
    <definedName name="F_1" localSheetId="98">#REF!</definedName>
    <definedName name="F_1" localSheetId="89">#REF!</definedName>
    <definedName name="F_1">#REF!</definedName>
    <definedName name="F_10" localSheetId="93">#REF!</definedName>
    <definedName name="F_10" localSheetId="30">#REF!</definedName>
    <definedName name="F_10" localSheetId="28">#REF!</definedName>
    <definedName name="F_10" localSheetId="52">#REF!</definedName>
    <definedName name="F_10" localSheetId="75">#REF!</definedName>
    <definedName name="F_10" localSheetId="76">#REF!</definedName>
    <definedName name="F_10" localSheetId="77">#REF!</definedName>
    <definedName name="F_10" localSheetId="69">#REF!</definedName>
    <definedName name="F_10" localSheetId="97">#REF!</definedName>
    <definedName name="F_10" localSheetId="89">#REF!</definedName>
    <definedName name="F_10">#REF!</definedName>
    <definedName name="F_1A" localSheetId="93">#REF!</definedName>
    <definedName name="F_1A" localSheetId="30">#REF!</definedName>
    <definedName name="F_1A" localSheetId="28">#REF!</definedName>
    <definedName name="F_1A">#REF!</definedName>
    <definedName name="F_2" localSheetId="93">#REF!</definedName>
    <definedName name="F_2" localSheetId="52">#REF!</definedName>
    <definedName name="F_2" localSheetId="75">#REF!</definedName>
    <definedName name="F_2" localSheetId="76">#REF!</definedName>
    <definedName name="F_2" localSheetId="77">#REF!</definedName>
    <definedName name="F_2" localSheetId="69">#REF!</definedName>
    <definedName name="F_2" localSheetId="97">#REF!</definedName>
    <definedName name="F_2" localSheetId="89">#REF!</definedName>
    <definedName name="F_2">#REF!</definedName>
    <definedName name="F_3" localSheetId="93">#REF!</definedName>
    <definedName name="F_3" localSheetId="88">#REF!</definedName>
    <definedName name="F_3" localSheetId="92">#REF!</definedName>
    <definedName name="F_3" localSheetId="87">#REF!</definedName>
    <definedName name="F_3" localSheetId="52">#REF!</definedName>
    <definedName name="F_3" localSheetId="64">#REF!</definedName>
    <definedName name="F_3" localSheetId="74">#REF!</definedName>
    <definedName name="F_3" localSheetId="75">#REF!</definedName>
    <definedName name="F_3" localSheetId="76">#REF!</definedName>
    <definedName name="F_3" localSheetId="77">#REF!</definedName>
    <definedName name="F_3" localSheetId="69">#REF!</definedName>
    <definedName name="F_3" localSheetId="95">#REF!</definedName>
    <definedName name="F_3" localSheetId="97">#REF!</definedName>
    <definedName name="F_3" localSheetId="89">#REF!</definedName>
    <definedName name="F_3">#REF!</definedName>
    <definedName name="F_4" localSheetId="93">#REF!</definedName>
    <definedName name="F_4" localSheetId="52">#REF!</definedName>
    <definedName name="F_4" localSheetId="75">#REF!</definedName>
    <definedName name="F_4" localSheetId="76">#REF!</definedName>
    <definedName name="F_4" localSheetId="77">#REF!</definedName>
    <definedName name="F_4" localSheetId="69">#REF!</definedName>
    <definedName name="F_4" localSheetId="97">#REF!</definedName>
    <definedName name="F_4" localSheetId="89">#REF!</definedName>
    <definedName name="F_4">#REF!</definedName>
    <definedName name="F_5" localSheetId="93">#REF!</definedName>
    <definedName name="F_5" localSheetId="88">#REF!</definedName>
    <definedName name="F_5" localSheetId="92">#REF!</definedName>
    <definedName name="F_5" localSheetId="87">#REF!</definedName>
    <definedName name="F_5" localSheetId="52">#REF!</definedName>
    <definedName name="F_5" localSheetId="64">#REF!</definedName>
    <definedName name="F_5" localSheetId="74">#REF!</definedName>
    <definedName name="F_5" localSheetId="75">#REF!</definedName>
    <definedName name="F_5" localSheetId="76">#REF!</definedName>
    <definedName name="F_5" localSheetId="77">#REF!</definedName>
    <definedName name="F_5" localSheetId="69">#REF!</definedName>
    <definedName name="F_5" localSheetId="95">#REF!</definedName>
    <definedName name="F_5" localSheetId="97">#REF!</definedName>
    <definedName name="F_5" localSheetId="89">#REF!</definedName>
    <definedName name="F_5">#REF!</definedName>
    <definedName name="F_6" localSheetId="93">#REF!</definedName>
    <definedName name="F_6" localSheetId="52">#REF!</definedName>
    <definedName name="F_6" localSheetId="75">#REF!</definedName>
    <definedName name="F_6" localSheetId="76">#REF!</definedName>
    <definedName name="F_6" localSheetId="77">#REF!</definedName>
    <definedName name="F_6" localSheetId="69">#REF!</definedName>
    <definedName name="F_6" localSheetId="97">#REF!</definedName>
    <definedName name="F_6" localSheetId="89">#REF!</definedName>
    <definedName name="F_6">#REF!</definedName>
    <definedName name="F_7" localSheetId="93">#REF!</definedName>
    <definedName name="F_7" localSheetId="52">#REF!</definedName>
    <definedName name="F_7" localSheetId="75">#REF!</definedName>
    <definedName name="F_7" localSheetId="76">#REF!</definedName>
    <definedName name="F_7" localSheetId="77">#REF!</definedName>
    <definedName name="F_7" localSheetId="69">#REF!</definedName>
    <definedName name="F_7" localSheetId="97">#REF!</definedName>
    <definedName name="F_7" localSheetId="89">#REF!</definedName>
    <definedName name="F_7">#REF!</definedName>
    <definedName name="F_8" localSheetId="93">#REF!</definedName>
    <definedName name="F_8" localSheetId="52">#REF!</definedName>
    <definedName name="F_8" localSheetId="75">#REF!</definedName>
    <definedName name="F_8" localSheetId="76">#REF!</definedName>
    <definedName name="F_8" localSheetId="77">#REF!</definedName>
    <definedName name="F_8" localSheetId="69">#REF!</definedName>
    <definedName name="F_8" localSheetId="97">#REF!</definedName>
    <definedName name="F_8" localSheetId="89">#REF!</definedName>
    <definedName name="F_8">#REF!</definedName>
    <definedName name="F_9" localSheetId="93">#REF!</definedName>
    <definedName name="F_9" localSheetId="88">#REF!</definedName>
    <definedName name="F_9" localSheetId="92">#REF!</definedName>
    <definedName name="F_9" localSheetId="87">#REF!</definedName>
    <definedName name="F_9" localSheetId="52">#REF!</definedName>
    <definedName name="F_9" localSheetId="64">#REF!</definedName>
    <definedName name="F_9" localSheetId="74">#REF!</definedName>
    <definedName name="F_9" localSheetId="75">#REF!</definedName>
    <definedName name="F_9" localSheetId="76">#REF!</definedName>
    <definedName name="F_9" localSheetId="77">#REF!</definedName>
    <definedName name="F_9" localSheetId="69">#REF!</definedName>
    <definedName name="F_9" localSheetId="95">#REF!</definedName>
    <definedName name="F_9" localSheetId="97">#REF!</definedName>
    <definedName name="F_9" localSheetId="89">#REF!</definedName>
    <definedName name="F_9">#REF!</definedName>
    <definedName name="f10x">#REF!</definedName>
    <definedName name="f1x">#REF!</definedName>
    <definedName name="f2x">#REF!</definedName>
    <definedName name="f3x">#REF!</definedName>
    <definedName name="f4x">#REF!</definedName>
    <definedName name="f5x">#REF!</definedName>
    <definedName name="f6x">#REF!</definedName>
    <definedName name="f7x">#REF!</definedName>
    <definedName name="f8x">#REF!</definedName>
    <definedName name="f9x">#REF!</definedName>
    <definedName name="Finance__WSC.Work.Papers.WSC.Other.Prepayments">#REF!</definedName>
    <definedName name="FL.1">#REF!</definedName>
    <definedName name="FL.3">#REF!</definedName>
    <definedName name="FL.5">#REF!</definedName>
    <definedName name="FSECT" localSheetId="93">[1]Macros!#REF!</definedName>
    <definedName name="FSECT" localSheetId="88">[1]Macros!#REF!</definedName>
    <definedName name="FSECT" localSheetId="92">[1]Macros!#REF!</definedName>
    <definedName name="FSECT" localSheetId="87">[1]Macros!#REF!</definedName>
    <definedName name="FSECT" localSheetId="30">[2]Macros!#REF!</definedName>
    <definedName name="FSECT" localSheetId="25">[3]Macros!#REF!</definedName>
    <definedName name="FSECT" localSheetId="28">[4]Macros!#REF!</definedName>
    <definedName name="FSECT" localSheetId="52">#REF!</definedName>
    <definedName name="FSECT" localSheetId="64">[5]Macros!#REF!</definedName>
    <definedName name="FSECT" localSheetId="74">[5]Macros!#REF!</definedName>
    <definedName name="FSECT" localSheetId="75">[6]Macros!#REF!</definedName>
    <definedName name="FSECT" localSheetId="76">[6]Macros!#REF!</definedName>
    <definedName name="FSECT" localSheetId="77">[6]Macros!#REF!</definedName>
    <definedName name="FSECT" localSheetId="69">[6]Macros!#REF!</definedName>
    <definedName name="FSECT" localSheetId="70">[7]Macros!#REF!</definedName>
    <definedName name="FSECT" localSheetId="71">[6]Macros!#REF!</definedName>
    <definedName name="FSECT" localSheetId="72">[6]Macros!#REF!</definedName>
    <definedName name="FSECT" localSheetId="95">[1]Macros!#REF!</definedName>
    <definedName name="FSECT" localSheetId="97">[8]Macros!#REF!</definedName>
    <definedName name="FSECT" localSheetId="98">[9]Macros!#REF!</definedName>
    <definedName name="FSECT" localSheetId="89">#REF!</definedName>
    <definedName name="FSECT">#REF!</definedName>
    <definedName name="GA.1">#REF!</definedName>
    <definedName name="GA.3">#REF!</definedName>
    <definedName name="GA.5">#REF!</definedName>
    <definedName name="GEN" localSheetId="93">[1]Macros!#REF!</definedName>
    <definedName name="GEN" localSheetId="88">[1]Macros!#REF!</definedName>
    <definedName name="GEN" localSheetId="92">[1]Macros!#REF!</definedName>
    <definedName name="GEN" localSheetId="87">[1]Macros!#REF!</definedName>
    <definedName name="GEN" localSheetId="30">[2]Macros!#REF!</definedName>
    <definedName name="GEN" localSheetId="25">[3]Macros!#REF!</definedName>
    <definedName name="GEN" localSheetId="28">[4]Macros!#REF!</definedName>
    <definedName name="GEN" localSheetId="52">#REF!</definedName>
    <definedName name="GEN" localSheetId="64">[5]Macros!#REF!</definedName>
    <definedName name="GEN" localSheetId="74">[5]Macros!#REF!</definedName>
    <definedName name="GEN" localSheetId="75">[6]Macros!#REF!</definedName>
    <definedName name="GEN" localSheetId="76">[6]Macros!#REF!</definedName>
    <definedName name="GEN" localSheetId="77">[6]Macros!#REF!</definedName>
    <definedName name="GEN" localSheetId="69">[6]Macros!#REF!</definedName>
    <definedName name="GEN" localSheetId="70">[7]Macros!#REF!</definedName>
    <definedName name="GEN" localSheetId="71">[6]Macros!#REF!</definedName>
    <definedName name="GEN" localSheetId="72">[6]Macros!#REF!</definedName>
    <definedName name="GEN" localSheetId="95">[1]Macros!#REF!</definedName>
    <definedName name="GEN" localSheetId="97">[8]Macros!#REF!</definedName>
    <definedName name="GEN" localSheetId="98">[9]Macros!#REF!</definedName>
    <definedName name="GEN" localSheetId="89">#REF!</definedName>
    <definedName name="GEN">#REF!</definedName>
    <definedName name="i" localSheetId="28">#REF!</definedName>
    <definedName name="i">#REF!</definedName>
    <definedName name="ii" localSheetId="28">#REF!</definedName>
    <definedName name="ii">#REF!</definedName>
    <definedName name="iii" localSheetId="28">#REF!</definedName>
    <definedName name="iii">#REF!</definedName>
    <definedName name="iiii">#REF!</definedName>
    <definedName name="IL.1">#REF!</definedName>
    <definedName name="IL.3">#REF!</definedName>
    <definedName name="IL.5">#REF!</definedName>
    <definedName name="IN.3">#REF!</definedName>
    <definedName name="IN.5">#REF!</definedName>
    <definedName name="INST" localSheetId="93">#REF!</definedName>
    <definedName name="INST" localSheetId="88">#REF!</definedName>
    <definedName name="INST" localSheetId="92">#REF!</definedName>
    <definedName name="INST" localSheetId="87">#REF!</definedName>
    <definedName name="INST" localSheetId="30">#REF!</definedName>
    <definedName name="INST" localSheetId="52">#REF!</definedName>
    <definedName name="INST" localSheetId="64">#REF!</definedName>
    <definedName name="INST" localSheetId="74">#REF!</definedName>
    <definedName name="INST" localSheetId="75">#REF!</definedName>
    <definedName name="INST" localSheetId="76">#REF!</definedName>
    <definedName name="INST" localSheetId="77">#REF!</definedName>
    <definedName name="INST" localSheetId="69">#REF!</definedName>
    <definedName name="INST" localSheetId="95">#REF!</definedName>
    <definedName name="INST" localSheetId="97">#REF!</definedName>
    <definedName name="INST" localSheetId="98">#REF!</definedName>
    <definedName name="INST" localSheetId="89">#REF!</definedName>
    <definedName name="INST">#REF!</definedName>
    <definedName name="LA.1">#REF!</definedName>
    <definedName name="LA.3">#REF!</definedName>
    <definedName name="LA.5">#REF!</definedName>
    <definedName name="LEXINGTON">#REF!</definedName>
    <definedName name="MARGIN" localSheetId="93">#REF!</definedName>
    <definedName name="MARGIN" localSheetId="30">#REF!</definedName>
    <definedName name="MARGIN" localSheetId="65">#REF!</definedName>
    <definedName name="MARGIN" localSheetId="97">#REF!</definedName>
    <definedName name="MARGIN" localSheetId="89">#REF!</definedName>
    <definedName name="MARGIN">#REF!</definedName>
    <definedName name="MD.1">#REF!</definedName>
    <definedName name="MD.3">#REF!</definedName>
    <definedName name="MD.5">#REF!</definedName>
    <definedName name="MS.1">#REF!</definedName>
    <definedName name="MS.3">#REF!</definedName>
    <definedName name="MS.5">#REF!</definedName>
    <definedName name="NAME">[14]INFO!$D$14</definedName>
    <definedName name="NC.1">#REF!</definedName>
    <definedName name="NC.3">#REF!</definedName>
    <definedName name="NC.5">#REF!</definedName>
    <definedName name="OCC.CE">'[17]Cust Eq Input'!#REF!</definedName>
    <definedName name="OH.1">#REF!</definedName>
    <definedName name="OH.3">#REF!</definedName>
    <definedName name="OH.5">#REF!</definedName>
    <definedName name="OH.CE">'[17]Cust Eq Input'!#REF!</definedName>
    <definedName name="OH.CEP">'[17]Cust Eq Input'!#REF!</definedName>
    <definedName name="PAA">[15]Data!$L$13:$M$131</definedName>
    <definedName name="page1" localSheetId="93">[1]Macros!$E$18</definedName>
    <definedName name="page1" localSheetId="88">[1]Macros!$E$18</definedName>
    <definedName name="page1" localSheetId="92">[1]Macros!$E$18</definedName>
    <definedName name="page1" localSheetId="87">[1]Macros!$E$18</definedName>
    <definedName name="page1" localSheetId="52">#REF!</definedName>
    <definedName name="page1" localSheetId="95">[1]Macros!$E$18</definedName>
    <definedName name="page1">#REF!</definedName>
    <definedName name="page2" localSheetId="93">[1]Macros!$E$19</definedName>
    <definedName name="page2" localSheetId="88">[1]Macros!$E$19</definedName>
    <definedName name="page2" localSheetId="92">[1]Macros!$E$19</definedName>
    <definedName name="page2" localSheetId="87">[1]Macros!$E$19</definedName>
    <definedName name="page2" localSheetId="52">#REF!</definedName>
    <definedName name="page2" localSheetId="95">[1]Macros!$E$19</definedName>
    <definedName name="page2">#REF!</definedName>
    <definedName name="page3" localSheetId="52">#REF!</definedName>
    <definedName name="page3">#REF!</definedName>
    <definedName name="Plant">[15]Data!$C$13:$D$131</definedName>
    <definedName name="PREP" localSheetId="30">[2]Macros!$E$10</definedName>
    <definedName name="PREP" localSheetId="28">[4]Macros!$E$10</definedName>
    <definedName name="PREP" localSheetId="52">#REF!</definedName>
    <definedName name="PREP" localSheetId="71">[6]Macros!$E$10</definedName>
    <definedName name="PREP" localSheetId="72">[6]Macros!$E$10</definedName>
    <definedName name="PREP" localSheetId="97">[8]Macros!$E$10</definedName>
    <definedName name="PREP">#REF!</definedName>
    <definedName name="prep2" localSheetId="28">[4]Macros!$E$11</definedName>
    <definedName name="prep2" localSheetId="52">#REF!</definedName>
    <definedName name="prep2" localSheetId="98">[9]Macros!$E$11</definedName>
    <definedName name="prep2">#REF!</definedName>
    <definedName name="prep3" localSheetId="30">[2]Macros!$E$12</definedName>
    <definedName name="prep3" localSheetId="52">#REF!</definedName>
    <definedName name="prep3" localSheetId="75">[19]Macros!$E$12</definedName>
    <definedName name="prep3" localSheetId="76">[19]Macros!$E$12</definedName>
    <definedName name="prep3" localSheetId="77">[19]Macros!$E$12</definedName>
    <definedName name="prep3" localSheetId="69">[19]Macros!$E$12</definedName>
    <definedName name="prep3" localSheetId="71">[19]Macros!$E$12</definedName>
    <definedName name="prep3" localSheetId="72">[19]Macros!$E$12</definedName>
    <definedName name="prep3" localSheetId="97">[8]Macros!$E$12</definedName>
    <definedName name="prep3" localSheetId="98">[9]Macros!#REF!</definedName>
    <definedName name="prep3">#REF!</definedName>
    <definedName name="_xlnm.Print_Area" localSheetId="93">'12-31-15 CIAC Amort Exp_PerAR'!$A$2:$P$51</definedName>
    <definedName name="_xlnm.Print_Area" localSheetId="88">'12-31-15 CIAC Bal &amp; Proj_PerAR'!$U$1:$AK$73</definedName>
    <definedName name="_xlnm.Print_Area" localSheetId="92">'12-31-15 Depreciation Exp_PerAR'!$A$6:$P$174</definedName>
    <definedName name="_xlnm.Print_Area" localSheetId="87">'12-31-15 Plant Acc Bal_PerAR'!$A$1:$T$219</definedName>
    <definedName name="_xlnm.Print_Area" localSheetId="9">'A 10'!$A$1:$J$60</definedName>
    <definedName name="_xlnm.Print_Area" localSheetId="10">'A 10 (a)'!$A$1:$P$60</definedName>
    <definedName name="_xlnm.Print_Area" localSheetId="11">'A 11'!$A$1:$D$51</definedName>
    <definedName name="_xlnm.Print_Area" localSheetId="12">'A 12'!$A$1:$I$47</definedName>
    <definedName name="_xlnm.Print_Area" localSheetId="13">'A 12 (a)'!$A$1:$P$46</definedName>
    <definedName name="_xlnm.Print_Area" localSheetId="14">'A 13'!$A$1:$D$50</definedName>
    <definedName name="_xlnm.Print_Area" localSheetId="15">'A 14'!$A$1:$I$55</definedName>
    <definedName name="_xlnm.Print_Area" localSheetId="16">'A 14 (a)'!$A$1:$P$46</definedName>
    <definedName name="_xlnm.Print_Area" localSheetId="17">'A 15'!$A$1:$D$17</definedName>
    <definedName name="_xlnm.Print_Area" localSheetId="18">'A 16'!$A$1:$D$22</definedName>
    <definedName name="_xlnm.Print_Area" localSheetId="19">'A 17'!$A$1:$E$46</definedName>
    <definedName name="_xlnm.Print_Area" localSheetId="20">'A 18'!$A$1:$J$44</definedName>
    <definedName name="_xlnm.Print_Area" localSheetId="21">'A 18 (a)'!$A$1:$R$43</definedName>
    <definedName name="_xlnm.Print_Area" localSheetId="22">'A 19'!$A$1:$L$55</definedName>
    <definedName name="_xlnm.Print_Area" localSheetId="23">'A 19 (a)'!$A$1:$R$51</definedName>
    <definedName name="_xlnm.Print_Area" localSheetId="2">'A 2'!$A$1:$G$39</definedName>
    <definedName name="_xlnm.Print_Area" localSheetId="3">'A 3'!$A$1:$D$124</definedName>
    <definedName name="_xlnm.Print_Area" localSheetId="4">'A 4'!$A$1:$D$49</definedName>
    <definedName name="_xlnm.Print_Area" localSheetId="5">'A 6'!$A$1:$I$64</definedName>
    <definedName name="_xlnm.Print_Area" localSheetId="6">'A 6 (a)'!$A$1:$P$61</definedName>
    <definedName name="_xlnm.Print_Area" localSheetId="7">'A 7'!$A$1:$E$51</definedName>
    <definedName name="_xlnm.Print_Area" localSheetId="8">'A 8'!$A$1:$D$50</definedName>
    <definedName name="_xlnm.Print_Area" localSheetId="100">'AR to MFR'!$A$6:$O$413</definedName>
    <definedName name="_xlnm.Print_Area" localSheetId="30">'B 10'!$A$1:$G$47</definedName>
    <definedName name="_xlnm.Print_Area" localSheetId="31">'B 11'!$A$1:$H$42</definedName>
    <definedName name="_xlnm.Print_Area" localSheetId="32">'B 12'!$A$1:$W$65</definedName>
    <definedName name="_xlnm.Print_Area" localSheetId="45">'B 14'!$A$1:$G$66</definedName>
    <definedName name="_xlnm.Print_Area" localSheetId="46">'B 15'!$A$1:$H$57</definedName>
    <definedName name="_xlnm.Print_Area" localSheetId="24">'B 2'!$A$1:$J$41</definedName>
    <definedName name="_xlnm.Print_Area" localSheetId="25">'B 3'!$A$1:$F$122</definedName>
    <definedName name="_xlnm.Print_Area" localSheetId="26">'B 4'!$A$1:$H$52</definedName>
    <definedName name="_xlnm.Print_Area" localSheetId="28">'B 8'!$A$1:$K$65</definedName>
    <definedName name="_xlnm.Print_Area" localSheetId="29">'B 9'!$A$1:$E$48</definedName>
    <definedName name="_xlnm.Print_Area" localSheetId="47">'C 1'!$A$1:$H$47</definedName>
    <definedName name="_xlnm.Print_Area" localSheetId="56">'C 10'!$A$1:$G$64</definedName>
    <definedName name="_xlnm.Print_Area" localSheetId="48">'C 2 (s)'!$A$1:$G$59</definedName>
    <definedName name="_xlnm.Print_Area" localSheetId="49">'C 3'!$A$1:$G$54</definedName>
    <definedName name="_xlnm.Print_Area" localSheetId="50">'C 4'!$A$1:$G$29</definedName>
    <definedName name="_xlnm.Print_Area" localSheetId="51">'C 5 (s)'!$A$1:$G$53</definedName>
    <definedName name="_xlnm.Print_Area" localSheetId="52">'C 6'!$A$1:$M$227</definedName>
    <definedName name="_xlnm.Print_Area" localSheetId="53">'C 7'!$A$1:$O$41</definedName>
    <definedName name="_xlnm.Print_Area" localSheetId="54">'C 8'!$A$1:$I$58</definedName>
    <definedName name="_xlnm.Print_Area" localSheetId="55">'C 9'!$A$1:$G$65</definedName>
    <definedName name="_xlnm.Print_Area" localSheetId="96">CommonPlant_PerAR!$A$1:$O$94</definedName>
    <definedName name="_xlnm.Print_Area" localSheetId="1">'CONTENTS vol 1'!$A$1:$E$119</definedName>
    <definedName name="_xlnm.Print_Area" localSheetId="58">'D 2'!$A$1:$O$33</definedName>
    <definedName name="_xlnm.Print_Area" localSheetId="63">'D 7'!$A$1:$F$50</definedName>
    <definedName name="_xlnm.Print_Area" localSheetId="64">'E 1 (s)'!$A$1:$H$48</definedName>
    <definedName name="_xlnm.Print_Area" localSheetId="73">'E 10'!$A$1:$L$57</definedName>
    <definedName name="_xlnm.Print_Area" localSheetId="74">'E 11'!$A$1:$F$48</definedName>
    <definedName name="_xlnm.Print_Area" localSheetId="75">'E 12'!$A$1:$I$60</definedName>
    <definedName name="_xlnm.Print_Area" localSheetId="76">'E 13'!$A$1:$L$42</definedName>
    <definedName name="_xlnm.Print_Area" localSheetId="77">'E 14'!$A$1:$I$49</definedName>
    <definedName name="_xlnm.Print_Area" localSheetId="65">'E 2 (s)'!$A$1:$L$53</definedName>
    <definedName name="_xlnm.Print_Area" localSheetId="66">'E 3'!$A$1:$P$45</definedName>
    <definedName name="_xlnm.Print_Area" localSheetId="67">'E 4 (s)'!$A$1:$L$48</definedName>
    <definedName name="_xlnm.Print_Area" localSheetId="68">'E 5 (s)'!$A$1:$M$44</definedName>
    <definedName name="_xlnm.Print_Area" localSheetId="69">'E 6'!$A$1:$E$54</definedName>
    <definedName name="_xlnm.Print_Area" localSheetId="70">'E 7'!$A$1:$H$52</definedName>
    <definedName name="_xlnm.Print_Area" localSheetId="71">'E 8'!$A$1:$G$49</definedName>
    <definedName name="_xlnm.Print_Area" localSheetId="72">'E 9'!$A$1:$F$65</definedName>
    <definedName name="_xlnm.Print_Area" localSheetId="80">'F 6'!$A$1:$I$43</definedName>
    <definedName name="_xlnm.Print_Area" localSheetId="95">'IncomeAccountsAllocationPerAR '!$A$51:$Q$79</definedName>
    <definedName name="_xlnm.Print_Area" localSheetId="97">'Interest Expense Adj_PerAR'!$A$1:$J$70</definedName>
    <definedName name="_xlnm.Print_Area" localSheetId="90">'Other BalSheet Acct_PerAR'!$A$1:$Q$122</definedName>
    <definedName name="_xlnm.Print_Area" localSheetId="102">ProformaAdd!$A$36:$P$58</definedName>
    <definedName name="_xlnm.Print_Area" localSheetId="98">'Rev Requirements Final'!$A$22:$D$32</definedName>
    <definedName name="_xlnm.Print_Area" localSheetId="89">'Working Capital_PerAR'!$A$1:$G$41</definedName>
    <definedName name="_xlnm.Print_Titles" localSheetId="100">'AR to MFR'!$1:$5</definedName>
    <definedName name="_xlnm.Print_Titles" localSheetId="96">CommonPlant_PerAR!$1:$5</definedName>
    <definedName name="_xlnm.Print_Titles" localSheetId="1">'CONTENTS vol 1'!$1:$8</definedName>
    <definedName name="_xlnm.Print_Titles" localSheetId="95">'IncomeAccountsAllocationPerAR '!#REF!</definedName>
    <definedName name="_xlnm.Print_Titles" localSheetId="90">'Other BalSheet Acct_PerAR'!$1:$2</definedName>
    <definedName name="_xlnm.Print_Titles" localSheetId="102">ProformaAdd!$1:$6</definedName>
    <definedName name="PUMPED" localSheetId="93">#REF!</definedName>
    <definedName name="PUMPED" localSheetId="30">#REF!</definedName>
    <definedName name="PUMPED" localSheetId="28">#REF!</definedName>
    <definedName name="PUMPED" localSheetId="65">#REF!</definedName>
    <definedName name="PUMPED" localSheetId="97">#REF!</definedName>
    <definedName name="PUMPED" localSheetId="98">#REF!</definedName>
    <definedName name="PUMPED" localSheetId="89">#REF!</definedName>
    <definedName name="PUMPED">#REF!</definedName>
    <definedName name="S_STATS" localSheetId="93">#REF!</definedName>
    <definedName name="S_STATS" localSheetId="30">#REF!</definedName>
    <definedName name="S_STATS" localSheetId="28">#REF!</definedName>
    <definedName name="S_STATS" localSheetId="65">#REF!</definedName>
    <definedName name="S_STATS" localSheetId="97">#REF!</definedName>
    <definedName name="S_STATS" localSheetId="89">#REF!</definedName>
    <definedName name="S_STATS">#REF!</definedName>
    <definedName name="SADPRIM" localSheetId="93">#REF!</definedName>
    <definedName name="SADPRIM" localSheetId="30">#REF!</definedName>
    <definedName name="SADPRIM" localSheetId="28">#REF!</definedName>
    <definedName name="SADPRIM" localSheetId="65">#REF!</definedName>
    <definedName name="SADPRIM" localSheetId="97">#REF!</definedName>
    <definedName name="SADPRIM" localSheetId="89">#REF!</definedName>
    <definedName name="SADPRIM">#REF!</definedName>
    <definedName name="SC.1">#REF!</definedName>
    <definedName name="SC.3">#REF!</definedName>
    <definedName name="SC.5">#REF!</definedName>
    <definedName name="SCU.CE">'[17]Cust Eq Input'!#REF!</definedName>
    <definedName name="SE.SE60D.ALLOC.">#REF!</definedName>
    <definedName name="SPPRIM" localSheetId="93">#REF!</definedName>
    <definedName name="SPPRIM" localSheetId="65">#REF!</definedName>
    <definedName name="SPPRIM" localSheetId="97">#REF!</definedName>
    <definedName name="SPPRIM" localSheetId="89">#REF!</definedName>
    <definedName name="SPPRIM">#REF!</definedName>
    <definedName name="SRB" localSheetId="93">#REF!</definedName>
    <definedName name="SRB" localSheetId="65">#REF!</definedName>
    <definedName name="SRB" localSheetId="97">#REF!</definedName>
    <definedName name="SRB" localSheetId="89">#REF!</definedName>
    <definedName name="SRB">#REF!</definedName>
    <definedName name="SUMU_U" localSheetId="93">#REF!</definedName>
    <definedName name="SUMU_U" localSheetId="65">#REF!</definedName>
    <definedName name="SUMU_U" localSheetId="97">#REF!</definedName>
    <definedName name="SUMU_U" localSheetId="89">#REF!</definedName>
    <definedName name="SUMU_U">#REF!</definedName>
    <definedName name="test" localSheetId="93">#REF!</definedName>
    <definedName name="test">#REF!</definedName>
    <definedName name="TN.1">#REF!</definedName>
    <definedName name="TN.3">#REF!</definedName>
    <definedName name="TN.5">#REF!</definedName>
    <definedName name="TOT.CNC.CE">'[17]Cust Eq Input'!#REF!</definedName>
    <definedName name="TREATED" localSheetId="93">#REF!</definedName>
    <definedName name="TREATED" localSheetId="65">#REF!</definedName>
    <definedName name="TREATED" localSheetId="97">#REF!</definedName>
    <definedName name="TREATED" localSheetId="89">#REF!</definedName>
    <definedName name="TREATED">#REF!</definedName>
    <definedName name="U_U_MAINS" localSheetId="93">#REF!</definedName>
    <definedName name="U_U_MAINS" localSheetId="65">#REF!</definedName>
    <definedName name="U_U_MAINS" localSheetId="97">#REF!</definedName>
    <definedName name="U_U_MAINS" localSheetId="89">#REF!</definedName>
    <definedName name="U_U_MAINS">#REF!</definedName>
    <definedName name="U_U_SEWER" localSheetId="93">#REF!</definedName>
    <definedName name="U_U_SEWER" localSheetId="65">#REF!</definedName>
    <definedName name="U_U_SEWER" localSheetId="97">#REF!</definedName>
    <definedName name="U_U_SEWER" localSheetId="89">#REF!</definedName>
    <definedName name="U_U_SEWER">#REF!</definedName>
    <definedName name="U_U_WATER" localSheetId="93">#REF!</definedName>
    <definedName name="U_U_WATER" localSheetId="65">#REF!</definedName>
    <definedName name="U_U_WATER" localSheetId="97">#REF!</definedName>
    <definedName name="U_U_WATER" localSheetId="89">#REF!</definedName>
    <definedName name="U_U_WATER">#REF!</definedName>
    <definedName name="VA.1">#REF!</definedName>
    <definedName name="VA.3">#REF!</definedName>
    <definedName name="VA.5">#REF!</definedName>
    <definedName name="W_STATS" localSheetId="93">#REF!</definedName>
    <definedName name="W_STATS" localSheetId="65">#REF!</definedName>
    <definedName name="W_STATS" localSheetId="97">#REF!</definedName>
    <definedName name="W_STATS" localSheetId="89">#REF!</definedName>
    <definedName name="W_STATS">#REF!</definedName>
    <definedName name="WADPRIM" localSheetId="93">#REF!</definedName>
    <definedName name="WADPRIM" localSheetId="65">#REF!</definedName>
    <definedName name="WADPRIM" localSheetId="97">#REF!</definedName>
    <definedName name="WADPRIM" localSheetId="89">#REF!</definedName>
    <definedName name="WADPRIM">#REF!</definedName>
    <definedName name="WCA" localSheetId="93">#REF!</definedName>
    <definedName name="WCA" localSheetId="65">#REF!</definedName>
    <definedName name="WCA" localSheetId="97">#REF!</definedName>
    <definedName name="WCA" localSheetId="89">#REF!</definedName>
    <definedName name="WCA">#REF!</definedName>
    <definedName name="WD.CE">'[17]Cust Eq Input'!#REF!</definedName>
    <definedName name="WPPRIM" localSheetId="93">#REF!</definedName>
    <definedName name="WPPRIM" localSheetId="65">#REF!</definedName>
    <definedName name="WPPRIM" localSheetId="97">#REF!</definedName>
    <definedName name="WPPRIM" localSheetId="89">#REF!</definedName>
    <definedName name="WPPRIM">#REF!</definedName>
    <definedName name="WRB" localSheetId="93">#REF!</definedName>
    <definedName name="WRB" localSheetId="65">#REF!</definedName>
    <definedName name="WRB" localSheetId="97">#REF!</definedName>
    <definedName name="WRB" localSheetId="89">#REF!</definedName>
    <definedName name="WRB">#REF!</definedName>
    <definedName name="WSCBSAllocation">[15]Data!$BE$13:$BF$131</definedName>
    <definedName name="YEAR">[14]INFO!$D$16</definedName>
    <definedName name="Year_End_Results_for_1997__1996____1995">#REF!</definedName>
    <definedName name="z">'[17]Cust Eq Input'!#REF!</definedName>
  </definedNames>
  <calcPr calcId="145621"/>
</workbook>
</file>

<file path=xl/calcChain.xml><?xml version="1.0" encoding="utf-8"?>
<calcChain xmlns="http://schemas.openxmlformats.org/spreadsheetml/2006/main">
  <c r="B39" i="315" l="1"/>
  <c r="E12" i="315"/>
  <c r="C10" i="315"/>
  <c r="P49" i="314" l="1"/>
  <c r="F50" i="314" l="1"/>
  <c r="U50" i="314" s="1"/>
  <c r="U49" i="314"/>
  <c r="W49" i="314"/>
  <c r="V49" i="314"/>
  <c r="T49" i="314"/>
  <c r="S49" i="314"/>
  <c r="K43" i="314"/>
  <c r="F43" i="314"/>
  <c r="Q43" i="314" s="1"/>
  <c r="F42" i="314"/>
  <c r="N42" i="314" s="1"/>
  <c r="P41" i="314"/>
  <c r="F41" i="314"/>
  <c r="O41" i="314" s="1"/>
  <c r="F40" i="314"/>
  <c r="P40" i="314" s="1"/>
  <c r="F38" i="314"/>
  <c r="Q37" i="314"/>
  <c r="P37" i="314"/>
  <c r="O37" i="314"/>
  <c r="N37" i="314"/>
  <c r="M37" i="314"/>
  <c r="L37" i="314"/>
  <c r="K37" i="314"/>
  <c r="J37" i="314"/>
  <c r="Q36" i="314"/>
  <c r="P36" i="314"/>
  <c r="O36" i="314"/>
  <c r="N36" i="314"/>
  <c r="M36" i="314"/>
  <c r="L36" i="314"/>
  <c r="K36" i="314"/>
  <c r="J36" i="314"/>
  <c r="Q35" i="314"/>
  <c r="P35" i="314"/>
  <c r="O35" i="314"/>
  <c r="N35" i="314"/>
  <c r="M35" i="314"/>
  <c r="L35" i="314"/>
  <c r="K35" i="314"/>
  <c r="J35" i="314"/>
  <c r="Q34" i="314"/>
  <c r="Q38" i="314" s="1"/>
  <c r="P34" i="314"/>
  <c r="P38" i="314" s="1"/>
  <c r="O34" i="314"/>
  <c r="O38" i="314" s="1"/>
  <c r="N34" i="314"/>
  <c r="N38" i="314" s="1"/>
  <c r="M34" i="314"/>
  <c r="M38" i="314" s="1"/>
  <c r="L34" i="314"/>
  <c r="L38" i="314" s="1"/>
  <c r="K34" i="314"/>
  <c r="K38" i="314" s="1"/>
  <c r="J34" i="314"/>
  <c r="J38" i="314" s="1"/>
  <c r="F23" i="314"/>
  <c r="F21" i="314"/>
  <c r="F19" i="314"/>
  <c r="F17" i="314"/>
  <c r="F15" i="314"/>
  <c r="F13" i="314"/>
  <c r="F11" i="314"/>
  <c r="L43" i="314" l="1"/>
  <c r="S50" i="314"/>
  <c r="O42" i="314"/>
  <c r="P43" i="314"/>
  <c r="P42" i="314"/>
  <c r="P44" i="314" s="1"/>
  <c r="K42" i="314"/>
  <c r="N43" i="314"/>
  <c r="W50" i="314"/>
  <c r="P50" i="314"/>
  <c r="V50" i="314" s="1"/>
  <c r="L41" i="314"/>
  <c r="L42" i="314"/>
  <c r="J43" i="314"/>
  <c r="O43" i="314"/>
  <c r="T38" i="314"/>
  <c r="W38" i="314"/>
  <c r="S38" i="314"/>
  <c r="V38" i="314"/>
  <c r="U38" i="314"/>
  <c r="M40" i="314"/>
  <c r="Q40" i="314"/>
  <c r="J40" i="314"/>
  <c r="N40" i="314"/>
  <c r="M41" i="314"/>
  <c r="Q41" i="314"/>
  <c r="J41" i="314"/>
  <c r="M42" i="314"/>
  <c r="Q42" i="314"/>
  <c r="F44" i="314"/>
  <c r="K40" i="314"/>
  <c r="O40" i="314"/>
  <c r="N41" i="314"/>
  <c r="L40" i="314"/>
  <c r="K41" i="314"/>
  <c r="J42" i="314"/>
  <c r="M43" i="314"/>
  <c r="T50" i="314"/>
  <c r="O44" i="314" l="1"/>
  <c r="O54" i="314" s="1"/>
  <c r="P54" i="314"/>
  <c r="L44" i="314"/>
  <c r="L54" i="314" s="1"/>
  <c r="V44" i="314"/>
  <c r="M44" i="314"/>
  <c r="K44" i="314"/>
  <c r="K54" i="314" s="1"/>
  <c r="J44" i="314"/>
  <c r="Q44" i="314"/>
  <c r="N44" i="314"/>
  <c r="T44" i="314" l="1"/>
  <c r="M54" i="314"/>
  <c r="S44" i="314"/>
  <c r="J54" i="314"/>
  <c r="U44" i="314"/>
  <c r="N54" i="314"/>
  <c r="W44" i="314"/>
  <c r="Q54" i="314"/>
  <c r="I57" i="303" l="1"/>
  <c r="I56" i="303"/>
  <c r="I55" i="303"/>
  <c r="I53" i="303"/>
  <c r="J53" i="303" s="1"/>
  <c r="I52" i="303"/>
  <c r="I51" i="303"/>
  <c r="P32" i="303"/>
  <c r="O32" i="303"/>
  <c r="N32" i="303"/>
  <c r="M32" i="303"/>
  <c r="L32" i="303"/>
  <c r="I29" i="303"/>
  <c r="L21" i="303"/>
  <c r="M20" i="303"/>
  <c r="N20" i="303" s="1"/>
  <c r="P20" i="303" s="1"/>
  <c r="I21" i="303"/>
  <c r="J20" i="303"/>
  <c r="K20" i="303" s="1"/>
  <c r="K53" i="303" l="1"/>
  <c r="I50" i="303"/>
  <c r="J50" i="303" l="1"/>
  <c r="K50" i="303"/>
  <c r="I58" i="303"/>
  <c r="M14" i="303" l="1"/>
  <c r="J14" i="303"/>
  <c r="K14" i="303" s="1"/>
  <c r="I30" i="303"/>
  <c r="J30" i="303" s="1"/>
  <c r="K30" i="303" s="1"/>
  <c r="M18" i="303"/>
  <c r="J18" i="303"/>
  <c r="K18" i="303" s="1"/>
  <c r="I31" i="303"/>
  <c r="I28" i="303"/>
  <c r="I27" i="303"/>
  <c r="I26" i="303"/>
  <c r="I25" i="303"/>
  <c r="M8" i="303"/>
  <c r="J8" i="303"/>
  <c r="K8" i="303" s="1"/>
  <c r="J25" i="303" l="1"/>
  <c r="K25" i="303" s="1"/>
  <c r="I32" i="303"/>
  <c r="N14" i="303"/>
  <c r="P14" i="303" s="1"/>
  <c r="N18" i="303"/>
  <c r="P18" i="303" s="1"/>
  <c r="N8" i="303"/>
  <c r="P8" i="303" s="1"/>
  <c r="O21" i="303" l="1"/>
  <c r="O47" i="303" l="1"/>
  <c r="L47" i="303"/>
  <c r="I47" i="303"/>
  <c r="M44" i="303"/>
  <c r="J44" i="303"/>
  <c r="M39" i="303"/>
  <c r="J39" i="303"/>
  <c r="M38" i="303"/>
  <c r="J38" i="303"/>
  <c r="M45" i="303"/>
  <c r="J45" i="303"/>
  <c r="M40" i="303"/>
  <c r="J40" i="303"/>
  <c r="M41" i="303"/>
  <c r="J41" i="303"/>
  <c r="M46" i="303"/>
  <c r="J46" i="303"/>
  <c r="M37" i="303"/>
  <c r="J37" i="303"/>
  <c r="M42" i="303"/>
  <c r="J42" i="303"/>
  <c r="M47" i="303" l="1"/>
  <c r="K44" i="303"/>
  <c r="K55" i="303"/>
  <c r="J55" i="303"/>
  <c r="K42" i="303"/>
  <c r="K40" i="303"/>
  <c r="K39" i="303"/>
  <c r="K51" i="303"/>
  <c r="J51" i="303"/>
  <c r="K41" i="303"/>
  <c r="K57" i="303"/>
  <c r="J57" i="303"/>
  <c r="K38" i="303"/>
  <c r="K56" i="303"/>
  <c r="J56" i="303"/>
  <c r="K37" i="303"/>
  <c r="K45" i="303"/>
  <c r="K52" i="303"/>
  <c r="J52" i="303"/>
  <c r="K46" i="303"/>
  <c r="J47" i="303"/>
  <c r="K58" i="303" l="1"/>
  <c r="J58" i="303"/>
  <c r="N46" i="303"/>
  <c r="P46" i="303" s="1"/>
  <c r="N40" i="303"/>
  <c r="P40" i="303" s="1"/>
  <c r="N38" i="303"/>
  <c r="P38" i="303" s="1"/>
  <c r="N44" i="303"/>
  <c r="P44" i="303" s="1"/>
  <c r="N39" i="303"/>
  <c r="P39" i="303" s="1"/>
  <c r="N41" i="303"/>
  <c r="P41" i="303" s="1"/>
  <c r="N42" i="303"/>
  <c r="P42" i="303" s="1"/>
  <c r="N45" i="303"/>
  <c r="P45" i="303" s="1"/>
  <c r="N37" i="303"/>
  <c r="P37" i="303" s="1"/>
  <c r="K47" i="303"/>
  <c r="P47" i="303" l="1"/>
  <c r="N47" i="303"/>
  <c r="I34" i="303" l="1"/>
  <c r="L34" i="303"/>
  <c r="O34" i="303"/>
  <c r="J31" i="303"/>
  <c r="J29" i="303"/>
  <c r="K29" i="303" s="1"/>
  <c r="J28" i="303"/>
  <c r="K28" i="303" s="1"/>
  <c r="J27" i="303"/>
  <c r="K27" i="303" s="1"/>
  <c r="J26" i="303"/>
  <c r="K31" i="303" l="1"/>
  <c r="J32" i="303"/>
  <c r="K26" i="303"/>
  <c r="J19" i="303"/>
  <c r="K19" i="303" s="1"/>
  <c r="M19" i="303"/>
  <c r="M17" i="303"/>
  <c r="J17" i="303"/>
  <c r="K17" i="303" s="1"/>
  <c r="M16" i="303"/>
  <c r="J16" i="303"/>
  <c r="K16" i="303" s="1"/>
  <c r="M15" i="303"/>
  <c r="J15" i="303"/>
  <c r="M13" i="303"/>
  <c r="J13" i="303"/>
  <c r="K13" i="303" s="1"/>
  <c r="M12" i="303"/>
  <c r="J12" i="303"/>
  <c r="K32" i="303" l="1"/>
  <c r="K15" i="303"/>
  <c r="N13" i="303"/>
  <c r="P13" i="303" s="1"/>
  <c r="N19" i="303"/>
  <c r="P19" i="303" s="1"/>
  <c r="K12" i="303"/>
  <c r="N12" i="303" s="1"/>
  <c r="N17" i="303"/>
  <c r="P17" i="303" s="1"/>
  <c r="N16" i="303"/>
  <c r="P16" i="303" s="1"/>
  <c r="N15" i="303" l="1"/>
  <c r="P12" i="303"/>
  <c r="M10" i="303"/>
  <c r="J10" i="303"/>
  <c r="M9" i="303"/>
  <c r="J9" i="303"/>
  <c r="M21" i="303" l="1"/>
  <c r="J21" i="303"/>
  <c r="J34" i="303" s="1"/>
  <c r="P15" i="303"/>
  <c r="M34" i="303"/>
  <c r="K9" i="303"/>
  <c r="K10" i="303"/>
  <c r="K21" i="303" l="1"/>
  <c r="N9" i="303"/>
  <c r="N10" i="303"/>
  <c r="N21" i="303" l="1"/>
  <c r="K34" i="303"/>
  <c r="P9" i="303"/>
  <c r="N34" i="303"/>
  <c r="P10" i="303"/>
  <c r="P21" i="303" l="1"/>
  <c r="P34" i="303" s="1"/>
  <c r="I128" i="289" l="1"/>
  <c r="G128" i="289"/>
  <c r="E128" i="289"/>
  <c r="C128" i="289"/>
  <c r="R123" i="289"/>
  <c r="R126" i="289" s="1"/>
  <c r="P123" i="289"/>
  <c r="N123" i="289"/>
  <c r="L123" i="289"/>
  <c r="J123" i="289"/>
  <c r="J126" i="289" s="1"/>
  <c r="H123" i="289"/>
  <c r="H126" i="289" s="1"/>
  <c r="H138" i="289" s="1"/>
  <c r="H139" i="289" s="1"/>
  <c r="F123" i="289"/>
  <c r="F126" i="289" s="1"/>
  <c r="F138" i="289" s="1"/>
  <c r="F139" i="289" s="1"/>
  <c r="D123" i="289"/>
  <c r="D126" i="289" s="1"/>
  <c r="D138" i="289" s="1"/>
  <c r="D139" i="289" s="1"/>
  <c r="B123" i="289"/>
  <c r="B126" i="289" s="1"/>
  <c r="B138" i="289" s="1"/>
  <c r="B139" i="289" s="1"/>
  <c r="V122" i="289"/>
  <c r="V121" i="289"/>
  <c r="V120" i="289"/>
  <c r="V119" i="289"/>
  <c r="V118" i="289"/>
  <c r="V117" i="289"/>
  <c r="V116" i="289"/>
  <c r="V115" i="289"/>
  <c r="V114" i="289"/>
  <c r="V113" i="289"/>
  <c r="V112" i="289"/>
  <c r="V111" i="289"/>
  <c r="V110" i="289"/>
  <c r="V109" i="289"/>
  <c r="V108" i="289"/>
  <c r="V107" i="289"/>
  <c r="V106" i="289"/>
  <c r="V105" i="289"/>
  <c r="V104" i="289"/>
  <c r="V103" i="289"/>
  <c r="V102" i="289"/>
  <c r="V101" i="289"/>
  <c r="V100" i="289"/>
  <c r="V99" i="289"/>
  <c r="V98" i="289"/>
  <c r="V97" i="289"/>
  <c r="V96" i="289"/>
  <c r="V95" i="289"/>
  <c r="V94" i="289"/>
  <c r="V93" i="289"/>
  <c r="V92" i="289"/>
  <c r="V91" i="289"/>
  <c r="V90" i="289"/>
  <c r="V89" i="289"/>
  <c r="V88" i="289"/>
  <c r="V87" i="289"/>
  <c r="V86" i="289"/>
  <c r="V85" i="289"/>
  <c r="V84" i="289"/>
  <c r="V83" i="289"/>
  <c r="V82" i="289"/>
  <c r="V81" i="289"/>
  <c r="V80" i="289"/>
  <c r="V79" i="289"/>
  <c r="V78" i="289"/>
  <c r="V77" i="289"/>
  <c r="V76" i="289"/>
  <c r="V75" i="289"/>
  <c r="V74" i="289"/>
  <c r="V73" i="289"/>
  <c r="V72" i="289"/>
  <c r="V71" i="289"/>
  <c r="V70" i="289"/>
  <c r="V69" i="289"/>
  <c r="V68" i="289"/>
  <c r="V67" i="289"/>
  <c r="V66" i="289"/>
  <c r="V65" i="289"/>
  <c r="V64" i="289"/>
  <c r="V63" i="289"/>
  <c r="V62" i="289"/>
  <c r="V61" i="289"/>
  <c r="V60" i="289"/>
  <c r="V59" i="289"/>
  <c r="V58" i="289"/>
  <c r="V57" i="289"/>
  <c r="V56" i="289"/>
  <c r="V55" i="289"/>
  <c r="V54" i="289"/>
  <c r="V53" i="289"/>
  <c r="U52" i="289"/>
  <c r="V52" i="289" s="1"/>
  <c r="T51" i="289"/>
  <c r="V51" i="289" s="1"/>
  <c r="V50" i="289"/>
  <c r="V49" i="289"/>
  <c r="V48" i="289"/>
  <c r="V47" i="289"/>
  <c r="V46" i="289"/>
  <c r="V45" i="289"/>
  <c r="V44" i="289"/>
  <c r="V43" i="289"/>
  <c r="V42" i="289"/>
  <c r="V41" i="289"/>
  <c r="V40" i="289"/>
  <c r="V39" i="289"/>
  <c r="V38" i="289"/>
  <c r="V37" i="289"/>
  <c r="V36" i="289"/>
  <c r="V35" i="289"/>
  <c r="V34" i="289"/>
  <c r="V33" i="289"/>
  <c r="V32" i="289"/>
  <c r="V31" i="289"/>
  <c r="V30" i="289"/>
  <c r="V29" i="289"/>
  <c r="V28" i="289"/>
  <c r="V27" i="289"/>
  <c r="V26" i="289"/>
  <c r="V25" i="289"/>
  <c r="V24" i="289"/>
  <c r="V23" i="289"/>
  <c r="V22" i="289"/>
  <c r="V21" i="289"/>
  <c r="V20" i="289"/>
  <c r="V19" i="289"/>
  <c r="V18" i="289"/>
  <c r="V17" i="289"/>
  <c r="V16" i="289"/>
  <c r="V15" i="289"/>
  <c r="V14" i="289"/>
  <c r="V13" i="289"/>
  <c r="V12" i="289"/>
  <c r="V11" i="289"/>
  <c r="V10" i="289"/>
  <c r="X77" i="289" l="1"/>
  <c r="X95" i="289"/>
  <c r="X104" i="289"/>
  <c r="X122" i="289"/>
  <c r="X36" i="289"/>
  <c r="X111" i="289"/>
  <c r="X56" i="289"/>
  <c r="X48" i="289"/>
  <c r="V123" i="289"/>
  <c r="X28" i="289"/>
  <c r="X87" i="289"/>
  <c r="X67" i="289"/>
  <c r="X21" i="289"/>
  <c r="X123" i="289" s="1"/>
  <c r="AL4" i="178" l="1"/>
  <c r="AK4" i="178"/>
  <c r="AJ4" i="178"/>
  <c r="AI4" i="178"/>
  <c r="AH4" i="178"/>
  <c r="AG4" i="178"/>
  <c r="AF4" i="178"/>
  <c r="AE4" i="178"/>
  <c r="AD4" i="178"/>
  <c r="AC4" i="178"/>
  <c r="AB4" i="178"/>
  <c r="AA4" i="178"/>
  <c r="W4" i="178"/>
  <c r="Z4" i="178" s="1"/>
  <c r="AL3" i="178"/>
  <c r="AK3" i="178"/>
  <c r="AJ3" i="178"/>
  <c r="AI3" i="178"/>
  <c r="AH3" i="178"/>
  <c r="AG3" i="178"/>
  <c r="AF3" i="178"/>
  <c r="AE3" i="178"/>
  <c r="AD3" i="178"/>
  <c r="AC3" i="178"/>
  <c r="AB3" i="178"/>
  <c r="AA3" i="178"/>
  <c r="W3" i="178"/>
  <c r="Z3" i="178" s="1"/>
  <c r="AM3" i="178" l="1"/>
  <c r="AM4" i="178"/>
  <c r="AL51" i="178"/>
  <c r="AK51" i="178"/>
  <c r="AJ51" i="178"/>
  <c r="AI51" i="178"/>
  <c r="AH51" i="178"/>
  <c r="AG51" i="178"/>
  <c r="AF51" i="178"/>
  <c r="AE51" i="178"/>
  <c r="AD51" i="178"/>
  <c r="AC51" i="178"/>
  <c r="AB51" i="178"/>
  <c r="AA51" i="178"/>
  <c r="W51" i="178"/>
  <c r="Z51" i="178" s="1"/>
  <c r="AL42" i="178"/>
  <c r="AK42" i="178"/>
  <c r="AJ42" i="178"/>
  <c r="AI42" i="178"/>
  <c r="AH42" i="178"/>
  <c r="AG42" i="178"/>
  <c r="AF42" i="178"/>
  <c r="AE42" i="178"/>
  <c r="AD42" i="178"/>
  <c r="AC42" i="178"/>
  <c r="AB42" i="178"/>
  <c r="AA42" i="178"/>
  <c r="W42" i="178"/>
  <c r="Z42" i="178" s="1"/>
  <c r="AL41" i="178"/>
  <c r="AK41" i="178"/>
  <c r="AJ41" i="178"/>
  <c r="AI41" i="178"/>
  <c r="AH41" i="178"/>
  <c r="AG41" i="178"/>
  <c r="AF41" i="178"/>
  <c r="AE41" i="178"/>
  <c r="AD41" i="178"/>
  <c r="AC41" i="178"/>
  <c r="AB41" i="178"/>
  <c r="AA41" i="178"/>
  <c r="W41" i="178"/>
  <c r="Z41" i="178" s="1"/>
  <c r="AL32" i="178"/>
  <c r="AK32" i="178"/>
  <c r="AJ32" i="178"/>
  <c r="AI32" i="178"/>
  <c r="AH32" i="178"/>
  <c r="AG32" i="178"/>
  <c r="AF32" i="178"/>
  <c r="AE32" i="178"/>
  <c r="AD32" i="178"/>
  <c r="AC32" i="178"/>
  <c r="AB32" i="178"/>
  <c r="AA32" i="178"/>
  <c r="W32" i="178"/>
  <c r="Z32" i="178" s="1"/>
  <c r="AL31" i="178"/>
  <c r="AK31" i="178"/>
  <c r="AJ31" i="178"/>
  <c r="AI31" i="178"/>
  <c r="AH31" i="178"/>
  <c r="AG31" i="178"/>
  <c r="AF31" i="178"/>
  <c r="AE31" i="178"/>
  <c r="AD31" i="178"/>
  <c r="AC31" i="178"/>
  <c r="AB31" i="178"/>
  <c r="AA31" i="178"/>
  <c r="W31" i="178"/>
  <c r="Z31" i="178" s="1"/>
  <c r="AL30" i="178"/>
  <c r="AK30" i="178"/>
  <c r="AJ30" i="178"/>
  <c r="AI30" i="178"/>
  <c r="AH30" i="178"/>
  <c r="AG30" i="178"/>
  <c r="AF30" i="178"/>
  <c r="AE30" i="178"/>
  <c r="AD30" i="178"/>
  <c r="AC30" i="178"/>
  <c r="AB30" i="178"/>
  <c r="AA30" i="178"/>
  <c r="W30" i="178"/>
  <c r="Z30" i="178" s="1"/>
  <c r="AL29" i="178"/>
  <c r="AK29" i="178"/>
  <c r="AJ29" i="178"/>
  <c r="AI29" i="178"/>
  <c r="AH29" i="178"/>
  <c r="AG29" i="178"/>
  <c r="AF29" i="178"/>
  <c r="AE29" i="178"/>
  <c r="AD29" i="178"/>
  <c r="AC29" i="178"/>
  <c r="AB29" i="178"/>
  <c r="AA29" i="178"/>
  <c r="W29" i="178"/>
  <c r="Z29" i="178" s="1"/>
  <c r="AL28" i="178"/>
  <c r="AK28" i="178"/>
  <c r="AJ28" i="178"/>
  <c r="AI28" i="178"/>
  <c r="AH28" i="178"/>
  <c r="AG28" i="178"/>
  <c r="AF28" i="178"/>
  <c r="AE28" i="178"/>
  <c r="AD28" i="178"/>
  <c r="AC28" i="178"/>
  <c r="AB28" i="178"/>
  <c r="AA28" i="178"/>
  <c r="W28" i="178"/>
  <c r="Z28" i="178" s="1"/>
  <c r="AL27" i="178"/>
  <c r="AK27" i="178"/>
  <c r="AJ27" i="178"/>
  <c r="AI27" i="178"/>
  <c r="AH27" i="178"/>
  <c r="AG27" i="178"/>
  <c r="AF27" i="178"/>
  <c r="AE27" i="178"/>
  <c r="AD27" i="178"/>
  <c r="AC27" i="178"/>
  <c r="AB27" i="178"/>
  <c r="AA27" i="178"/>
  <c r="W27" i="178"/>
  <c r="Z27" i="178" s="1"/>
  <c r="AL26" i="178"/>
  <c r="AK26" i="178"/>
  <c r="AJ26" i="178"/>
  <c r="AI26" i="178"/>
  <c r="AH26" i="178"/>
  <c r="AG26" i="178"/>
  <c r="AF26" i="178"/>
  <c r="AE26" i="178"/>
  <c r="AD26" i="178"/>
  <c r="AC26" i="178"/>
  <c r="AB26" i="178"/>
  <c r="AA26" i="178"/>
  <c r="W26" i="178"/>
  <c r="Z26" i="178" s="1"/>
  <c r="AL22" i="178"/>
  <c r="AK22" i="178"/>
  <c r="AJ22" i="178"/>
  <c r="AI22" i="178"/>
  <c r="AH22" i="178"/>
  <c r="AG22" i="178"/>
  <c r="AF22" i="178"/>
  <c r="AE22" i="178"/>
  <c r="AD22" i="178"/>
  <c r="AC22" i="178"/>
  <c r="AB22" i="178"/>
  <c r="AA22" i="178"/>
  <c r="W22" i="178"/>
  <c r="Z22" i="178" s="1"/>
  <c r="AL21" i="178"/>
  <c r="AK21" i="178"/>
  <c r="AJ21" i="178"/>
  <c r="AI21" i="178"/>
  <c r="AH21" i="178"/>
  <c r="AG21" i="178"/>
  <c r="AF21" i="178"/>
  <c r="AE21" i="178"/>
  <c r="AD21" i="178"/>
  <c r="AC21" i="178"/>
  <c r="AB21" i="178"/>
  <c r="AA21" i="178"/>
  <c r="W21" i="178"/>
  <c r="Z21" i="178" s="1"/>
  <c r="AL20" i="178"/>
  <c r="AK20" i="178"/>
  <c r="AJ20" i="178"/>
  <c r="AI20" i="178"/>
  <c r="AH20" i="178"/>
  <c r="AG20" i="178"/>
  <c r="AF20" i="178"/>
  <c r="AE20" i="178"/>
  <c r="AD20" i="178"/>
  <c r="AC20" i="178"/>
  <c r="AB20" i="178"/>
  <c r="AA20" i="178"/>
  <c r="W20" i="178"/>
  <c r="Z20" i="178" s="1"/>
  <c r="AL19" i="178"/>
  <c r="AK19" i="178"/>
  <c r="AJ19" i="178"/>
  <c r="AI19" i="178"/>
  <c r="AH19" i="178"/>
  <c r="AG19" i="178"/>
  <c r="AF19" i="178"/>
  <c r="AE19" i="178"/>
  <c r="AD19" i="178"/>
  <c r="AC19" i="178"/>
  <c r="AB19" i="178"/>
  <c r="AA19" i="178"/>
  <c r="W19" i="178"/>
  <c r="Z19" i="178" s="1"/>
  <c r="AL15" i="178"/>
  <c r="AK15" i="178"/>
  <c r="AJ15" i="178"/>
  <c r="AI15" i="178"/>
  <c r="AH15" i="178"/>
  <c r="AG15" i="178"/>
  <c r="AF15" i="178"/>
  <c r="AE15" i="178"/>
  <c r="AD15" i="178"/>
  <c r="AC15" i="178"/>
  <c r="AB15" i="178"/>
  <c r="AA15" i="178"/>
  <c r="W15" i="178"/>
  <c r="Z15" i="178" s="1"/>
  <c r="AL14" i="178"/>
  <c r="AK14" i="178"/>
  <c r="AJ14" i="178"/>
  <c r="AI14" i="178"/>
  <c r="AH14" i="178"/>
  <c r="AG14" i="178"/>
  <c r="AF14" i="178"/>
  <c r="AE14" i="178"/>
  <c r="AD14" i="178"/>
  <c r="AC14" i="178"/>
  <c r="AB14" i="178"/>
  <c r="AA14" i="178"/>
  <c r="W14" i="178"/>
  <c r="Z14" i="178" s="1"/>
  <c r="AL13" i="178"/>
  <c r="AK13" i="178"/>
  <c r="AJ13" i="178"/>
  <c r="AI13" i="178"/>
  <c r="AH13" i="178"/>
  <c r="AG13" i="178"/>
  <c r="AF13" i="178"/>
  <c r="AE13" i="178"/>
  <c r="AD13" i="178"/>
  <c r="AC13" i="178"/>
  <c r="AB13" i="178"/>
  <c r="AA13" i="178"/>
  <c r="W13" i="178"/>
  <c r="Z13" i="178" s="1"/>
  <c r="AL12" i="178"/>
  <c r="AK12" i="178"/>
  <c r="AJ12" i="178"/>
  <c r="AI12" i="178"/>
  <c r="AH12" i="178"/>
  <c r="AG12" i="178"/>
  <c r="AF12" i="178"/>
  <c r="AE12" i="178"/>
  <c r="AD12" i="178"/>
  <c r="AC12" i="178"/>
  <c r="AB12" i="178"/>
  <c r="AA12" i="178"/>
  <c r="W12" i="178"/>
  <c r="Z12" i="178" s="1"/>
  <c r="AL11" i="178"/>
  <c r="AK11" i="178"/>
  <c r="AJ11" i="178"/>
  <c r="AI11" i="178"/>
  <c r="AH11" i="178"/>
  <c r="AG11" i="178"/>
  <c r="AF11" i="178"/>
  <c r="AE11" i="178"/>
  <c r="AD11" i="178"/>
  <c r="AC11" i="178"/>
  <c r="AB11" i="178"/>
  <c r="AA11" i="178"/>
  <c r="W11" i="178"/>
  <c r="Z11" i="178" s="1"/>
  <c r="AL8" i="178"/>
  <c r="AK8" i="178"/>
  <c r="AJ8" i="178"/>
  <c r="AI8" i="178"/>
  <c r="AH8" i="178"/>
  <c r="AG8" i="178"/>
  <c r="AF8" i="178"/>
  <c r="AE8" i="178"/>
  <c r="AD8" i="178"/>
  <c r="AC8" i="178"/>
  <c r="AB8" i="178"/>
  <c r="AA8" i="178"/>
  <c r="W8" i="178"/>
  <c r="Z8" i="178" s="1"/>
  <c r="AL36" i="178"/>
  <c r="AK36" i="178"/>
  <c r="AJ36" i="178"/>
  <c r="AI36" i="178"/>
  <c r="AH36" i="178"/>
  <c r="AG36" i="178"/>
  <c r="AF36" i="178"/>
  <c r="AE36" i="178"/>
  <c r="AD36" i="178"/>
  <c r="AC36" i="178"/>
  <c r="AB36" i="178"/>
  <c r="AA36" i="178"/>
  <c r="W36" i="178"/>
  <c r="Z36" i="178" s="1"/>
  <c r="AL35" i="178"/>
  <c r="AK35" i="178"/>
  <c r="AJ35" i="178"/>
  <c r="AI35" i="178"/>
  <c r="AH35" i="178"/>
  <c r="AG35" i="178"/>
  <c r="AF35" i="178"/>
  <c r="AE35" i="178"/>
  <c r="AD35" i="178"/>
  <c r="AC35" i="178"/>
  <c r="AB35" i="178"/>
  <c r="AA35" i="178"/>
  <c r="W35" i="178"/>
  <c r="Z35" i="178" s="1"/>
  <c r="AL34" i="178"/>
  <c r="AK34" i="178"/>
  <c r="AJ34" i="178"/>
  <c r="AI34" i="178"/>
  <c r="AH34" i="178"/>
  <c r="AG34" i="178"/>
  <c r="AF34" i="178"/>
  <c r="AE34" i="178"/>
  <c r="AD34" i="178"/>
  <c r="AC34" i="178"/>
  <c r="AB34" i="178"/>
  <c r="AA34" i="178"/>
  <c r="W34" i="178"/>
  <c r="Z34" i="178" s="1"/>
  <c r="AL60" i="178"/>
  <c r="AK60" i="178"/>
  <c r="AJ60" i="178"/>
  <c r="AI60" i="178"/>
  <c r="AH60" i="178"/>
  <c r="AG60" i="178"/>
  <c r="AF60" i="178"/>
  <c r="AE60" i="178"/>
  <c r="AD60" i="178"/>
  <c r="AC60" i="178"/>
  <c r="AB60" i="178"/>
  <c r="AA60" i="178"/>
  <c r="W60" i="178"/>
  <c r="Z60" i="178" s="1"/>
  <c r="AL59" i="178"/>
  <c r="AK59" i="178"/>
  <c r="AJ59" i="178"/>
  <c r="AI59" i="178"/>
  <c r="AH59" i="178"/>
  <c r="AG59" i="178"/>
  <c r="AF59" i="178"/>
  <c r="AE59" i="178"/>
  <c r="AD59" i="178"/>
  <c r="AC59" i="178"/>
  <c r="AB59" i="178"/>
  <c r="AA59" i="178"/>
  <c r="W59" i="178"/>
  <c r="Z59" i="178" s="1"/>
  <c r="AL58" i="178"/>
  <c r="AK58" i="178"/>
  <c r="AJ58" i="178"/>
  <c r="AI58" i="178"/>
  <c r="AH58" i="178"/>
  <c r="AG58" i="178"/>
  <c r="AF58" i="178"/>
  <c r="AE58" i="178"/>
  <c r="AD58" i="178"/>
  <c r="AC58" i="178"/>
  <c r="AB58" i="178"/>
  <c r="AA58" i="178"/>
  <c r="W58" i="178"/>
  <c r="Z58" i="178" s="1"/>
  <c r="AL57" i="178"/>
  <c r="AK57" i="178"/>
  <c r="AJ57" i="178"/>
  <c r="AI57" i="178"/>
  <c r="AH57" i="178"/>
  <c r="AG57" i="178"/>
  <c r="AF57" i="178"/>
  <c r="AE57" i="178"/>
  <c r="AD57" i="178"/>
  <c r="AC57" i="178"/>
  <c r="AB57" i="178"/>
  <c r="AA57" i="178"/>
  <c r="W57" i="178"/>
  <c r="Z57" i="178" s="1"/>
  <c r="AL56" i="178"/>
  <c r="AK56" i="178"/>
  <c r="AJ56" i="178"/>
  <c r="AI56" i="178"/>
  <c r="AH56" i="178"/>
  <c r="AG56" i="178"/>
  <c r="AF56" i="178"/>
  <c r="AE56" i="178"/>
  <c r="AD56" i="178"/>
  <c r="AC56" i="178"/>
  <c r="AB56" i="178"/>
  <c r="AA56" i="178"/>
  <c r="W56" i="178"/>
  <c r="Z56" i="178" s="1"/>
  <c r="AL54" i="178"/>
  <c r="AK54" i="178"/>
  <c r="AJ54" i="178"/>
  <c r="AI54" i="178"/>
  <c r="AH54" i="178"/>
  <c r="AG54" i="178"/>
  <c r="AF54" i="178"/>
  <c r="AE54" i="178"/>
  <c r="AD54" i="178"/>
  <c r="AC54" i="178"/>
  <c r="AB54" i="178"/>
  <c r="AA54" i="178"/>
  <c r="W54" i="178"/>
  <c r="Z54" i="178" s="1"/>
  <c r="AL53" i="178"/>
  <c r="AK53" i="178"/>
  <c r="AJ53" i="178"/>
  <c r="AI53" i="178"/>
  <c r="AH53" i="178"/>
  <c r="AG53" i="178"/>
  <c r="AF53" i="178"/>
  <c r="AE53" i="178"/>
  <c r="AD53" i="178"/>
  <c r="AC53" i="178"/>
  <c r="AB53" i="178"/>
  <c r="AA53" i="178"/>
  <c r="W53" i="178"/>
  <c r="Z53" i="178" s="1"/>
  <c r="AL50" i="178"/>
  <c r="AK50" i="178"/>
  <c r="AJ50" i="178"/>
  <c r="AI50" i="178"/>
  <c r="AH50" i="178"/>
  <c r="AG50" i="178"/>
  <c r="AF50" i="178"/>
  <c r="AE50" i="178"/>
  <c r="AD50" i="178"/>
  <c r="AC50" i="178"/>
  <c r="AB50" i="178"/>
  <c r="AA50" i="178"/>
  <c r="W50" i="178"/>
  <c r="Z50" i="178" s="1"/>
  <c r="AL49" i="178"/>
  <c r="AK49" i="178"/>
  <c r="AJ49" i="178"/>
  <c r="AI49" i="178"/>
  <c r="AH49" i="178"/>
  <c r="AG49" i="178"/>
  <c r="AF49" i="178"/>
  <c r="AE49" i="178"/>
  <c r="AD49" i="178"/>
  <c r="AC49" i="178"/>
  <c r="AB49" i="178"/>
  <c r="AA49" i="178"/>
  <c r="W49" i="178"/>
  <c r="Z49" i="178" s="1"/>
  <c r="AL48" i="178"/>
  <c r="AK48" i="178"/>
  <c r="AJ48" i="178"/>
  <c r="AI48" i="178"/>
  <c r="AH48" i="178"/>
  <c r="AG48" i="178"/>
  <c r="AF48" i="178"/>
  <c r="AE48" i="178"/>
  <c r="AD48" i="178"/>
  <c r="AC48" i="178"/>
  <c r="AB48" i="178"/>
  <c r="AA48" i="178"/>
  <c r="W48" i="178"/>
  <c r="Z48" i="178" s="1"/>
  <c r="AL47" i="178"/>
  <c r="AK47" i="178"/>
  <c r="AJ47" i="178"/>
  <c r="AI47" i="178"/>
  <c r="AH47" i="178"/>
  <c r="AG47" i="178"/>
  <c r="AF47" i="178"/>
  <c r="AE47" i="178"/>
  <c r="AD47" i="178"/>
  <c r="AC47" i="178"/>
  <c r="AB47" i="178"/>
  <c r="AA47" i="178"/>
  <c r="W47" i="178"/>
  <c r="Z47" i="178" s="1"/>
  <c r="AL45" i="178"/>
  <c r="AK45" i="178"/>
  <c r="AJ45" i="178"/>
  <c r="AI45" i="178"/>
  <c r="AH45" i="178"/>
  <c r="AG45" i="178"/>
  <c r="AF45" i="178"/>
  <c r="AE45" i="178"/>
  <c r="AD45" i="178"/>
  <c r="AC45" i="178"/>
  <c r="AB45" i="178"/>
  <c r="AA45" i="178"/>
  <c r="W45" i="178"/>
  <c r="Z45" i="178" s="1"/>
  <c r="AL134" i="178"/>
  <c r="AK134" i="178"/>
  <c r="AJ134" i="178"/>
  <c r="AI134" i="178"/>
  <c r="AH134" i="178"/>
  <c r="AG134" i="178"/>
  <c r="AF134" i="178"/>
  <c r="AE134" i="178"/>
  <c r="AD134" i="178"/>
  <c r="AC134" i="178"/>
  <c r="AB134" i="178"/>
  <c r="AA134" i="178"/>
  <c r="W134" i="178"/>
  <c r="AL133" i="178"/>
  <c r="AK133" i="178"/>
  <c r="AJ133" i="178"/>
  <c r="AI133" i="178"/>
  <c r="AH133" i="178"/>
  <c r="AG133" i="178"/>
  <c r="AF133" i="178"/>
  <c r="AE133" i="178"/>
  <c r="AD133" i="178"/>
  <c r="AC133" i="178"/>
  <c r="AB133" i="178"/>
  <c r="AA133" i="178"/>
  <c r="W133" i="178"/>
  <c r="AL132" i="178"/>
  <c r="AK132" i="178"/>
  <c r="AJ132" i="178"/>
  <c r="AI132" i="178"/>
  <c r="AH132" i="178"/>
  <c r="AG132" i="178"/>
  <c r="AF132" i="178"/>
  <c r="AE132" i="178"/>
  <c r="AD132" i="178"/>
  <c r="AC132" i="178"/>
  <c r="AB132" i="178"/>
  <c r="AA132" i="178"/>
  <c r="W132" i="178"/>
  <c r="AL131" i="178"/>
  <c r="AK131" i="178"/>
  <c r="AJ131" i="178"/>
  <c r="AI131" i="178"/>
  <c r="AH131" i="178"/>
  <c r="AG131" i="178"/>
  <c r="AF131" i="178"/>
  <c r="AE131" i="178"/>
  <c r="AD131" i="178"/>
  <c r="AC131" i="178"/>
  <c r="AB131" i="178"/>
  <c r="AA131" i="178"/>
  <c r="W131" i="178"/>
  <c r="AL130" i="178"/>
  <c r="AK130" i="178"/>
  <c r="AJ130" i="178"/>
  <c r="AI130" i="178"/>
  <c r="AH130" i="178"/>
  <c r="AG130" i="178"/>
  <c r="AF130" i="178"/>
  <c r="AE130" i="178"/>
  <c r="AD130" i="178"/>
  <c r="AC130" i="178"/>
  <c r="AB130" i="178"/>
  <c r="AA130" i="178"/>
  <c r="W130" i="178"/>
  <c r="AL129" i="178"/>
  <c r="AK129" i="178"/>
  <c r="AJ129" i="178"/>
  <c r="AI129" i="178"/>
  <c r="AH129" i="178"/>
  <c r="AG129" i="178"/>
  <c r="AF129" i="178"/>
  <c r="AE129" i="178"/>
  <c r="AD129" i="178"/>
  <c r="AC129" i="178"/>
  <c r="AB129" i="178"/>
  <c r="AA129" i="178"/>
  <c r="W129" i="178"/>
  <c r="AL128" i="178"/>
  <c r="AK128" i="178"/>
  <c r="AJ128" i="178"/>
  <c r="AI128" i="178"/>
  <c r="AH128" i="178"/>
  <c r="AG128" i="178"/>
  <c r="AF128" i="178"/>
  <c r="AE128" i="178"/>
  <c r="AD128" i="178"/>
  <c r="AC128" i="178"/>
  <c r="AB128" i="178"/>
  <c r="AA128" i="178"/>
  <c r="W128" i="178"/>
  <c r="AL127" i="178"/>
  <c r="AK127" i="178"/>
  <c r="AJ127" i="178"/>
  <c r="AI127" i="178"/>
  <c r="AH127" i="178"/>
  <c r="AG127" i="178"/>
  <c r="AF127" i="178"/>
  <c r="AE127" i="178"/>
  <c r="AD127" i="178"/>
  <c r="AC127" i="178"/>
  <c r="AB127" i="178"/>
  <c r="AA127" i="178"/>
  <c r="W127" i="178"/>
  <c r="AL126" i="178"/>
  <c r="AK126" i="178"/>
  <c r="AJ126" i="178"/>
  <c r="AI126" i="178"/>
  <c r="AH126" i="178"/>
  <c r="AG126" i="178"/>
  <c r="AF126" i="178"/>
  <c r="AE126" i="178"/>
  <c r="AD126" i="178"/>
  <c r="AC126" i="178"/>
  <c r="AB126" i="178"/>
  <c r="AA126" i="178"/>
  <c r="W126" i="178"/>
  <c r="AL125" i="178"/>
  <c r="AK125" i="178"/>
  <c r="AJ125" i="178"/>
  <c r="AI125" i="178"/>
  <c r="AH125" i="178"/>
  <c r="AG125" i="178"/>
  <c r="AF125" i="178"/>
  <c r="AE125" i="178"/>
  <c r="AD125" i="178"/>
  <c r="AC125" i="178"/>
  <c r="AB125" i="178"/>
  <c r="AA125" i="178"/>
  <c r="W125" i="178"/>
  <c r="AL122" i="178"/>
  <c r="AK122" i="178"/>
  <c r="AJ122" i="178"/>
  <c r="AI122" i="178"/>
  <c r="AH122" i="178"/>
  <c r="AG122" i="178"/>
  <c r="AF122" i="178"/>
  <c r="AE122" i="178"/>
  <c r="AD122" i="178"/>
  <c r="AC122" i="178"/>
  <c r="AB122" i="178"/>
  <c r="AA122" i="178"/>
  <c r="W122" i="178"/>
  <c r="AL121" i="178"/>
  <c r="AK121" i="178"/>
  <c r="AJ121" i="178"/>
  <c r="AI121" i="178"/>
  <c r="AH121" i="178"/>
  <c r="AG121" i="178"/>
  <c r="AF121" i="178"/>
  <c r="AE121" i="178"/>
  <c r="AD121" i="178"/>
  <c r="AC121" i="178"/>
  <c r="AB121" i="178"/>
  <c r="AA121" i="178"/>
  <c r="W121" i="178"/>
  <c r="AL120" i="178"/>
  <c r="AK120" i="178"/>
  <c r="AJ120" i="178"/>
  <c r="AI120" i="178"/>
  <c r="AH120" i="178"/>
  <c r="AG120" i="178"/>
  <c r="AF120" i="178"/>
  <c r="AE120" i="178"/>
  <c r="AD120" i="178"/>
  <c r="AC120" i="178"/>
  <c r="AB120" i="178"/>
  <c r="AA120" i="178"/>
  <c r="W120" i="178"/>
  <c r="AL119" i="178"/>
  <c r="AK119" i="178"/>
  <c r="AJ119" i="178"/>
  <c r="AI119" i="178"/>
  <c r="AH119" i="178"/>
  <c r="AG119" i="178"/>
  <c r="AF119" i="178"/>
  <c r="AE119" i="178"/>
  <c r="AD119" i="178"/>
  <c r="AC119" i="178"/>
  <c r="AB119" i="178"/>
  <c r="AA119" i="178"/>
  <c r="W119" i="178"/>
  <c r="AL118" i="178"/>
  <c r="AK118" i="178"/>
  <c r="AJ118" i="178"/>
  <c r="AI118" i="178"/>
  <c r="AH118" i="178"/>
  <c r="AG118" i="178"/>
  <c r="AF118" i="178"/>
  <c r="AE118" i="178"/>
  <c r="AD118" i="178"/>
  <c r="AC118" i="178"/>
  <c r="AB118" i="178"/>
  <c r="AA118" i="178"/>
  <c r="W118" i="178"/>
  <c r="AL117" i="178"/>
  <c r="AK117" i="178"/>
  <c r="AJ117" i="178"/>
  <c r="AI117" i="178"/>
  <c r="AH117" i="178"/>
  <c r="AG117" i="178"/>
  <c r="AF117" i="178"/>
  <c r="AE117" i="178"/>
  <c r="AD117" i="178"/>
  <c r="AC117" i="178"/>
  <c r="AB117" i="178"/>
  <c r="AA117" i="178"/>
  <c r="W117" i="178"/>
  <c r="AL116" i="178"/>
  <c r="AK116" i="178"/>
  <c r="AJ116" i="178"/>
  <c r="AI116" i="178"/>
  <c r="AH116" i="178"/>
  <c r="AG116" i="178"/>
  <c r="AF116" i="178"/>
  <c r="AE116" i="178"/>
  <c r="AD116" i="178"/>
  <c r="AC116" i="178"/>
  <c r="AB116" i="178"/>
  <c r="AA116" i="178"/>
  <c r="W116" i="178"/>
  <c r="AL115" i="178"/>
  <c r="AK115" i="178"/>
  <c r="AJ115" i="178"/>
  <c r="AI115" i="178"/>
  <c r="AH115" i="178"/>
  <c r="AG115" i="178"/>
  <c r="AF115" i="178"/>
  <c r="AE115" i="178"/>
  <c r="AD115" i="178"/>
  <c r="AC115" i="178"/>
  <c r="AB115" i="178"/>
  <c r="AA115" i="178"/>
  <c r="W115" i="178"/>
  <c r="AL114" i="178"/>
  <c r="AK114" i="178"/>
  <c r="AJ114" i="178"/>
  <c r="AI114" i="178"/>
  <c r="AH114" i="178"/>
  <c r="AG114" i="178"/>
  <c r="AF114" i="178"/>
  <c r="AE114" i="178"/>
  <c r="AD114" i="178"/>
  <c r="AC114" i="178"/>
  <c r="AB114" i="178"/>
  <c r="AA114" i="178"/>
  <c r="W114" i="178"/>
  <c r="AL113" i="178"/>
  <c r="AK113" i="178"/>
  <c r="AJ113" i="178"/>
  <c r="AI113" i="178"/>
  <c r="AH113" i="178"/>
  <c r="AG113" i="178"/>
  <c r="AF113" i="178"/>
  <c r="AE113" i="178"/>
  <c r="AD113" i="178"/>
  <c r="AC113" i="178"/>
  <c r="AB113" i="178"/>
  <c r="AA113" i="178"/>
  <c r="W113" i="178"/>
  <c r="AL110" i="178"/>
  <c r="AK110" i="178"/>
  <c r="AJ110" i="178"/>
  <c r="AI110" i="178"/>
  <c r="AH110" i="178"/>
  <c r="AG110" i="178"/>
  <c r="AF110" i="178"/>
  <c r="AE110" i="178"/>
  <c r="AD110" i="178"/>
  <c r="AC110" i="178"/>
  <c r="AB110" i="178"/>
  <c r="AA110" i="178"/>
  <c r="W110" i="178"/>
  <c r="AL109" i="178"/>
  <c r="AK109" i="178"/>
  <c r="AJ109" i="178"/>
  <c r="AI109" i="178"/>
  <c r="AH109" i="178"/>
  <c r="AG109" i="178"/>
  <c r="AF109" i="178"/>
  <c r="AE109" i="178"/>
  <c r="AD109" i="178"/>
  <c r="AC109" i="178"/>
  <c r="AB109" i="178"/>
  <c r="AA109" i="178"/>
  <c r="W109" i="178"/>
  <c r="AL108" i="178"/>
  <c r="AK108" i="178"/>
  <c r="AJ108" i="178"/>
  <c r="AI108" i="178"/>
  <c r="AH108" i="178"/>
  <c r="AG108" i="178"/>
  <c r="AF108" i="178"/>
  <c r="AE108" i="178"/>
  <c r="AD108" i="178"/>
  <c r="AC108" i="178"/>
  <c r="AB108" i="178"/>
  <c r="AA108" i="178"/>
  <c r="W108" i="178"/>
  <c r="AL106" i="178"/>
  <c r="AK106" i="178"/>
  <c r="AJ106" i="178"/>
  <c r="AI106" i="178"/>
  <c r="AH106" i="178"/>
  <c r="AG106" i="178"/>
  <c r="AF106" i="178"/>
  <c r="AE106" i="178"/>
  <c r="AD106" i="178"/>
  <c r="AC106" i="178"/>
  <c r="AB106" i="178"/>
  <c r="AA106" i="178"/>
  <c r="W106" i="178"/>
  <c r="AL105" i="178"/>
  <c r="AK105" i="178"/>
  <c r="AJ105" i="178"/>
  <c r="AI105" i="178"/>
  <c r="AH105" i="178"/>
  <c r="AG105" i="178"/>
  <c r="AF105" i="178"/>
  <c r="AE105" i="178"/>
  <c r="AD105" i="178"/>
  <c r="AC105" i="178"/>
  <c r="AB105" i="178"/>
  <c r="AA105" i="178"/>
  <c r="W105" i="178"/>
  <c r="AL103" i="178"/>
  <c r="AK103" i="178"/>
  <c r="AJ103" i="178"/>
  <c r="AI103" i="178"/>
  <c r="AH103" i="178"/>
  <c r="AG103" i="178"/>
  <c r="AF103" i="178"/>
  <c r="AE103" i="178"/>
  <c r="AD103" i="178"/>
  <c r="AC103" i="178"/>
  <c r="AB103" i="178"/>
  <c r="AA103" i="178"/>
  <c r="W103" i="178"/>
  <c r="AL102" i="178"/>
  <c r="AK102" i="178"/>
  <c r="AJ102" i="178"/>
  <c r="AI102" i="178"/>
  <c r="AH102" i="178"/>
  <c r="AG102" i="178"/>
  <c r="AF102" i="178"/>
  <c r="AE102" i="178"/>
  <c r="AD102" i="178"/>
  <c r="AC102" i="178"/>
  <c r="AB102" i="178"/>
  <c r="AA102" i="178"/>
  <c r="W102" i="178"/>
  <c r="AL99" i="178"/>
  <c r="AK99" i="178"/>
  <c r="AJ99" i="178"/>
  <c r="AI99" i="178"/>
  <c r="AH99" i="178"/>
  <c r="AG99" i="178"/>
  <c r="AF99" i="178"/>
  <c r="AE99" i="178"/>
  <c r="AD99" i="178"/>
  <c r="AC99" i="178"/>
  <c r="AB99" i="178"/>
  <c r="AA99" i="178"/>
  <c r="W99" i="178"/>
  <c r="AL98" i="178"/>
  <c r="AK98" i="178"/>
  <c r="AJ98" i="178"/>
  <c r="AI98" i="178"/>
  <c r="AH98" i="178"/>
  <c r="AG98" i="178"/>
  <c r="AF98" i="178"/>
  <c r="AE98" i="178"/>
  <c r="AD98" i="178"/>
  <c r="AC98" i="178"/>
  <c r="AB98" i="178"/>
  <c r="AA98" i="178"/>
  <c r="W98" i="178"/>
  <c r="AL96" i="178"/>
  <c r="AK96" i="178"/>
  <c r="AJ96" i="178"/>
  <c r="AI96" i="178"/>
  <c r="AH96" i="178"/>
  <c r="AG96" i="178"/>
  <c r="AF96" i="178"/>
  <c r="AE96" i="178"/>
  <c r="AD96" i="178"/>
  <c r="AC96" i="178"/>
  <c r="AB96" i="178"/>
  <c r="AA96" i="178"/>
  <c r="W96" i="178"/>
  <c r="AL93" i="178"/>
  <c r="AK93" i="178"/>
  <c r="AJ93" i="178"/>
  <c r="AI93" i="178"/>
  <c r="AH93" i="178"/>
  <c r="AG93" i="178"/>
  <c r="AF93" i="178"/>
  <c r="AE93" i="178"/>
  <c r="AD93" i="178"/>
  <c r="AC93" i="178"/>
  <c r="AB93" i="178"/>
  <c r="AA93" i="178"/>
  <c r="W93" i="178"/>
  <c r="AL91" i="178"/>
  <c r="AK91" i="178"/>
  <c r="AJ91" i="178"/>
  <c r="AI91" i="178"/>
  <c r="AH91" i="178"/>
  <c r="AG91" i="178"/>
  <c r="AF91" i="178"/>
  <c r="AE91" i="178"/>
  <c r="AD91" i="178"/>
  <c r="AC91" i="178"/>
  <c r="AB91" i="178"/>
  <c r="AA91" i="178"/>
  <c r="W91" i="178"/>
  <c r="AL90" i="178"/>
  <c r="AK90" i="178"/>
  <c r="AJ90" i="178"/>
  <c r="AI90" i="178"/>
  <c r="AH90" i="178"/>
  <c r="AG90" i="178"/>
  <c r="AF90" i="178"/>
  <c r="AE90" i="178"/>
  <c r="AD90" i="178"/>
  <c r="AC90" i="178"/>
  <c r="AB90" i="178"/>
  <c r="AA90" i="178"/>
  <c r="W90" i="178"/>
  <c r="AL86" i="178"/>
  <c r="AK86" i="178"/>
  <c r="AJ86" i="178"/>
  <c r="AI86" i="178"/>
  <c r="AH86" i="178"/>
  <c r="AG86" i="178"/>
  <c r="AF86" i="178"/>
  <c r="AE86" i="178"/>
  <c r="AD86" i="178"/>
  <c r="AC86" i="178"/>
  <c r="AB86" i="178"/>
  <c r="AA86" i="178"/>
  <c r="W86" i="178"/>
  <c r="AL85" i="178"/>
  <c r="AK85" i="178"/>
  <c r="AJ85" i="178"/>
  <c r="AI85" i="178"/>
  <c r="AH85" i="178"/>
  <c r="AG85" i="178"/>
  <c r="AF85" i="178"/>
  <c r="AE85" i="178"/>
  <c r="AD85" i="178"/>
  <c r="AC85" i="178"/>
  <c r="AB85" i="178"/>
  <c r="AA85" i="178"/>
  <c r="W85" i="178"/>
  <c r="AL83" i="178"/>
  <c r="AK83" i="178"/>
  <c r="AJ83" i="178"/>
  <c r="AI83" i="178"/>
  <c r="AH83" i="178"/>
  <c r="AG83" i="178"/>
  <c r="AF83" i="178"/>
  <c r="AE83" i="178"/>
  <c r="AD83" i="178"/>
  <c r="AC83" i="178"/>
  <c r="AB83" i="178"/>
  <c r="AA83" i="178"/>
  <c r="W83" i="178"/>
  <c r="AL82" i="178"/>
  <c r="AK82" i="178"/>
  <c r="AJ82" i="178"/>
  <c r="AI82" i="178"/>
  <c r="AH82" i="178"/>
  <c r="AG82" i="178"/>
  <c r="AF82" i="178"/>
  <c r="AE82" i="178"/>
  <c r="AD82" i="178"/>
  <c r="AC82" i="178"/>
  <c r="AB82" i="178"/>
  <c r="AA82" i="178"/>
  <c r="W82" i="178"/>
  <c r="AL81" i="178"/>
  <c r="AK81" i="178"/>
  <c r="AJ81" i="178"/>
  <c r="AI81" i="178"/>
  <c r="AH81" i="178"/>
  <c r="AG81" i="178"/>
  <c r="AF81" i="178"/>
  <c r="AE81" i="178"/>
  <c r="AD81" i="178"/>
  <c r="AC81" i="178"/>
  <c r="AB81" i="178"/>
  <c r="AA81" i="178"/>
  <c r="W81" i="178"/>
  <c r="AL77" i="178"/>
  <c r="AK77" i="178"/>
  <c r="AJ77" i="178"/>
  <c r="AI77" i="178"/>
  <c r="AH77" i="178"/>
  <c r="AG77" i="178"/>
  <c r="AF77" i="178"/>
  <c r="AE77" i="178"/>
  <c r="AD77" i="178"/>
  <c r="AC77" i="178"/>
  <c r="AB77" i="178"/>
  <c r="AA77" i="178"/>
  <c r="W77" i="178"/>
  <c r="AL76" i="178"/>
  <c r="AK76" i="178"/>
  <c r="AJ76" i="178"/>
  <c r="AI76" i="178"/>
  <c r="AH76" i="178"/>
  <c r="AG76" i="178"/>
  <c r="AF76" i="178"/>
  <c r="AE76" i="178"/>
  <c r="AD76" i="178"/>
  <c r="AC76" i="178"/>
  <c r="AB76" i="178"/>
  <c r="AA76" i="178"/>
  <c r="W76" i="178"/>
  <c r="AM143" i="178"/>
  <c r="AM144" i="178" s="1"/>
  <c r="Q63" i="175"/>
  <c r="P63" i="175"/>
  <c r="O63" i="175"/>
  <c r="N63" i="175"/>
  <c r="M63" i="175"/>
  <c r="L63" i="175"/>
  <c r="K63" i="175"/>
  <c r="J63" i="175"/>
  <c r="I63" i="175"/>
  <c r="H63" i="175"/>
  <c r="G63" i="175"/>
  <c r="F63" i="175"/>
  <c r="C63" i="175"/>
  <c r="Q61" i="175"/>
  <c r="P61" i="175"/>
  <c r="O61" i="175"/>
  <c r="N61" i="175"/>
  <c r="M61" i="175"/>
  <c r="L61" i="175"/>
  <c r="K61" i="175"/>
  <c r="J61" i="175"/>
  <c r="I61" i="175"/>
  <c r="H61" i="175"/>
  <c r="G61" i="175"/>
  <c r="F61" i="175"/>
  <c r="C61" i="175"/>
  <c r="Q59" i="175"/>
  <c r="P59" i="175"/>
  <c r="O59" i="175"/>
  <c r="N59" i="175"/>
  <c r="M59" i="175"/>
  <c r="L59" i="175"/>
  <c r="K59" i="175"/>
  <c r="J59" i="175"/>
  <c r="I59" i="175"/>
  <c r="H59" i="175"/>
  <c r="G59" i="175"/>
  <c r="F59" i="175"/>
  <c r="C59" i="175"/>
  <c r="Q56" i="175"/>
  <c r="P56" i="175"/>
  <c r="O56" i="175"/>
  <c r="N56" i="175"/>
  <c r="M56" i="175"/>
  <c r="L56" i="175"/>
  <c r="K56" i="175"/>
  <c r="J56" i="175"/>
  <c r="I56" i="175"/>
  <c r="H56" i="175"/>
  <c r="G56" i="175"/>
  <c r="F56" i="175"/>
  <c r="C56" i="175"/>
  <c r="Q55" i="175"/>
  <c r="P55" i="175"/>
  <c r="O55" i="175"/>
  <c r="N55" i="175"/>
  <c r="M55" i="175"/>
  <c r="L55" i="175"/>
  <c r="K55" i="175"/>
  <c r="J55" i="175"/>
  <c r="I55" i="175"/>
  <c r="H55" i="175"/>
  <c r="G55" i="175"/>
  <c r="F55" i="175"/>
  <c r="C55" i="175"/>
  <c r="Q54" i="175"/>
  <c r="P54" i="175"/>
  <c r="O54" i="175"/>
  <c r="N54" i="175"/>
  <c r="M54" i="175"/>
  <c r="L54" i="175"/>
  <c r="K54" i="175"/>
  <c r="J54" i="175"/>
  <c r="I54" i="175"/>
  <c r="H54" i="175"/>
  <c r="G54" i="175"/>
  <c r="F54" i="175"/>
  <c r="C54" i="175"/>
  <c r="Q53" i="175"/>
  <c r="P53" i="175"/>
  <c r="O53" i="175"/>
  <c r="N53" i="175"/>
  <c r="M53" i="175"/>
  <c r="L53" i="175"/>
  <c r="K53" i="175"/>
  <c r="J53" i="175"/>
  <c r="I53" i="175"/>
  <c r="H53" i="175"/>
  <c r="G53" i="175"/>
  <c r="F53" i="175"/>
  <c r="C53" i="175"/>
  <c r="Q52" i="175"/>
  <c r="P52" i="175"/>
  <c r="O52" i="175"/>
  <c r="N52" i="175"/>
  <c r="M52" i="175"/>
  <c r="L52" i="175"/>
  <c r="K52" i="175"/>
  <c r="J52" i="175"/>
  <c r="I52" i="175"/>
  <c r="H52" i="175"/>
  <c r="G52" i="175"/>
  <c r="F52" i="175"/>
  <c r="C52" i="175"/>
  <c r="Q51" i="175"/>
  <c r="P51" i="175"/>
  <c r="O51" i="175"/>
  <c r="N51" i="175"/>
  <c r="M51" i="175"/>
  <c r="L51" i="175"/>
  <c r="K51" i="175"/>
  <c r="J51" i="175"/>
  <c r="I51" i="175"/>
  <c r="H51" i="175"/>
  <c r="G51" i="175"/>
  <c r="F51" i="175"/>
  <c r="C51" i="175"/>
  <c r="Q47" i="175"/>
  <c r="P47" i="175"/>
  <c r="O47" i="175"/>
  <c r="N47" i="175"/>
  <c r="M47" i="175"/>
  <c r="L47" i="175"/>
  <c r="K47" i="175"/>
  <c r="J47" i="175"/>
  <c r="I47" i="175"/>
  <c r="H47" i="175"/>
  <c r="G47" i="175"/>
  <c r="F47" i="175"/>
  <c r="C47" i="175"/>
  <c r="Q46" i="175"/>
  <c r="P46" i="175"/>
  <c r="O46" i="175"/>
  <c r="N46" i="175"/>
  <c r="M46" i="175"/>
  <c r="L46" i="175"/>
  <c r="K46" i="175"/>
  <c r="J46" i="175"/>
  <c r="I46" i="175"/>
  <c r="H46" i="175"/>
  <c r="G46" i="175"/>
  <c r="F46" i="175"/>
  <c r="C46" i="175"/>
  <c r="Q45" i="175"/>
  <c r="P45" i="175"/>
  <c r="O45" i="175"/>
  <c r="N45" i="175"/>
  <c r="M45" i="175"/>
  <c r="L45" i="175"/>
  <c r="K45" i="175"/>
  <c r="J45" i="175"/>
  <c r="I45" i="175"/>
  <c r="H45" i="175"/>
  <c r="G45" i="175"/>
  <c r="F45" i="175"/>
  <c r="C45" i="175"/>
  <c r="Q44" i="175"/>
  <c r="P44" i="175"/>
  <c r="O44" i="175"/>
  <c r="N44" i="175"/>
  <c r="M44" i="175"/>
  <c r="L44" i="175"/>
  <c r="K44" i="175"/>
  <c r="J44" i="175"/>
  <c r="I44" i="175"/>
  <c r="H44" i="175"/>
  <c r="G44" i="175"/>
  <c r="F44" i="175"/>
  <c r="C44" i="175"/>
  <c r="Q43" i="175"/>
  <c r="P43" i="175"/>
  <c r="O43" i="175"/>
  <c r="N43" i="175"/>
  <c r="M43" i="175"/>
  <c r="L43" i="175"/>
  <c r="K43" i="175"/>
  <c r="J43" i="175"/>
  <c r="I43" i="175"/>
  <c r="H43" i="175"/>
  <c r="G43" i="175"/>
  <c r="F43" i="175"/>
  <c r="C43" i="175"/>
  <c r="Q42" i="175"/>
  <c r="P42" i="175"/>
  <c r="O42" i="175"/>
  <c r="N42" i="175"/>
  <c r="M42" i="175"/>
  <c r="L42" i="175"/>
  <c r="K42" i="175"/>
  <c r="J42" i="175"/>
  <c r="I42" i="175"/>
  <c r="H42" i="175"/>
  <c r="G42" i="175"/>
  <c r="F42" i="175"/>
  <c r="C42" i="175"/>
  <c r="AM13" i="178" l="1"/>
  <c r="AM50" i="178"/>
  <c r="AM54" i="178"/>
  <c r="AM56" i="178"/>
  <c r="AM11" i="178"/>
  <c r="AM27" i="178"/>
  <c r="AM30" i="178"/>
  <c r="AM47" i="178"/>
  <c r="AM15" i="178"/>
  <c r="AM21" i="178"/>
  <c r="AM57" i="178"/>
  <c r="AM60" i="178"/>
  <c r="AM36" i="178"/>
  <c r="AM28" i="178"/>
  <c r="AM42" i="178"/>
  <c r="AM53" i="178"/>
  <c r="AM58" i="178"/>
  <c r="AM34" i="178"/>
  <c r="AM19" i="178"/>
  <c r="AM32" i="178"/>
  <c r="AM8" i="178"/>
  <c r="AM29" i="178"/>
  <c r="AM51" i="178"/>
  <c r="AM49" i="178"/>
  <c r="AM14" i="178"/>
  <c r="AM20" i="178"/>
  <c r="AM22" i="178"/>
  <c r="AM59" i="178"/>
  <c r="AM35" i="178"/>
  <c r="AM41" i="178"/>
  <c r="AM12" i="178"/>
  <c r="AM31" i="178"/>
  <c r="AM45" i="178"/>
  <c r="AM48" i="178"/>
  <c r="AM26" i="178"/>
  <c r="C2" i="179" l="1"/>
  <c r="P8" i="179"/>
  <c r="P9" i="179"/>
  <c r="P11" i="179"/>
  <c r="P13" i="179"/>
  <c r="P15" i="179"/>
  <c r="P17" i="179"/>
  <c r="P19" i="179"/>
  <c r="P21" i="179"/>
  <c r="P22" i="179"/>
  <c r="P23" i="179"/>
  <c r="P24" i="179"/>
  <c r="P26" i="179"/>
  <c r="P27" i="179"/>
  <c r="P29" i="179"/>
  <c r="P30" i="179"/>
  <c r="P32" i="179"/>
  <c r="P34" i="179"/>
  <c r="P35" i="179"/>
  <c r="D36" i="179"/>
  <c r="E36" i="179"/>
  <c r="F36" i="179"/>
  <c r="G36" i="179"/>
  <c r="H36" i="179"/>
  <c r="I36" i="179"/>
  <c r="J36" i="179"/>
  <c r="K36" i="179"/>
  <c r="L36" i="179"/>
  <c r="M36" i="179"/>
  <c r="N36" i="179"/>
  <c r="O36" i="179"/>
  <c r="P37" i="179"/>
  <c r="P38" i="179"/>
  <c r="P39" i="179"/>
  <c r="P41" i="179"/>
  <c r="P42" i="179"/>
  <c r="P43" i="179"/>
  <c r="D45" i="179"/>
  <c r="E45" i="179"/>
  <c r="F45" i="179"/>
  <c r="G45" i="179"/>
  <c r="H45" i="179"/>
  <c r="I45" i="179"/>
  <c r="J45" i="179"/>
  <c r="K45" i="179"/>
  <c r="L45" i="179"/>
  <c r="M45" i="179"/>
  <c r="N45" i="179"/>
  <c r="O45" i="179"/>
  <c r="P47" i="179"/>
  <c r="P48" i="179"/>
  <c r="D51" i="179"/>
  <c r="E51" i="179"/>
  <c r="F51" i="179"/>
  <c r="G51" i="179"/>
  <c r="H51" i="179"/>
  <c r="I51" i="179"/>
  <c r="J51" i="179"/>
  <c r="K51" i="179"/>
  <c r="L51" i="179"/>
  <c r="M51" i="179"/>
  <c r="N51" i="179"/>
  <c r="O51" i="179"/>
  <c r="P53" i="179"/>
  <c r="P55" i="179" s="1"/>
  <c r="D55" i="179"/>
  <c r="E55" i="179"/>
  <c r="F55" i="179"/>
  <c r="G55" i="179"/>
  <c r="H55" i="179"/>
  <c r="I55" i="179"/>
  <c r="J55" i="179"/>
  <c r="K55" i="179"/>
  <c r="L55" i="179"/>
  <c r="M55" i="179"/>
  <c r="N55" i="179"/>
  <c r="O55" i="179"/>
  <c r="P57" i="179"/>
  <c r="P58" i="179"/>
  <c r="D59" i="179"/>
  <c r="E59" i="179"/>
  <c r="F59" i="179"/>
  <c r="G59" i="179"/>
  <c r="H59" i="179"/>
  <c r="I59" i="179"/>
  <c r="J59" i="179"/>
  <c r="K59" i="179"/>
  <c r="L59" i="179"/>
  <c r="M59" i="179"/>
  <c r="N59" i="179"/>
  <c r="O59" i="179"/>
  <c r="P61" i="179"/>
  <c r="P62" i="179"/>
  <c r="D63" i="179"/>
  <c r="E63" i="179"/>
  <c r="F63" i="179"/>
  <c r="G63" i="179"/>
  <c r="H63" i="179"/>
  <c r="I63" i="179"/>
  <c r="J63" i="179"/>
  <c r="K63" i="179"/>
  <c r="L63" i="179"/>
  <c r="M63" i="179"/>
  <c r="N63" i="179"/>
  <c r="O63" i="179"/>
  <c r="P65" i="179"/>
  <c r="P66" i="179"/>
  <c r="D67" i="179"/>
  <c r="E67" i="179"/>
  <c r="F67" i="179"/>
  <c r="G67" i="179"/>
  <c r="H67" i="179"/>
  <c r="I67" i="179"/>
  <c r="J67" i="179"/>
  <c r="K67" i="179"/>
  <c r="L67" i="179"/>
  <c r="M67" i="179"/>
  <c r="N67" i="179"/>
  <c r="O67" i="179"/>
  <c r="P69" i="179"/>
  <c r="P70" i="179"/>
  <c r="D71" i="179"/>
  <c r="E71" i="179"/>
  <c r="F71" i="179"/>
  <c r="G71" i="179"/>
  <c r="H71" i="179"/>
  <c r="I71" i="179"/>
  <c r="J71" i="179"/>
  <c r="K71" i="179"/>
  <c r="L71" i="179"/>
  <c r="M71" i="179"/>
  <c r="N71" i="179"/>
  <c r="O71" i="179"/>
  <c r="P73" i="179"/>
  <c r="P75" i="179" s="1"/>
  <c r="P74" i="179"/>
  <c r="D75" i="179"/>
  <c r="E75" i="179"/>
  <c r="F75" i="179"/>
  <c r="G75" i="179"/>
  <c r="H75" i="179"/>
  <c r="I75" i="179"/>
  <c r="J75" i="179"/>
  <c r="K75" i="179"/>
  <c r="L75" i="179"/>
  <c r="M75" i="179"/>
  <c r="N75" i="179"/>
  <c r="O75" i="179"/>
  <c r="P77" i="179"/>
  <c r="P78" i="179"/>
  <c r="D79" i="179"/>
  <c r="E79" i="179"/>
  <c r="F79" i="179"/>
  <c r="G79" i="179"/>
  <c r="H79" i="179"/>
  <c r="I79" i="179"/>
  <c r="J79" i="179"/>
  <c r="K79" i="179"/>
  <c r="L79" i="179"/>
  <c r="M79" i="179"/>
  <c r="N79" i="179"/>
  <c r="O79" i="179"/>
  <c r="P81" i="179"/>
  <c r="P92" i="179"/>
  <c r="P104" i="179"/>
  <c r="M107" i="179"/>
  <c r="N107" i="179"/>
  <c r="O107" i="179"/>
  <c r="P110" i="179"/>
  <c r="P134" i="179"/>
  <c r="P135" i="179"/>
  <c r="P137" i="179"/>
  <c r="P138" i="179"/>
  <c r="P139" i="179"/>
  <c r="P140" i="179"/>
  <c r="E151" i="179"/>
  <c r="F151" i="179"/>
  <c r="G151" i="179"/>
  <c r="H151" i="179"/>
  <c r="I151" i="179"/>
  <c r="J151" i="179"/>
  <c r="K151" i="179"/>
  <c r="L151" i="179"/>
  <c r="M151" i="179"/>
  <c r="N151" i="179"/>
  <c r="O151" i="179"/>
  <c r="D155" i="179"/>
  <c r="E155" i="179"/>
  <c r="F155" i="179"/>
  <c r="G155" i="179"/>
  <c r="H155" i="179"/>
  <c r="I155" i="179"/>
  <c r="J155" i="179"/>
  <c r="K155" i="179"/>
  <c r="L155" i="179"/>
  <c r="M155" i="179"/>
  <c r="N155" i="179"/>
  <c r="O155" i="179"/>
  <c r="P161" i="179"/>
  <c r="D165" i="179"/>
  <c r="E165" i="179"/>
  <c r="F165" i="179"/>
  <c r="G165" i="179"/>
  <c r="H165" i="179"/>
  <c r="I165" i="179"/>
  <c r="J165" i="179"/>
  <c r="K165" i="179"/>
  <c r="L165" i="179"/>
  <c r="M165" i="179"/>
  <c r="N165" i="179"/>
  <c r="O165" i="179"/>
  <c r="P168" i="179"/>
  <c r="G26" i="212"/>
  <c r="P51" i="179" l="1"/>
  <c r="P45" i="179"/>
  <c r="P59" i="179"/>
  <c r="O83" i="179"/>
  <c r="P165" i="179"/>
  <c r="P79" i="179"/>
  <c r="P107" i="179"/>
  <c r="P36" i="179"/>
  <c r="P151" i="179"/>
  <c r="P71" i="179"/>
  <c r="P67" i="179"/>
  <c r="L83" i="179"/>
  <c r="D83" i="179"/>
  <c r="G83" i="179"/>
  <c r="K83" i="179"/>
  <c r="P63" i="179"/>
  <c r="M83" i="179"/>
  <c r="E83" i="179"/>
  <c r="H83" i="179"/>
  <c r="P155" i="179"/>
  <c r="J83" i="179"/>
  <c r="N83" i="179"/>
  <c r="F83" i="179"/>
  <c r="I83" i="179"/>
  <c r="C4" i="179"/>
  <c r="D1" i="179" s="1"/>
  <c r="P83" i="179" l="1"/>
  <c r="D2" i="179"/>
  <c r="P104" i="287" l="1"/>
  <c r="O104" i="287"/>
  <c r="N104" i="287"/>
  <c r="M104" i="287"/>
  <c r="L104" i="287"/>
  <c r="K104" i="287"/>
  <c r="J104" i="287"/>
  <c r="I104" i="287"/>
  <c r="H104" i="287"/>
  <c r="G104" i="287"/>
  <c r="F104" i="287"/>
  <c r="E104" i="287"/>
  <c r="P102" i="287"/>
  <c r="O102" i="287"/>
  <c r="N102" i="287"/>
  <c r="M102" i="287"/>
  <c r="L102" i="287"/>
  <c r="K102" i="287"/>
  <c r="J102" i="287"/>
  <c r="I102" i="287"/>
  <c r="H102" i="287"/>
  <c r="G102" i="287"/>
  <c r="F102" i="287"/>
  <c r="E102" i="287"/>
  <c r="K352" i="288"/>
  <c r="K373" i="288"/>
  <c r="K379" i="288"/>
  <c r="Q102" i="287" l="1"/>
  <c r="N352" i="288"/>
  <c r="E14" i="288"/>
  <c r="K410" i="288"/>
  <c r="K406" i="288"/>
  <c r="K403" i="288"/>
  <c r="K399" i="288"/>
  <c r="K394" i="288"/>
  <c r="K391" i="288"/>
  <c r="K388" i="288"/>
  <c r="K385" i="288"/>
  <c r="K380" i="288"/>
  <c r="K376" i="288"/>
  <c r="K377" i="288" s="1"/>
  <c r="K374" i="288"/>
  <c r="K371" i="288"/>
  <c r="N370" i="288"/>
  <c r="N364" i="288"/>
  <c r="K363" i="288"/>
  <c r="N361" i="288"/>
  <c r="K360" i="288"/>
  <c r="N359" i="288"/>
  <c r="K349" i="288"/>
  <c r="K344" i="288"/>
  <c r="N337" i="288"/>
  <c r="K336" i="288"/>
  <c r="K333" i="288"/>
  <c r="K330" i="288"/>
  <c r="K325" i="288"/>
  <c r="K322" i="288"/>
  <c r="K315" i="288"/>
  <c r="K307" i="288"/>
  <c r="K297" i="288"/>
  <c r="I296" i="288"/>
  <c r="K294" i="288"/>
  <c r="I293" i="288"/>
  <c r="K291" i="288"/>
  <c r="I290" i="288"/>
  <c r="K288" i="288"/>
  <c r="I287" i="288"/>
  <c r="K285" i="288"/>
  <c r="I284" i="288"/>
  <c r="K282" i="288"/>
  <c r="I281" i="288"/>
  <c r="K279" i="288"/>
  <c r="I278" i="288"/>
  <c r="K276" i="288"/>
  <c r="I275" i="288"/>
  <c r="K273" i="288"/>
  <c r="I272" i="288"/>
  <c r="K270" i="288"/>
  <c r="I269" i="288"/>
  <c r="K267" i="288"/>
  <c r="I266" i="288"/>
  <c r="K264" i="288"/>
  <c r="I263" i="288"/>
  <c r="K261" i="288"/>
  <c r="I260" i="288"/>
  <c r="K258" i="288"/>
  <c r="I257" i="288"/>
  <c r="K255" i="288"/>
  <c r="I254" i="288"/>
  <c r="K252" i="288"/>
  <c r="I251" i="288"/>
  <c r="K249" i="288"/>
  <c r="I248" i="288"/>
  <c r="K246" i="288"/>
  <c r="I245" i="288"/>
  <c r="K243" i="288"/>
  <c r="I242" i="288"/>
  <c r="K240" i="288"/>
  <c r="I239" i="288"/>
  <c r="K237" i="288"/>
  <c r="I236" i="288"/>
  <c r="K234" i="288"/>
  <c r="I233" i="288"/>
  <c r="K231" i="288"/>
  <c r="I230" i="288"/>
  <c r="K228" i="288"/>
  <c r="I227" i="288"/>
  <c r="K225" i="288"/>
  <c r="I224" i="288"/>
  <c r="K222" i="288"/>
  <c r="I221" i="288"/>
  <c r="K219" i="288"/>
  <c r="I218" i="288"/>
  <c r="K214" i="288"/>
  <c r="I213" i="288"/>
  <c r="K206" i="288"/>
  <c r="I205" i="288"/>
  <c r="K203" i="288"/>
  <c r="I202" i="288"/>
  <c r="K199" i="288"/>
  <c r="I198" i="288"/>
  <c r="K195" i="288"/>
  <c r="I194" i="288"/>
  <c r="K192" i="288"/>
  <c r="I191" i="288"/>
  <c r="K189" i="288"/>
  <c r="I188" i="288"/>
  <c r="K185" i="288"/>
  <c r="K181" i="288"/>
  <c r="I180" i="288"/>
  <c r="K177" i="288"/>
  <c r="I176" i="288"/>
  <c r="K173" i="288"/>
  <c r="I172" i="288"/>
  <c r="K169" i="288"/>
  <c r="I167" i="288"/>
  <c r="K165" i="288"/>
  <c r="I164" i="288"/>
  <c r="K160" i="288"/>
  <c r="K157" i="288"/>
  <c r="I156" i="288"/>
  <c r="K154" i="288"/>
  <c r="I153" i="288"/>
  <c r="I152" i="288"/>
  <c r="K150" i="288"/>
  <c r="I149" i="288"/>
  <c r="K141" i="288"/>
  <c r="I140" i="288"/>
  <c r="K138" i="288"/>
  <c r="I137" i="288"/>
  <c r="K135" i="288"/>
  <c r="I134" i="288"/>
  <c r="K131" i="288"/>
  <c r="I130" i="288"/>
  <c r="I129" i="288"/>
  <c r="K127" i="288"/>
  <c r="I126" i="288"/>
  <c r="K120" i="288"/>
  <c r="I119" i="288"/>
  <c r="K114" i="288"/>
  <c r="K106" i="288"/>
  <c r="K102" i="288"/>
  <c r="K98" i="288"/>
  <c r="K94" i="288"/>
  <c r="K91" i="288"/>
  <c r="K88" i="288"/>
  <c r="K84" i="288"/>
  <c r="K80" i="288"/>
  <c r="K76" i="288"/>
  <c r="K71" i="288"/>
  <c r="K68" i="288"/>
  <c r="K65" i="288"/>
  <c r="K62" i="288"/>
  <c r="K59" i="288"/>
  <c r="K55" i="288"/>
  <c r="K52" i="288"/>
  <c r="K48" i="288"/>
  <c r="K44" i="288"/>
  <c r="K40" i="288"/>
  <c r="K36" i="288"/>
  <c r="K32" i="288"/>
  <c r="K28" i="288"/>
  <c r="K19" i="288"/>
  <c r="K11" i="288"/>
  <c r="K8" i="288"/>
  <c r="A4" i="288"/>
  <c r="A2" i="288"/>
  <c r="A1" i="288"/>
  <c r="K382" i="288" l="1"/>
  <c r="K299" i="288"/>
  <c r="K216" i="288"/>
  <c r="K116" i="288"/>
  <c r="K341" i="288"/>
  <c r="K354" i="288" l="1"/>
  <c r="P120" i="216" l="1"/>
  <c r="P130" i="216" s="1"/>
  <c r="O120" i="216"/>
  <c r="O130" i="216" s="1"/>
  <c r="N120" i="216"/>
  <c r="N130" i="216" s="1"/>
  <c r="M120" i="216"/>
  <c r="M130" i="216" s="1"/>
  <c r="L120" i="216"/>
  <c r="L130" i="216" s="1"/>
  <c r="K120" i="216"/>
  <c r="K130" i="216" s="1"/>
  <c r="J120" i="216"/>
  <c r="J130" i="216" s="1"/>
  <c r="I120" i="216"/>
  <c r="I130" i="216" s="1"/>
  <c r="H120" i="216"/>
  <c r="H130" i="216" s="1"/>
  <c r="G120" i="216"/>
  <c r="G130" i="216" s="1"/>
  <c r="F120" i="216"/>
  <c r="F130" i="216" s="1"/>
  <c r="E120" i="216"/>
  <c r="E130" i="216" s="1"/>
  <c r="D120" i="216"/>
  <c r="D130" i="216" s="1"/>
  <c r="P134" i="216"/>
  <c r="O134" i="216"/>
  <c r="N134" i="216"/>
  <c r="M134" i="216"/>
  <c r="L134" i="216"/>
  <c r="K134" i="216"/>
  <c r="J134" i="216"/>
  <c r="I134" i="216"/>
  <c r="H134" i="216"/>
  <c r="G134" i="216"/>
  <c r="F134" i="216"/>
  <c r="E134" i="216"/>
  <c r="P125" i="216"/>
  <c r="O125" i="216"/>
  <c r="N125" i="216"/>
  <c r="M125" i="216"/>
  <c r="L125" i="216"/>
  <c r="K125" i="216"/>
  <c r="J125" i="216"/>
  <c r="I125" i="216"/>
  <c r="H125" i="216"/>
  <c r="G125" i="216"/>
  <c r="F125" i="216"/>
  <c r="E125" i="216"/>
  <c r="D134" i="216"/>
  <c r="D125" i="216"/>
  <c r="P113" i="216"/>
  <c r="O113" i="216"/>
  <c r="N113" i="216"/>
  <c r="M113" i="216"/>
  <c r="L113" i="216"/>
  <c r="K113" i="216"/>
  <c r="J113" i="216"/>
  <c r="I113" i="216"/>
  <c r="H113" i="216"/>
  <c r="G113" i="216"/>
  <c r="F113" i="216"/>
  <c r="E113" i="216"/>
  <c r="D113" i="216"/>
  <c r="P116" i="216"/>
  <c r="O116" i="216"/>
  <c r="N116" i="216"/>
  <c r="M116" i="216"/>
  <c r="L116" i="216"/>
  <c r="K116" i="216"/>
  <c r="J116" i="216"/>
  <c r="I116" i="216"/>
  <c r="H116" i="216"/>
  <c r="G116" i="216"/>
  <c r="F116" i="216"/>
  <c r="E116" i="216"/>
  <c r="D116" i="216"/>
  <c r="P115" i="216"/>
  <c r="O115" i="216"/>
  <c r="N115" i="216"/>
  <c r="M115" i="216"/>
  <c r="L115" i="216"/>
  <c r="K115" i="216"/>
  <c r="J115" i="216"/>
  <c r="I115" i="216"/>
  <c r="H115" i="216"/>
  <c r="G115" i="216"/>
  <c r="F115" i="216"/>
  <c r="E115" i="216"/>
  <c r="D115" i="216"/>
  <c r="P119" i="216"/>
  <c r="O119" i="216"/>
  <c r="N119" i="216"/>
  <c r="M119" i="216"/>
  <c r="L119" i="216"/>
  <c r="K119" i="216"/>
  <c r="J119" i="216"/>
  <c r="I119" i="216"/>
  <c r="H119" i="216"/>
  <c r="G119" i="216"/>
  <c r="F119" i="216"/>
  <c r="E119" i="216"/>
  <c r="D119" i="216"/>
  <c r="P67" i="216"/>
  <c r="O67" i="216"/>
  <c r="N67" i="216"/>
  <c r="M67" i="216"/>
  <c r="L67" i="216"/>
  <c r="K67" i="216"/>
  <c r="J67" i="216"/>
  <c r="I67" i="216"/>
  <c r="H67" i="216"/>
  <c r="G67" i="216"/>
  <c r="F67" i="216"/>
  <c r="E67" i="216"/>
  <c r="D67" i="216"/>
  <c r="P66" i="216"/>
  <c r="O66" i="216"/>
  <c r="N66" i="216"/>
  <c r="M66" i="216"/>
  <c r="L66" i="216"/>
  <c r="K66" i="216"/>
  <c r="J66" i="216"/>
  <c r="I66" i="216"/>
  <c r="H66" i="216"/>
  <c r="G66" i="216"/>
  <c r="F66" i="216"/>
  <c r="E66" i="216"/>
  <c r="D66" i="216"/>
  <c r="P65" i="216"/>
  <c r="O65" i="216"/>
  <c r="N65" i="216"/>
  <c r="M65" i="216"/>
  <c r="L65" i="216"/>
  <c r="K65" i="216"/>
  <c r="J65" i="216"/>
  <c r="I65" i="216"/>
  <c r="H65" i="216"/>
  <c r="G65" i="216"/>
  <c r="F65" i="216"/>
  <c r="E65" i="216"/>
  <c r="D65" i="216"/>
  <c r="P64" i="216"/>
  <c r="O64" i="216"/>
  <c r="N64" i="216"/>
  <c r="M64" i="216"/>
  <c r="L64" i="216"/>
  <c r="K64" i="216"/>
  <c r="J64" i="216"/>
  <c r="I64" i="216"/>
  <c r="H64" i="216"/>
  <c r="G64" i="216"/>
  <c r="F64" i="216"/>
  <c r="E64" i="216"/>
  <c r="D64" i="216"/>
  <c r="P63" i="216"/>
  <c r="O63" i="216"/>
  <c r="N63" i="216"/>
  <c r="M63" i="216"/>
  <c r="L63" i="216"/>
  <c r="K63" i="216"/>
  <c r="J63" i="216"/>
  <c r="I63" i="216"/>
  <c r="H63" i="216"/>
  <c r="G63" i="216"/>
  <c r="F63" i="216"/>
  <c r="E63" i="216"/>
  <c r="D63" i="216"/>
  <c r="P62" i="216"/>
  <c r="O62" i="216"/>
  <c r="N62" i="216"/>
  <c r="M62" i="216"/>
  <c r="L62" i="216"/>
  <c r="K62" i="216"/>
  <c r="J62" i="216"/>
  <c r="I62" i="216"/>
  <c r="H62" i="216"/>
  <c r="G62" i="216"/>
  <c r="F62" i="216"/>
  <c r="E62" i="216"/>
  <c r="D62" i="216"/>
  <c r="P61" i="216"/>
  <c r="O61" i="216"/>
  <c r="N61" i="216"/>
  <c r="M61" i="216"/>
  <c r="L61" i="216"/>
  <c r="K61" i="216"/>
  <c r="J61" i="216"/>
  <c r="I61" i="216"/>
  <c r="H61" i="216"/>
  <c r="G61" i="216"/>
  <c r="F61" i="216"/>
  <c r="E61" i="216"/>
  <c r="D61" i="216"/>
  <c r="P60" i="216"/>
  <c r="O60" i="216"/>
  <c r="N60" i="216"/>
  <c r="M60" i="216"/>
  <c r="L60" i="216"/>
  <c r="K60" i="216"/>
  <c r="J60" i="216"/>
  <c r="I60" i="216"/>
  <c r="H60" i="216"/>
  <c r="G60" i="216"/>
  <c r="F60" i="216"/>
  <c r="E60" i="216"/>
  <c r="D60" i="216"/>
  <c r="P59" i="216"/>
  <c r="O59" i="216"/>
  <c r="N59" i="216"/>
  <c r="M59" i="216"/>
  <c r="L59" i="216"/>
  <c r="K59" i="216"/>
  <c r="J59" i="216"/>
  <c r="I59" i="216"/>
  <c r="H59" i="216"/>
  <c r="G59" i="216"/>
  <c r="F59" i="216"/>
  <c r="E59" i="216"/>
  <c r="D59" i="216"/>
  <c r="P77" i="216"/>
  <c r="O77" i="216"/>
  <c r="N77" i="216"/>
  <c r="M77" i="216"/>
  <c r="L77" i="216"/>
  <c r="K77" i="216"/>
  <c r="J77" i="216"/>
  <c r="I77" i="216"/>
  <c r="H77" i="216"/>
  <c r="G77" i="216"/>
  <c r="F77" i="216"/>
  <c r="E77" i="216"/>
  <c r="D77" i="216"/>
  <c r="P76" i="216"/>
  <c r="O76" i="216"/>
  <c r="N76" i="216"/>
  <c r="M76" i="216"/>
  <c r="L76" i="216"/>
  <c r="K76" i="216"/>
  <c r="J76" i="216"/>
  <c r="I76" i="216"/>
  <c r="H76" i="216"/>
  <c r="G76" i="216"/>
  <c r="F76" i="216"/>
  <c r="E76" i="216"/>
  <c r="D76" i="216"/>
  <c r="P75" i="216"/>
  <c r="O75" i="216"/>
  <c r="N75" i="216"/>
  <c r="M75" i="216"/>
  <c r="L75" i="216"/>
  <c r="K75" i="216"/>
  <c r="J75" i="216"/>
  <c r="I75" i="216"/>
  <c r="H75" i="216"/>
  <c r="G75" i="216"/>
  <c r="F75" i="216"/>
  <c r="E75" i="216"/>
  <c r="D75" i="216"/>
  <c r="P74" i="216"/>
  <c r="O74" i="216"/>
  <c r="N74" i="216"/>
  <c r="M74" i="216"/>
  <c r="L74" i="216"/>
  <c r="K74" i="216"/>
  <c r="J74" i="216"/>
  <c r="I74" i="216"/>
  <c r="H74" i="216"/>
  <c r="G74" i="216"/>
  <c r="F74" i="216"/>
  <c r="E74" i="216"/>
  <c r="D74" i="216"/>
  <c r="P73" i="216"/>
  <c r="O73" i="216"/>
  <c r="N73" i="216"/>
  <c r="M73" i="216"/>
  <c r="L73" i="216"/>
  <c r="K73" i="216"/>
  <c r="J73" i="216"/>
  <c r="I73" i="216"/>
  <c r="H73" i="216"/>
  <c r="G73" i="216"/>
  <c r="F73" i="216"/>
  <c r="E73" i="216"/>
  <c r="D73" i="216"/>
  <c r="P72" i="216"/>
  <c r="O72" i="216"/>
  <c r="N72" i="216"/>
  <c r="M72" i="216"/>
  <c r="L72" i="216"/>
  <c r="K72" i="216"/>
  <c r="J72" i="216"/>
  <c r="I72" i="216"/>
  <c r="H72" i="216"/>
  <c r="G72" i="216"/>
  <c r="F72" i="216"/>
  <c r="E72" i="216"/>
  <c r="D72" i="216"/>
  <c r="P71" i="216"/>
  <c r="O71" i="216"/>
  <c r="N71" i="216"/>
  <c r="M71" i="216"/>
  <c r="L71" i="216"/>
  <c r="K71" i="216"/>
  <c r="J71" i="216"/>
  <c r="I71" i="216"/>
  <c r="H71" i="216"/>
  <c r="G71" i="216"/>
  <c r="F71" i="216"/>
  <c r="E71" i="216"/>
  <c r="D71" i="216"/>
  <c r="P70" i="216"/>
  <c r="O70" i="216"/>
  <c r="N70" i="216"/>
  <c r="M70" i="216"/>
  <c r="L70" i="216"/>
  <c r="K70" i="216"/>
  <c r="J70" i="216"/>
  <c r="I70" i="216"/>
  <c r="H70" i="216"/>
  <c r="G70" i="216"/>
  <c r="F70" i="216"/>
  <c r="E70" i="216"/>
  <c r="D70" i="216"/>
  <c r="P69" i="216"/>
  <c r="O69" i="216"/>
  <c r="N69" i="216"/>
  <c r="M69" i="216"/>
  <c r="L69" i="216"/>
  <c r="K69" i="216"/>
  <c r="J69" i="216"/>
  <c r="I69" i="216"/>
  <c r="H69" i="216"/>
  <c r="G69" i="216"/>
  <c r="F69" i="216"/>
  <c r="E69" i="216"/>
  <c r="D69" i="216"/>
  <c r="P82" i="216"/>
  <c r="O82" i="216"/>
  <c r="N82" i="216"/>
  <c r="M82" i="216"/>
  <c r="L82" i="216"/>
  <c r="K82" i="216"/>
  <c r="J82" i="216"/>
  <c r="I82" i="216"/>
  <c r="H82" i="216"/>
  <c r="G82" i="216"/>
  <c r="F82" i="216"/>
  <c r="E82" i="216"/>
  <c r="D82" i="216"/>
  <c r="P89" i="216"/>
  <c r="O89" i="216"/>
  <c r="N89" i="216"/>
  <c r="M89" i="216"/>
  <c r="L89" i="216"/>
  <c r="K89" i="216"/>
  <c r="J89" i="216"/>
  <c r="I89" i="216"/>
  <c r="H89" i="216"/>
  <c r="G89" i="216"/>
  <c r="F89" i="216"/>
  <c r="E89" i="216"/>
  <c r="D89" i="216"/>
  <c r="P88" i="216"/>
  <c r="O88" i="216"/>
  <c r="N88" i="216"/>
  <c r="M88" i="216"/>
  <c r="L88" i="216"/>
  <c r="K88" i="216"/>
  <c r="J88" i="216"/>
  <c r="I88" i="216"/>
  <c r="H88" i="216"/>
  <c r="G88" i="216"/>
  <c r="F88" i="216"/>
  <c r="E88" i="216"/>
  <c r="D88" i="216"/>
  <c r="P87" i="216"/>
  <c r="O87" i="216"/>
  <c r="N87" i="216"/>
  <c r="M87" i="216"/>
  <c r="L87" i="216"/>
  <c r="K87" i="216"/>
  <c r="J87" i="216"/>
  <c r="I87" i="216"/>
  <c r="H87" i="216"/>
  <c r="G87" i="216"/>
  <c r="F87" i="216"/>
  <c r="E87" i="216"/>
  <c r="D87" i="216"/>
  <c r="P86" i="216"/>
  <c r="O86" i="216"/>
  <c r="N86" i="216"/>
  <c r="M86" i="216"/>
  <c r="L86" i="216"/>
  <c r="K86" i="216"/>
  <c r="J86" i="216"/>
  <c r="I86" i="216"/>
  <c r="H86" i="216"/>
  <c r="G86" i="216"/>
  <c r="F86" i="216"/>
  <c r="E86" i="216"/>
  <c r="D86" i="216"/>
  <c r="P85" i="216"/>
  <c r="O85" i="216"/>
  <c r="N85" i="216"/>
  <c r="M85" i="216"/>
  <c r="L85" i="216"/>
  <c r="K85" i="216"/>
  <c r="J85" i="216"/>
  <c r="I85" i="216"/>
  <c r="H85" i="216"/>
  <c r="G85" i="216"/>
  <c r="F85" i="216"/>
  <c r="E85" i="216"/>
  <c r="D85" i="216"/>
  <c r="P92" i="216"/>
  <c r="O92" i="216"/>
  <c r="N92" i="216"/>
  <c r="M92" i="216"/>
  <c r="L92" i="216"/>
  <c r="K92" i="216"/>
  <c r="J92" i="216"/>
  <c r="I92" i="216"/>
  <c r="H92" i="216"/>
  <c r="G92" i="216"/>
  <c r="F92" i="216"/>
  <c r="E92" i="216"/>
  <c r="D92" i="216"/>
  <c r="P94" i="216"/>
  <c r="O94" i="216"/>
  <c r="N94" i="216"/>
  <c r="M94" i="216"/>
  <c r="L94" i="216"/>
  <c r="K94" i="216"/>
  <c r="J94" i="216"/>
  <c r="I94" i="216"/>
  <c r="H94" i="216"/>
  <c r="G94" i="216"/>
  <c r="F94" i="216"/>
  <c r="E94" i="216"/>
  <c r="D94" i="216"/>
  <c r="P104" i="216"/>
  <c r="O104" i="216"/>
  <c r="N104" i="216"/>
  <c r="M104" i="216"/>
  <c r="L104" i="216"/>
  <c r="K104" i="216"/>
  <c r="J104" i="216"/>
  <c r="I104" i="216"/>
  <c r="H104" i="216"/>
  <c r="G104" i="216"/>
  <c r="F104" i="216"/>
  <c r="E104" i="216"/>
  <c r="D104" i="216"/>
  <c r="P103" i="216"/>
  <c r="O103" i="216"/>
  <c r="N103" i="216"/>
  <c r="M103" i="216"/>
  <c r="L103" i="216"/>
  <c r="K103" i="216"/>
  <c r="J103" i="216"/>
  <c r="I103" i="216"/>
  <c r="H103" i="216"/>
  <c r="G103" i="216"/>
  <c r="F103" i="216"/>
  <c r="E103" i="216"/>
  <c r="D103" i="216"/>
  <c r="P102" i="216"/>
  <c r="O102" i="216"/>
  <c r="N102" i="216"/>
  <c r="M102" i="216"/>
  <c r="L102" i="216"/>
  <c r="K102" i="216"/>
  <c r="J102" i="216"/>
  <c r="I102" i="216"/>
  <c r="H102" i="216"/>
  <c r="G102" i="216"/>
  <c r="F102" i="216"/>
  <c r="E102" i="216"/>
  <c r="D102" i="216"/>
  <c r="P101" i="216"/>
  <c r="O101" i="216"/>
  <c r="N101" i="216"/>
  <c r="M101" i="216"/>
  <c r="L101" i="216"/>
  <c r="K101" i="216"/>
  <c r="J101" i="216"/>
  <c r="I101" i="216"/>
  <c r="H101" i="216"/>
  <c r="G101" i="216"/>
  <c r="F101" i="216"/>
  <c r="E101" i="216"/>
  <c r="D101" i="216"/>
  <c r="P100" i="216"/>
  <c r="O100" i="216"/>
  <c r="N100" i="216"/>
  <c r="M100" i="216"/>
  <c r="L100" i="216"/>
  <c r="K100" i="216"/>
  <c r="J100" i="216"/>
  <c r="I100" i="216"/>
  <c r="H100" i="216"/>
  <c r="G100" i="216"/>
  <c r="F100" i="216"/>
  <c r="E100" i="216"/>
  <c r="D100" i="216"/>
  <c r="P99" i="216"/>
  <c r="O99" i="216"/>
  <c r="N99" i="216"/>
  <c r="M99" i="216"/>
  <c r="L99" i="216"/>
  <c r="K99" i="216"/>
  <c r="J99" i="216"/>
  <c r="I99" i="216"/>
  <c r="H99" i="216"/>
  <c r="G99" i="216"/>
  <c r="F99" i="216"/>
  <c r="E99" i="216"/>
  <c r="D99" i="216"/>
  <c r="P98" i="216"/>
  <c r="O98" i="216"/>
  <c r="N98" i="216"/>
  <c r="M98" i="216"/>
  <c r="L98" i="216"/>
  <c r="K98" i="216"/>
  <c r="J98" i="216"/>
  <c r="I98" i="216"/>
  <c r="H98" i="216"/>
  <c r="G98" i="216"/>
  <c r="F98" i="216"/>
  <c r="E98" i="216"/>
  <c r="D98" i="216"/>
  <c r="P97" i="216"/>
  <c r="O97" i="216"/>
  <c r="N97" i="216"/>
  <c r="M97" i="216"/>
  <c r="L97" i="216"/>
  <c r="K97" i="216"/>
  <c r="J97" i="216"/>
  <c r="I97" i="216"/>
  <c r="H97" i="216"/>
  <c r="G97" i="216"/>
  <c r="F97" i="216"/>
  <c r="E97" i="216"/>
  <c r="D97" i="216"/>
  <c r="P96" i="216"/>
  <c r="O96" i="216"/>
  <c r="N96" i="216"/>
  <c r="M96" i="216"/>
  <c r="L96" i="216"/>
  <c r="K96" i="216"/>
  <c r="J96" i="216"/>
  <c r="I96" i="216"/>
  <c r="H96" i="216"/>
  <c r="G96" i="216"/>
  <c r="F96" i="216"/>
  <c r="E96" i="216"/>
  <c r="D96" i="216"/>
  <c r="P107" i="216"/>
  <c r="O107" i="216"/>
  <c r="N107" i="216"/>
  <c r="M107" i="216"/>
  <c r="L107" i="216"/>
  <c r="K107" i="216"/>
  <c r="J107" i="216"/>
  <c r="I107" i="216"/>
  <c r="H107" i="216"/>
  <c r="G107" i="216"/>
  <c r="F107" i="216"/>
  <c r="E107" i="216"/>
  <c r="D107" i="216"/>
  <c r="P109" i="216"/>
  <c r="O109" i="216"/>
  <c r="N109" i="216"/>
  <c r="M109" i="216"/>
  <c r="L109" i="216"/>
  <c r="K109" i="216"/>
  <c r="J109" i="216"/>
  <c r="I109" i="216"/>
  <c r="H109" i="216"/>
  <c r="G109" i="216"/>
  <c r="F109" i="216"/>
  <c r="E109" i="216"/>
  <c r="D109" i="216"/>
  <c r="F52" i="178"/>
  <c r="E52" i="178"/>
  <c r="AJ68" i="175"/>
  <c r="AI68" i="175"/>
  <c r="AH68" i="175"/>
  <c r="AG68" i="175"/>
  <c r="AF68" i="175"/>
  <c r="AE68" i="175"/>
  <c r="AD68" i="175"/>
  <c r="AC68" i="175"/>
  <c r="AB68" i="175"/>
  <c r="AA68" i="175"/>
  <c r="Z68" i="175"/>
  <c r="Y68" i="175"/>
  <c r="X68" i="175"/>
  <c r="Q68" i="175"/>
  <c r="P68" i="175"/>
  <c r="O68" i="175"/>
  <c r="N68" i="175"/>
  <c r="M68" i="175"/>
  <c r="L68" i="175"/>
  <c r="K68" i="175"/>
  <c r="J68" i="175"/>
  <c r="I68" i="175"/>
  <c r="H68" i="175"/>
  <c r="G68" i="175"/>
  <c r="F68" i="175"/>
  <c r="E68" i="175"/>
  <c r="C68" i="175"/>
  <c r="AJ63" i="175"/>
  <c r="AI63" i="175"/>
  <c r="AH63" i="175"/>
  <c r="AG63" i="175"/>
  <c r="AF63" i="175"/>
  <c r="AE63" i="175"/>
  <c r="AD63" i="175"/>
  <c r="AC63" i="175"/>
  <c r="AB63" i="175"/>
  <c r="AA63" i="175"/>
  <c r="Z63" i="175"/>
  <c r="Y63" i="175"/>
  <c r="V63" i="175"/>
  <c r="X63" i="175" s="1"/>
  <c r="AJ61" i="175"/>
  <c r="AI61" i="175"/>
  <c r="AH61" i="175"/>
  <c r="AG61" i="175"/>
  <c r="AF61" i="175"/>
  <c r="AE61" i="175"/>
  <c r="AD61" i="175"/>
  <c r="AC61" i="175"/>
  <c r="AB61" i="175"/>
  <c r="AA61" i="175"/>
  <c r="Z61" i="175"/>
  <c r="Y61" i="175"/>
  <c r="V61" i="175"/>
  <c r="X61" i="175" s="1"/>
  <c r="AJ59" i="175"/>
  <c r="AI59" i="175"/>
  <c r="AH59" i="175"/>
  <c r="AG59" i="175"/>
  <c r="AF59" i="175"/>
  <c r="AE59" i="175"/>
  <c r="AD59" i="175"/>
  <c r="AC59" i="175"/>
  <c r="AB59" i="175"/>
  <c r="AA59" i="175"/>
  <c r="Z59" i="175"/>
  <c r="Y59" i="175"/>
  <c r="V59" i="175"/>
  <c r="X59" i="175" s="1"/>
  <c r="AJ56" i="175"/>
  <c r="AI56" i="175"/>
  <c r="AH56" i="175"/>
  <c r="AG56" i="175"/>
  <c r="AF56" i="175"/>
  <c r="AE56" i="175"/>
  <c r="AD56" i="175"/>
  <c r="AC56" i="175"/>
  <c r="AB56" i="175"/>
  <c r="AA56" i="175"/>
  <c r="Z56" i="175"/>
  <c r="Y56" i="175"/>
  <c r="V56" i="175"/>
  <c r="X56" i="175" s="1"/>
  <c r="AJ55" i="175"/>
  <c r="AI55" i="175"/>
  <c r="AH55" i="175"/>
  <c r="AG55" i="175"/>
  <c r="AF55" i="175"/>
  <c r="AE55" i="175"/>
  <c r="AD55" i="175"/>
  <c r="AC55" i="175"/>
  <c r="AB55" i="175"/>
  <c r="AA55" i="175"/>
  <c r="Z55" i="175"/>
  <c r="Y55" i="175"/>
  <c r="V55" i="175"/>
  <c r="X55" i="175" s="1"/>
  <c r="AJ54" i="175"/>
  <c r="AI54" i="175"/>
  <c r="AH54" i="175"/>
  <c r="AG54" i="175"/>
  <c r="AF54" i="175"/>
  <c r="AE54" i="175"/>
  <c r="AD54" i="175"/>
  <c r="AC54" i="175"/>
  <c r="AB54" i="175"/>
  <c r="AA54" i="175"/>
  <c r="Z54" i="175"/>
  <c r="Y54" i="175"/>
  <c r="V54" i="175"/>
  <c r="X54" i="175" s="1"/>
  <c r="AJ53" i="175"/>
  <c r="AI53" i="175"/>
  <c r="AH53" i="175"/>
  <c r="AG53" i="175"/>
  <c r="AF53" i="175"/>
  <c r="AE53" i="175"/>
  <c r="AD53" i="175"/>
  <c r="AC53" i="175"/>
  <c r="AB53" i="175"/>
  <c r="AA53" i="175"/>
  <c r="Z53" i="175"/>
  <c r="Y53" i="175"/>
  <c r="V53" i="175"/>
  <c r="X53" i="175" s="1"/>
  <c r="AJ52" i="175"/>
  <c r="AI52" i="175"/>
  <c r="AH52" i="175"/>
  <c r="AG52" i="175"/>
  <c r="AF52" i="175"/>
  <c r="AE52" i="175"/>
  <c r="AD52" i="175"/>
  <c r="AC52" i="175"/>
  <c r="AB52" i="175"/>
  <c r="AA52" i="175"/>
  <c r="Z52" i="175"/>
  <c r="Y52" i="175"/>
  <c r="V52" i="175"/>
  <c r="X52" i="175" s="1"/>
  <c r="AJ51" i="175"/>
  <c r="AI51" i="175"/>
  <c r="AH51" i="175"/>
  <c r="AG51" i="175"/>
  <c r="AF51" i="175"/>
  <c r="AE51" i="175"/>
  <c r="AD51" i="175"/>
  <c r="AC51" i="175"/>
  <c r="AB51" i="175"/>
  <c r="AA51" i="175"/>
  <c r="Z51" i="175"/>
  <c r="Y51" i="175"/>
  <c r="V51" i="175"/>
  <c r="X51" i="175" s="1"/>
  <c r="AJ50" i="175"/>
  <c r="AI50" i="175"/>
  <c r="AH50" i="175"/>
  <c r="AG50" i="175"/>
  <c r="AF50" i="175"/>
  <c r="AE50" i="175"/>
  <c r="AD50" i="175"/>
  <c r="AC50" i="175"/>
  <c r="AB50" i="175"/>
  <c r="AA50" i="175"/>
  <c r="Z50" i="175"/>
  <c r="Y50" i="175"/>
  <c r="V50" i="175"/>
  <c r="X50" i="175" s="1"/>
  <c r="AJ47" i="175"/>
  <c r="AI47" i="175"/>
  <c r="AH47" i="175"/>
  <c r="AG47" i="175"/>
  <c r="AF47" i="175"/>
  <c r="AE47" i="175"/>
  <c r="AD47" i="175"/>
  <c r="AC47" i="175"/>
  <c r="AB47" i="175"/>
  <c r="AA47" i="175"/>
  <c r="Z47" i="175"/>
  <c r="Y47" i="175"/>
  <c r="V47" i="175"/>
  <c r="X47" i="175" s="1"/>
  <c r="AJ46" i="175"/>
  <c r="AI46" i="175"/>
  <c r="AH46" i="175"/>
  <c r="AG46" i="175"/>
  <c r="AF46" i="175"/>
  <c r="AE46" i="175"/>
  <c r="AD46" i="175"/>
  <c r="AC46" i="175"/>
  <c r="AB46" i="175"/>
  <c r="AA46" i="175"/>
  <c r="Z46" i="175"/>
  <c r="Y46" i="175"/>
  <c r="V46" i="175"/>
  <c r="X46" i="175" s="1"/>
  <c r="AJ45" i="175"/>
  <c r="AI45" i="175"/>
  <c r="AH45" i="175"/>
  <c r="AG45" i="175"/>
  <c r="AF45" i="175"/>
  <c r="AE45" i="175"/>
  <c r="AD45" i="175"/>
  <c r="AC45" i="175"/>
  <c r="AB45" i="175"/>
  <c r="AA45" i="175"/>
  <c r="Z45" i="175"/>
  <c r="Y45" i="175"/>
  <c r="V45" i="175"/>
  <c r="X45" i="175" s="1"/>
  <c r="AJ44" i="175"/>
  <c r="AI44" i="175"/>
  <c r="AH44" i="175"/>
  <c r="AG44" i="175"/>
  <c r="AF44" i="175"/>
  <c r="AE44" i="175"/>
  <c r="AD44" i="175"/>
  <c r="AC44" i="175"/>
  <c r="AB44" i="175"/>
  <c r="AA44" i="175"/>
  <c r="Z44" i="175"/>
  <c r="Y44" i="175"/>
  <c r="V44" i="175"/>
  <c r="X44" i="175" s="1"/>
  <c r="AJ43" i="175"/>
  <c r="AI43" i="175"/>
  <c r="AH43" i="175"/>
  <c r="AG43" i="175"/>
  <c r="AF43" i="175"/>
  <c r="AE43" i="175"/>
  <c r="AD43" i="175"/>
  <c r="AC43" i="175"/>
  <c r="AB43" i="175"/>
  <c r="AA43" i="175"/>
  <c r="Z43" i="175"/>
  <c r="Y43" i="175"/>
  <c r="V43" i="175"/>
  <c r="X43" i="175" s="1"/>
  <c r="AJ42" i="175"/>
  <c r="AI42" i="175"/>
  <c r="AH42" i="175"/>
  <c r="AG42" i="175"/>
  <c r="AF42" i="175"/>
  <c r="AE42" i="175"/>
  <c r="AD42" i="175"/>
  <c r="AC42" i="175"/>
  <c r="AB42" i="175"/>
  <c r="AA42" i="175"/>
  <c r="Z42" i="175"/>
  <c r="Y42" i="175"/>
  <c r="V42" i="175"/>
  <c r="E63" i="175"/>
  <c r="E61" i="175"/>
  <c r="E59" i="175"/>
  <c r="E56" i="175"/>
  <c r="E55" i="175"/>
  <c r="E54" i="175"/>
  <c r="E53" i="175"/>
  <c r="E52" i="175"/>
  <c r="E47" i="175"/>
  <c r="E46" i="175"/>
  <c r="E45" i="175"/>
  <c r="E44" i="175"/>
  <c r="E43" i="175"/>
  <c r="E42" i="175"/>
  <c r="AL146" i="178"/>
  <c r="AK146" i="178"/>
  <c r="AJ146" i="178"/>
  <c r="AI146" i="178"/>
  <c r="AH146" i="178"/>
  <c r="AG146" i="178"/>
  <c r="AF146" i="178"/>
  <c r="AE146" i="178"/>
  <c r="AD146" i="178"/>
  <c r="AC146" i="178"/>
  <c r="AB146" i="178"/>
  <c r="AA146" i="178"/>
  <c r="Z146" i="178"/>
  <c r="S146" i="178"/>
  <c r="R146" i="178"/>
  <c r="Q146" i="178"/>
  <c r="P146" i="178"/>
  <c r="O146" i="178"/>
  <c r="N146" i="178"/>
  <c r="M146" i="178"/>
  <c r="L146" i="178"/>
  <c r="K146" i="178"/>
  <c r="J146" i="178"/>
  <c r="I146" i="178"/>
  <c r="H146" i="178"/>
  <c r="G146" i="178"/>
  <c r="S204" i="178"/>
  <c r="R204" i="178"/>
  <c r="Q204" i="178"/>
  <c r="P204" i="178"/>
  <c r="O204" i="178"/>
  <c r="N204" i="178"/>
  <c r="M204" i="178"/>
  <c r="L204" i="178"/>
  <c r="K204" i="178"/>
  <c r="J204" i="178"/>
  <c r="I204" i="178"/>
  <c r="H204" i="178"/>
  <c r="D204" i="178"/>
  <c r="G204" i="178" s="1"/>
  <c r="S203" i="178"/>
  <c r="R203" i="178"/>
  <c r="Q203" i="178"/>
  <c r="P203" i="178"/>
  <c r="O203" i="178"/>
  <c r="N203" i="178"/>
  <c r="M203" i="178"/>
  <c r="L203" i="178"/>
  <c r="K203" i="178"/>
  <c r="J203" i="178"/>
  <c r="I203" i="178"/>
  <c r="H203" i="178"/>
  <c r="D203" i="178"/>
  <c r="G203" i="178" s="1"/>
  <c r="S202" i="178"/>
  <c r="R202" i="178"/>
  <c r="Q202" i="178"/>
  <c r="P202" i="178"/>
  <c r="O202" i="178"/>
  <c r="N202" i="178"/>
  <c r="M202" i="178"/>
  <c r="L202" i="178"/>
  <c r="K202" i="178"/>
  <c r="J202" i="178"/>
  <c r="I202" i="178"/>
  <c r="H202" i="178"/>
  <c r="D202" i="178"/>
  <c r="G202" i="178" s="1"/>
  <c r="S201" i="178"/>
  <c r="R201" i="178"/>
  <c r="Q201" i="178"/>
  <c r="P201" i="178"/>
  <c r="O201" i="178"/>
  <c r="N201" i="178"/>
  <c r="M201" i="178"/>
  <c r="L201" i="178"/>
  <c r="K201" i="178"/>
  <c r="J201" i="178"/>
  <c r="I201" i="178"/>
  <c r="H201" i="178"/>
  <c r="D201" i="178"/>
  <c r="G201" i="178" s="1"/>
  <c r="S200" i="178"/>
  <c r="R200" i="178"/>
  <c r="Q200" i="178"/>
  <c r="P200" i="178"/>
  <c r="O200" i="178"/>
  <c r="N200" i="178"/>
  <c r="M200" i="178"/>
  <c r="L200" i="178"/>
  <c r="K200" i="178"/>
  <c r="J200" i="178"/>
  <c r="I200" i="178"/>
  <c r="H200" i="178"/>
  <c r="D200" i="178"/>
  <c r="G200" i="178" s="1"/>
  <c r="S199" i="178"/>
  <c r="R199" i="178"/>
  <c r="Q199" i="178"/>
  <c r="P199" i="178"/>
  <c r="O199" i="178"/>
  <c r="N199" i="178"/>
  <c r="M199" i="178"/>
  <c r="L199" i="178"/>
  <c r="K199" i="178"/>
  <c r="J199" i="178"/>
  <c r="I199" i="178"/>
  <c r="H199" i="178"/>
  <c r="D199" i="178"/>
  <c r="G199" i="178" s="1"/>
  <c r="S198" i="178"/>
  <c r="R198" i="178"/>
  <c r="Q198" i="178"/>
  <c r="P198" i="178"/>
  <c r="O198" i="178"/>
  <c r="N198" i="178"/>
  <c r="M198" i="178"/>
  <c r="L198" i="178"/>
  <c r="K198" i="178"/>
  <c r="J198" i="178"/>
  <c r="I198" i="178"/>
  <c r="H198" i="178"/>
  <c r="D198" i="178"/>
  <c r="G198" i="178" s="1"/>
  <c r="S197" i="178"/>
  <c r="R197" i="178"/>
  <c r="Q197" i="178"/>
  <c r="P197" i="178"/>
  <c r="O197" i="178"/>
  <c r="N197" i="178"/>
  <c r="M197" i="178"/>
  <c r="L197" i="178"/>
  <c r="K197" i="178"/>
  <c r="J197" i="178"/>
  <c r="I197" i="178"/>
  <c r="H197" i="178"/>
  <c r="D197" i="178"/>
  <c r="G197" i="178" s="1"/>
  <c r="S196" i="178"/>
  <c r="R196" i="178"/>
  <c r="Q196" i="178"/>
  <c r="P196" i="178"/>
  <c r="O196" i="178"/>
  <c r="N196" i="178"/>
  <c r="M196" i="178"/>
  <c r="L196" i="178"/>
  <c r="K196" i="178"/>
  <c r="J196" i="178"/>
  <c r="I196" i="178"/>
  <c r="H196" i="178"/>
  <c r="D196" i="178"/>
  <c r="G196" i="178" s="1"/>
  <c r="S195" i="178"/>
  <c r="R195" i="178"/>
  <c r="Q195" i="178"/>
  <c r="P195" i="178"/>
  <c r="O195" i="178"/>
  <c r="N195" i="178"/>
  <c r="M195" i="178"/>
  <c r="L195" i="178"/>
  <c r="K195" i="178"/>
  <c r="J195" i="178"/>
  <c r="I195" i="178"/>
  <c r="H195" i="178"/>
  <c r="D195" i="178"/>
  <c r="G195" i="178" s="1"/>
  <c r="S194" i="178"/>
  <c r="R194" i="178"/>
  <c r="Q194" i="178"/>
  <c r="P194" i="178"/>
  <c r="O194" i="178"/>
  <c r="N194" i="178"/>
  <c r="M194" i="178"/>
  <c r="L194" i="178"/>
  <c r="K194" i="178"/>
  <c r="J194" i="178"/>
  <c r="I194" i="178"/>
  <c r="H194" i="178"/>
  <c r="D194" i="178"/>
  <c r="G194" i="178" s="1"/>
  <c r="S193" i="178"/>
  <c r="R193" i="178"/>
  <c r="Q193" i="178"/>
  <c r="P193" i="178"/>
  <c r="O193" i="178"/>
  <c r="N193" i="178"/>
  <c r="M193" i="178"/>
  <c r="L193" i="178"/>
  <c r="K193" i="178"/>
  <c r="J193" i="178"/>
  <c r="I193" i="178"/>
  <c r="H193" i="178"/>
  <c r="D193" i="178"/>
  <c r="G193" i="178" s="1"/>
  <c r="S192" i="178"/>
  <c r="R192" i="178"/>
  <c r="Q192" i="178"/>
  <c r="P192" i="178"/>
  <c r="O192" i="178"/>
  <c r="N192" i="178"/>
  <c r="M192" i="178"/>
  <c r="L192" i="178"/>
  <c r="K192" i="178"/>
  <c r="J192" i="178"/>
  <c r="I192" i="178"/>
  <c r="H192" i="178"/>
  <c r="D192" i="178"/>
  <c r="G192" i="178" s="1"/>
  <c r="S191" i="178"/>
  <c r="R191" i="178"/>
  <c r="Q191" i="178"/>
  <c r="P191" i="178"/>
  <c r="O191" i="178"/>
  <c r="N191" i="178"/>
  <c r="M191" i="178"/>
  <c r="L191" i="178"/>
  <c r="K191" i="178"/>
  <c r="J191" i="178"/>
  <c r="I191" i="178"/>
  <c r="H191" i="178"/>
  <c r="D191" i="178"/>
  <c r="G191" i="178" s="1"/>
  <c r="S190" i="178"/>
  <c r="R190" i="178"/>
  <c r="Q190" i="178"/>
  <c r="P190" i="178"/>
  <c r="O190" i="178"/>
  <c r="N190" i="178"/>
  <c r="M190" i="178"/>
  <c r="L190" i="178"/>
  <c r="K190" i="178"/>
  <c r="J190" i="178"/>
  <c r="I190" i="178"/>
  <c r="H190" i="178"/>
  <c r="D190" i="178"/>
  <c r="G190" i="178" s="1"/>
  <c r="S181" i="178"/>
  <c r="R181" i="178"/>
  <c r="Q181" i="178"/>
  <c r="P181" i="178"/>
  <c r="O181" i="178"/>
  <c r="N181" i="178"/>
  <c r="M181" i="178"/>
  <c r="L181" i="178"/>
  <c r="K181" i="178"/>
  <c r="J181" i="178"/>
  <c r="I181" i="178"/>
  <c r="H181" i="178"/>
  <c r="D181" i="178"/>
  <c r="G181" i="178" s="1"/>
  <c r="S180" i="178"/>
  <c r="R180" i="178"/>
  <c r="Q180" i="178"/>
  <c r="P180" i="178"/>
  <c r="O180" i="178"/>
  <c r="N180" i="178"/>
  <c r="M180" i="178"/>
  <c r="L180" i="178"/>
  <c r="K180" i="178"/>
  <c r="J180" i="178"/>
  <c r="I180" i="178"/>
  <c r="H180" i="178"/>
  <c r="D180" i="178"/>
  <c r="G180" i="178" s="1"/>
  <c r="S179" i="178"/>
  <c r="R179" i="178"/>
  <c r="Q179" i="178"/>
  <c r="P179" i="178"/>
  <c r="O179" i="178"/>
  <c r="N179" i="178"/>
  <c r="M179" i="178"/>
  <c r="L179" i="178"/>
  <c r="K179" i="178"/>
  <c r="J179" i="178"/>
  <c r="I179" i="178"/>
  <c r="H179" i="178"/>
  <c r="D179" i="178"/>
  <c r="G179" i="178" s="1"/>
  <c r="S178" i="178"/>
  <c r="R178" i="178"/>
  <c r="Q178" i="178"/>
  <c r="P178" i="178"/>
  <c r="O178" i="178"/>
  <c r="N178" i="178"/>
  <c r="M178" i="178"/>
  <c r="L178" i="178"/>
  <c r="K178" i="178"/>
  <c r="J178" i="178"/>
  <c r="I178" i="178"/>
  <c r="H178" i="178"/>
  <c r="D178" i="178"/>
  <c r="G178" i="178" s="1"/>
  <c r="S177" i="178"/>
  <c r="R177" i="178"/>
  <c r="Q177" i="178"/>
  <c r="P177" i="178"/>
  <c r="O177" i="178"/>
  <c r="N177" i="178"/>
  <c r="M177" i="178"/>
  <c r="L177" i="178"/>
  <c r="K177" i="178"/>
  <c r="J177" i="178"/>
  <c r="I177" i="178"/>
  <c r="H177" i="178"/>
  <c r="D177" i="178"/>
  <c r="G177" i="178" s="1"/>
  <c r="S176" i="178"/>
  <c r="R176" i="178"/>
  <c r="Q176" i="178"/>
  <c r="P176" i="178"/>
  <c r="O176" i="178"/>
  <c r="N176" i="178"/>
  <c r="M176" i="178"/>
  <c r="L176" i="178"/>
  <c r="K176" i="178"/>
  <c r="J176" i="178"/>
  <c r="I176" i="178"/>
  <c r="H176" i="178"/>
  <c r="D176" i="178"/>
  <c r="G176" i="178" s="1"/>
  <c r="S175" i="178"/>
  <c r="R175" i="178"/>
  <c r="Q175" i="178"/>
  <c r="P175" i="178"/>
  <c r="O175" i="178"/>
  <c r="N175" i="178"/>
  <c r="M175" i="178"/>
  <c r="L175" i="178"/>
  <c r="K175" i="178"/>
  <c r="J175" i="178"/>
  <c r="I175" i="178"/>
  <c r="H175" i="178"/>
  <c r="D175" i="178"/>
  <c r="G175" i="178" s="1"/>
  <c r="S174" i="178"/>
  <c r="R174" i="178"/>
  <c r="Q174" i="178"/>
  <c r="P174" i="178"/>
  <c r="O174" i="178"/>
  <c r="N174" i="178"/>
  <c r="M174" i="178"/>
  <c r="L174" i="178"/>
  <c r="K174" i="178"/>
  <c r="J174" i="178"/>
  <c r="I174" i="178"/>
  <c r="H174" i="178"/>
  <c r="D174" i="178"/>
  <c r="G174" i="178" s="1"/>
  <c r="S173" i="178"/>
  <c r="R173" i="178"/>
  <c r="Q173" i="178"/>
  <c r="P173" i="178"/>
  <c r="O173" i="178"/>
  <c r="N173" i="178"/>
  <c r="M173" i="178"/>
  <c r="L173" i="178"/>
  <c r="K173" i="178"/>
  <c r="J173" i="178"/>
  <c r="I173" i="178"/>
  <c r="H173" i="178"/>
  <c r="D173" i="178"/>
  <c r="G173" i="178" s="1"/>
  <c r="S172" i="178"/>
  <c r="R172" i="178"/>
  <c r="Q172" i="178"/>
  <c r="P172" i="178"/>
  <c r="O172" i="178"/>
  <c r="N172" i="178"/>
  <c r="M172" i="178"/>
  <c r="L172" i="178"/>
  <c r="K172" i="178"/>
  <c r="J172" i="178"/>
  <c r="I172" i="178"/>
  <c r="H172" i="178"/>
  <c r="D172" i="178"/>
  <c r="G172" i="178" s="1"/>
  <c r="S171" i="178"/>
  <c r="R171" i="178"/>
  <c r="Q171" i="178"/>
  <c r="P171" i="178"/>
  <c r="O171" i="178"/>
  <c r="N171" i="178"/>
  <c r="M171" i="178"/>
  <c r="L171" i="178"/>
  <c r="K171" i="178"/>
  <c r="J171" i="178"/>
  <c r="I171" i="178"/>
  <c r="H171" i="178"/>
  <c r="D171" i="178"/>
  <c r="G171" i="178" s="1"/>
  <c r="S170" i="178"/>
  <c r="R170" i="178"/>
  <c r="Q170" i="178"/>
  <c r="P170" i="178"/>
  <c r="O170" i="178"/>
  <c r="N170" i="178"/>
  <c r="M170" i="178"/>
  <c r="L170" i="178"/>
  <c r="K170" i="178"/>
  <c r="J170" i="178"/>
  <c r="I170" i="178"/>
  <c r="H170" i="178"/>
  <c r="D170" i="178"/>
  <c r="G170" i="178" s="1"/>
  <c r="S169" i="178"/>
  <c r="R169" i="178"/>
  <c r="Q169" i="178"/>
  <c r="P169" i="178"/>
  <c r="O169" i="178"/>
  <c r="N169" i="178"/>
  <c r="M169" i="178"/>
  <c r="L169" i="178"/>
  <c r="K169" i="178"/>
  <c r="J169" i="178"/>
  <c r="I169" i="178"/>
  <c r="H169" i="178"/>
  <c r="D169" i="178"/>
  <c r="G169" i="178" s="1"/>
  <c r="S168" i="178"/>
  <c r="R168" i="178"/>
  <c r="Q168" i="178"/>
  <c r="P168" i="178"/>
  <c r="O168" i="178"/>
  <c r="N168" i="178"/>
  <c r="M168" i="178"/>
  <c r="L168" i="178"/>
  <c r="K168" i="178"/>
  <c r="J168" i="178"/>
  <c r="I168" i="178"/>
  <c r="H168" i="178"/>
  <c r="D168" i="178"/>
  <c r="G168" i="178" s="1"/>
  <c r="S167" i="178"/>
  <c r="R167" i="178"/>
  <c r="Q167" i="178"/>
  <c r="P167" i="178"/>
  <c r="O167" i="178"/>
  <c r="N167" i="178"/>
  <c r="M167" i="178"/>
  <c r="L167" i="178"/>
  <c r="K167" i="178"/>
  <c r="J167" i="178"/>
  <c r="I167" i="178"/>
  <c r="H167" i="178"/>
  <c r="D167" i="178"/>
  <c r="G167" i="178" s="1"/>
  <c r="S166" i="178"/>
  <c r="R166" i="178"/>
  <c r="Q166" i="178"/>
  <c r="P166" i="178"/>
  <c r="O166" i="178"/>
  <c r="N166" i="178"/>
  <c r="M166" i="178"/>
  <c r="L166" i="178"/>
  <c r="K166" i="178"/>
  <c r="J166" i="178"/>
  <c r="I166" i="178"/>
  <c r="H166" i="178"/>
  <c r="D166" i="178"/>
  <c r="G166" i="178" s="1"/>
  <c r="S165" i="178"/>
  <c r="R165" i="178"/>
  <c r="Q165" i="178"/>
  <c r="P165" i="178"/>
  <c r="O165" i="178"/>
  <c r="N165" i="178"/>
  <c r="M165" i="178"/>
  <c r="L165" i="178"/>
  <c r="K165" i="178"/>
  <c r="J165" i="178"/>
  <c r="I165" i="178"/>
  <c r="H165" i="178"/>
  <c r="D165" i="178"/>
  <c r="G165" i="178" s="1"/>
  <c r="S164" i="178"/>
  <c r="R164" i="178"/>
  <c r="Q164" i="178"/>
  <c r="P164" i="178"/>
  <c r="O164" i="178"/>
  <c r="N164" i="178"/>
  <c r="M164" i="178"/>
  <c r="L164" i="178"/>
  <c r="K164" i="178"/>
  <c r="J164" i="178"/>
  <c r="I164" i="178"/>
  <c r="H164" i="178"/>
  <c r="D164" i="178"/>
  <c r="G164" i="178" s="1"/>
  <c r="S161" i="178"/>
  <c r="R161" i="178"/>
  <c r="Q161" i="178"/>
  <c r="P161" i="178"/>
  <c r="O161" i="178"/>
  <c r="N161" i="178"/>
  <c r="M161" i="178"/>
  <c r="L161" i="178"/>
  <c r="K161" i="178"/>
  <c r="J161" i="178"/>
  <c r="I161" i="178"/>
  <c r="H161" i="178"/>
  <c r="D161" i="178"/>
  <c r="G161" i="178" s="1"/>
  <c r="S160" i="178"/>
  <c r="R160" i="178"/>
  <c r="Q160" i="178"/>
  <c r="P160" i="178"/>
  <c r="O160" i="178"/>
  <c r="N160" i="178"/>
  <c r="M160" i="178"/>
  <c r="L160" i="178"/>
  <c r="K160" i="178"/>
  <c r="J160" i="178"/>
  <c r="I160" i="178"/>
  <c r="H160" i="178"/>
  <c r="D160" i="178"/>
  <c r="G160" i="178" s="1"/>
  <c r="S159" i="178"/>
  <c r="R159" i="178"/>
  <c r="Q159" i="178"/>
  <c r="P159" i="178"/>
  <c r="O159" i="178"/>
  <c r="N159" i="178"/>
  <c r="M159" i="178"/>
  <c r="L159" i="178"/>
  <c r="K159" i="178"/>
  <c r="J159" i="178"/>
  <c r="I159" i="178"/>
  <c r="H159" i="178"/>
  <c r="D159" i="178"/>
  <c r="G159" i="178" s="1"/>
  <c r="S158" i="178"/>
  <c r="R158" i="178"/>
  <c r="Q158" i="178"/>
  <c r="P158" i="178"/>
  <c r="O158" i="178"/>
  <c r="N158" i="178"/>
  <c r="M158" i="178"/>
  <c r="L158" i="178"/>
  <c r="K158" i="178"/>
  <c r="J158" i="178"/>
  <c r="I158" i="178"/>
  <c r="H158" i="178"/>
  <c r="D158" i="178"/>
  <c r="G158" i="178" s="1"/>
  <c r="S157" i="178"/>
  <c r="R157" i="178"/>
  <c r="Q157" i="178"/>
  <c r="P157" i="178"/>
  <c r="O157" i="178"/>
  <c r="N157" i="178"/>
  <c r="M157" i="178"/>
  <c r="L157" i="178"/>
  <c r="K157" i="178"/>
  <c r="J157" i="178"/>
  <c r="I157" i="178"/>
  <c r="H157" i="178"/>
  <c r="D157" i="178"/>
  <c r="G157" i="178" s="1"/>
  <c r="S156" i="178"/>
  <c r="R156" i="178"/>
  <c r="Q156" i="178"/>
  <c r="P156" i="178"/>
  <c r="O156" i="178"/>
  <c r="N156" i="178"/>
  <c r="M156" i="178"/>
  <c r="L156" i="178"/>
  <c r="K156" i="178"/>
  <c r="J156" i="178"/>
  <c r="I156" i="178"/>
  <c r="H156" i="178"/>
  <c r="D156" i="178"/>
  <c r="G156" i="178" s="1"/>
  <c r="S155" i="178"/>
  <c r="R155" i="178"/>
  <c r="Q155" i="178"/>
  <c r="P155" i="178"/>
  <c r="O155" i="178"/>
  <c r="N155" i="178"/>
  <c r="M155" i="178"/>
  <c r="L155" i="178"/>
  <c r="K155" i="178"/>
  <c r="J155" i="178"/>
  <c r="I155" i="178"/>
  <c r="H155" i="178"/>
  <c r="D155" i="178"/>
  <c r="G155" i="178" s="1"/>
  <c r="S154" i="178"/>
  <c r="R154" i="178"/>
  <c r="Q154" i="178"/>
  <c r="P154" i="178"/>
  <c r="O154" i="178"/>
  <c r="N154" i="178"/>
  <c r="M154" i="178"/>
  <c r="L154" i="178"/>
  <c r="K154" i="178"/>
  <c r="J154" i="178"/>
  <c r="I154" i="178"/>
  <c r="H154" i="178"/>
  <c r="D154" i="178"/>
  <c r="G154" i="178" s="1"/>
  <c r="S153" i="178"/>
  <c r="R153" i="178"/>
  <c r="Q153" i="178"/>
  <c r="P153" i="178"/>
  <c r="O153" i="178"/>
  <c r="N153" i="178"/>
  <c r="M153" i="178"/>
  <c r="L153" i="178"/>
  <c r="K153" i="178"/>
  <c r="J153" i="178"/>
  <c r="I153" i="178"/>
  <c r="H153" i="178"/>
  <c r="D153" i="178"/>
  <c r="G153" i="178" s="1"/>
  <c r="S152" i="178"/>
  <c r="R152" i="178"/>
  <c r="Q152" i="178"/>
  <c r="P152" i="178"/>
  <c r="O152" i="178"/>
  <c r="N152" i="178"/>
  <c r="M152" i="178"/>
  <c r="L152" i="178"/>
  <c r="K152" i="178"/>
  <c r="J152" i="178"/>
  <c r="I152" i="178"/>
  <c r="H152" i="178"/>
  <c r="D152" i="178"/>
  <c r="G152" i="178" s="1"/>
  <c r="S151" i="178"/>
  <c r="R151" i="178"/>
  <c r="Q151" i="178"/>
  <c r="P151" i="178"/>
  <c r="O151" i="178"/>
  <c r="N151" i="178"/>
  <c r="M151" i="178"/>
  <c r="L151" i="178"/>
  <c r="K151" i="178"/>
  <c r="J151" i="178"/>
  <c r="I151" i="178"/>
  <c r="H151" i="178"/>
  <c r="D151" i="178"/>
  <c r="G151" i="178" s="1"/>
  <c r="S150" i="178"/>
  <c r="R150" i="178"/>
  <c r="Q150" i="178"/>
  <c r="P150" i="178"/>
  <c r="O150" i="178"/>
  <c r="N150" i="178"/>
  <c r="M150" i="178"/>
  <c r="L150" i="178"/>
  <c r="K150" i="178"/>
  <c r="J150" i="178"/>
  <c r="I150" i="178"/>
  <c r="H150" i="178"/>
  <c r="D150" i="178"/>
  <c r="G150" i="178" s="1"/>
  <c r="Z134" i="178"/>
  <c r="Z133" i="178"/>
  <c r="Z132" i="178"/>
  <c r="Z131" i="178"/>
  <c r="Z130" i="178"/>
  <c r="Z129" i="178"/>
  <c r="Z128" i="178"/>
  <c r="Z127" i="178"/>
  <c r="Z126" i="178"/>
  <c r="Z125" i="178"/>
  <c r="Z122" i="178"/>
  <c r="Z121" i="178"/>
  <c r="Z120" i="178"/>
  <c r="Z119" i="178"/>
  <c r="Z118" i="178"/>
  <c r="Z117" i="178"/>
  <c r="E119" i="288"/>
  <c r="Z116" i="178"/>
  <c r="Z115" i="178"/>
  <c r="Z114" i="178"/>
  <c r="E147" i="288"/>
  <c r="Z113" i="178"/>
  <c r="Z110" i="178"/>
  <c r="Z109" i="178"/>
  <c r="Z108" i="178"/>
  <c r="Z106" i="178"/>
  <c r="Z105" i="178"/>
  <c r="X107" i="178"/>
  <c r="Z103" i="178"/>
  <c r="Z102" i="178"/>
  <c r="Z99" i="178"/>
  <c r="Z98" i="178"/>
  <c r="Z96" i="178"/>
  <c r="Z93" i="178"/>
  <c r="Z91" i="178"/>
  <c r="Z90" i="178"/>
  <c r="Z86" i="178"/>
  <c r="Z85" i="178"/>
  <c r="Z83" i="178"/>
  <c r="Z82" i="178"/>
  <c r="Z81" i="178"/>
  <c r="Z77" i="178"/>
  <c r="Z76" i="178"/>
  <c r="S135" i="178"/>
  <c r="R135" i="178"/>
  <c r="Q135" i="178"/>
  <c r="P135" i="178"/>
  <c r="O135" i="178"/>
  <c r="N135" i="178"/>
  <c r="M135" i="178"/>
  <c r="L135" i="178"/>
  <c r="K135" i="178"/>
  <c r="J135" i="178"/>
  <c r="I135" i="178"/>
  <c r="H135" i="178"/>
  <c r="D135" i="178"/>
  <c r="G135" i="178" s="1"/>
  <c r="S134" i="178"/>
  <c r="R134" i="178"/>
  <c r="Q134" i="178"/>
  <c r="P134" i="178"/>
  <c r="O134" i="178"/>
  <c r="N134" i="178"/>
  <c r="M134" i="178"/>
  <c r="L134" i="178"/>
  <c r="K134" i="178"/>
  <c r="J134" i="178"/>
  <c r="I134" i="178"/>
  <c r="H134" i="178"/>
  <c r="D134" i="178"/>
  <c r="G134" i="178" s="1"/>
  <c r="S133" i="178"/>
  <c r="R133" i="178"/>
  <c r="Q133" i="178"/>
  <c r="P133" i="178"/>
  <c r="O133" i="178"/>
  <c r="N133" i="178"/>
  <c r="M133" i="178"/>
  <c r="L133" i="178"/>
  <c r="K133" i="178"/>
  <c r="J133" i="178"/>
  <c r="I133" i="178"/>
  <c r="H133" i="178"/>
  <c r="D133" i="178"/>
  <c r="G133" i="178" s="1"/>
  <c r="S132" i="178"/>
  <c r="R132" i="178"/>
  <c r="Q132" i="178"/>
  <c r="P132" i="178"/>
  <c r="O132" i="178"/>
  <c r="N132" i="178"/>
  <c r="M132" i="178"/>
  <c r="L132" i="178"/>
  <c r="K132" i="178"/>
  <c r="J132" i="178"/>
  <c r="I132" i="178"/>
  <c r="H132" i="178"/>
  <c r="D132" i="178"/>
  <c r="G132" i="178" s="1"/>
  <c r="S131" i="178"/>
  <c r="R131" i="178"/>
  <c r="Q131" i="178"/>
  <c r="P131" i="178"/>
  <c r="O131" i="178"/>
  <c r="N131" i="178"/>
  <c r="M131" i="178"/>
  <c r="L131" i="178"/>
  <c r="K131" i="178"/>
  <c r="J131" i="178"/>
  <c r="I131" i="178"/>
  <c r="H131" i="178"/>
  <c r="D131" i="178"/>
  <c r="G131" i="178" s="1"/>
  <c r="S130" i="178"/>
  <c r="R130" i="178"/>
  <c r="Q130" i="178"/>
  <c r="P130" i="178"/>
  <c r="O130" i="178"/>
  <c r="N130" i="178"/>
  <c r="M130" i="178"/>
  <c r="L130" i="178"/>
  <c r="K130" i="178"/>
  <c r="J130" i="178"/>
  <c r="I130" i="178"/>
  <c r="H130" i="178"/>
  <c r="D130" i="178"/>
  <c r="G130" i="178" s="1"/>
  <c r="S129" i="178"/>
  <c r="R129" i="178"/>
  <c r="Q129" i="178"/>
  <c r="P129" i="178"/>
  <c r="O129" i="178"/>
  <c r="N129" i="178"/>
  <c r="M129" i="178"/>
  <c r="L129" i="178"/>
  <c r="K129" i="178"/>
  <c r="J129" i="178"/>
  <c r="I129" i="178"/>
  <c r="H129" i="178"/>
  <c r="D129" i="178"/>
  <c r="G129" i="178" s="1"/>
  <c r="S128" i="178"/>
  <c r="R128" i="178"/>
  <c r="Q128" i="178"/>
  <c r="P128" i="178"/>
  <c r="O128" i="178"/>
  <c r="N128" i="178"/>
  <c r="M128" i="178"/>
  <c r="L128" i="178"/>
  <c r="K128" i="178"/>
  <c r="J128" i="178"/>
  <c r="I128" i="178"/>
  <c r="H128" i="178"/>
  <c r="D128" i="178"/>
  <c r="G128" i="178" s="1"/>
  <c r="S127" i="178"/>
  <c r="R127" i="178"/>
  <c r="Q127" i="178"/>
  <c r="P127" i="178"/>
  <c r="O127" i="178"/>
  <c r="N127" i="178"/>
  <c r="M127" i="178"/>
  <c r="L127" i="178"/>
  <c r="K127" i="178"/>
  <c r="J127" i="178"/>
  <c r="I127" i="178"/>
  <c r="H127" i="178"/>
  <c r="D127" i="178"/>
  <c r="G127" i="178" s="1"/>
  <c r="S126" i="178"/>
  <c r="R126" i="178"/>
  <c r="Q126" i="178"/>
  <c r="P126" i="178"/>
  <c r="O126" i="178"/>
  <c r="N126" i="178"/>
  <c r="M126" i="178"/>
  <c r="L126" i="178"/>
  <c r="K126" i="178"/>
  <c r="J126" i="178"/>
  <c r="I126" i="178"/>
  <c r="H126" i="178"/>
  <c r="D126" i="178"/>
  <c r="G126" i="178" s="1"/>
  <c r="S125" i="178"/>
  <c r="R125" i="178"/>
  <c r="Q125" i="178"/>
  <c r="P125" i="178"/>
  <c r="O125" i="178"/>
  <c r="N125" i="178"/>
  <c r="M125" i="178"/>
  <c r="L125" i="178"/>
  <c r="K125" i="178"/>
  <c r="J125" i="178"/>
  <c r="I125" i="178"/>
  <c r="H125" i="178"/>
  <c r="D125" i="178"/>
  <c r="G125" i="178" s="1"/>
  <c r="S124" i="178"/>
  <c r="R124" i="178"/>
  <c r="Q124" i="178"/>
  <c r="P124" i="178"/>
  <c r="O124" i="178"/>
  <c r="N124" i="178"/>
  <c r="M124" i="178"/>
  <c r="L124" i="178"/>
  <c r="K124" i="178"/>
  <c r="J124" i="178"/>
  <c r="I124" i="178"/>
  <c r="H124" i="178"/>
  <c r="D124" i="178"/>
  <c r="G124" i="178" s="1"/>
  <c r="S122" i="178"/>
  <c r="R122" i="178"/>
  <c r="Q122" i="178"/>
  <c r="P122" i="178"/>
  <c r="O122" i="178"/>
  <c r="N122" i="178"/>
  <c r="M122" i="178"/>
  <c r="L122" i="178"/>
  <c r="K122" i="178"/>
  <c r="J122" i="178"/>
  <c r="I122" i="178"/>
  <c r="H122" i="178"/>
  <c r="D122" i="178"/>
  <c r="G122" i="178" s="1"/>
  <c r="S121" i="178"/>
  <c r="R121" i="178"/>
  <c r="Q121" i="178"/>
  <c r="P121" i="178"/>
  <c r="O121" i="178"/>
  <c r="N121" i="178"/>
  <c r="M121" i="178"/>
  <c r="L121" i="178"/>
  <c r="K121" i="178"/>
  <c r="J121" i="178"/>
  <c r="I121" i="178"/>
  <c r="H121" i="178"/>
  <c r="D121" i="178"/>
  <c r="G121" i="178" s="1"/>
  <c r="S120" i="178"/>
  <c r="R120" i="178"/>
  <c r="Q120" i="178"/>
  <c r="P120" i="178"/>
  <c r="O120" i="178"/>
  <c r="N120" i="178"/>
  <c r="M120" i="178"/>
  <c r="L120" i="178"/>
  <c r="K120" i="178"/>
  <c r="J120" i="178"/>
  <c r="I120" i="178"/>
  <c r="H120" i="178"/>
  <c r="D120" i="178"/>
  <c r="G120" i="178" s="1"/>
  <c r="S119" i="178"/>
  <c r="R119" i="178"/>
  <c r="Q119" i="178"/>
  <c r="P119" i="178"/>
  <c r="O119" i="178"/>
  <c r="N119" i="178"/>
  <c r="M119" i="178"/>
  <c r="L119" i="178"/>
  <c r="K119" i="178"/>
  <c r="J119" i="178"/>
  <c r="I119" i="178"/>
  <c r="H119" i="178"/>
  <c r="D119" i="178"/>
  <c r="G119" i="178" s="1"/>
  <c r="S118" i="178"/>
  <c r="R118" i="178"/>
  <c r="Q118" i="178"/>
  <c r="P118" i="178"/>
  <c r="O118" i="178"/>
  <c r="N118" i="178"/>
  <c r="M118" i="178"/>
  <c r="L118" i="178"/>
  <c r="K118" i="178"/>
  <c r="J118" i="178"/>
  <c r="I118" i="178"/>
  <c r="H118" i="178"/>
  <c r="D118" i="178"/>
  <c r="G118" i="178" s="1"/>
  <c r="S117" i="178"/>
  <c r="R117" i="178"/>
  <c r="Q117" i="178"/>
  <c r="P117" i="178"/>
  <c r="O117" i="178"/>
  <c r="N117" i="178"/>
  <c r="M117" i="178"/>
  <c r="L117" i="178"/>
  <c r="K117" i="178"/>
  <c r="J117" i="178"/>
  <c r="I117" i="178"/>
  <c r="H117" i="178"/>
  <c r="D117" i="178"/>
  <c r="G117" i="178" s="1"/>
  <c r="S116" i="178"/>
  <c r="E83" i="288" s="1"/>
  <c r="R116" i="178"/>
  <c r="Q116" i="178"/>
  <c r="P116" i="178"/>
  <c r="O116" i="178"/>
  <c r="N116" i="178"/>
  <c r="M116" i="178"/>
  <c r="L116" i="178"/>
  <c r="K116" i="178"/>
  <c r="J116" i="178"/>
  <c r="I116" i="178"/>
  <c r="H116" i="178"/>
  <c r="D116" i="178"/>
  <c r="G116" i="178" s="1"/>
  <c r="S115" i="178"/>
  <c r="R115" i="178"/>
  <c r="Q115" i="178"/>
  <c r="P115" i="178"/>
  <c r="O115" i="178"/>
  <c r="N115" i="178"/>
  <c r="M115" i="178"/>
  <c r="L115" i="178"/>
  <c r="K115" i="178"/>
  <c r="J115" i="178"/>
  <c r="I115" i="178"/>
  <c r="H115" i="178"/>
  <c r="D115" i="178"/>
  <c r="G115" i="178" s="1"/>
  <c r="S114" i="178"/>
  <c r="R114" i="178"/>
  <c r="Q114" i="178"/>
  <c r="P114" i="178"/>
  <c r="O114" i="178"/>
  <c r="N114" i="178"/>
  <c r="M114" i="178"/>
  <c r="L114" i="178"/>
  <c r="K114" i="178"/>
  <c r="J114" i="178"/>
  <c r="I114" i="178"/>
  <c r="H114" i="178"/>
  <c r="D114" i="178"/>
  <c r="G114" i="178" s="1"/>
  <c r="S113" i="178"/>
  <c r="R113" i="178"/>
  <c r="Q113" i="178"/>
  <c r="P113" i="178"/>
  <c r="O113" i="178"/>
  <c r="N113" i="178"/>
  <c r="M113" i="178"/>
  <c r="L113" i="178"/>
  <c r="K113" i="178"/>
  <c r="J113" i="178"/>
  <c r="I113" i="178"/>
  <c r="H113" i="178"/>
  <c r="D113" i="178"/>
  <c r="G113" i="178" s="1"/>
  <c r="S112" i="178"/>
  <c r="R112" i="178"/>
  <c r="Q112" i="178"/>
  <c r="P112" i="178"/>
  <c r="O112" i="178"/>
  <c r="N112" i="178"/>
  <c r="M112" i="178"/>
  <c r="L112" i="178"/>
  <c r="K112" i="178"/>
  <c r="J112" i="178"/>
  <c r="I112" i="178"/>
  <c r="H112" i="178"/>
  <c r="D112" i="178"/>
  <c r="G112" i="178" s="1"/>
  <c r="S110" i="178"/>
  <c r="R110" i="178"/>
  <c r="Q110" i="178"/>
  <c r="P110" i="178"/>
  <c r="O110" i="178"/>
  <c r="N110" i="178"/>
  <c r="M110" i="178"/>
  <c r="L110" i="178"/>
  <c r="K110" i="178"/>
  <c r="J110" i="178"/>
  <c r="I110" i="178"/>
  <c r="H110" i="178"/>
  <c r="D110" i="178"/>
  <c r="G110" i="178" s="1"/>
  <c r="S109" i="178"/>
  <c r="R109" i="178"/>
  <c r="Q109" i="178"/>
  <c r="P109" i="178"/>
  <c r="O109" i="178"/>
  <c r="N109" i="178"/>
  <c r="M109" i="178"/>
  <c r="L109" i="178"/>
  <c r="K109" i="178"/>
  <c r="J109" i="178"/>
  <c r="I109" i="178"/>
  <c r="H109" i="178"/>
  <c r="D109" i="178"/>
  <c r="G109" i="178" s="1"/>
  <c r="S108" i="178"/>
  <c r="R108" i="178"/>
  <c r="Q108" i="178"/>
  <c r="P108" i="178"/>
  <c r="O108" i="178"/>
  <c r="N108" i="178"/>
  <c r="M108" i="178"/>
  <c r="L108" i="178"/>
  <c r="K108" i="178"/>
  <c r="J108" i="178"/>
  <c r="I108" i="178"/>
  <c r="H108" i="178"/>
  <c r="D108" i="178"/>
  <c r="G108" i="178" s="1"/>
  <c r="S106" i="178"/>
  <c r="R106" i="178"/>
  <c r="Q106" i="178"/>
  <c r="P106" i="178"/>
  <c r="O106" i="178"/>
  <c r="N106" i="178"/>
  <c r="M106" i="178"/>
  <c r="L106" i="178"/>
  <c r="K106" i="178"/>
  <c r="J106" i="178"/>
  <c r="I106" i="178"/>
  <c r="H106" i="178"/>
  <c r="D106" i="178"/>
  <c r="G106" i="178" s="1"/>
  <c r="S105" i="178"/>
  <c r="R105" i="178"/>
  <c r="Q105" i="178"/>
  <c r="P105" i="178"/>
  <c r="O105" i="178"/>
  <c r="N105" i="178"/>
  <c r="M105" i="178"/>
  <c r="L105" i="178"/>
  <c r="K105" i="178"/>
  <c r="J105" i="178"/>
  <c r="I105" i="178"/>
  <c r="H105" i="178"/>
  <c r="D105" i="178"/>
  <c r="G105" i="178" s="1"/>
  <c r="S104" i="178"/>
  <c r="R104" i="178"/>
  <c r="Q104" i="178"/>
  <c r="P104" i="178"/>
  <c r="O104" i="178"/>
  <c r="N104" i="178"/>
  <c r="M104" i="178"/>
  <c r="L104" i="178"/>
  <c r="K104" i="178"/>
  <c r="J104" i="178"/>
  <c r="I104" i="178"/>
  <c r="H104" i="178"/>
  <c r="D104" i="178"/>
  <c r="G104" i="178" s="1"/>
  <c r="S103" i="178"/>
  <c r="R103" i="178"/>
  <c r="Q103" i="178"/>
  <c r="P103" i="178"/>
  <c r="O103" i="178"/>
  <c r="N103" i="178"/>
  <c r="M103" i="178"/>
  <c r="L103" i="178"/>
  <c r="K103" i="178"/>
  <c r="J103" i="178"/>
  <c r="I103" i="178"/>
  <c r="H103" i="178"/>
  <c r="D103" i="178"/>
  <c r="G103" i="178" s="1"/>
  <c r="S102" i="178"/>
  <c r="R102" i="178"/>
  <c r="Q102" i="178"/>
  <c r="P102" i="178"/>
  <c r="O102" i="178"/>
  <c r="N102" i="178"/>
  <c r="M102" i="178"/>
  <c r="L102" i="178"/>
  <c r="K102" i="178"/>
  <c r="J102" i="178"/>
  <c r="I102" i="178"/>
  <c r="H102" i="178"/>
  <c r="D102" i="178"/>
  <c r="G102" i="178" s="1"/>
  <c r="S101" i="178"/>
  <c r="R101" i="178"/>
  <c r="Q101" i="178"/>
  <c r="P101" i="178"/>
  <c r="O101" i="178"/>
  <c r="N101" i="178"/>
  <c r="M101" i="178"/>
  <c r="L101" i="178"/>
  <c r="K101" i="178"/>
  <c r="J101" i="178"/>
  <c r="I101" i="178"/>
  <c r="H101" i="178"/>
  <c r="D101" i="178"/>
  <c r="G101" i="178" s="1"/>
  <c r="S100" i="178"/>
  <c r="R100" i="178"/>
  <c r="Q100" i="178"/>
  <c r="P100" i="178"/>
  <c r="O100" i="178"/>
  <c r="N100" i="178"/>
  <c r="M100" i="178"/>
  <c r="L100" i="178"/>
  <c r="K100" i="178"/>
  <c r="J100" i="178"/>
  <c r="I100" i="178"/>
  <c r="H100" i="178"/>
  <c r="D100" i="178"/>
  <c r="G100" i="178" s="1"/>
  <c r="S99" i="178"/>
  <c r="R99" i="178"/>
  <c r="Q99" i="178"/>
  <c r="P99" i="178"/>
  <c r="O99" i="178"/>
  <c r="N99" i="178"/>
  <c r="M99" i="178"/>
  <c r="L99" i="178"/>
  <c r="K99" i="178"/>
  <c r="J99" i="178"/>
  <c r="I99" i="178"/>
  <c r="H99" i="178"/>
  <c r="D99" i="178"/>
  <c r="G99" i="178" s="1"/>
  <c r="S98" i="178"/>
  <c r="R98" i="178"/>
  <c r="Q98" i="178"/>
  <c r="P98" i="178"/>
  <c r="O98" i="178"/>
  <c r="N98" i="178"/>
  <c r="M98" i="178"/>
  <c r="L98" i="178"/>
  <c r="K98" i="178"/>
  <c r="J98" i="178"/>
  <c r="I98" i="178"/>
  <c r="H98" i="178"/>
  <c r="D98" i="178"/>
  <c r="G98" i="178" s="1"/>
  <c r="S97" i="178"/>
  <c r="R97" i="178"/>
  <c r="Q97" i="178"/>
  <c r="P97" i="178"/>
  <c r="O97" i="178"/>
  <c r="N97" i="178"/>
  <c r="M97" i="178"/>
  <c r="L97" i="178"/>
  <c r="K97" i="178"/>
  <c r="J97" i="178"/>
  <c r="I97" i="178"/>
  <c r="H97" i="178"/>
  <c r="D97" i="178"/>
  <c r="G97" i="178" s="1"/>
  <c r="S96" i="178"/>
  <c r="R96" i="178"/>
  <c r="Q96" i="178"/>
  <c r="P96" i="178"/>
  <c r="O96" i="178"/>
  <c r="N96" i="178"/>
  <c r="M96" i="178"/>
  <c r="L96" i="178"/>
  <c r="K96" i="178"/>
  <c r="J96" i="178"/>
  <c r="I96" i="178"/>
  <c r="H96" i="178"/>
  <c r="D96" i="178"/>
  <c r="G96" i="178" s="1"/>
  <c r="S95" i="178"/>
  <c r="R95" i="178"/>
  <c r="Q95" i="178"/>
  <c r="P95" i="178"/>
  <c r="O95" i="178"/>
  <c r="N95" i="178"/>
  <c r="M95" i="178"/>
  <c r="L95" i="178"/>
  <c r="K95" i="178"/>
  <c r="J95" i="178"/>
  <c r="I95" i="178"/>
  <c r="H95" i="178"/>
  <c r="D95" i="178"/>
  <c r="G95" i="178" s="1"/>
  <c r="S93" i="178"/>
  <c r="R93" i="178"/>
  <c r="Q93" i="178"/>
  <c r="P93" i="178"/>
  <c r="O93" i="178"/>
  <c r="N93" i="178"/>
  <c r="M93" i="178"/>
  <c r="L93" i="178"/>
  <c r="K93" i="178"/>
  <c r="J93" i="178"/>
  <c r="I93" i="178"/>
  <c r="H93" i="178"/>
  <c r="D93" i="178"/>
  <c r="G93" i="178" s="1"/>
  <c r="S92" i="178"/>
  <c r="R92" i="178"/>
  <c r="Q92" i="178"/>
  <c r="P92" i="178"/>
  <c r="O92" i="178"/>
  <c r="N92" i="178"/>
  <c r="M92" i="178"/>
  <c r="L92" i="178"/>
  <c r="K92" i="178"/>
  <c r="J92" i="178"/>
  <c r="I92" i="178"/>
  <c r="H92" i="178"/>
  <c r="D92" i="178"/>
  <c r="G92" i="178" s="1"/>
  <c r="S91" i="178"/>
  <c r="R91" i="178"/>
  <c r="Q91" i="178"/>
  <c r="P91" i="178"/>
  <c r="O91" i="178"/>
  <c r="N91" i="178"/>
  <c r="M91" i="178"/>
  <c r="L91" i="178"/>
  <c r="K91" i="178"/>
  <c r="J91" i="178"/>
  <c r="I91" i="178"/>
  <c r="H91" i="178"/>
  <c r="D91" i="178"/>
  <c r="G91" i="178" s="1"/>
  <c r="S90" i="178"/>
  <c r="R90" i="178"/>
  <c r="Q90" i="178"/>
  <c r="P90" i="178"/>
  <c r="O90" i="178"/>
  <c r="N90" i="178"/>
  <c r="M90" i="178"/>
  <c r="L90" i="178"/>
  <c r="K90" i="178"/>
  <c r="J90" i="178"/>
  <c r="I90" i="178"/>
  <c r="H90" i="178"/>
  <c r="D90" i="178"/>
  <c r="G90" i="178" s="1"/>
  <c r="S89" i="178"/>
  <c r="R89" i="178"/>
  <c r="Q89" i="178"/>
  <c r="P89" i="178"/>
  <c r="O89" i="178"/>
  <c r="N89" i="178"/>
  <c r="M89" i="178"/>
  <c r="L89" i="178"/>
  <c r="K89" i="178"/>
  <c r="J89" i="178"/>
  <c r="I89" i="178"/>
  <c r="H89" i="178"/>
  <c r="D89" i="178"/>
  <c r="G89" i="178" s="1"/>
  <c r="S86" i="178"/>
  <c r="R86" i="178"/>
  <c r="Q86" i="178"/>
  <c r="P86" i="178"/>
  <c r="O86" i="178"/>
  <c r="N86" i="178"/>
  <c r="M86" i="178"/>
  <c r="L86" i="178"/>
  <c r="K86" i="178"/>
  <c r="J86" i="178"/>
  <c r="I86" i="178"/>
  <c r="H86" i="178"/>
  <c r="D86" i="178"/>
  <c r="G86" i="178" s="1"/>
  <c r="S85" i="178"/>
  <c r="R85" i="178"/>
  <c r="Q85" i="178"/>
  <c r="P85" i="178"/>
  <c r="O85" i="178"/>
  <c r="N85" i="178"/>
  <c r="M85" i="178"/>
  <c r="L85" i="178"/>
  <c r="K85" i="178"/>
  <c r="J85" i="178"/>
  <c r="I85" i="178"/>
  <c r="H85" i="178"/>
  <c r="D85" i="178"/>
  <c r="G85" i="178" s="1"/>
  <c r="S83" i="178"/>
  <c r="R83" i="178"/>
  <c r="Q83" i="178"/>
  <c r="P83" i="178"/>
  <c r="O83" i="178"/>
  <c r="N83" i="178"/>
  <c r="M83" i="178"/>
  <c r="L83" i="178"/>
  <c r="K83" i="178"/>
  <c r="J83" i="178"/>
  <c r="I83" i="178"/>
  <c r="H83" i="178"/>
  <c r="D83" i="178"/>
  <c r="G83" i="178" s="1"/>
  <c r="S82" i="178"/>
  <c r="R82" i="178"/>
  <c r="Q82" i="178"/>
  <c r="P82" i="178"/>
  <c r="O82" i="178"/>
  <c r="N82" i="178"/>
  <c r="M82" i="178"/>
  <c r="L82" i="178"/>
  <c r="K82" i="178"/>
  <c r="J82" i="178"/>
  <c r="I82" i="178"/>
  <c r="H82" i="178"/>
  <c r="D82" i="178"/>
  <c r="G82" i="178" s="1"/>
  <c r="S81" i="178"/>
  <c r="R81" i="178"/>
  <c r="Q81" i="178"/>
  <c r="P81" i="178"/>
  <c r="O81" i="178"/>
  <c r="N81" i="178"/>
  <c r="M81" i="178"/>
  <c r="L81" i="178"/>
  <c r="K81" i="178"/>
  <c r="J81" i="178"/>
  <c r="I81" i="178"/>
  <c r="H81" i="178"/>
  <c r="D81" i="178"/>
  <c r="G81" i="178" s="1"/>
  <c r="S80" i="178"/>
  <c r="R80" i="178"/>
  <c r="Q80" i="178"/>
  <c r="P80" i="178"/>
  <c r="O80" i="178"/>
  <c r="N80" i="178"/>
  <c r="M80" i="178"/>
  <c r="L80" i="178"/>
  <c r="K80" i="178"/>
  <c r="J80" i="178"/>
  <c r="I80" i="178"/>
  <c r="H80" i="178"/>
  <c r="D80" i="178"/>
  <c r="G80" i="178" s="1"/>
  <c r="S77" i="178"/>
  <c r="R77" i="178"/>
  <c r="Q77" i="178"/>
  <c r="P77" i="178"/>
  <c r="O77" i="178"/>
  <c r="N77" i="178"/>
  <c r="M77" i="178"/>
  <c r="L77" i="178"/>
  <c r="K77" i="178"/>
  <c r="J77" i="178"/>
  <c r="I77" i="178"/>
  <c r="H77" i="178"/>
  <c r="D77" i="178"/>
  <c r="G77" i="178" s="1"/>
  <c r="S76" i="178"/>
  <c r="R76" i="178"/>
  <c r="Q76" i="178"/>
  <c r="P76" i="178"/>
  <c r="O76" i="178"/>
  <c r="N76" i="178"/>
  <c r="M76" i="178"/>
  <c r="L76" i="178"/>
  <c r="K76" i="178"/>
  <c r="J76" i="178"/>
  <c r="I76" i="178"/>
  <c r="H76" i="178"/>
  <c r="D76" i="178"/>
  <c r="G76" i="178" s="1"/>
  <c r="S62" i="178"/>
  <c r="R62" i="178"/>
  <c r="Q62" i="178"/>
  <c r="P62" i="178"/>
  <c r="O62" i="178"/>
  <c r="N62" i="178"/>
  <c r="M62" i="178"/>
  <c r="L62" i="178"/>
  <c r="K62" i="178"/>
  <c r="J62" i="178"/>
  <c r="I62" i="178"/>
  <c r="H62" i="178"/>
  <c r="D62" i="178"/>
  <c r="G62" i="178" s="1"/>
  <c r="S61" i="178"/>
  <c r="R61" i="178"/>
  <c r="Q61" i="178"/>
  <c r="P61" i="178"/>
  <c r="O61" i="178"/>
  <c r="N61" i="178"/>
  <c r="M61" i="178"/>
  <c r="L61" i="178"/>
  <c r="K61" i="178"/>
  <c r="J61" i="178"/>
  <c r="I61" i="178"/>
  <c r="H61" i="178"/>
  <c r="D61" i="178"/>
  <c r="G61" i="178" s="1"/>
  <c r="S60" i="178"/>
  <c r="R60" i="178"/>
  <c r="Q60" i="178"/>
  <c r="P60" i="178"/>
  <c r="O60" i="178"/>
  <c r="N60" i="178"/>
  <c r="M60" i="178"/>
  <c r="L60" i="178"/>
  <c r="K60" i="178"/>
  <c r="J60" i="178"/>
  <c r="I60" i="178"/>
  <c r="H60" i="178"/>
  <c r="D60" i="178"/>
  <c r="G60" i="178" s="1"/>
  <c r="S59" i="178"/>
  <c r="R59" i="178"/>
  <c r="Q59" i="178"/>
  <c r="P59" i="178"/>
  <c r="O59" i="178"/>
  <c r="N59" i="178"/>
  <c r="M59" i="178"/>
  <c r="L59" i="178"/>
  <c r="K59" i="178"/>
  <c r="J59" i="178"/>
  <c r="I59" i="178"/>
  <c r="H59" i="178"/>
  <c r="D59" i="178"/>
  <c r="G59" i="178" s="1"/>
  <c r="S58" i="178"/>
  <c r="R58" i="178"/>
  <c r="Q58" i="178"/>
  <c r="P58" i="178"/>
  <c r="O58" i="178"/>
  <c r="N58" i="178"/>
  <c r="M58" i="178"/>
  <c r="L58" i="178"/>
  <c r="K58" i="178"/>
  <c r="J58" i="178"/>
  <c r="I58" i="178"/>
  <c r="H58" i="178"/>
  <c r="D58" i="178"/>
  <c r="G58" i="178" s="1"/>
  <c r="S57" i="178"/>
  <c r="R57" i="178"/>
  <c r="Q57" i="178"/>
  <c r="P57" i="178"/>
  <c r="O57" i="178"/>
  <c r="N57" i="178"/>
  <c r="M57" i="178"/>
  <c r="L57" i="178"/>
  <c r="K57" i="178"/>
  <c r="J57" i="178"/>
  <c r="I57" i="178"/>
  <c r="H57" i="178"/>
  <c r="D57" i="178"/>
  <c r="G57" i="178" s="1"/>
  <c r="S56" i="178"/>
  <c r="R56" i="178"/>
  <c r="Q56" i="178"/>
  <c r="P56" i="178"/>
  <c r="O56" i="178"/>
  <c r="N56" i="178"/>
  <c r="M56" i="178"/>
  <c r="L56" i="178"/>
  <c r="K56" i="178"/>
  <c r="J56" i="178"/>
  <c r="I56" i="178"/>
  <c r="H56" i="178"/>
  <c r="D56" i="178"/>
  <c r="G56" i="178" s="1"/>
  <c r="S54" i="178"/>
  <c r="R54" i="178"/>
  <c r="Q54" i="178"/>
  <c r="P54" i="178"/>
  <c r="O54" i="178"/>
  <c r="N54" i="178"/>
  <c r="M54" i="178"/>
  <c r="L54" i="178"/>
  <c r="K54" i="178"/>
  <c r="J54" i="178"/>
  <c r="I54" i="178"/>
  <c r="H54" i="178"/>
  <c r="D54" i="178"/>
  <c r="G54" i="178" s="1"/>
  <c r="S53" i="178"/>
  <c r="R53" i="178"/>
  <c r="Q53" i="178"/>
  <c r="P53" i="178"/>
  <c r="O53" i="178"/>
  <c r="N53" i="178"/>
  <c r="M53" i="178"/>
  <c r="L53" i="178"/>
  <c r="K53" i="178"/>
  <c r="J53" i="178"/>
  <c r="I53" i="178"/>
  <c r="H53" i="178"/>
  <c r="D53" i="178"/>
  <c r="G53" i="178" s="1"/>
  <c r="S51" i="178"/>
  <c r="R51" i="178"/>
  <c r="Q51" i="178"/>
  <c r="P51" i="178"/>
  <c r="O51" i="178"/>
  <c r="N51" i="178"/>
  <c r="M51" i="178"/>
  <c r="L51" i="178"/>
  <c r="K51" i="178"/>
  <c r="J51" i="178"/>
  <c r="I51" i="178"/>
  <c r="H51" i="178"/>
  <c r="D51" i="178"/>
  <c r="G51" i="178" s="1"/>
  <c r="S50" i="178"/>
  <c r="R50" i="178"/>
  <c r="Q50" i="178"/>
  <c r="P50" i="178"/>
  <c r="O50" i="178"/>
  <c r="N50" i="178"/>
  <c r="M50" i="178"/>
  <c r="L50" i="178"/>
  <c r="K50" i="178"/>
  <c r="J50" i="178"/>
  <c r="I50" i="178"/>
  <c r="H50" i="178"/>
  <c r="D50" i="178"/>
  <c r="G50" i="178" s="1"/>
  <c r="S49" i="178"/>
  <c r="R49" i="178"/>
  <c r="Q49" i="178"/>
  <c r="P49" i="178"/>
  <c r="O49" i="178"/>
  <c r="N49" i="178"/>
  <c r="M49" i="178"/>
  <c r="L49" i="178"/>
  <c r="K49" i="178"/>
  <c r="J49" i="178"/>
  <c r="I49" i="178"/>
  <c r="H49" i="178"/>
  <c r="D49" i="178"/>
  <c r="G49" i="178" s="1"/>
  <c r="S48" i="178"/>
  <c r="R48" i="178"/>
  <c r="Q48" i="178"/>
  <c r="P48" i="178"/>
  <c r="O48" i="178"/>
  <c r="N48" i="178"/>
  <c r="M48" i="178"/>
  <c r="L48" i="178"/>
  <c r="K48" i="178"/>
  <c r="J48" i="178"/>
  <c r="I48" i="178"/>
  <c r="H48" i="178"/>
  <c r="D48" i="178"/>
  <c r="G48" i="178" s="1"/>
  <c r="S47" i="178"/>
  <c r="R47" i="178"/>
  <c r="Q47" i="178"/>
  <c r="P47" i="178"/>
  <c r="O47" i="178"/>
  <c r="N47" i="178"/>
  <c r="M47" i="178"/>
  <c r="L47" i="178"/>
  <c r="K47" i="178"/>
  <c r="J47" i="178"/>
  <c r="I47" i="178"/>
  <c r="H47" i="178"/>
  <c r="D47" i="178"/>
  <c r="G47" i="178" s="1"/>
  <c r="S45" i="178"/>
  <c r="R45" i="178"/>
  <c r="Q45" i="178"/>
  <c r="P45" i="178"/>
  <c r="O45" i="178"/>
  <c r="N45" i="178"/>
  <c r="M45" i="178"/>
  <c r="L45" i="178"/>
  <c r="K45" i="178"/>
  <c r="J45" i="178"/>
  <c r="I45" i="178"/>
  <c r="H45" i="178"/>
  <c r="D45" i="178"/>
  <c r="G45" i="178" s="1"/>
  <c r="S42" i="178"/>
  <c r="R42" i="178"/>
  <c r="Q42" i="178"/>
  <c r="P42" i="178"/>
  <c r="O42" i="178"/>
  <c r="N42" i="178"/>
  <c r="M42" i="178"/>
  <c r="L42" i="178"/>
  <c r="K42" i="178"/>
  <c r="J42" i="178"/>
  <c r="I42" i="178"/>
  <c r="H42" i="178"/>
  <c r="D42" i="178"/>
  <c r="G42" i="178" s="1"/>
  <c r="S41" i="178"/>
  <c r="R41" i="178"/>
  <c r="Q41" i="178"/>
  <c r="P41" i="178"/>
  <c r="O41" i="178"/>
  <c r="N41" i="178"/>
  <c r="M41" i="178"/>
  <c r="L41" i="178"/>
  <c r="K41" i="178"/>
  <c r="J41" i="178"/>
  <c r="I41" i="178"/>
  <c r="H41" i="178"/>
  <c r="D41" i="178"/>
  <c r="G41" i="178" s="1"/>
  <c r="S38" i="178"/>
  <c r="R38" i="178"/>
  <c r="Q38" i="178"/>
  <c r="P38" i="178"/>
  <c r="O38" i="178"/>
  <c r="N38" i="178"/>
  <c r="M38" i="178"/>
  <c r="L38" i="178"/>
  <c r="K38" i="178"/>
  <c r="J38" i="178"/>
  <c r="I38" i="178"/>
  <c r="H38" i="178"/>
  <c r="D38" i="178"/>
  <c r="G38" i="178" s="1"/>
  <c r="S36" i="178"/>
  <c r="R36" i="178"/>
  <c r="Q36" i="178"/>
  <c r="P36" i="178"/>
  <c r="O36" i="178"/>
  <c r="N36" i="178"/>
  <c r="M36" i="178"/>
  <c r="L36" i="178"/>
  <c r="K36" i="178"/>
  <c r="J36" i="178"/>
  <c r="I36" i="178"/>
  <c r="H36" i="178"/>
  <c r="D36" i="178"/>
  <c r="G36" i="178" s="1"/>
  <c r="S35" i="178"/>
  <c r="R35" i="178"/>
  <c r="Q35" i="178"/>
  <c r="P35" i="178"/>
  <c r="O35" i="178"/>
  <c r="N35" i="178"/>
  <c r="M35" i="178"/>
  <c r="L35" i="178"/>
  <c r="K35" i="178"/>
  <c r="J35" i="178"/>
  <c r="I35" i="178"/>
  <c r="H35" i="178"/>
  <c r="D35" i="178"/>
  <c r="G35" i="178" s="1"/>
  <c r="S34" i="178"/>
  <c r="R34" i="178"/>
  <c r="Q34" i="178"/>
  <c r="P34" i="178"/>
  <c r="O34" i="178"/>
  <c r="N34" i="178"/>
  <c r="M34" i="178"/>
  <c r="L34" i="178"/>
  <c r="K34" i="178"/>
  <c r="J34" i="178"/>
  <c r="I34" i="178"/>
  <c r="H34" i="178"/>
  <c r="D34" i="178"/>
  <c r="G34" i="178" s="1"/>
  <c r="S32" i="178"/>
  <c r="R32" i="178"/>
  <c r="Q32" i="178"/>
  <c r="P32" i="178"/>
  <c r="O32" i="178"/>
  <c r="N32" i="178"/>
  <c r="M32" i="178"/>
  <c r="L32" i="178"/>
  <c r="K32" i="178"/>
  <c r="J32" i="178"/>
  <c r="I32" i="178"/>
  <c r="H32" i="178"/>
  <c r="D32" i="178"/>
  <c r="G32" i="178" s="1"/>
  <c r="S31" i="178"/>
  <c r="R31" i="178"/>
  <c r="Q31" i="178"/>
  <c r="P31" i="178"/>
  <c r="O31" i="178"/>
  <c r="N31" i="178"/>
  <c r="M31" i="178"/>
  <c r="L31" i="178"/>
  <c r="K31" i="178"/>
  <c r="J31" i="178"/>
  <c r="I31" i="178"/>
  <c r="H31" i="178"/>
  <c r="D31" i="178"/>
  <c r="G31" i="178" s="1"/>
  <c r="S29" i="178"/>
  <c r="R29" i="178"/>
  <c r="Q29" i="178"/>
  <c r="P29" i="178"/>
  <c r="O29" i="178"/>
  <c r="N29" i="178"/>
  <c r="M29" i="178"/>
  <c r="L29" i="178"/>
  <c r="K29" i="178"/>
  <c r="J29" i="178"/>
  <c r="I29" i="178"/>
  <c r="H29" i="178"/>
  <c r="D29" i="178"/>
  <c r="G29" i="178" s="1"/>
  <c r="S28" i="178"/>
  <c r="R28" i="178"/>
  <c r="Q28" i="178"/>
  <c r="P28" i="178"/>
  <c r="O28" i="178"/>
  <c r="N28" i="178"/>
  <c r="M28" i="178"/>
  <c r="L28" i="178"/>
  <c r="K28" i="178"/>
  <c r="J28" i="178"/>
  <c r="I28" i="178"/>
  <c r="H28" i="178"/>
  <c r="D28" i="178"/>
  <c r="G28" i="178" s="1"/>
  <c r="S27" i="178"/>
  <c r="R27" i="178"/>
  <c r="Q27" i="178"/>
  <c r="P27" i="178"/>
  <c r="O27" i="178"/>
  <c r="N27" i="178"/>
  <c r="M27" i="178"/>
  <c r="L27" i="178"/>
  <c r="K27" i="178"/>
  <c r="J27" i="178"/>
  <c r="I27" i="178"/>
  <c r="H27" i="178"/>
  <c r="D27" i="178"/>
  <c r="G27" i="178" s="1"/>
  <c r="S26" i="178"/>
  <c r="R26" i="178"/>
  <c r="Q26" i="178"/>
  <c r="P26" i="178"/>
  <c r="O26" i="178"/>
  <c r="N26" i="178"/>
  <c r="M26" i="178"/>
  <c r="L26" i="178"/>
  <c r="K26" i="178"/>
  <c r="J26" i="178"/>
  <c r="I26" i="178"/>
  <c r="H26" i="178"/>
  <c r="D26" i="178"/>
  <c r="G26" i="178" s="1"/>
  <c r="S22" i="178"/>
  <c r="R22" i="178"/>
  <c r="Q22" i="178"/>
  <c r="P22" i="178"/>
  <c r="O22" i="178"/>
  <c r="N22" i="178"/>
  <c r="M22" i="178"/>
  <c r="L22" i="178"/>
  <c r="K22" i="178"/>
  <c r="J22" i="178"/>
  <c r="I22" i="178"/>
  <c r="H22" i="178"/>
  <c r="D22" i="178"/>
  <c r="G22" i="178" s="1"/>
  <c r="S21" i="178"/>
  <c r="R21" i="178"/>
  <c r="Q21" i="178"/>
  <c r="P21" i="178"/>
  <c r="O21" i="178"/>
  <c r="N21" i="178"/>
  <c r="M21" i="178"/>
  <c r="L21" i="178"/>
  <c r="K21" i="178"/>
  <c r="J21" i="178"/>
  <c r="I21" i="178"/>
  <c r="H21" i="178"/>
  <c r="D21" i="178"/>
  <c r="G21" i="178" s="1"/>
  <c r="S20" i="178"/>
  <c r="R20" i="178"/>
  <c r="Q20" i="178"/>
  <c r="P20" i="178"/>
  <c r="O20" i="178"/>
  <c r="N20" i="178"/>
  <c r="M20" i="178"/>
  <c r="L20" i="178"/>
  <c r="K20" i="178"/>
  <c r="J20" i="178"/>
  <c r="I20" i="178"/>
  <c r="H20" i="178"/>
  <c r="D20" i="178"/>
  <c r="G20" i="178" s="1"/>
  <c r="S19" i="178"/>
  <c r="R19" i="178"/>
  <c r="Q19" i="178"/>
  <c r="P19" i="178"/>
  <c r="O19" i="178"/>
  <c r="N19" i="178"/>
  <c r="M19" i="178"/>
  <c r="L19" i="178"/>
  <c r="K19" i="178"/>
  <c r="J19" i="178"/>
  <c r="I19" i="178"/>
  <c r="H19" i="178"/>
  <c r="D19" i="178"/>
  <c r="G19" i="178" s="1"/>
  <c r="S18" i="178"/>
  <c r="R18" i="178"/>
  <c r="Q18" i="178"/>
  <c r="P18" i="178"/>
  <c r="O18" i="178"/>
  <c r="N18" i="178"/>
  <c r="M18" i="178"/>
  <c r="L18" i="178"/>
  <c r="K18" i="178"/>
  <c r="J18" i="178"/>
  <c r="I18" i="178"/>
  <c r="H18" i="178"/>
  <c r="D18" i="178"/>
  <c r="G18" i="178" s="1"/>
  <c r="S15" i="178"/>
  <c r="R15" i="178"/>
  <c r="Q15" i="178"/>
  <c r="P15" i="178"/>
  <c r="O15" i="178"/>
  <c r="N15" i="178"/>
  <c r="M15" i="178"/>
  <c r="L15" i="178"/>
  <c r="K15" i="178"/>
  <c r="J15" i="178"/>
  <c r="I15" i="178"/>
  <c r="H15" i="178"/>
  <c r="D15" i="178"/>
  <c r="G15" i="178" s="1"/>
  <c r="S14" i="178"/>
  <c r="R14" i="178"/>
  <c r="Q14" i="178"/>
  <c r="P14" i="178"/>
  <c r="O14" i="178"/>
  <c r="N14" i="178"/>
  <c r="M14" i="178"/>
  <c r="L14" i="178"/>
  <c r="K14" i="178"/>
  <c r="J14" i="178"/>
  <c r="I14" i="178"/>
  <c r="H14" i="178"/>
  <c r="D14" i="178"/>
  <c r="G14" i="178" s="1"/>
  <c r="S13" i="178"/>
  <c r="R13" i="178"/>
  <c r="Q13" i="178"/>
  <c r="P13" i="178"/>
  <c r="O13" i="178"/>
  <c r="N13" i="178"/>
  <c r="M13" i="178"/>
  <c r="L13" i="178"/>
  <c r="K13" i="178"/>
  <c r="J13" i="178"/>
  <c r="I13" i="178"/>
  <c r="H13" i="178"/>
  <c r="D13" i="178"/>
  <c r="G13" i="178" s="1"/>
  <c r="S12" i="178"/>
  <c r="R12" i="178"/>
  <c r="Q12" i="178"/>
  <c r="P12" i="178"/>
  <c r="O12" i="178"/>
  <c r="N12" i="178"/>
  <c r="M12" i="178"/>
  <c r="L12" i="178"/>
  <c r="K12" i="178"/>
  <c r="J12" i="178"/>
  <c r="I12" i="178"/>
  <c r="H12" i="178"/>
  <c r="D12" i="178"/>
  <c r="G12" i="178" s="1"/>
  <c r="S11" i="178"/>
  <c r="R11" i="178"/>
  <c r="Q11" i="178"/>
  <c r="P11" i="178"/>
  <c r="O11" i="178"/>
  <c r="N11" i="178"/>
  <c r="M11" i="178"/>
  <c r="L11" i="178"/>
  <c r="K11" i="178"/>
  <c r="J11" i="178"/>
  <c r="I11" i="178"/>
  <c r="H11" i="178"/>
  <c r="D11" i="178"/>
  <c r="G11" i="178" s="1"/>
  <c r="S8" i="178"/>
  <c r="R8" i="178"/>
  <c r="Q8" i="178"/>
  <c r="P8" i="178"/>
  <c r="O8" i="178"/>
  <c r="N8" i="178"/>
  <c r="M8" i="178"/>
  <c r="L8" i="178"/>
  <c r="K8" i="178"/>
  <c r="J8" i="178"/>
  <c r="I8" i="178"/>
  <c r="H8" i="178"/>
  <c r="D8" i="178"/>
  <c r="G8" i="178" s="1"/>
  <c r="S7" i="178"/>
  <c r="R7" i="178"/>
  <c r="Q7" i="178"/>
  <c r="P7" i="178"/>
  <c r="O7" i="178"/>
  <c r="N7" i="178"/>
  <c r="M7" i="178"/>
  <c r="L7" i="178"/>
  <c r="K7" i="178"/>
  <c r="J7" i="178"/>
  <c r="I7" i="178"/>
  <c r="H7" i="178"/>
  <c r="D7" i="178"/>
  <c r="G7" i="178" s="1"/>
  <c r="S4" i="178"/>
  <c r="R4" i="178"/>
  <c r="Q4" i="178"/>
  <c r="P4" i="178"/>
  <c r="O4" i="178"/>
  <c r="N4" i="178"/>
  <c r="M4" i="178"/>
  <c r="L4" i="178"/>
  <c r="K4" i="178"/>
  <c r="J4" i="178"/>
  <c r="I4" i="178"/>
  <c r="H4" i="178"/>
  <c r="D4" i="178"/>
  <c r="G4" i="178" s="1"/>
  <c r="S3" i="178"/>
  <c r="R3" i="178"/>
  <c r="Q3" i="178"/>
  <c r="P3" i="178"/>
  <c r="O3" i="178"/>
  <c r="N3" i="178"/>
  <c r="M3" i="178"/>
  <c r="L3" i="178"/>
  <c r="K3" i="178"/>
  <c r="J3" i="178"/>
  <c r="I3" i="178"/>
  <c r="H3" i="178"/>
  <c r="D3" i="178"/>
  <c r="G3" i="178" s="1"/>
  <c r="P55" i="216"/>
  <c r="O55" i="216"/>
  <c r="N55" i="216"/>
  <c r="M55" i="216"/>
  <c r="L55" i="216"/>
  <c r="K55" i="216"/>
  <c r="J55" i="216"/>
  <c r="I55" i="216"/>
  <c r="H55" i="216"/>
  <c r="G55" i="216"/>
  <c r="F55" i="216"/>
  <c r="E55" i="216"/>
  <c r="D55" i="216"/>
  <c r="P54" i="216"/>
  <c r="O54" i="216"/>
  <c r="N54" i="216"/>
  <c r="M54" i="216"/>
  <c r="L54" i="216"/>
  <c r="K54" i="216"/>
  <c r="J54" i="216"/>
  <c r="I54" i="216"/>
  <c r="H54" i="216"/>
  <c r="G54" i="216"/>
  <c r="F54" i="216"/>
  <c r="E54" i="216"/>
  <c r="D54" i="216"/>
  <c r="P53" i="216"/>
  <c r="O53" i="216"/>
  <c r="N53" i="216"/>
  <c r="M53" i="216"/>
  <c r="L53" i="216"/>
  <c r="K53" i="216"/>
  <c r="J53" i="216"/>
  <c r="I53" i="216"/>
  <c r="H53" i="216"/>
  <c r="G53" i="216"/>
  <c r="F53" i="216"/>
  <c r="E53" i="216"/>
  <c r="D53" i="216"/>
  <c r="P52" i="216"/>
  <c r="O52" i="216"/>
  <c r="N52" i="216"/>
  <c r="M52" i="216"/>
  <c r="L52" i="216"/>
  <c r="K52" i="216"/>
  <c r="J52" i="216"/>
  <c r="I52" i="216"/>
  <c r="H52" i="216"/>
  <c r="G52" i="216"/>
  <c r="F52" i="216"/>
  <c r="E52" i="216"/>
  <c r="D52" i="216"/>
  <c r="P51" i="216"/>
  <c r="O51" i="216"/>
  <c r="N51" i="216"/>
  <c r="M51" i="216"/>
  <c r="L51" i="216"/>
  <c r="K51" i="216"/>
  <c r="J51" i="216"/>
  <c r="I51" i="216"/>
  <c r="H51" i="216"/>
  <c r="G51" i="216"/>
  <c r="F51" i="216"/>
  <c r="E51" i="216"/>
  <c r="D51" i="216"/>
  <c r="P50" i="216"/>
  <c r="O50" i="216"/>
  <c r="N50" i="216"/>
  <c r="M50" i="216"/>
  <c r="L50" i="216"/>
  <c r="K50" i="216"/>
  <c r="J50" i="216"/>
  <c r="I50" i="216"/>
  <c r="H50" i="216"/>
  <c r="G50" i="216"/>
  <c r="F50" i="216"/>
  <c r="E50" i="216"/>
  <c r="D50" i="216"/>
  <c r="P49" i="216"/>
  <c r="O49" i="216"/>
  <c r="N49" i="216"/>
  <c r="M49" i="216"/>
  <c r="L49" i="216"/>
  <c r="K49" i="216"/>
  <c r="J49" i="216"/>
  <c r="I49" i="216"/>
  <c r="H49" i="216"/>
  <c r="G49" i="216"/>
  <c r="F49" i="216"/>
  <c r="E49" i="216"/>
  <c r="D49" i="216"/>
  <c r="P48" i="216"/>
  <c r="O48" i="216"/>
  <c r="N48" i="216"/>
  <c r="M48" i="216"/>
  <c r="L48" i="216"/>
  <c r="K48" i="216"/>
  <c r="J48" i="216"/>
  <c r="I48" i="216"/>
  <c r="H48" i="216"/>
  <c r="G48" i="216"/>
  <c r="F48" i="216"/>
  <c r="E48" i="216"/>
  <c r="D48" i="216"/>
  <c r="P47" i="216"/>
  <c r="O47" i="216"/>
  <c r="N47" i="216"/>
  <c r="M47" i="216"/>
  <c r="L47" i="216"/>
  <c r="K47" i="216"/>
  <c r="J47" i="216"/>
  <c r="I47" i="216"/>
  <c r="H47" i="216"/>
  <c r="G47" i="216"/>
  <c r="F47" i="216"/>
  <c r="E47" i="216"/>
  <c r="D47" i="216"/>
  <c r="P46" i="216"/>
  <c r="O46" i="216"/>
  <c r="N46" i="216"/>
  <c r="M46" i="216"/>
  <c r="L46" i="216"/>
  <c r="K46" i="216"/>
  <c r="J46" i="216"/>
  <c r="I46" i="216"/>
  <c r="H46" i="216"/>
  <c r="G46" i="216"/>
  <c r="F46" i="216"/>
  <c r="E46" i="216"/>
  <c r="D46" i="216"/>
  <c r="P45" i="216"/>
  <c r="O45" i="216"/>
  <c r="N45" i="216"/>
  <c r="M45" i="216"/>
  <c r="L45" i="216"/>
  <c r="K45" i="216"/>
  <c r="J45" i="216"/>
  <c r="I45" i="216"/>
  <c r="H45" i="216"/>
  <c r="G45" i="216"/>
  <c r="F45" i="216"/>
  <c r="E45" i="216"/>
  <c r="D45" i="216"/>
  <c r="P44" i="216"/>
  <c r="O44" i="216"/>
  <c r="N44" i="216"/>
  <c r="M44" i="216"/>
  <c r="L44" i="216"/>
  <c r="K44" i="216"/>
  <c r="J44" i="216"/>
  <c r="I44" i="216"/>
  <c r="H44" i="216"/>
  <c r="G44" i="216"/>
  <c r="F44" i="216"/>
  <c r="E44" i="216"/>
  <c r="D44" i="216"/>
  <c r="P43" i="216"/>
  <c r="O43" i="216"/>
  <c r="N43" i="216"/>
  <c r="M43" i="216"/>
  <c r="L43" i="216"/>
  <c r="K43" i="216"/>
  <c r="J43" i="216"/>
  <c r="I43" i="216"/>
  <c r="H43" i="216"/>
  <c r="G43" i="216"/>
  <c r="F43" i="216"/>
  <c r="E43" i="216"/>
  <c r="D43" i="216"/>
  <c r="P42" i="216"/>
  <c r="O42" i="216"/>
  <c r="N42" i="216"/>
  <c r="M42" i="216"/>
  <c r="L42" i="216"/>
  <c r="K42" i="216"/>
  <c r="J42" i="216"/>
  <c r="I42" i="216"/>
  <c r="H42" i="216"/>
  <c r="G42" i="216"/>
  <c r="F42" i="216"/>
  <c r="E42" i="216"/>
  <c r="D42" i="216"/>
  <c r="P41" i="216"/>
  <c r="O41" i="216"/>
  <c r="N41" i="216"/>
  <c r="M41" i="216"/>
  <c r="L41" i="216"/>
  <c r="K41" i="216"/>
  <c r="J41" i="216"/>
  <c r="I41" i="216"/>
  <c r="H41" i="216"/>
  <c r="G41" i="216"/>
  <c r="F41" i="216"/>
  <c r="E41" i="216"/>
  <c r="D41" i="216"/>
  <c r="P38" i="216"/>
  <c r="O38" i="216"/>
  <c r="N38" i="216"/>
  <c r="M38" i="216"/>
  <c r="L38" i="216"/>
  <c r="K38" i="216"/>
  <c r="J38" i="216"/>
  <c r="I38" i="216"/>
  <c r="H38" i="216"/>
  <c r="G38" i="216"/>
  <c r="F38" i="216"/>
  <c r="E38" i="216"/>
  <c r="D38" i="216"/>
  <c r="P37" i="216"/>
  <c r="O37" i="216"/>
  <c r="N37" i="216"/>
  <c r="M37" i="216"/>
  <c r="L37" i="216"/>
  <c r="K37" i="216"/>
  <c r="J37" i="216"/>
  <c r="I37" i="216"/>
  <c r="H37" i="216"/>
  <c r="G37" i="216"/>
  <c r="F37" i="216"/>
  <c r="E37" i="216"/>
  <c r="D37" i="216"/>
  <c r="P36" i="216"/>
  <c r="O36" i="216"/>
  <c r="N36" i="216"/>
  <c r="M36" i="216"/>
  <c r="L36" i="216"/>
  <c r="K36" i="216"/>
  <c r="J36" i="216"/>
  <c r="I36" i="216"/>
  <c r="H36" i="216"/>
  <c r="G36" i="216"/>
  <c r="F36" i="216"/>
  <c r="E36" i="216"/>
  <c r="D36" i="216"/>
  <c r="P35" i="216"/>
  <c r="O35" i="216"/>
  <c r="N35" i="216"/>
  <c r="M35" i="216"/>
  <c r="L35" i="216"/>
  <c r="K35" i="216"/>
  <c r="J35" i="216"/>
  <c r="I35" i="216"/>
  <c r="H35" i="216"/>
  <c r="G35" i="216"/>
  <c r="F35" i="216"/>
  <c r="E35" i="216"/>
  <c r="D35" i="216"/>
  <c r="P34" i="216"/>
  <c r="O34" i="216"/>
  <c r="N34" i="216"/>
  <c r="M34" i="216"/>
  <c r="L34" i="216"/>
  <c r="K34" i="216"/>
  <c r="J34" i="216"/>
  <c r="I34" i="216"/>
  <c r="H34" i="216"/>
  <c r="G34" i="216"/>
  <c r="F34" i="216"/>
  <c r="E34" i="216"/>
  <c r="D34" i="216"/>
  <c r="P33" i="216"/>
  <c r="O33" i="216"/>
  <c r="N33" i="216"/>
  <c r="M33" i="216"/>
  <c r="L33" i="216"/>
  <c r="K33" i="216"/>
  <c r="J33" i="216"/>
  <c r="I33" i="216"/>
  <c r="H33" i="216"/>
  <c r="G33" i="216"/>
  <c r="F33" i="216"/>
  <c r="E33" i="216"/>
  <c r="D33" i="216"/>
  <c r="P32" i="216"/>
  <c r="O32" i="216"/>
  <c r="N32" i="216"/>
  <c r="M32" i="216"/>
  <c r="L32" i="216"/>
  <c r="K32" i="216"/>
  <c r="J32" i="216"/>
  <c r="I32" i="216"/>
  <c r="H32" i="216"/>
  <c r="G32" i="216"/>
  <c r="F32" i="216"/>
  <c r="E32" i="216"/>
  <c r="D32" i="216"/>
  <c r="P31" i="216"/>
  <c r="O31" i="216"/>
  <c r="N31" i="216"/>
  <c r="M31" i="216"/>
  <c r="L31" i="216"/>
  <c r="K31" i="216"/>
  <c r="J31" i="216"/>
  <c r="I31" i="216"/>
  <c r="H31" i="216"/>
  <c r="G31" i="216"/>
  <c r="F31" i="216"/>
  <c r="E31" i="216"/>
  <c r="D31" i="216"/>
  <c r="P30" i="216"/>
  <c r="O30" i="216"/>
  <c r="N30" i="216"/>
  <c r="M30" i="216"/>
  <c r="L30" i="216"/>
  <c r="K30" i="216"/>
  <c r="J30" i="216"/>
  <c r="I30" i="216"/>
  <c r="H30" i="216"/>
  <c r="G30" i="216"/>
  <c r="F30" i="216"/>
  <c r="E30" i="216"/>
  <c r="D30" i="216"/>
  <c r="P29" i="216"/>
  <c r="O29" i="216"/>
  <c r="N29" i="216"/>
  <c r="M29" i="216"/>
  <c r="L29" i="216"/>
  <c r="K29" i="216"/>
  <c r="J29" i="216"/>
  <c r="I29" i="216"/>
  <c r="H29" i="216"/>
  <c r="G29" i="216"/>
  <c r="F29" i="216"/>
  <c r="E29" i="216"/>
  <c r="D29" i="216"/>
  <c r="P18" i="216"/>
  <c r="O18" i="216"/>
  <c r="N18" i="216"/>
  <c r="M18" i="216"/>
  <c r="L18" i="216"/>
  <c r="K18" i="216"/>
  <c r="J18" i="216"/>
  <c r="I18" i="216"/>
  <c r="H18" i="216"/>
  <c r="G18" i="216"/>
  <c r="F18" i="216"/>
  <c r="E18" i="216"/>
  <c r="D18" i="216"/>
  <c r="P16" i="216"/>
  <c r="O16" i="216"/>
  <c r="N16" i="216"/>
  <c r="M16" i="216"/>
  <c r="L16" i="216"/>
  <c r="K16" i="216"/>
  <c r="J16" i="216"/>
  <c r="I16" i="216"/>
  <c r="H16" i="216"/>
  <c r="G16" i="216"/>
  <c r="F16" i="216"/>
  <c r="E16" i="216"/>
  <c r="D16" i="216"/>
  <c r="P14" i="216"/>
  <c r="O14" i="216"/>
  <c r="N14" i="216"/>
  <c r="M14" i="216"/>
  <c r="L14" i="216"/>
  <c r="K14" i="216"/>
  <c r="J14" i="216"/>
  <c r="I14" i="216"/>
  <c r="H14" i="216"/>
  <c r="G14" i="216"/>
  <c r="F14" i="216"/>
  <c r="E14" i="216"/>
  <c r="D14" i="216"/>
  <c r="P12" i="216"/>
  <c r="O12" i="216"/>
  <c r="N12" i="216"/>
  <c r="M12" i="216"/>
  <c r="L12" i="216"/>
  <c r="K12" i="216"/>
  <c r="J12" i="216"/>
  <c r="I12" i="216"/>
  <c r="H12" i="216"/>
  <c r="G12" i="216"/>
  <c r="F12" i="216"/>
  <c r="E12" i="216"/>
  <c r="D12" i="216"/>
  <c r="P8" i="216"/>
  <c r="O8" i="216"/>
  <c r="N8" i="216"/>
  <c r="M8" i="216"/>
  <c r="L8" i="216"/>
  <c r="K8" i="216"/>
  <c r="J8" i="216"/>
  <c r="I8" i="216"/>
  <c r="H8" i="216"/>
  <c r="G8" i="216"/>
  <c r="F8" i="216"/>
  <c r="E8" i="216"/>
  <c r="D8" i="216"/>
  <c r="P7" i="216"/>
  <c r="O7" i="216"/>
  <c r="N7" i="216"/>
  <c r="M7" i="216"/>
  <c r="L7" i="216"/>
  <c r="K7" i="216"/>
  <c r="J7" i="216"/>
  <c r="I7" i="216"/>
  <c r="H7" i="216"/>
  <c r="G7" i="216"/>
  <c r="F7" i="216"/>
  <c r="E7" i="216"/>
  <c r="D7" i="216"/>
  <c r="P6" i="216"/>
  <c r="O6" i="216"/>
  <c r="N6" i="216"/>
  <c r="M6" i="216"/>
  <c r="L6" i="216"/>
  <c r="K6" i="216"/>
  <c r="J6" i="216"/>
  <c r="I6" i="216"/>
  <c r="H6" i="216"/>
  <c r="G6" i="216"/>
  <c r="F6" i="216"/>
  <c r="E6" i="216"/>
  <c r="D6" i="216"/>
  <c r="P3" i="216"/>
  <c r="O3" i="216"/>
  <c r="N3" i="216"/>
  <c r="M3" i="216"/>
  <c r="L3" i="216"/>
  <c r="K3" i="216"/>
  <c r="J3" i="216"/>
  <c r="I3" i="216"/>
  <c r="H3" i="216"/>
  <c r="G3" i="216"/>
  <c r="F3" i="216"/>
  <c r="E3" i="216"/>
  <c r="D3" i="216"/>
  <c r="P149" i="287"/>
  <c r="O149" i="287"/>
  <c r="N149" i="287"/>
  <c r="M149" i="287"/>
  <c r="L149" i="287"/>
  <c r="K149" i="287"/>
  <c r="J149" i="287"/>
  <c r="I149" i="287"/>
  <c r="H149" i="287"/>
  <c r="G149" i="287"/>
  <c r="F149" i="287"/>
  <c r="E149" i="287"/>
  <c r="P146" i="287"/>
  <c r="O146" i="287"/>
  <c r="N146" i="287"/>
  <c r="M146" i="287"/>
  <c r="L146" i="287"/>
  <c r="K146" i="287"/>
  <c r="J146" i="287"/>
  <c r="I146" i="287"/>
  <c r="H146" i="287"/>
  <c r="G146" i="287"/>
  <c r="F146" i="287"/>
  <c r="E146" i="287"/>
  <c r="P145" i="287"/>
  <c r="O145" i="287"/>
  <c r="N145" i="287"/>
  <c r="M145" i="287"/>
  <c r="L145" i="287"/>
  <c r="K145" i="287"/>
  <c r="J145" i="287"/>
  <c r="I145" i="287"/>
  <c r="H145" i="287"/>
  <c r="G145" i="287"/>
  <c r="F145" i="287"/>
  <c r="E145" i="287"/>
  <c r="I79" i="216" l="1"/>
  <c r="G79" i="216"/>
  <c r="O79" i="216"/>
  <c r="D79" i="216"/>
  <c r="L79" i="216"/>
  <c r="K79" i="216"/>
  <c r="J79" i="216"/>
  <c r="H79" i="216"/>
  <c r="P79" i="216"/>
  <c r="F79" i="216"/>
  <c r="N79" i="216"/>
  <c r="E79" i="216"/>
  <c r="M79" i="216"/>
  <c r="R68" i="175"/>
  <c r="AK68" i="175"/>
  <c r="Q97" i="216"/>
  <c r="Q98" i="216"/>
  <c r="Q92" i="216"/>
  <c r="Q59" i="216"/>
  <c r="Q67" i="216"/>
  <c r="Q86" i="216"/>
  <c r="Q87" i="216"/>
  <c r="Q73" i="216"/>
  <c r="Q62" i="216"/>
  <c r="Q116" i="216"/>
  <c r="Q96" i="216"/>
  <c r="Q104" i="216"/>
  <c r="Q82" i="216"/>
  <c r="Q76" i="216"/>
  <c r="Q64" i="216"/>
  <c r="Q65" i="216"/>
  <c r="Q102" i="216"/>
  <c r="Q94" i="216"/>
  <c r="Q69" i="216"/>
  <c r="Q77" i="216"/>
  <c r="Q66" i="216"/>
  <c r="Q99" i="216"/>
  <c r="Q85" i="216"/>
  <c r="Q71" i="216"/>
  <c r="Q119" i="216"/>
  <c r="Q63" i="216"/>
  <c r="Q113" i="216"/>
  <c r="Q100" i="216"/>
  <c r="Q72" i="216"/>
  <c r="Q60" i="216"/>
  <c r="Q61" i="216"/>
  <c r="Q115" i="216"/>
  <c r="Q70" i="216"/>
  <c r="Q109" i="216"/>
  <c r="Q101" i="216"/>
  <c r="Q88" i="216"/>
  <c r="Q107" i="216"/>
  <c r="Q103" i="216"/>
  <c r="Q89" i="216"/>
  <c r="Q74" i="216"/>
  <c r="Q75" i="216"/>
  <c r="P52" i="178"/>
  <c r="H52" i="178"/>
  <c r="O52" i="178"/>
  <c r="M52" i="178"/>
  <c r="K52" i="178"/>
  <c r="S52" i="178"/>
  <c r="L52" i="178"/>
  <c r="G52" i="178"/>
  <c r="N52" i="178"/>
  <c r="J52" i="178"/>
  <c r="R52" i="178"/>
  <c r="I52" i="178"/>
  <c r="Q52" i="178"/>
  <c r="D52" i="178"/>
  <c r="AK56" i="175"/>
  <c r="R44" i="175"/>
  <c r="AK46" i="175"/>
  <c r="R45" i="175"/>
  <c r="R52" i="175"/>
  <c r="AK43" i="175"/>
  <c r="AK51" i="175"/>
  <c r="R56" i="175"/>
  <c r="R43" i="175"/>
  <c r="AK52" i="175"/>
  <c r="AK55" i="175"/>
  <c r="AM146" i="178"/>
  <c r="AK44" i="175"/>
  <c r="R63" i="175"/>
  <c r="AK53" i="175"/>
  <c r="R46" i="175"/>
  <c r="R59" i="175"/>
  <c r="AK47" i="175"/>
  <c r="AK63" i="175"/>
  <c r="AK59" i="175"/>
  <c r="R53" i="175"/>
  <c r="R47" i="175"/>
  <c r="R55" i="175"/>
  <c r="R42" i="175"/>
  <c r="AK45" i="175"/>
  <c r="AK50" i="175"/>
  <c r="R54" i="175"/>
  <c r="AK54" i="175"/>
  <c r="T146" i="178"/>
  <c r="R61" i="175"/>
  <c r="AK61" i="175"/>
  <c r="AG107" i="178"/>
  <c r="AJ107" i="178"/>
  <c r="T171" i="178"/>
  <c r="T51" i="178"/>
  <c r="T56" i="178"/>
  <c r="T59" i="178"/>
  <c r="T89" i="178"/>
  <c r="AC107" i="178"/>
  <c r="AK107" i="178"/>
  <c r="T14" i="178"/>
  <c r="T105" i="178"/>
  <c r="T165" i="178"/>
  <c r="T132" i="178"/>
  <c r="AM125" i="178"/>
  <c r="T12" i="178"/>
  <c r="T116" i="178"/>
  <c r="T41" i="178"/>
  <c r="T61" i="178"/>
  <c r="T91" i="178"/>
  <c r="AM108" i="178"/>
  <c r="T196" i="178"/>
  <c r="T8" i="178"/>
  <c r="T13" i="178"/>
  <c r="T83" i="178"/>
  <c r="T112" i="178"/>
  <c r="T126" i="178"/>
  <c r="AA107" i="178"/>
  <c r="AI107" i="178"/>
  <c r="AM120" i="178"/>
  <c r="T180" i="178"/>
  <c r="T19" i="178"/>
  <c r="T109" i="178"/>
  <c r="T119" i="178"/>
  <c r="AM81" i="178"/>
  <c r="W107" i="178"/>
  <c r="Q146" i="287"/>
  <c r="R146" i="287" s="1"/>
  <c r="T76" i="178"/>
  <c r="T97" i="178"/>
  <c r="AF107" i="178"/>
  <c r="T152" i="178"/>
  <c r="T175" i="178"/>
  <c r="T177" i="178"/>
  <c r="T178" i="178"/>
  <c r="T181" i="178"/>
  <c r="T29" i="178"/>
  <c r="T34" i="178"/>
  <c r="T49" i="178"/>
  <c r="T90" i="178"/>
  <c r="T103" i="178"/>
  <c r="T127" i="178"/>
  <c r="AM93" i="178"/>
  <c r="AM99" i="178"/>
  <c r="AM132" i="178"/>
  <c r="T158" i="178"/>
  <c r="T192" i="178"/>
  <c r="T201" i="178"/>
  <c r="T114" i="178"/>
  <c r="T117" i="178"/>
  <c r="T120" i="178"/>
  <c r="T95" i="178"/>
  <c r="T134" i="178"/>
  <c r="AM106" i="178"/>
  <c r="Q16" i="216"/>
  <c r="Q44" i="216"/>
  <c r="Q45" i="216"/>
  <c r="Q52" i="216"/>
  <c r="Q53" i="216"/>
  <c r="T21" i="178"/>
  <c r="T47" i="178"/>
  <c r="T108" i="178"/>
  <c r="T125" i="178"/>
  <c r="AB107" i="178"/>
  <c r="T156" i="178"/>
  <c r="T159" i="178"/>
  <c r="T199" i="178"/>
  <c r="T202" i="178"/>
  <c r="T26" i="178"/>
  <c r="Q12" i="216"/>
  <c r="Q14" i="216"/>
  <c r="Q34" i="216"/>
  <c r="T7" i="178"/>
  <c r="T18" i="178"/>
  <c r="T28" i="178"/>
  <c r="T38" i="178"/>
  <c r="T45" i="178"/>
  <c r="T50" i="178"/>
  <c r="T54" i="178"/>
  <c r="T58" i="178"/>
  <c r="T93" i="178"/>
  <c r="T104" i="178"/>
  <c r="T113" i="178"/>
  <c r="T124" i="178"/>
  <c r="T131" i="178"/>
  <c r="AM91" i="178"/>
  <c r="AM98" i="178"/>
  <c r="AM119" i="178"/>
  <c r="AM131" i="178"/>
  <c r="T164" i="178"/>
  <c r="Q8" i="216"/>
  <c r="Q31" i="216"/>
  <c r="Q32" i="216"/>
  <c r="Q42" i="216"/>
  <c r="Q50" i="216"/>
  <c r="T85" i="178"/>
  <c r="T101" i="178"/>
  <c r="AD107" i="178"/>
  <c r="AL107" i="178"/>
  <c r="AM113" i="178"/>
  <c r="AM122" i="178"/>
  <c r="T153" i="178"/>
  <c r="T168" i="178"/>
  <c r="T35" i="178"/>
  <c r="AM82" i="178"/>
  <c r="T160" i="178"/>
  <c r="Q6" i="216"/>
  <c r="Q30" i="216"/>
  <c r="Q38" i="216"/>
  <c r="T20" i="178"/>
  <c r="T48" i="178"/>
  <c r="T102" i="178"/>
  <c r="AM109" i="178"/>
  <c r="AM126" i="178"/>
  <c r="AM129" i="178"/>
  <c r="AM133" i="178"/>
  <c r="T203" i="178"/>
  <c r="T172" i="178"/>
  <c r="T96" i="178"/>
  <c r="T110" i="178"/>
  <c r="T133" i="178"/>
  <c r="T169" i="178"/>
  <c r="T190" i="178"/>
  <c r="Q43" i="216"/>
  <c r="T36" i="178"/>
  <c r="T106" i="178"/>
  <c r="T118" i="178"/>
  <c r="AM102" i="178"/>
  <c r="AM121" i="178"/>
  <c r="T151" i="178"/>
  <c r="T173" i="178"/>
  <c r="T194" i="178"/>
  <c r="Q18" i="216"/>
  <c r="Q35" i="216"/>
  <c r="Q36" i="216"/>
  <c r="Q46" i="216"/>
  <c r="Q54" i="216"/>
  <c r="T4" i="178"/>
  <c r="T15" i="178"/>
  <c r="T57" i="178"/>
  <c r="T77" i="178"/>
  <c r="T115" i="178"/>
  <c r="T122" i="178"/>
  <c r="T129" i="178"/>
  <c r="T130" i="178"/>
  <c r="AM83" i="178"/>
  <c r="AM86" i="178"/>
  <c r="AM96" i="178"/>
  <c r="AM105" i="178"/>
  <c r="AH107" i="178"/>
  <c r="AM130" i="178"/>
  <c r="T161" i="178"/>
  <c r="T176" i="178"/>
  <c r="T204" i="178"/>
  <c r="T81" i="178"/>
  <c r="T121" i="178"/>
  <c r="AM117" i="178"/>
  <c r="T150" i="178"/>
  <c r="T193" i="178"/>
  <c r="T31" i="178"/>
  <c r="T60" i="178"/>
  <c r="T99" i="178"/>
  <c r="Q149" i="287"/>
  <c r="S149" i="287" s="1"/>
  <c r="Q33" i="216"/>
  <c r="Q51" i="216"/>
  <c r="T11" i="178"/>
  <c r="T27" i="178"/>
  <c r="T42" i="178"/>
  <c r="T53" i="178"/>
  <c r="T82" i="178"/>
  <c r="T86" i="178"/>
  <c r="T92" i="178"/>
  <c r="AM90" i="178"/>
  <c r="AM118" i="178"/>
  <c r="T154" i="178"/>
  <c r="T157" i="178"/>
  <c r="T179" i="178"/>
  <c r="T197" i="178"/>
  <c r="T200" i="178"/>
  <c r="Q145" i="287"/>
  <c r="S145" i="287" s="1"/>
  <c r="Q7" i="216"/>
  <c r="Q41" i="216"/>
  <c r="Q48" i="216"/>
  <c r="Q49" i="216"/>
  <c r="T32" i="178"/>
  <c r="T100" i="178"/>
  <c r="AM77" i="178"/>
  <c r="AM110" i="178"/>
  <c r="AM114" i="178"/>
  <c r="AM134" i="178"/>
  <c r="T167" i="178"/>
  <c r="T170" i="178"/>
  <c r="T191" i="178"/>
  <c r="AM103" i="178"/>
  <c r="T155" i="178"/>
  <c r="T174" i="178"/>
  <c r="T195" i="178"/>
  <c r="T198" i="178"/>
  <c r="Q29" i="216"/>
  <c r="Q37" i="216"/>
  <c r="Q47" i="216"/>
  <c r="Q55" i="216"/>
  <c r="T22" i="178"/>
  <c r="T62" i="178"/>
  <c r="T80" i="178"/>
  <c r="T98" i="178"/>
  <c r="T128" i="178"/>
  <c r="T135" i="178"/>
  <c r="AM85" i="178"/>
  <c r="AM115" i="178"/>
  <c r="AM116" i="178"/>
  <c r="AM127" i="178"/>
  <c r="AM128" i="178"/>
  <c r="T166" i="178"/>
  <c r="AE107" i="178"/>
  <c r="Z107" i="178"/>
  <c r="AM76" i="178"/>
  <c r="Q79" i="216" l="1"/>
  <c r="T52" i="178"/>
  <c r="R145" i="287"/>
  <c r="T145" i="287" s="1"/>
  <c r="AM107" i="178"/>
  <c r="P111" i="287"/>
  <c r="O111" i="287"/>
  <c r="N111" i="287"/>
  <c r="M111" i="287"/>
  <c r="L111" i="287"/>
  <c r="K111" i="287"/>
  <c r="J111" i="287"/>
  <c r="I111" i="287"/>
  <c r="H111" i="287"/>
  <c r="G111" i="287"/>
  <c r="F111" i="287"/>
  <c r="E111" i="287"/>
  <c r="P110" i="287"/>
  <c r="O110" i="287"/>
  <c r="N110" i="287"/>
  <c r="M110" i="287"/>
  <c r="L110" i="287"/>
  <c r="K110" i="287"/>
  <c r="J110" i="287"/>
  <c r="I110" i="287"/>
  <c r="H110" i="287"/>
  <c r="G110" i="287"/>
  <c r="F110" i="287"/>
  <c r="E110" i="287"/>
  <c r="P109" i="287"/>
  <c r="O109" i="287"/>
  <c r="N109" i="287"/>
  <c r="M109" i="287"/>
  <c r="L109" i="287"/>
  <c r="K109" i="287"/>
  <c r="J109" i="287"/>
  <c r="I109" i="287"/>
  <c r="H109" i="287"/>
  <c r="G109" i="287"/>
  <c r="F109" i="287"/>
  <c r="E109" i="287"/>
  <c r="P108" i="287"/>
  <c r="O108" i="287"/>
  <c r="N108" i="287"/>
  <c r="M108" i="287"/>
  <c r="L108" i="287"/>
  <c r="K108" i="287"/>
  <c r="J108" i="287"/>
  <c r="I108" i="287"/>
  <c r="H108" i="287"/>
  <c r="G108" i="287"/>
  <c r="F108" i="287"/>
  <c r="E108" i="287"/>
  <c r="P107" i="287"/>
  <c r="O107" i="287"/>
  <c r="N107" i="287"/>
  <c r="M107" i="287"/>
  <c r="L107" i="287"/>
  <c r="K107" i="287"/>
  <c r="J107" i="287"/>
  <c r="I107" i="287"/>
  <c r="H107" i="287"/>
  <c r="G107" i="287"/>
  <c r="F107" i="287"/>
  <c r="E107" i="287"/>
  <c r="P95" i="287"/>
  <c r="O95" i="287"/>
  <c r="N95" i="287"/>
  <c r="M95" i="287"/>
  <c r="L95" i="287"/>
  <c r="K95" i="287"/>
  <c r="J95" i="287"/>
  <c r="I95" i="287"/>
  <c r="H95" i="287"/>
  <c r="G95" i="287"/>
  <c r="F95" i="287"/>
  <c r="E95" i="287"/>
  <c r="P94" i="287"/>
  <c r="O94" i="287"/>
  <c r="N94" i="287"/>
  <c r="M94" i="287"/>
  <c r="L94" i="287"/>
  <c r="K94" i="287"/>
  <c r="J94" i="287"/>
  <c r="I94" i="287"/>
  <c r="H94" i="287"/>
  <c r="G94" i="287"/>
  <c r="F94" i="287"/>
  <c r="E94" i="287"/>
  <c r="P93" i="287"/>
  <c r="O93" i="287"/>
  <c r="N93" i="287"/>
  <c r="M93" i="287"/>
  <c r="L93" i="287"/>
  <c r="K93" i="287"/>
  <c r="J93" i="287"/>
  <c r="I93" i="287"/>
  <c r="H93" i="287"/>
  <c r="G93" i="287"/>
  <c r="F93" i="287"/>
  <c r="E93" i="287"/>
  <c r="P92" i="287"/>
  <c r="O92" i="287"/>
  <c r="N92" i="287"/>
  <c r="M92" i="287"/>
  <c r="L92" i="287"/>
  <c r="K92" i="287"/>
  <c r="J92" i="287"/>
  <c r="I92" i="287"/>
  <c r="H92" i="287"/>
  <c r="G92" i="287"/>
  <c r="F92" i="287"/>
  <c r="E92" i="287"/>
  <c r="P86" i="287"/>
  <c r="O86" i="287"/>
  <c r="N86" i="287"/>
  <c r="M86" i="287"/>
  <c r="L86" i="287"/>
  <c r="K86" i="287"/>
  <c r="J86" i="287"/>
  <c r="I86" i="287"/>
  <c r="H86" i="287"/>
  <c r="G86" i="287"/>
  <c r="F86" i="287"/>
  <c r="E86" i="287"/>
  <c r="P58" i="287"/>
  <c r="O58" i="287"/>
  <c r="N58" i="287"/>
  <c r="M58" i="287"/>
  <c r="L58" i="287"/>
  <c r="K58" i="287"/>
  <c r="J58" i="287"/>
  <c r="I58" i="287"/>
  <c r="H58" i="287"/>
  <c r="G58" i="287"/>
  <c r="F58" i="287"/>
  <c r="E58" i="287"/>
  <c r="P121" i="287"/>
  <c r="O121" i="287"/>
  <c r="N121" i="287"/>
  <c r="M121" i="287"/>
  <c r="L121" i="287"/>
  <c r="K121" i="287"/>
  <c r="J121" i="287"/>
  <c r="I121" i="287"/>
  <c r="H121" i="287"/>
  <c r="G121" i="287"/>
  <c r="F121" i="287"/>
  <c r="E121" i="287"/>
  <c r="P120" i="287"/>
  <c r="O120" i="287"/>
  <c r="N120" i="287"/>
  <c r="M120" i="287"/>
  <c r="L120" i="287"/>
  <c r="K120" i="287"/>
  <c r="J120" i="287"/>
  <c r="I120" i="287"/>
  <c r="H120" i="287"/>
  <c r="G120" i="287"/>
  <c r="F120" i="287"/>
  <c r="E120" i="287"/>
  <c r="P119" i="287"/>
  <c r="O119" i="287"/>
  <c r="N119" i="287"/>
  <c r="M119" i="287"/>
  <c r="L119" i="287"/>
  <c r="K119" i="287"/>
  <c r="J119" i="287"/>
  <c r="I119" i="287"/>
  <c r="H119" i="287"/>
  <c r="G119" i="287"/>
  <c r="F119" i="287"/>
  <c r="E119" i="287"/>
  <c r="P115" i="287"/>
  <c r="O115" i="287"/>
  <c r="N115" i="287"/>
  <c r="M115" i="287"/>
  <c r="L115" i="287"/>
  <c r="K115" i="287"/>
  <c r="J115" i="287"/>
  <c r="I115" i="287"/>
  <c r="H115" i="287"/>
  <c r="G115" i="287"/>
  <c r="F115" i="287"/>
  <c r="E115" i="287"/>
  <c r="P114" i="287"/>
  <c r="O114" i="287"/>
  <c r="N114" i="287"/>
  <c r="M114" i="287"/>
  <c r="L114" i="287"/>
  <c r="K114" i="287"/>
  <c r="J114" i="287"/>
  <c r="I114" i="287"/>
  <c r="H114" i="287"/>
  <c r="G114" i="287"/>
  <c r="F114" i="287"/>
  <c r="E114" i="287"/>
  <c r="O176" i="286"/>
  <c r="P96" i="287" s="1"/>
  <c r="N176" i="286"/>
  <c r="O96" i="287" s="1"/>
  <c r="M176" i="286"/>
  <c r="N96" i="287" s="1"/>
  <c r="L176" i="286"/>
  <c r="M96" i="287" s="1"/>
  <c r="K176" i="286"/>
  <c r="L96" i="287" s="1"/>
  <c r="J176" i="286"/>
  <c r="K96" i="287" s="1"/>
  <c r="I176" i="286"/>
  <c r="J96" i="287" s="1"/>
  <c r="H176" i="286"/>
  <c r="G176" i="286"/>
  <c r="H96" i="287" s="1"/>
  <c r="F176" i="286"/>
  <c r="G96" i="287" s="1"/>
  <c r="E176" i="286"/>
  <c r="F96" i="287" s="1"/>
  <c r="D176" i="286"/>
  <c r="E96" i="287" s="1"/>
  <c r="O175" i="286"/>
  <c r="P81" i="287" s="1"/>
  <c r="N175" i="286"/>
  <c r="O81" i="287" s="1"/>
  <c r="M175" i="286"/>
  <c r="N81" i="287" s="1"/>
  <c r="L175" i="286"/>
  <c r="M81" i="287" s="1"/>
  <c r="K175" i="286"/>
  <c r="L81" i="287" s="1"/>
  <c r="J175" i="286"/>
  <c r="K81" i="287" s="1"/>
  <c r="I175" i="286"/>
  <c r="J81" i="287" s="1"/>
  <c r="H175" i="286"/>
  <c r="I81" i="287" s="1"/>
  <c r="G175" i="286"/>
  <c r="H81" i="287" s="1"/>
  <c r="F175" i="286"/>
  <c r="G81" i="287" s="1"/>
  <c r="E175" i="286"/>
  <c r="F81" i="287" s="1"/>
  <c r="D175" i="286"/>
  <c r="E81" i="287" s="1"/>
  <c r="O174" i="286"/>
  <c r="P138" i="287" s="1"/>
  <c r="N174" i="286"/>
  <c r="O138" i="287" s="1"/>
  <c r="M174" i="286"/>
  <c r="N138" i="287" s="1"/>
  <c r="L174" i="286"/>
  <c r="M138" i="287" s="1"/>
  <c r="K174" i="286"/>
  <c r="L138" i="287" s="1"/>
  <c r="J174" i="286"/>
  <c r="K138" i="287" s="1"/>
  <c r="I174" i="286"/>
  <c r="J138" i="287" s="1"/>
  <c r="H174" i="286"/>
  <c r="I138" i="287" s="1"/>
  <c r="G174" i="286"/>
  <c r="H138" i="287" s="1"/>
  <c r="F174" i="286"/>
  <c r="G138" i="287" s="1"/>
  <c r="E174" i="286"/>
  <c r="F138" i="287" s="1"/>
  <c r="D174" i="286"/>
  <c r="O173" i="286"/>
  <c r="P132" i="287" s="1"/>
  <c r="N173" i="286"/>
  <c r="O132" i="287" s="1"/>
  <c r="M173" i="286"/>
  <c r="N132" i="287" s="1"/>
  <c r="L173" i="286"/>
  <c r="M132" i="287" s="1"/>
  <c r="K173" i="286"/>
  <c r="L132" i="287" s="1"/>
  <c r="J173" i="286"/>
  <c r="K132" i="287" s="1"/>
  <c r="I173" i="286"/>
  <c r="J132" i="287" s="1"/>
  <c r="H173" i="286"/>
  <c r="G173" i="286"/>
  <c r="H132" i="287" s="1"/>
  <c r="F173" i="286"/>
  <c r="G132" i="287" s="1"/>
  <c r="E173" i="286"/>
  <c r="F132" i="287" s="1"/>
  <c r="D173" i="286"/>
  <c r="E132" i="287" s="1"/>
  <c r="O172" i="286"/>
  <c r="P91" i="287" s="1"/>
  <c r="N172" i="286"/>
  <c r="O91" i="287" s="1"/>
  <c r="M172" i="286"/>
  <c r="N91" i="287" s="1"/>
  <c r="L172" i="286"/>
  <c r="M91" i="287" s="1"/>
  <c r="K172" i="286"/>
  <c r="L91" i="287" s="1"/>
  <c r="J172" i="286"/>
  <c r="K91" i="287" s="1"/>
  <c r="I172" i="286"/>
  <c r="J91" i="287" s="1"/>
  <c r="H172" i="286"/>
  <c r="I91" i="287" s="1"/>
  <c r="G172" i="286"/>
  <c r="H91" i="287" s="1"/>
  <c r="F172" i="286"/>
  <c r="G91" i="287" s="1"/>
  <c r="E172" i="286"/>
  <c r="F91" i="287" s="1"/>
  <c r="D172" i="286"/>
  <c r="O171" i="286"/>
  <c r="P147" i="287" s="1"/>
  <c r="N171" i="286"/>
  <c r="O147" i="287" s="1"/>
  <c r="M171" i="286"/>
  <c r="N147" i="287" s="1"/>
  <c r="L171" i="286"/>
  <c r="M147" i="287" s="1"/>
  <c r="K171" i="286"/>
  <c r="L147" i="287" s="1"/>
  <c r="J171" i="286"/>
  <c r="K147" i="287" s="1"/>
  <c r="I171" i="286"/>
  <c r="J147" i="287" s="1"/>
  <c r="H171" i="286"/>
  <c r="I147" i="287" s="1"/>
  <c r="G171" i="286"/>
  <c r="H147" i="287" s="1"/>
  <c r="F171" i="286"/>
  <c r="G147" i="287" s="1"/>
  <c r="E171" i="286"/>
  <c r="D171" i="286"/>
  <c r="E147" i="287" s="1"/>
  <c r="O170" i="286"/>
  <c r="P148" i="287" s="1"/>
  <c r="N170" i="286"/>
  <c r="O148" i="287" s="1"/>
  <c r="M170" i="286"/>
  <c r="N148" i="287" s="1"/>
  <c r="L170" i="286"/>
  <c r="M148" i="287" s="1"/>
  <c r="K170" i="286"/>
  <c r="L148" i="287" s="1"/>
  <c r="J170" i="286"/>
  <c r="K148" i="287" s="1"/>
  <c r="I170" i="286"/>
  <c r="J148" i="287" s="1"/>
  <c r="H170" i="286"/>
  <c r="G170" i="286"/>
  <c r="H148" i="287" s="1"/>
  <c r="F170" i="286"/>
  <c r="G148" i="287" s="1"/>
  <c r="E170" i="286"/>
  <c r="F148" i="287" s="1"/>
  <c r="D170" i="286"/>
  <c r="E148" i="287" s="1"/>
  <c r="O169" i="286"/>
  <c r="P150" i="287" s="1"/>
  <c r="N169" i="286"/>
  <c r="O150" i="287" s="1"/>
  <c r="M169" i="286"/>
  <c r="N150" i="287" s="1"/>
  <c r="L169" i="286"/>
  <c r="M150" i="287" s="1"/>
  <c r="K169" i="286"/>
  <c r="L150" i="287" s="1"/>
  <c r="J169" i="286"/>
  <c r="K150" i="287" s="1"/>
  <c r="I169" i="286"/>
  <c r="J150" i="287" s="1"/>
  <c r="H169" i="286"/>
  <c r="I150" i="287" s="1"/>
  <c r="G169" i="286"/>
  <c r="H150" i="287" s="1"/>
  <c r="F169" i="286"/>
  <c r="G150" i="287" s="1"/>
  <c r="E169" i="286"/>
  <c r="F150" i="287" s="1"/>
  <c r="D169" i="286"/>
  <c r="O168" i="286"/>
  <c r="P65" i="287" s="1"/>
  <c r="N168" i="286"/>
  <c r="O65" i="287" s="1"/>
  <c r="M168" i="286"/>
  <c r="N65" i="287" s="1"/>
  <c r="L168" i="286"/>
  <c r="M65" i="287" s="1"/>
  <c r="K168" i="286"/>
  <c r="L65" i="287" s="1"/>
  <c r="J168" i="286"/>
  <c r="K65" i="287" s="1"/>
  <c r="I168" i="286"/>
  <c r="J65" i="287" s="1"/>
  <c r="H168" i="286"/>
  <c r="I65" i="287" s="1"/>
  <c r="G168" i="286"/>
  <c r="H65" i="287" s="1"/>
  <c r="F168" i="286"/>
  <c r="G65" i="287" s="1"/>
  <c r="E168" i="286"/>
  <c r="F65" i="287" s="1"/>
  <c r="D168" i="286"/>
  <c r="E65" i="287" s="1"/>
  <c r="O167" i="286"/>
  <c r="P60" i="287" s="1"/>
  <c r="N167" i="286"/>
  <c r="O60" i="287" s="1"/>
  <c r="M167" i="286"/>
  <c r="N60" i="287" s="1"/>
  <c r="L167" i="286"/>
  <c r="M60" i="287" s="1"/>
  <c r="K167" i="286"/>
  <c r="L60" i="287" s="1"/>
  <c r="J167" i="286"/>
  <c r="K60" i="287" s="1"/>
  <c r="I167" i="286"/>
  <c r="J60" i="287" s="1"/>
  <c r="H167" i="286"/>
  <c r="I60" i="287" s="1"/>
  <c r="G167" i="286"/>
  <c r="H60" i="287" s="1"/>
  <c r="F167" i="286"/>
  <c r="G60" i="287" s="1"/>
  <c r="E167" i="286"/>
  <c r="F60" i="287" s="1"/>
  <c r="D167" i="286"/>
  <c r="E60" i="287" s="1"/>
  <c r="O166" i="286"/>
  <c r="P66" i="287" s="1"/>
  <c r="N166" i="286"/>
  <c r="O66" i="287" s="1"/>
  <c r="M166" i="286"/>
  <c r="N66" i="287" s="1"/>
  <c r="L166" i="286"/>
  <c r="M66" i="287" s="1"/>
  <c r="K166" i="286"/>
  <c r="L66" i="287" s="1"/>
  <c r="J166" i="286"/>
  <c r="K66" i="287" s="1"/>
  <c r="I166" i="286"/>
  <c r="J66" i="287" s="1"/>
  <c r="H166" i="286"/>
  <c r="I66" i="287" s="1"/>
  <c r="G166" i="286"/>
  <c r="H66" i="287" s="1"/>
  <c r="F166" i="286"/>
  <c r="G66" i="287" s="1"/>
  <c r="E166" i="286"/>
  <c r="F66" i="287" s="1"/>
  <c r="D166" i="286"/>
  <c r="E66" i="287" s="1"/>
  <c r="O165" i="286"/>
  <c r="P71" i="287" s="1"/>
  <c r="N165" i="286"/>
  <c r="O71" i="287" s="1"/>
  <c r="M165" i="286"/>
  <c r="N71" i="287" s="1"/>
  <c r="L165" i="286"/>
  <c r="M71" i="287" s="1"/>
  <c r="K165" i="286"/>
  <c r="L71" i="287" s="1"/>
  <c r="J165" i="286"/>
  <c r="K71" i="287" s="1"/>
  <c r="I165" i="286"/>
  <c r="J71" i="287" s="1"/>
  <c r="H165" i="286"/>
  <c r="I71" i="287" s="1"/>
  <c r="G165" i="286"/>
  <c r="H71" i="287" s="1"/>
  <c r="F165" i="286"/>
  <c r="G71" i="287" s="1"/>
  <c r="E165" i="286"/>
  <c r="F71" i="287" s="1"/>
  <c r="D165" i="286"/>
  <c r="E71" i="287" s="1"/>
  <c r="O164" i="286"/>
  <c r="P76" i="287" s="1"/>
  <c r="N164" i="286"/>
  <c r="O76" i="287" s="1"/>
  <c r="M164" i="286"/>
  <c r="N76" i="287" s="1"/>
  <c r="L164" i="286"/>
  <c r="M76" i="287" s="1"/>
  <c r="K164" i="286"/>
  <c r="L76" i="287" s="1"/>
  <c r="J164" i="286"/>
  <c r="K76" i="287" s="1"/>
  <c r="I164" i="286"/>
  <c r="J76" i="287" s="1"/>
  <c r="H164" i="286"/>
  <c r="I76" i="287" s="1"/>
  <c r="G164" i="286"/>
  <c r="H76" i="287" s="1"/>
  <c r="F164" i="286"/>
  <c r="G76" i="287" s="1"/>
  <c r="E164" i="286"/>
  <c r="F76" i="287" s="1"/>
  <c r="D164" i="286"/>
  <c r="E76" i="287" s="1"/>
  <c r="O163" i="286"/>
  <c r="P53" i="287" s="1"/>
  <c r="N163" i="286"/>
  <c r="O53" i="287" s="1"/>
  <c r="M163" i="286"/>
  <c r="N53" i="287" s="1"/>
  <c r="L163" i="286"/>
  <c r="M53" i="287" s="1"/>
  <c r="K163" i="286"/>
  <c r="L53" i="287" s="1"/>
  <c r="J163" i="286"/>
  <c r="K53" i="287" s="1"/>
  <c r="I163" i="286"/>
  <c r="J53" i="287" s="1"/>
  <c r="H163" i="286"/>
  <c r="I53" i="287" s="1"/>
  <c r="G163" i="286"/>
  <c r="H53" i="287" s="1"/>
  <c r="F163" i="286"/>
  <c r="G53" i="287" s="1"/>
  <c r="E163" i="286"/>
  <c r="D163" i="286"/>
  <c r="E53" i="287" s="1"/>
  <c r="O162" i="286"/>
  <c r="P52" i="287" s="1"/>
  <c r="N162" i="286"/>
  <c r="O52" i="287" s="1"/>
  <c r="M162" i="286"/>
  <c r="N52" i="287" s="1"/>
  <c r="L162" i="286"/>
  <c r="M52" i="287" s="1"/>
  <c r="K162" i="286"/>
  <c r="L52" i="287" s="1"/>
  <c r="J162" i="286"/>
  <c r="K52" i="287" s="1"/>
  <c r="I162" i="286"/>
  <c r="J52" i="287" s="1"/>
  <c r="H162" i="286"/>
  <c r="I52" i="287" s="1"/>
  <c r="G162" i="286"/>
  <c r="H52" i="287" s="1"/>
  <c r="F162" i="286"/>
  <c r="G52" i="287" s="1"/>
  <c r="E162" i="286"/>
  <c r="F52" i="287" s="1"/>
  <c r="D162" i="286"/>
  <c r="E52" i="287" s="1"/>
  <c r="O161" i="286"/>
  <c r="P51" i="287" s="1"/>
  <c r="N161" i="286"/>
  <c r="O51" i="287" s="1"/>
  <c r="M161" i="286"/>
  <c r="N51" i="287" s="1"/>
  <c r="L161" i="286"/>
  <c r="M51" i="287" s="1"/>
  <c r="K161" i="286"/>
  <c r="L51" i="287" s="1"/>
  <c r="J161" i="286"/>
  <c r="K51" i="287" s="1"/>
  <c r="I161" i="286"/>
  <c r="J51" i="287" s="1"/>
  <c r="H161" i="286"/>
  <c r="I51" i="287" s="1"/>
  <c r="G161" i="286"/>
  <c r="H51" i="287" s="1"/>
  <c r="F161" i="286"/>
  <c r="G51" i="287" s="1"/>
  <c r="E161" i="286"/>
  <c r="F51" i="287" s="1"/>
  <c r="D161" i="286"/>
  <c r="E51" i="287" s="1"/>
  <c r="O159" i="286"/>
  <c r="O46" i="230" s="1"/>
  <c r="N159" i="286"/>
  <c r="N46" i="230" s="1"/>
  <c r="M159" i="286"/>
  <c r="M46" i="230" s="1"/>
  <c r="L159" i="286"/>
  <c r="L46" i="230" s="1"/>
  <c r="K159" i="286"/>
  <c r="K46" i="230" s="1"/>
  <c r="J159" i="286"/>
  <c r="J46" i="230" s="1"/>
  <c r="I159" i="286"/>
  <c r="H159" i="286"/>
  <c r="H46" i="230" s="1"/>
  <c r="G159" i="286"/>
  <c r="G46" i="230" s="1"/>
  <c r="F159" i="286"/>
  <c r="F46" i="230" s="1"/>
  <c r="E159" i="286"/>
  <c r="E46" i="230" s="1"/>
  <c r="D159" i="286"/>
  <c r="D46" i="230" s="1"/>
  <c r="O158" i="286"/>
  <c r="O45" i="230" s="1"/>
  <c r="N158" i="286"/>
  <c r="N45" i="230" s="1"/>
  <c r="M158" i="286"/>
  <c r="M45" i="230" s="1"/>
  <c r="L158" i="286"/>
  <c r="L45" i="230" s="1"/>
  <c r="K158" i="286"/>
  <c r="K45" i="230" s="1"/>
  <c r="J158" i="286"/>
  <c r="J45" i="230" s="1"/>
  <c r="I158" i="286"/>
  <c r="I45" i="230" s="1"/>
  <c r="H158" i="286"/>
  <c r="H45" i="230" s="1"/>
  <c r="G158" i="286"/>
  <c r="G45" i="230" s="1"/>
  <c r="F158" i="286"/>
  <c r="F45" i="230" s="1"/>
  <c r="E158" i="286"/>
  <c r="E45" i="230" s="1"/>
  <c r="D158" i="286"/>
  <c r="D45" i="230" s="1"/>
  <c r="O157" i="286"/>
  <c r="O44" i="230" s="1"/>
  <c r="N157" i="286"/>
  <c r="N44" i="230" s="1"/>
  <c r="M157" i="286"/>
  <c r="M44" i="230" s="1"/>
  <c r="L157" i="286"/>
  <c r="L44" i="230" s="1"/>
  <c r="K157" i="286"/>
  <c r="K44" i="230" s="1"/>
  <c r="J157" i="286"/>
  <c r="J44" i="230" s="1"/>
  <c r="I157" i="286"/>
  <c r="I44" i="230" s="1"/>
  <c r="H157" i="286"/>
  <c r="H44" i="230" s="1"/>
  <c r="G157" i="286"/>
  <c r="G44" i="230" s="1"/>
  <c r="F157" i="286"/>
  <c r="F44" i="230" s="1"/>
  <c r="E157" i="286"/>
  <c r="E44" i="230" s="1"/>
  <c r="D157" i="286"/>
  <c r="O156" i="286"/>
  <c r="O41" i="230" s="1"/>
  <c r="N156" i="286"/>
  <c r="N41" i="230" s="1"/>
  <c r="M156" i="286"/>
  <c r="M41" i="230" s="1"/>
  <c r="L156" i="286"/>
  <c r="L41" i="230" s="1"/>
  <c r="K156" i="286"/>
  <c r="K41" i="230" s="1"/>
  <c r="J156" i="286"/>
  <c r="J41" i="230" s="1"/>
  <c r="I156" i="286"/>
  <c r="H156" i="286"/>
  <c r="H41" i="230" s="1"/>
  <c r="G156" i="286"/>
  <c r="G41" i="230" s="1"/>
  <c r="F156" i="286"/>
  <c r="F41" i="230" s="1"/>
  <c r="E156" i="286"/>
  <c r="E41" i="230" s="1"/>
  <c r="D156" i="286"/>
  <c r="D41" i="230" s="1"/>
  <c r="O155" i="286"/>
  <c r="O40" i="230" s="1"/>
  <c r="N155" i="286"/>
  <c r="N40" i="230" s="1"/>
  <c r="M155" i="286"/>
  <c r="M40" i="230" s="1"/>
  <c r="L155" i="286"/>
  <c r="L40" i="230" s="1"/>
  <c r="K155" i="286"/>
  <c r="K40" i="230" s="1"/>
  <c r="J155" i="286"/>
  <c r="J40" i="230" s="1"/>
  <c r="I155" i="286"/>
  <c r="I40" i="230" s="1"/>
  <c r="H155" i="286"/>
  <c r="H40" i="230" s="1"/>
  <c r="G155" i="286"/>
  <c r="G40" i="230" s="1"/>
  <c r="F155" i="286"/>
  <c r="F40" i="230" s="1"/>
  <c r="E155" i="286"/>
  <c r="E40" i="230" s="1"/>
  <c r="D155" i="286"/>
  <c r="O154" i="286"/>
  <c r="O39" i="230" s="1"/>
  <c r="N154" i="286"/>
  <c r="N39" i="230" s="1"/>
  <c r="M154" i="286"/>
  <c r="M39" i="230" s="1"/>
  <c r="L154" i="286"/>
  <c r="L39" i="230" s="1"/>
  <c r="K154" i="286"/>
  <c r="K39" i="230" s="1"/>
  <c r="J154" i="286"/>
  <c r="J39" i="230" s="1"/>
  <c r="I154" i="286"/>
  <c r="I39" i="230" s="1"/>
  <c r="H154" i="286"/>
  <c r="H39" i="230" s="1"/>
  <c r="G154" i="286"/>
  <c r="G39" i="230" s="1"/>
  <c r="F154" i="286"/>
  <c r="F39" i="230" s="1"/>
  <c r="E154" i="286"/>
  <c r="D154" i="286"/>
  <c r="D39" i="230" s="1"/>
  <c r="O153" i="286"/>
  <c r="O38" i="230" s="1"/>
  <c r="N153" i="286"/>
  <c r="N38" i="230" s="1"/>
  <c r="M153" i="286"/>
  <c r="M38" i="230" s="1"/>
  <c r="L153" i="286"/>
  <c r="L38" i="230" s="1"/>
  <c r="K153" i="286"/>
  <c r="K38" i="230" s="1"/>
  <c r="J153" i="286"/>
  <c r="J38" i="230" s="1"/>
  <c r="I153" i="286"/>
  <c r="I38" i="230" s="1"/>
  <c r="H153" i="286"/>
  <c r="H38" i="230" s="1"/>
  <c r="G153" i="286"/>
  <c r="G38" i="230" s="1"/>
  <c r="F153" i="286"/>
  <c r="F38" i="230" s="1"/>
  <c r="E153" i="286"/>
  <c r="D153" i="286"/>
  <c r="D38" i="230" s="1"/>
  <c r="O152" i="286"/>
  <c r="O37" i="230" s="1"/>
  <c r="N152" i="286"/>
  <c r="N37" i="230" s="1"/>
  <c r="M152" i="286"/>
  <c r="M37" i="230" s="1"/>
  <c r="L152" i="286"/>
  <c r="L37" i="230" s="1"/>
  <c r="K152" i="286"/>
  <c r="K37" i="230" s="1"/>
  <c r="J152" i="286"/>
  <c r="J37" i="230" s="1"/>
  <c r="I152" i="286"/>
  <c r="I37" i="230" s="1"/>
  <c r="H152" i="286"/>
  <c r="H37" i="230" s="1"/>
  <c r="G152" i="286"/>
  <c r="G37" i="230" s="1"/>
  <c r="F152" i="286"/>
  <c r="F37" i="230" s="1"/>
  <c r="E152" i="286"/>
  <c r="E37" i="230" s="1"/>
  <c r="D152" i="286"/>
  <c r="O151" i="286"/>
  <c r="O36" i="230" s="1"/>
  <c r="N151" i="286"/>
  <c r="N36" i="230" s="1"/>
  <c r="M151" i="286"/>
  <c r="M36" i="230" s="1"/>
  <c r="L151" i="286"/>
  <c r="L36" i="230" s="1"/>
  <c r="K151" i="286"/>
  <c r="K36" i="230" s="1"/>
  <c r="J151" i="286"/>
  <c r="J36" i="230" s="1"/>
  <c r="I151" i="286"/>
  <c r="I36" i="230" s="1"/>
  <c r="H151" i="286"/>
  <c r="G151" i="286"/>
  <c r="G36" i="230" s="1"/>
  <c r="F151" i="286"/>
  <c r="F36" i="230" s="1"/>
  <c r="E151" i="286"/>
  <c r="E36" i="230" s="1"/>
  <c r="D151" i="286"/>
  <c r="D36" i="230" s="1"/>
  <c r="O150" i="286"/>
  <c r="O35" i="230" s="1"/>
  <c r="N150" i="286"/>
  <c r="N35" i="230" s="1"/>
  <c r="M150" i="286"/>
  <c r="M35" i="230" s="1"/>
  <c r="L150" i="286"/>
  <c r="L35" i="230" s="1"/>
  <c r="K150" i="286"/>
  <c r="K35" i="230" s="1"/>
  <c r="J150" i="286"/>
  <c r="J35" i="230" s="1"/>
  <c r="I150" i="286"/>
  <c r="I35" i="230" s="1"/>
  <c r="H150" i="286"/>
  <c r="H35" i="230" s="1"/>
  <c r="G150" i="286"/>
  <c r="G35" i="230" s="1"/>
  <c r="F150" i="286"/>
  <c r="F35" i="230" s="1"/>
  <c r="E150" i="286"/>
  <c r="E35" i="230" s="1"/>
  <c r="D150" i="286"/>
  <c r="O149" i="286"/>
  <c r="O33" i="230" s="1"/>
  <c r="N149" i="286"/>
  <c r="N33" i="230" s="1"/>
  <c r="M149" i="286"/>
  <c r="M33" i="230" s="1"/>
  <c r="L149" i="286"/>
  <c r="L33" i="230" s="1"/>
  <c r="K149" i="286"/>
  <c r="K33" i="230" s="1"/>
  <c r="J149" i="286"/>
  <c r="J33" i="230" s="1"/>
  <c r="I149" i="286"/>
  <c r="I33" i="230" s="1"/>
  <c r="H149" i="286"/>
  <c r="H33" i="230" s="1"/>
  <c r="G149" i="286"/>
  <c r="G33" i="230" s="1"/>
  <c r="F149" i="286"/>
  <c r="F33" i="230" s="1"/>
  <c r="E149" i="286"/>
  <c r="E33" i="230" s="1"/>
  <c r="D149" i="286"/>
  <c r="D33" i="230" s="1"/>
  <c r="O147" i="286"/>
  <c r="O144" i="179" s="1"/>
  <c r="N147" i="286"/>
  <c r="N144" i="179" s="1"/>
  <c r="M147" i="286"/>
  <c r="M144" i="179" s="1"/>
  <c r="L147" i="286"/>
  <c r="L144" i="179" s="1"/>
  <c r="K147" i="286"/>
  <c r="K144" i="179" s="1"/>
  <c r="J147" i="286"/>
  <c r="J144" i="179" s="1"/>
  <c r="I147" i="286"/>
  <c r="I144" i="179" s="1"/>
  <c r="H147" i="286"/>
  <c r="H144" i="179" s="1"/>
  <c r="G147" i="286"/>
  <c r="G144" i="179" s="1"/>
  <c r="F147" i="286"/>
  <c r="F144" i="179" s="1"/>
  <c r="E147" i="286"/>
  <c r="E144" i="179" s="1"/>
  <c r="D147" i="286"/>
  <c r="D144" i="179" s="1"/>
  <c r="O146" i="286"/>
  <c r="O148" i="179" s="1"/>
  <c r="N146" i="286"/>
  <c r="N148" i="179" s="1"/>
  <c r="M146" i="286"/>
  <c r="M148" i="179" s="1"/>
  <c r="L146" i="286"/>
  <c r="L148" i="179" s="1"/>
  <c r="K146" i="286"/>
  <c r="K148" i="179" s="1"/>
  <c r="J146" i="286"/>
  <c r="J148" i="179" s="1"/>
  <c r="I146" i="286"/>
  <c r="I148" i="179" s="1"/>
  <c r="H146" i="286"/>
  <c r="H148" i="179" s="1"/>
  <c r="G146" i="286"/>
  <c r="G148" i="179" s="1"/>
  <c r="F146" i="286"/>
  <c r="F148" i="179" s="1"/>
  <c r="E146" i="286"/>
  <c r="E148" i="179" s="1"/>
  <c r="D146" i="286"/>
  <c r="D148" i="179" s="1"/>
  <c r="O145" i="286"/>
  <c r="O133" i="179" s="1"/>
  <c r="N145" i="286"/>
  <c r="N133" i="179" s="1"/>
  <c r="M145" i="286"/>
  <c r="M133" i="179" s="1"/>
  <c r="L145" i="286"/>
  <c r="L133" i="179" s="1"/>
  <c r="K145" i="286"/>
  <c r="K133" i="179" s="1"/>
  <c r="J145" i="286"/>
  <c r="J133" i="179" s="1"/>
  <c r="I145" i="286"/>
  <c r="I133" i="179" s="1"/>
  <c r="H145" i="286"/>
  <c r="H133" i="179" s="1"/>
  <c r="G145" i="286"/>
  <c r="G133" i="179" s="1"/>
  <c r="F145" i="286"/>
  <c r="F133" i="179" s="1"/>
  <c r="E145" i="286"/>
  <c r="E133" i="179" s="1"/>
  <c r="D145" i="286"/>
  <c r="D133" i="179" s="1"/>
  <c r="O144" i="286"/>
  <c r="O164" i="179" s="1"/>
  <c r="O166" i="179" s="1"/>
  <c r="N144" i="286"/>
  <c r="N164" i="179" s="1"/>
  <c r="N166" i="179" s="1"/>
  <c r="M144" i="286"/>
  <c r="M164" i="179" s="1"/>
  <c r="M166" i="179" s="1"/>
  <c r="L144" i="286"/>
  <c r="L164" i="179" s="1"/>
  <c r="L166" i="179" s="1"/>
  <c r="K144" i="286"/>
  <c r="K164" i="179" s="1"/>
  <c r="K166" i="179" s="1"/>
  <c r="J144" i="286"/>
  <c r="J164" i="179" s="1"/>
  <c r="J166" i="179" s="1"/>
  <c r="I144" i="286"/>
  <c r="I164" i="179" s="1"/>
  <c r="I166" i="179" s="1"/>
  <c r="H144" i="286"/>
  <c r="H164" i="179" s="1"/>
  <c r="H166" i="179" s="1"/>
  <c r="G144" i="286"/>
  <c r="G164" i="179" s="1"/>
  <c r="G166" i="179" s="1"/>
  <c r="F144" i="286"/>
  <c r="F164" i="179" s="1"/>
  <c r="F166" i="179" s="1"/>
  <c r="E144" i="286"/>
  <c r="E164" i="179" s="1"/>
  <c r="E166" i="179" s="1"/>
  <c r="D144" i="286"/>
  <c r="D164" i="179" s="1"/>
  <c r="O143" i="286"/>
  <c r="O160" i="179" s="1"/>
  <c r="O162" i="179" s="1"/>
  <c r="N143" i="286"/>
  <c r="N160" i="179" s="1"/>
  <c r="N162" i="179" s="1"/>
  <c r="M143" i="286"/>
  <c r="M160" i="179" s="1"/>
  <c r="M162" i="179" s="1"/>
  <c r="L143" i="286"/>
  <c r="L160" i="179" s="1"/>
  <c r="L162" i="179" s="1"/>
  <c r="K143" i="286"/>
  <c r="K160" i="179" s="1"/>
  <c r="K162" i="179" s="1"/>
  <c r="J143" i="286"/>
  <c r="J160" i="179" s="1"/>
  <c r="J162" i="179" s="1"/>
  <c r="I143" i="286"/>
  <c r="I160" i="179" s="1"/>
  <c r="I162" i="179" s="1"/>
  <c r="H143" i="286"/>
  <c r="H160" i="179" s="1"/>
  <c r="H162" i="179" s="1"/>
  <c r="G143" i="286"/>
  <c r="G160" i="179" s="1"/>
  <c r="G162" i="179" s="1"/>
  <c r="F143" i="286"/>
  <c r="F160" i="179" s="1"/>
  <c r="F162" i="179" s="1"/>
  <c r="E143" i="286"/>
  <c r="E160" i="179" s="1"/>
  <c r="E162" i="179" s="1"/>
  <c r="D143" i="286"/>
  <c r="D160" i="179" s="1"/>
  <c r="O142" i="286"/>
  <c r="O158" i="179" s="1"/>
  <c r="N142" i="286"/>
  <c r="N158" i="179" s="1"/>
  <c r="M142" i="286"/>
  <c r="M158" i="179" s="1"/>
  <c r="L142" i="286"/>
  <c r="L158" i="179" s="1"/>
  <c r="K142" i="286"/>
  <c r="K158" i="179" s="1"/>
  <c r="J142" i="286"/>
  <c r="J158" i="179" s="1"/>
  <c r="I142" i="286"/>
  <c r="I158" i="179" s="1"/>
  <c r="H142" i="286"/>
  <c r="H158" i="179" s="1"/>
  <c r="G142" i="286"/>
  <c r="G158" i="179" s="1"/>
  <c r="F142" i="286"/>
  <c r="F158" i="179" s="1"/>
  <c r="E142" i="286"/>
  <c r="E158" i="179" s="1"/>
  <c r="D142" i="286"/>
  <c r="D158" i="179" s="1"/>
  <c r="O141" i="286"/>
  <c r="O154" i="179" s="1"/>
  <c r="O156" i="179" s="1"/>
  <c r="N141" i="286"/>
  <c r="N154" i="179" s="1"/>
  <c r="N156" i="179" s="1"/>
  <c r="M141" i="286"/>
  <c r="M154" i="179" s="1"/>
  <c r="M156" i="179" s="1"/>
  <c r="L141" i="286"/>
  <c r="L154" i="179" s="1"/>
  <c r="L156" i="179" s="1"/>
  <c r="K141" i="286"/>
  <c r="K154" i="179" s="1"/>
  <c r="K156" i="179" s="1"/>
  <c r="J141" i="286"/>
  <c r="J154" i="179" s="1"/>
  <c r="J156" i="179" s="1"/>
  <c r="I141" i="286"/>
  <c r="I154" i="179" s="1"/>
  <c r="I156" i="179" s="1"/>
  <c r="H141" i="286"/>
  <c r="H154" i="179" s="1"/>
  <c r="H156" i="179" s="1"/>
  <c r="G141" i="286"/>
  <c r="G154" i="179" s="1"/>
  <c r="G156" i="179" s="1"/>
  <c r="F141" i="286"/>
  <c r="F154" i="179" s="1"/>
  <c r="F156" i="179" s="1"/>
  <c r="E141" i="286"/>
  <c r="E154" i="179" s="1"/>
  <c r="E156" i="179" s="1"/>
  <c r="D141" i="286"/>
  <c r="D154" i="179" s="1"/>
  <c r="O140" i="286"/>
  <c r="O150" i="179" s="1"/>
  <c r="O152" i="179" s="1"/>
  <c r="N140" i="286"/>
  <c r="N150" i="179" s="1"/>
  <c r="N152" i="179" s="1"/>
  <c r="M140" i="286"/>
  <c r="M150" i="179" s="1"/>
  <c r="M152" i="179" s="1"/>
  <c r="L140" i="286"/>
  <c r="L150" i="179" s="1"/>
  <c r="L152" i="179" s="1"/>
  <c r="K140" i="286"/>
  <c r="K150" i="179" s="1"/>
  <c r="K152" i="179" s="1"/>
  <c r="J140" i="286"/>
  <c r="J150" i="179" s="1"/>
  <c r="J152" i="179" s="1"/>
  <c r="I140" i="286"/>
  <c r="I150" i="179" s="1"/>
  <c r="I152" i="179" s="1"/>
  <c r="H140" i="286"/>
  <c r="H150" i="179" s="1"/>
  <c r="H152" i="179" s="1"/>
  <c r="G140" i="286"/>
  <c r="G150" i="179" s="1"/>
  <c r="G152" i="179" s="1"/>
  <c r="F140" i="286"/>
  <c r="F150" i="179" s="1"/>
  <c r="F152" i="179" s="1"/>
  <c r="E140" i="286"/>
  <c r="E150" i="179" s="1"/>
  <c r="E152" i="179" s="1"/>
  <c r="D140" i="286"/>
  <c r="D150" i="179" s="1"/>
  <c r="O139" i="286"/>
  <c r="O142" i="179" s="1"/>
  <c r="N139" i="286"/>
  <c r="N142" i="179" s="1"/>
  <c r="M139" i="286"/>
  <c r="M142" i="179" s="1"/>
  <c r="L139" i="286"/>
  <c r="L142" i="179" s="1"/>
  <c r="K139" i="286"/>
  <c r="K142" i="179" s="1"/>
  <c r="J139" i="286"/>
  <c r="J142" i="179" s="1"/>
  <c r="I139" i="286"/>
  <c r="I142" i="179" s="1"/>
  <c r="H139" i="286"/>
  <c r="H142" i="179" s="1"/>
  <c r="G139" i="286"/>
  <c r="G142" i="179" s="1"/>
  <c r="F139" i="286"/>
  <c r="F142" i="179" s="1"/>
  <c r="E139" i="286"/>
  <c r="E142" i="179" s="1"/>
  <c r="D139" i="286"/>
  <c r="D142" i="179" s="1"/>
  <c r="O138" i="286"/>
  <c r="O143" i="179" s="1"/>
  <c r="N138" i="286"/>
  <c r="N143" i="179" s="1"/>
  <c r="M138" i="286"/>
  <c r="M143" i="179" s="1"/>
  <c r="L138" i="286"/>
  <c r="L143" i="179" s="1"/>
  <c r="K138" i="286"/>
  <c r="K143" i="179" s="1"/>
  <c r="J138" i="286"/>
  <c r="J143" i="179" s="1"/>
  <c r="I138" i="286"/>
  <c r="I143" i="179" s="1"/>
  <c r="H138" i="286"/>
  <c r="H143" i="179" s="1"/>
  <c r="G138" i="286"/>
  <c r="G143" i="179" s="1"/>
  <c r="F138" i="286"/>
  <c r="F143" i="179" s="1"/>
  <c r="E138" i="286"/>
  <c r="E143" i="179" s="1"/>
  <c r="D138" i="286"/>
  <c r="D143" i="179" s="1"/>
  <c r="O137" i="286"/>
  <c r="O128" i="179" s="1"/>
  <c r="N137" i="286"/>
  <c r="N128" i="179" s="1"/>
  <c r="M137" i="286"/>
  <c r="M128" i="179" s="1"/>
  <c r="L137" i="286"/>
  <c r="L128" i="179" s="1"/>
  <c r="K137" i="286"/>
  <c r="K128" i="179" s="1"/>
  <c r="J137" i="286"/>
  <c r="J128" i="179" s="1"/>
  <c r="I137" i="286"/>
  <c r="I128" i="179" s="1"/>
  <c r="H137" i="286"/>
  <c r="H128" i="179" s="1"/>
  <c r="G137" i="286"/>
  <c r="G128" i="179" s="1"/>
  <c r="F137" i="286"/>
  <c r="F128" i="179" s="1"/>
  <c r="E137" i="286"/>
  <c r="E128" i="179" s="1"/>
  <c r="D137" i="286"/>
  <c r="D128" i="179" s="1"/>
  <c r="O136" i="286"/>
  <c r="O116" i="179" s="1"/>
  <c r="N136" i="286"/>
  <c r="N116" i="179" s="1"/>
  <c r="M136" i="286"/>
  <c r="M116" i="179" s="1"/>
  <c r="L136" i="286"/>
  <c r="L116" i="179" s="1"/>
  <c r="K136" i="286"/>
  <c r="K116" i="179" s="1"/>
  <c r="J136" i="286"/>
  <c r="J116" i="179" s="1"/>
  <c r="I136" i="286"/>
  <c r="I116" i="179" s="1"/>
  <c r="H136" i="286"/>
  <c r="H116" i="179" s="1"/>
  <c r="G136" i="286"/>
  <c r="G116" i="179" s="1"/>
  <c r="F136" i="286"/>
  <c r="F116" i="179" s="1"/>
  <c r="E136" i="286"/>
  <c r="E116" i="179" s="1"/>
  <c r="D136" i="286"/>
  <c r="D116" i="179" s="1"/>
  <c r="O135" i="286"/>
  <c r="O113" i="179" s="1"/>
  <c r="N135" i="286"/>
  <c r="N113" i="179" s="1"/>
  <c r="M135" i="286"/>
  <c r="M113" i="179" s="1"/>
  <c r="L135" i="286"/>
  <c r="L113" i="179" s="1"/>
  <c r="K135" i="286"/>
  <c r="K113" i="179" s="1"/>
  <c r="J135" i="286"/>
  <c r="J113" i="179" s="1"/>
  <c r="I135" i="286"/>
  <c r="I113" i="179" s="1"/>
  <c r="H135" i="286"/>
  <c r="H113" i="179" s="1"/>
  <c r="G135" i="286"/>
  <c r="G113" i="179" s="1"/>
  <c r="F135" i="286"/>
  <c r="F113" i="179" s="1"/>
  <c r="E135" i="286"/>
  <c r="E113" i="179" s="1"/>
  <c r="D135" i="286"/>
  <c r="D113" i="179" s="1"/>
  <c r="O134" i="286"/>
  <c r="O130" i="179" s="1"/>
  <c r="N134" i="286"/>
  <c r="N130" i="179" s="1"/>
  <c r="M134" i="286"/>
  <c r="M130" i="179" s="1"/>
  <c r="L134" i="286"/>
  <c r="L130" i="179" s="1"/>
  <c r="K134" i="286"/>
  <c r="K130" i="179" s="1"/>
  <c r="J134" i="286"/>
  <c r="J130" i="179" s="1"/>
  <c r="I134" i="286"/>
  <c r="I130" i="179" s="1"/>
  <c r="H134" i="286"/>
  <c r="H130" i="179" s="1"/>
  <c r="G134" i="286"/>
  <c r="G130" i="179" s="1"/>
  <c r="F134" i="286"/>
  <c r="F130" i="179" s="1"/>
  <c r="E134" i="286"/>
  <c r="E130" i="179" s="1"/>
  <c r="D134" i="286"/>
  <c r="D130" i="179" s="1"/>
  <c r="O133" i="286"/>
  <c r="O126" i="179" s="1"/>
  <c r="N133" i="286"/>
  <c r="N126" i="179" s="1"/>
  <c r="M133" i="286"/>
  <c r="M126" i="179" s="1"/>
  <c r="L133" i="286"/>
  <c r="L126" i="179" s="1"/>
  <c r="K133" i="286"/>
  <c r="K126" i="179" s="1"/>
  <c r="J133" i="286"/>
  <c r="J126" i="179" s="1"/>
  <c r="I133" i="286"/>
  <c r="I126" i="179" s="1"/>
  <c r="H133" i="286"/>
  <c r="H126" i="179" s="1"/>
  <c r="G133" i="286"/>
  <c r="G126" i="179" s="1"/>
  <c r="F133" i="286"/>
  <c r="F126" i="179" s="1"/>
  <c r="E133" i="286"/>
  <c r="E126" i="179" s="1"/>
  <c r="D133" i="286"/>
  <c r="D126" i="179" s="1"/>
  <c r="O132" i="286"/>
  <c r="O136" i="179" s="1"/>
  <c r="N132" i="286"/>
  <c r="N136" i="179" s="1"/>
  <c r="M132" i="286"/>
  <c r="M136" i="179" s="1"/>
  <c r="L132" i="286"/>
  <c r="L136" i="179" s="1"/>
  <c r="K132" i="286"/>
  <c r="K136" i="179" s="1"/>
  <c r="J132" i="286"/>
  <c r="J136" i="179" s="1"/>
  <c r="I132" i="286"/>
  <c r="I136" i="179" s="1"/>
  <c r="H132" i="286"/>
  <c r="H136" i="179" s="1"/>
  <c r="G132" i="286"/>
  <c r="G136" i="179" s="1"/>
  <c r="F132" i="286"/>
  <c r="F136" i="179" s="1"/>
  <c r="E132" i="286"/>
  <c r="E136" i="179" s="1"/>
  <c r="D132" i="286"/>
  <c r="D136" i="179" s="1"/>
  <c r="O131" i="286"/>
  <c r="O122" i="179" s="1"/>
  <c r="N131" i="286"/>
  <c r="N122" i="179" s="1"/>
  <c r="M131" i="286"/>
  <c r="M122" i="179" s="1"/>
  <c r="L131" i="286"/>
  <c r="L122" i="179" s="1"/>
  <c r="K131" i="286"/>
  <c r="K122" i="179" s="1"/>
  <c r="J131" i="286"/>
  <c r="J122" i="179" s="1"/>
  <c r="I131" i="286"/>
  <c r="I122" i="179" s="1"/>
  <c r="H131" i="286"/>
  <c r="H122" i="179" s="1"/>
  <c r="G131" i="286"/>
  <c r="G122" i="179" s="1"/>
  <c r="F131" i="286"/>
  <c r="F122" i="179" s="1"/>
  <c r="E131" i="286"/>
  <c r="E122" i="179" s="1"/>
  <c r="D131" i="286"/>
  <c r="D122" i="179" s="1"/>
  <c r="O130" i="286"/>
  <c r="O123" i="179" s="1"/>
  <c r="N130" i="286"/>
  <c r="N123" i="179" s="1"/>
  <c r="M130" i="286"/>
  <c r="M123" i="179" s="1"/>
  <c r="L130" i="286"/>
  <c r="L123" i="179" s="1"/>
  <c r="K130" i="286"/>
  <c r="K123" i="179" s="1"/>
  <c r="J130" i="286"/>
  <c r="J123" i="179" s="1"/>
  <c r="I130" i="286"/>
  <c r="I123" i="179" s="1"/>
  <c r="H130" i="286"/>
  <c r="H123" i="179" s="1"/>
  <c r="G130" i="286"/>
  <c r="G123" i="179" s="1"/>
  <c r="F130" i="286"/>
  <c r="F123" i="179" s="1"/>
  <c r="E130" i="286"/>
  <c r="E123" i="179" s="1"/>
  <c r="D130" i="286"/>
  <c r="D123" i="179" s="1"/>
  <c r="O129" i="286"/>
  <c r="O115" i="179" s="1"/>
  <c r="N129" i="286"/>
  <c r="N115" i="179" s="1"/>
  <c r="M129" i="286"/>
  <c r="M115" i="179" s="1"/>
  <c r="L129" i="286"/>
  <c r="L115" i="179" s="1"/>
  <c r="K129" i="286"/>
  <c r="K115" i="179" s="1"/>
  <c r="J129" i="286"/>
  <c r="J115" i="179" s="1"/>
  <c r="I129" i="286"/>
  <c r="I115" i="179" s="1"/>
  <c r="H129" i="286"/>
  <c r="H115" i="179" s="1"/>
  <c r="G129" i="286"/>
  <c r="G115" i="179" s="1"/>
  <c r="F129" i="286"/>
  <c r="F115" i="179" s="1"/>
  <c r="E129" i="286"/>
  <c r="E115" i="179" s="1"/>
  <c r="D129" i="286"/>
  <c r="D115" i="179" s="1"/>
  <c r="O128" i="286"/>
  <c r="O112" i="179" s="1"/>
  <c r="N128" i="286"/>
  <c r="N112" i="179" s="1"/>
  <c r="M128" i="286"/>
  <c r="M112" i="179" s="1"/>
  <c r="L128" i="286"/>
  <c r="L112" i="179" s="1"/>
  <c r="K128" i="286"/>
  <c r="K112" i="179" s="1"/>
  <c r="J128" i="286"/>
  <c r="J112" i="179" s="1"/>
  <c r="I128" i="286"/>
  <c r="I112" i="179" s="1"/>
  <c r="H128" i="286"/>
  <c r="H112" i="179" s="1"/>
  <c r="G128" i="286"/>
  <c r="G112" i="179" s="1"/>
  <c r="F128" i="286"/>
  <c r="F112" i="179" s="1"/>
  <c r="E128" i="286"/>
  <c r="E112" i="179" s="1"/>
  <c r="D128" i="286"/>
  <c r="D112" i="179" s="1"/>
  <c r="O127" i="286"/>
  <c r="O100" i="179" s="1"/>
  <c r="N127" i="286"/>
  <c r="N100" i="179" s="1"/>
  <c r="M127" i="286"/>
  <c r="M100" i="179" s="1"/>
  <c r="L127" i="286"/>
  <c r="L100" i="179" s="1"/>
  <c r="K127" i="286"/>
  <c r="K100" i="179" s="1"/>
  <c r="J127" i="286"/>
  <c r="J100" i="179" s="1"/>
  <c r="I127" i="286"/>
  <c r="I100" i="179" s="1"/>
  <c r="H127" i="286"/>
  <c r="H100" i="179" s="1"/>
  <c r="G127" i="286"/>
  <c r="G100" i="179" s="1"/>
  <c r="F127" i="286"/>
  <c r="F100" i="179" s="1"/>
  <c r="E127" i="286"/>
  <c r="E100" i="179" s="1"/>
  <c r="D127" i="286"/>
  <c r="D100" i="179" s="1"/>
  <c r="O126" i="286"/>
  <c r="O97" i="179" s="1"/>
  <c r="N126" i="286"/>
  <c r="N97" i="179" s="1"/>
  <c r="M126" i="286"/>
  <c r="M97" i="179" s="1"/>
  <c r="L126" i="286"/>
  <c r="L97" i="179" s="1"/>
  <c r="K126" i="286"/>
  <c r="K97" i="179" s="1"/>
  <c r="J126" i="286"/>
  <c r="J97" i="179" s="1"/>
  <c r="I126" i="286"/>
  <c r="I97" i="179" s="1"/>
  <c r="H126" i="286"/>
  <c r="H97" i="179" s="1"/>
  <c r="G126" i="286"/>
  <c r="G97" i="179" s="1"/>
  <c r="F126" i="286"/>
  <c r="F97" i="179" s="1"/>
  <c r="E126" i="286"/>
  <c r="E97" i="179" s="1"/>
  <c r="D126" i="286"/>
  <c r="D97" i="179" s="1"/>
  <c r="O125" i="286"/>
  <c r="O96" i="179" s="1"/>
  <c r="N125" i="286"/>
  <c r="N96" i="179" s="1"/>
  <c r="M125" i="286"/>
  <c r="M96" i="179" s="1"/>
  <c r="L125" i="286"/>
  <c r="L96" i="179" s="1"/>
  <c r="K125" i="286"/>
  <c r="K96" i="179" s="1"/>
  <c r="J125" i="286"/>
  <c r="J96" i="179" s="1"/>
  <c r="I125" i="286"/>
  <c r="I96" i="179" s="1"/>
  <c r="H125" i="286"/>
  <c r="H96" i="179" s="1"/>
  <c r="H98" i="179" s="1"/>
  <c r="G125" i="286"/>
  <c r="G96" i="179" s="1"/>
  <c r="F125" i="286"/>
  <c r="F96" i="179" s="1"/>
  <c r="E125" i="286"/>
  <c r="E96" i="179" s="1"/>
  <c r="D125" i="286"/>
  <c r="D96" i="179" s="1"/>
  <c r="O124" i="286"/>
  <c r="O94" i="179" s="1"/>
  <c r="N124" i="286"/>
  <c r="N94" i="179" s="1"/>
  <c r="M124" i="286"/>
  <c r="M94" i="179" s="1"/>
  <c r="L124" i="286"/>
  <c r="L94" i="179" s="1"/>
  <c r="K124" i="286"/>
  <c r="K94" i="179" s="1"/>
  <c r="J124" i="286"/>
  <c r="J94" i="179" s="1"/>
  <c r="I124" i="286"/>
  <c r="I94" i="179" s="1"/>
  <c r="H124" i="286"/>
  <c r="H94" i="179" s="1"/>
  <c r="G124" i="286"/>
  <c r="G94" i="179" s="1"/>
  <c r="F124" i="286"/>
  <c r="F94" i="179" s="1"/>
  <c r="E124" i="286"/>
  <c r="E94" i="179" s="1"/>
  <c r="D124" i="286"/>
  <c r="D94" i="179" s="1"/>
  <c r="O123" i="286"/>
  <c r="O120" i="179" s="1"/>
  <c r="N123" i="286"/>
  <c r="N120" i="179" s="1"/>
  <c r="M123" i="286"/>
  <c r="M120" i="179" s="1"/>
  <c r="L123" i="286"/>
  <c r="L120" i="179" s="1"/>
  <c r="K123" i="286"/>
  <c r="K120" i="179" s="1"/>
  <c r="J123" i="286"/>
  <c r="J120" i="179" s="1"/>
  <c r="I123" i="286"/>
  <c r="I120" i="179" s="1"/>
  <c r="H123" i="286"/>
  <c r="H120" i="179" s="1"/>
  <c r="G123" i="286"/>
  <c r="G120" i="179" s="1"/>
  <c r="F123" i="286"/>
  <c r="F120" i="179" s="1"/>
  <c r="E123" i="286"/>
  <c r="E120" i="179" s="1"/>
  <c r="D123" i="286"/>
  <c r="D120" i="179" s="1"/>
  <c r="O122" i="286"/>
  <c r="O106" i="179" s="1"/>
  <c r="O108" i="179" s="1"/>
  <c r="N122" i="286"/>
  <c r="N106" i="179" s="1"/>
  <c r="N108" i="179" s="1"/>
  <c r="M122" i="286"/>
  <c r="M106" i="179" s="1"/>
  <c r="M108" i="179" s="1"/>
  <c r="L122" i="286"/>
  <c r="L106" i="179" s="1"/>
  <c r="L108" i="179" s="1"/>
  <c r="K122" i="286"/>
  <c r="K106" i="179" s="1"/>
  <c r="K108" i="179" s="1"/>
  <c r="J122" i="286"/>
  <c r="J106" i="179" s="1"/>
  <c r="J108" i="179" s="1"/>
  <c r="I122" i="286"/>
  <c r="I106" i="179" s="1"/>
  <c r="I108" i="179" s="1"/>
  <c r="H122" i="286"/>
  <c r="H106" i="179" s="1"/>
  <c r="H108" i="179" s="1"/>
  <c r="G122" i="286"/>
  <c r="G106" i="179" s="1"/>
  <c r="G108" i="179" s="1"/>
  <c r="F122" i="286"/>
  <c r="F106" i="179" s="1"/>
  <c r="F108" i="179" s="1"/>
  <c r="E122" i="286"/>
  <c r="E106" i="179" s="1"/>
  <c r="E108" i="179" s="1"/>
  <c r="D122" i="286"/>
  <c r="D106" i="179" s="1"/>
  <c r="O121" i="286"/>
  <c r="O132" i="179" s="1"/>
  <c r="N121" i="286"/>
  <c r="N132" i="179" s="1"/>
  <c r="M121" i="286"/>
  <c r="M132" i="179" s="1"/>
  <c r="L121" i="286"/>
  <c r="L132" i="179" s="1"/>
  <c r="K121" i="286"/>
  <c r="K132" i="179" s="1"/>
  <c r="J121" i="286"/>
  <c r="J132" i="179" s="1"/>
  <c r="I121" i="286"/>
  <c r="I132" i="179" s="1"/>
  <c r="H121" i="286"/>
  <c r="H132" i="179" s="1"/>
  <c r="G121" i="286"/>
  <c r="G132" i="179" s="1"/>
  <c r="F121" i="286"/>
  <c r="F132" i="179" s="1"/>
  <c r="E121" i="286"/>
  <c r="E132" i="179" s="1"/>
  <c r="D121" i="286"/>
  <c r="D132" i="179" s="1"/>
  <c r="O120" i="286"/>
  <c r="O118" i="179" s="1"/>
  <c r="N120" i="286"/>
  <c r="N118" i="179" s="1"/>
  <c r="M120" i="286"/>
  <c r="M118" i="179" s="1"/>
  <c r="L120" i="286"/>
  <c r="L118" i="179" s="1"/>
  <c r="K120" i="286"/>
  <c r="K118" i="179" s="1"/>
  <c r="J120" i="286"/>
  <c r="J118" i="179" s="1"/>
  <c r="I120" i="286"/>
  <c r="I118" i="179" s="1"/>
  <c r="H120" i="286"/>
  <c r="H118" i="179" s="1"/>
  <c r="G120" i="286"/>
  <c r="G118" i="179" s="1"/>
  <c r="F120" i="286"/>
  <c r="F118" i="179" s="1"/>
  <c r="E120" i="286"/>
  <c r="E118" i="179" s="1"/>
  <c r="D120" i="286"/>
  <c r="D118" i="179" s="1"/>
  <c r="O119" i="286"/>
  <c r="O102" i="179" s="1"/>
  <c r="N119" i="286"/>
  <c r="N102" i="179" s="1"/>
  <c r="M119" i="286"/>
  <c r="M102" i="179" s="1"/>
  <c r="L119" i="286"/>
  <c r="L102" i="179" s="1"/>
  <c r="K119" i="286"/>
  <c r="K102" i="179" s="1"/>
  <c r="J119" i="286"/>
  <c r="J102" i="179" s="1"/>
  <c r="I119" i="286"/>
  <c r="I102" i="179" s="1"/>
  <c r="H119" i="286"/>
  <c r="H102" i="179" s="1"/>
  <c r="G119" i="286"/>
  <c r="G102" i="179" s="1"/>
  <c r="F119" i="286"/>
  <c r="F102" i="179" s="1"/>
  <c r="E119" i="286"/>
  <c r="E102" i="179" s="1"/>
  <c r="D119" i="286"/>
  <c r="D102" i="179" s="1"/>
  <c r="O118" i="286"/>
  <c r="N118" i="286"/>
  <c r="M118" i="286"/>
  <c r="L118" i="286"/>
  <c r="K118" i="286"/>
  <c r="J118" i="286"/>
  <c r="I118" i="286"/>
  <c r="H118" i="286"/>
  <c r="G118" i="286"/>
  <c r="F118" i="286"/>
  <c r="E118" i="286"/>
  <c r="D118" i="286"/>
  <c r="E33" i="175"/>
  <c r="E29" i="175"/>
  <c r="E28" i="175"/>
  <c r="E27" i="175"/>
  <c r="E25" i="175"/>
  <c r="E21" i="175"/>
  <c r="E20" i="175"/>
  <c r="E19" i="175"/>
  <c r="E18" i="175"/>
  <c r="E16" i="175"/>
  <c r="E15" i="175"/>
  <c r="E13" i="175"/>
  <c r="E12" i="175"/>
  <c r="E10" i="175"/>
  <c r="E7" i="175"/>
  <c r="E6" i="175"/>
  <c r="X33" i="175"/>
  <c r="X29" i="175"/>
  <c r="X28" i="175"/>
  <c r="X27" i="175"/>
  <c r="X25" i="175"/>
  <c r="X21" i="175"/>
  <c r="X20" i="175"/>
  <c r="X19" i="175"/>
  <c r="X18" i="175"/>
  <c r="X17" i="175"/>
  <c r="X16" i="175"/>
  <c r="X15" i="175"/>
  <c r="X14" i="175"/>
  <c r="X13" i="175"/>
  <c r="X12" i="175"/>
  <c r="X11" i="175"/>
  <c r="X10" i="175"/>
  <c r="X7" i="175"/>
  <c r="X6" i="175"/>
  <c r="G98" i="179" l="1"/>
  <c r="O98" i="179"/>
  <c r="K124" i="179"/>
  <c r="F98" i="179"/>
  <c r="J124" i="179"/>
  <c r="M98" i="179"/>
  <c r="I146" i="179"/>
  <c r="N98" i="179"/>
  <c r="G124" i="179"/>
  <c r="O124" i="179"/>
  <c r="P132" i="179"/>
  <c r="P94" i="179"/>
  <c r="P112" i="179"/>
  <c r="P123" i="179"/>
  <c r="H124" i="179"/>
  <c r="P136" i="179"/>
  <c r="I98" i="179"/>
  <c r="E124" i="179"/>
  <c r="M124" i="179"/>
  <c r="E146" i="179"/>
  <c r="M146" i="179"/>
  <c r="N146" i="179"/>
  <c r="P106" i="179"/>
  <c r="P108" i="179" s="1"/>
  <c r="D108" i="179"/>
  <c r="J91" i="179"/>
  <c r="J175" i="179"/>
  <c r="P126" i="179"/>
  <c r="P113" i="179"/>
  <c r="J98" i="179"/>
  <c r="P100" i="179"/>
  <c r="F124" i="179"/>
  <c r="N124" i="179"/>
  <c r="F146" i="179"/>
  <c r="D175" i="179"/>
  <c r="D91" i="179"/>
  <c r="L175" i="179"/>
  <c r="L91" i="179"/>
  <c r="P150" i="179"/>
  <c r="P152" i="179" s="1"/>
  <c r="D152" i="179"/>
  <c r="K175" i="179"/>
  <c r="K91" i="179"/>
  <c r="P96" i="179"/>
  <c r="E98" i="179"/>
  <c r="D124" i="179"/>
  <c r="P122" i="179"/>
  <c r="D98" i="179"/>
  <c r="P115" i="179"/>
  <c r="P128" i="179"/>
  <c r="L146" i="179"/>
  <c r="G146" i="179"/>
  <c r="D166" i="179"/>
  <c r="P164" i="179"/>
  <c r="P166" i="179" s="1"/>
  <c r="I175" i="179"/>
  <c r="I91" i="179"/>
  <c r="H91" i="179"/>
  <c r="H175" i="179"/>
  <c r="P142" i="179"/>
  <c r="D146" i="179"/>
  <c r="P154" i="179"/>
  <c r="P156" i="179" s="1"/>
  <c r="D156" i="179"/>
  <c r="D162" i="179"/>
  <c r="P160" i="179"/>
  <c r="P162" i="179" s="1"/>
  <c r="F91" i="179"/>
  <c r="F175" i="179"/>
  <c r="N91" i="179"/>
  <c r="N175" i="179"/>
  <c r="P118" i="179"/>
  <c r="P97" i="179"/>
  <c r="L124" i="179"/>
  <c r="P133" i="179"/>
  <c r="P144" i="179"/>
  <c r="K98" i="179"/>
  <c r="K146" i="179"/>
  <c r="P143" i="179"/>
  <c r="J146" i="179"/>
  <c r="G91" i="179"/>
  <c r="G175" i="179"/>
  <c r="O91" i="179"/>
  <c r="O175" i="179"/>
  <c r="E175" i="179"/>
  <c r="E91" i="179"/>
  <c r="M175" i="179"/>
  <c r="M91" i="179"/>
  <c r="P102" i="179"/>
  <c r="P120" i="179"/>
  <c r="L98" i="179"/>
  <c r="H146" i="179"/>
  <c r="O146" i="179"/>
  <c r="P148" i="179"/>
  <c r="I124" i="179"/>
  <c r="P130" i="179"/>
  <c r="P116" i="179"/>
  <c r="P158" i="179"/>
  <c r="Q76" i="287"/>
  <c r="P163" i="286"/>
  <c r="P154" i="286"/>
  <c r="P159" i="286"/>
  <c r="P153" i="286"/>
  <c r="E38" i="230"/>
  <c r="P126" i="286"/>
  <c r="P129" i="286"/>
  <c r="P145" i="286"/>
  <c r="P119" i="286"/>
  <c r="P120" i="286"/>
  <c r="P125" i="286"/>
  <c r="P127" i="286"/>
  <c r="P128" i="286"/>
  <c r="P133" i="286"/>
  <c r="P134" i="286"/>
  <c r="P135" i="286"/>
  <c r="P136" i="286"/>
  <c r="P141" i="286"/>
  <c r="P142" i="286"/>
  <c r="P143" i="286"/>
  <c r="P144" i="286"/>
  <c r="P150" i="286"/>
  <c r="P151" i="286"/>
  <c r="P152" i="286"/>
  <c r="F53" i="287"/>
  <c r="Q53" i="287" s="1"/>
  <c r="P121" i="286"/>
  <c r="P156" i="286"/>
  <c r="E39" i="230"/>
  <c r="I41" i="230"/>
  <c r="P155" i="286"/>
  <c r="D40" i="230"/>
  <c r="P40" i="230" s="1"/>
  <c r="P173" i="286"/>
  <c r="I132" i="287"/>
  <c r="Q132" i="287" s="1"/>
  <c r="P174" i="286"/>
  <c r="E138" i="287"/>
  <c r="Q138" i="287" s="1"/>
  <c r="P132" i="286"/>
  <c r="P137" i="286"/>
  <c r="P162" i="286"/>
  <c r="P168" i="286"/>
  <c r="P157" i="286"/>
  <c r="P164" i="286"/>
  <c r="P165" i="286"/>
  <c r="P166" i="286"/>
  <c r="P172" i="286"/>
  <c r="D37" i="230"/>
  <c r="D44" i="230"/>
  <c r="P118" i="286"/>
  <c r="P122" i="286"/>
  <c r="P124" i="286"/>
  <c r="P131" i="286"/>
  <c r="P138" i="286"/>
  <c r="P140" i="286"/>
  <c r="P147" i="286"/>
  <c r="P149" i="286"/>
  <c r="P171" i="286"/>
  <c r="F147" i="287"/>
  <c r="Q147" i="287" s="1"/>
  <c r="P169" i="286"/>
  <c r="E150" i="287"/>
  <c r="Q150" i="287" s="1"/>
  <c r="P170" i="286"/>
  <c r="I148" i="287"/>
  <c r="Q148" i="287" s="1"/>
  <c r="P130" i="286"/>
  <c r="I46" i="230"/>
  <c r="P158" i="286"/>
  <c r="P161" i="286"/>
  <c r="P167" i="286"/>
  <c r="P175" i="286"/>
  <c r="P176" i="286"/>
  <c r="D35" i="230"/>
  <c r="H36" i="230"/>
  <c r="E91" i="287"/>
  <c r="Q91" i="287" s="1"/>
  <c r="I96" i="287"/>
  <c r="Q96" i="287" s="1"/>
  <c r="P123" i="286"/>
  <c r="P139" i="286"/>
  <c r="P146" i="286"/>
  <c r="Q119" i="287"/>
  <c r="Q58" i="287"/>
  <c r="Q71" i="287"/>
  <c r="Q65" i="287"/>
  <c r="Q93" i="287"/>
  <c r="Q114" i="287"/>
  <c r="Q120" i="287"/>
  <c r="Q121" i="287"/>
  <c r="Q94" i="287"/>
  <c r="Q111" i="287"/>
  <c r="Q60" i="287"/>
  <c r="Q115" i="287"/>
  <c r="Q52" i="287"/>
  <c r="Q92" i="287"/>
  <c r="Q95" i="287"/>
  <c r="Q66" i="287"/>
  <c r="Q81" i="287"/>
  <c r="Q86" i="287"/>
  <c r="Q107" i="287"/>
  <c r="Q108" i="287"/>
  <c r="Q109" i="287"/>
  <c r="Q110" i="287"/>
  <c r="E54" i="287"/>
  <c r="Q51" i="287"/>
  <c r="I169" i="179" l="1"/>
  <c r="O169" i="179"/>
  <c r="M169" i="179"/>
  <c r="P124" i="179"/>
  <c r="G169" i="179"/>
  <c r="K169" i="179"/>
  <c r="N169" i="179"/>
  <c r="H169" i="179"/>
  <c r="F169" i="179"/>
  <c r="J169" i="179"/>
  <c r="L169" i="179"/>
  <c r="P146" i="179"/>
  <c r="D169" i="179"/>
  <c r="P175" i="179"/>
  <c r="P98" i="179"/>
  <c r="E169" i="179"/>
  <c r="P91" i="179"/>
  <c r="S150" i="287"/>
  <c r="R150" i="287"/>
  <c r="O116" i="286"/>
  <c r="P124" i="283" s="1"/>
  <c r="N116" i="286"/>
  <c r="O124" i="283" s="1"/>
  <c r="M116" i="286"/>
  <c r="N124" i="283" s="1"/>
  <c r="L116" i="286"/>
  <c r="M124" i="283" s="1"/>
  <c r="K116" i="286"/>
  <c r="L124" i="283" s="1"/>
  <c r="J116" i="286"/>
  <c r="K124" i="283" s="1"/>
  <c r="I116" i="286"/>
  <c r="J124" i="283" s="1"/>
  <c r="H116" i="286"/>
  <c r="I124" i="283" s="1"/>
  <c r="G116" i="286"/>
  <c r="H124" i="283" s="1"/>
  <c r="F116" i="286"/>
  <c r="G124" i="283" s="1"/>
  <c r="E116" i="286"/>
  <c r="F124" i="283" s="1"/>
  <c r="D116" i="286"/>
  <c r="E124" i="283" s="1"/>
  <c r="O115" i="286"/>
  <c r="P123" i="283" s="1"/>
  <c r="N115" i="286"/>
  <c r="O123" i="283" s="1"/>
  <c r="M115" i="286"/>
  <c r="N123" i="283" s="1"/>
  <c r="L115" i="286"/>
  <c r="M123" i="283" s="1"/>
  <c r="K115" i="286"/>
  <c r="L123" i="283" s="1"/>
  <c r="J115" i="286"/>
  <c r="K123" i="283" s="1"/>
  <c r="I115" i="286"/>
  <c r="J123" i="283" s="1"/>
  <c r="H115" i="286"/>
  <c r="I123" i="283" s="1"/>
  <c r="G115" i="286"/>
  <c r="H123" i="283" s="1"/>
  <c r="F115" i="286"/>
  <c r="G123" i="283" s="1"/>
  <c r="E115" i="286"/>
  <c r="F123" i="283" s="1"/>
  <c r="D115" i="286"/>
  <c r="E123" i="283" s="1"/>
  <c r="O114" i="286"/>
  <c r="P122" i="283" s="1"/>
  <c r="N114" i="286"/>
  <c r="O122" i="283" s="1"/>
  <c r="M114" i="286"/>
  <c r="N122" i="283" s="1"/>
  <c r="L114" i="286"/>
  <c r="M122" i="283" s="1"/>
  <c r="K114" i="286"/>
  <c r="L122" i="283" s="1"/>
  <c r="J114" i="286"/>
  <c r="K122" i="283" s="1"/>
  <c r="I114" i="286"/>
  <c r="J122" i="283" s="1"/>
  <c r="H114" i="286"/>
  <c r="I122" i="283" s="1"/>
  <c r="G114" i="286"/>
  <c r="H122" i="283" s="1"/>
  <c r="F114" i="286"/>
  <c r="G122" i="283" s="1"/>
  <c r="E114" i="286"/>
  <c r="F122" i="283" s="1"/>
  <c r="D114" i="286"/>
  <c r="E122" i="283" s="1"/>
  <c r="O113" i="286"/>
  <c r="P121" i="283" s="1"/>
  <c r="N113" i="286"/>
  <c r="O121" i="283" s="1"/>
  <c r="M113" i="286"/>
  <c r="N121" i="283" s="1"/>
  <c r="L113" i="286"/>
  <c r="M121" i="283" s="1"/>
  <c r="K113" i="286"/>
  <c r="L121" i="283" s="1"/>
  <c r="J113" i="286"/>
  <c r="K121" i="283" s="1"/>
  <c r="I113" i="286"/>
  <c r="J121" i="283" s="1"/>
  <c r="H113" i="286"/>
  <c r="I121" i="283" s="1"/>
  <c r="G113" i="286"/>
  <c r="H121" i="283" s="1"/>
  <c r="F113" i="286"/>
  <c r="G121" i="283" s="1"/>
  <c r="E113" i="286"/>
  <c r="F121" i="283" s="1"/>
  <c r="D113" i="286"/>
  <c r="E121" i="283" s="1"/>
  <c r="O112" i="286"/>
  <c r="P118" i="283" s="1"/>
  <c r="N112" i="286"/>
  <c r="O118" i="283" s="1"/>
  <c r="M112" i="286"/>
  <c r="N118" i="283" s="1"/>
  <c r="L112" i="286"/>
  <c r="M118" i="283" s="1"/>
  <c r="K112" i="286"/>
  <c r="L118" i="283" s="1"/>
  <c r="J112" i="286"/>
  <c r="K118" i="283" s="1"/>
  <c r="I112" i="286"/>
  <c r="J118" i="283" s="1"/>
  <c r="H112" i="286"/>
  <c r="I118" i="283" s="1"/>
  <c r="G112" i="286"/>
  <c r="H118" i="283" s="1"/>
  <c r="F112" i="286"/>
  <c r="G118" i="283" s="1"/>
  <c r="E112" i="286"/>
  <c r="F118" i="283" s="1"/>
  <c r="D112" i="286"/>
  <c r="E118" i="283" s="1"/>
  <c r="O111" i="286"/>
  <c r="P117" i="283" s="1"/>
  <c r="N111" i="286"/>
  <c r="O117" i="283" s="1"/>
  <c r="M111" i="286"/>
  <c r="N117" i="283" s="1"/>
  <c r="L111" i="286"/>
  <c r="M117" i="283" s="1"/>
  <c r="K111" i="286"/>
  <c r="L117" i="283" s="1"/>
  <c r="J111" i="286"/>
  <c r="K117" i="283" s="1"/>
  <c r="I111" i="286"/>
  <c r="J117" i="283" s="1"/>
  <c r="H111" i="286"/>
  <c r="I117" i="283" s="1"/>
  <c r="G111" i="286"/>
  <c r="H117" i="283" s="1"/>
  <c r="F111" i="286"/>
  <c r="G117" i="283" s="1"/>
  <c r="E111" i="286"/>
  <c r="F117" i="283" s="1"/>
  <c r="D111" i="286"/>
  <c r="E117" i="283" s="1"/>
  <c r="O110" i="286"/>
  <c r="P116" i="283" s="1"/>
  <c r="N110" i="286"/>
  <c r="O116" i="283" s="1"/>
  <c r="M110" i="286"/>
  <c r="N116" i="283" s="1"/>
  <c r="L110" i="286"/>
  <c r="M116" i="283" s="1"/>
  <c r="K110" i="286"/>
  <c r="L116" i="283" s="1"/>
  <c r="J110" i="286"/>
  <c r="K116" i="283" s="1"/>
  <c r="I110" i="286"/>
  <c r="J116" i="283" s="1"/>
  <c r="H110" i="286"/>
  <c r="I116" i="283" s="1"/>
  <c r="G110" i="286"/>
  <c r="H116" i="283" s="1"/>
  <c r="F110" i="286"/>
  <c r="G116" i="283" s="1"/>
  <c r="E110" i="286"/>
  <c r="F116" i="283" s="1"/>
  <c r="D110" i="286"/>
  <c r="E116" i="283" s="1"/>
  <c r="O109" i="286"/>
  <c r="P115" i="283" s="1"/>
  <c r="N109" i="286"/>
  <c r="O115" i="283" s="1"/>
  <c r="M109" i="286"/>
  <c r="N115" i="283" s="1"/>
  <c r="L109" i="286"/>
  <c r="M115" i="283" s="1"/>
  <c r="K109" i="286"/>
  <c r="L115" i="283" s="1"/>
  <c r="J109" i="286"/>
  <c r="K115" i="283" s="1"/>
  <c r="I109" i="286"/>
  <c r="J115" i="283" s="1"/>
  <c r="H109" i="286"/>
  <c r="I115" i="283" s="1"/>
  <c r="G109" i="286"/>
  <c r="H115" i="283" s="1"/>
  <c r="F109" i="286"/>
  <c r="G115" i="283" s="1"/>
  <c r="E109" i="286"/>
  <c r="F115" i="283" s="1"/>
  <c r="D109" i="286"/>
  <c r="E115" i="283" s="1"/>
  <c r="O108" i="286"/>
  <c r="P114" i="283" s="1"/>
  <c r="N108" i="286"/>
  <c r="O114" i="283" s="1"/>
  <c r="M108" i="286"/>
  <c r="N114" i="283" s="1"/>
  <c r="L108" i="286"/>
  <c r="M114" i="283" s="1"/>
  <c r="K108" i="286"/>
  <c r="L114" i="283" s="1"/>
  <c r="J108" i="286"/>
  <c r="K114" i="283" s="1"/>
  <c r="I108" i="286"/>
  <c r="J114" i="283" s="1"/>
  <c r="H108" i="286"/>
  <c r="I114" i="283" s="1"/>
  <c r="G108" i="286"/>
  <c r="H114" i="283" s="1"/>
  <c r="F108" i="286"/>
  <c r="G114" i="283" s="1"/>
  <c r="E108" i="286"/>
  <c r="F114" i="283" s="1"/>
  <c r="D108" i="286"/>
  <c r="E114" i="283" s="1"/>
  <c r="O107" i="286"/>
  <c r="P113" i="283" s="1"/>
  <c r="N107" i="286"/>
  <c r="O113" i="283" s="1"/>
  <c r="M107" i="286"/>
  <c r="N113" i="283" s="1"/>
  <c r="L107" i="286"/>
  <c r="M113" i="283" s="1"/>
  <c r="K107" i="286"/>
  <c r="L113" i="283" s="1"/>
  <c r="J107" i="286"/>
  <c r="K113" i="283" s="1"/>
  <c r="I107" i="286"/>
  <c r="J113" i="283" s="1"/>
  <c r="H107" i="286"/>
  <c r="I113" i="283" s="1"/>
  <c r="G107" i="286"/>
  <c r="H113" i="283" s="1"/>
  <c r="F107" i="286"/>
  <c r="G113" i="283" s="1"/>
  <c r="E107" i="286"/>
  <c r="F113" i="283" s="1"/>
  <c r="D107" i="286"/>
  <c r="E113" i="283" s="1"/>
  <c r="O106" i="286"/>
  <c r="P112" i="283" s="1"/>
  <c r="N106" i="286"/>
  <c r="O112" i="283" s="1"/>
  <c r="M106" i="286"/>
  <c r="N112" i="283" s="1"/>
  <c r="L106" i="286"/>
  <c r="M112" i="283" s="1"/>
  <c r="K106" i="286"/>
  <c r="L112" i="283" s="1"/>
  <c r="J106" i="286"/>
  <c r="K112" i="283" s="1"/>
  <c r="I106" i="286"/>
  <c r="J112" i="283" s="1"/>
  <c r="H106" i="286"/>
  <c r="I112" i="283" s="1"/>
  <c r="G106" i="286"/>
  <c r="H112" i="283" s="1"/>
  <c r="F106" i="286"/>
  <c r="G112" i="283" s="1"/>
  <c r="E106" i="286"/>
  <c r="F112" i="283" s="1"/>
  <c r="D106" i="286"/>
  <c r="E112" i="283" s="1"/>
  <c r="O105" i="286"/>
  <c r="P111" i="283" s="1"/>
  <c r="N105" i="286"/>
  <c r="O111" i="283" s="1"/>
  <c r="M105" i="286"/>
  <c r="N111" i="283" s="1"/>
  <c r="L105" i="286"/>
  <c r="M111" i="283" s="1"/>
  <c r="K105" i="286"/>
  <c r="L111" i="283" s="1"/>
  <c r="J105" i="286"/>
  <c r="K111" i="283" s="1"/>
  <c r="I105" i="286"/>
  <c r="J111" i="283" s="1"/>
  <c r="H105" i="286"/>
  <c r="I111" i="283" s="1"/>
  <c r="G105" i="286"/>
  <c r="H111" i="283" s="1"/>
  <c r="F105" i="286"/>
  <c r="G111" i="283" s="1"/>
  <c r="E105" i="286"/>
  <c r="F111" i="283" s="1"/>
  <c r="D105" i="286"/>
  <c r="E111" i="283" s="1"/>
  <c r="O104" i="286"/>
  <c r="P110" i="283" s="1"/>
  <c r="N104" i="286"/>
  <c r="O110" i="283" s="1"/>
  <c r="M104" i="286"/>
  <c r="N110" i="283" s="1"/>
  <c r="L104" i="286"/>
  <c r="M110" i="283" s="1"/>
  <c r="K104" i="286"/>
  <c r="L110" i="283" s="1"/>
  <c r="J104" i="286"/>
  <c r="K110" i="283" s="1"/>
  <c r="I104" i="286"/>
  <c r="J110" i="283" s="1"/>
  <c r="H104" i="286"/>
  <c r="I110" i="283" s="1"/>
  <c r="G104" i="286"/>
  <c r="H110" i="283" s="1"/>
  <c r="F104" i="286"/>
  <c r="G110" i="283" s="1"/>
  <c r="E104" i="286"/>
  <c r="F110" i="283" s="1"/>
  <c r="D104" i="286"/>
  <c r="E110" i="283" s="1"/>
  <c r="O103" i="286"/>
  <c r="N103" i="286"/>
  <c r="M103" i="286"/>
  <c r="L103" i="286"/>
  <c r="K103" i="286"/>
  <c r="J103" i="286"/>
  <c r="I103" i="286"/>
  <c r="H103" i="286"/>
  <c r="G103" i="286"/>
  <c r="F103" i="286"/>
  <c r="E103" i="286"/>
  <c r="D103" i="286"/>
  <c r="O102" i="286"/>
  <c r="P108" i="283" s="1"/>
  <c r="N102" i="286"/>
  <c r="O108" i="283" s="1"/>
  <c r="M102" i="286"/>
  <c r="N108" i="283" s="1"/>
  <c r="L102" i="286"/>
  <c r="M108" i="283" s="1"/>
  <c r="K102" i="286"/>
  <c r="L108" i="283" s="1"/>
  <c r="J102" i="286"/>
  <c r="K108" i="283" s="1"/>
  <c r="I102" i="286"/>
  <c r="J108" i="283" s="1"/>
  <c r="H102" i="286"/>
  <c r="I108" i="283" s="1"/>
  <c r="G102" i="286"/>
  <c r="H108" i="283" s="1"/>
  <c r="F102" i="286"/>
  <c r="G108" i="283" s="1"/>
  <c r="E102" i="286"/>
  <c r="F108" i="283" s="1"/>
  <c r="D102" i="286"/>
  <c r="E108" i="283" s="1"/>
  <c r="O101" i="286"/>
  <c r="P106" i="283" s="1"/>
  <c r="N101" i="286"/>
  <c r="O106" i="283" s="1"/>
  <c r="M101" i="286"/>
  <c r="N106" i="283" s="1"/>
  <c r="L101" i="286"/>
  <c r="M106" i="283" s="1"/>
  <c r="K101" i="286"/>
  <c r="L106" i="283" s="1"/>
  <c r="J101" i="286"/>
  <c r="K106" i="283" s="1"/>
  <c r="I101" i="286"/>
  <c r="J106" i="283" s="1"/>
  <c r="H101" i="286"/>
  <c r="I106" i="283" s="1"/>
  <c r="G101" i="286"/>
  <c r="H106" i="283" s="1"/>
  <c r="F101" i="286"/>
  <c r="G106" i="283" s="1"/>
  <c r="E101" i="286"/>
  <c r="F106" i="283" s="1"/>
  <c r="D101" i="286"/>
  <c r="E106" i="283" s="1"/>
  <c r="O100" i="286"/>
  <c r="P105" i="283" s="1"/>
  <c r="N100" i="286"/>
  <c r="O105" i="283" s="1"/>
  <c r="M100" i="286"/>
  <c r="N105" i="283" s="1"/>
  <c r="L100" i="286"/>
  <c r="M105" i="283" s="1"/>
  <c r="K100" i="286"/>
  <c r="L105" i="283" s="1"/>
  <c r="J100" i="286"/>
  <c r="K105" i="283" s="1"/>
  <c r="I100" i="286"/>
  <c r="J105" i="283" s="1"/>
  <c r="H100" i="286"/>
  <c r="I105" i="283" s="1"/>
  <c r="G100" i="286"/>
  <c r="H105" i="283" s="1"/>
  <c r="F100" i="286"/>
  <c r="G105" i="283" s="1"/>
  <c r="E100" i="286"/>
  <c r="F105" i="283" s="1"/>
  <c r="D100" i="286"/>
  <c r="E105" i="283" s="1"/>
  <c r="O99" i="286"/>
  <c r="P104" i="283" s="1"/>
  <c r="N99" i="286"/>
  <c r="O104" i="283" s="1"/>
  <c r="M99" i="286"/>
  <c r="N104" i="283" s="1"/>
  <c r="L99" i="286"/>
  <c r="M104" i="283" s="1"/>
  <c r="K99" i="286"/>
  <c r="L104" i="283" s="1"/>
  <c r="J99" i="286"/>
  <c r="K104" i="283" s="1"/>
  <c r="I99" i="286"/>
  <c r="J104" i="283" s="1"/>
  <c r="H99" i="286"/>
  <c r="I104" i="283" s="1"/>
  <c r="G99" i="286"/>
  <c r="H104" i="283" s="1"/>
  <c r="F99" i="286"/>
  <c r="G104" i="283" s="1"/>
  <c r="E99" i="286"/>
  <c r="F104" i="283" s="1"/>
  <c r="D99" i="286"/>
  <c r="E104" i="283" s="1"/>
  <c r="O98" i="286"/>
  <c r="P103" i="283" s="1"/>
  <c r="N98" i="286"/>
  <c r="O103" i="283" s="1"/>
  <c r="M98" i="286"/>
  <c r="N103" i="283" s="1"/>
  <c r="L98" i="286"/>
  <c r="M103" i="283" s="1"/>
  <c r="K98" i="286"/>
  <c r="L103" i="283" s="1"/>
  <c r="J98" i="286"/>
  <c r="K103" i="283" s="1"/>
  <c r="I98" i="286"/>
  <c r="J103" i="283" s="1"/>
  <c r="H98" i="286"/>
  <c r="I103" i="283" s="1"/>
  <c r="G98" i="286"/>
  <c r="H103" i="283" s="1"/>
  <c r="F98" i="286"/>
  <c r="G103" i="283" s="1"/>
  <c r="E98" i="286"/>
  <c r="F103" i="283" s="1"/>
  <c r="D98" i="286"/>
  <c r="E103" i="283" s="1"/>
  <c r="O97" i="286"/>
  <c r="P102" i="283" s="1"/>
  <c r="N97" i="286"/>
  <c r="O102" i="283" s="1"/>
  <c r="M97" i="286"/>
  <c r="N102" i="283" s="1"/>
  <c r="L97" i="286"/>
  <c r="M102" i="283" s="1"/>
  <c r="K97" i="286"/>
  <c r="L102" i="283" s="1"/>
  <c r="J97" i="286"/>
  <c r="K102" i="283" s="1"/>
  <c r="I97" i="286"/>
  <c r="J102" i="283" s="1"/>
  <c r="H97" i="286"/>
  <c r="I102" i="283" s="1"/>
  <c r="G97" i="286"/>
  <c r="H102" i="283" s="1"/>
  <c r="F97" i="286"/>
  <c r="G102" i="283" s="1"/>
  <c r="E97" i="286"/>
  <c r="F102" i="283" s="1"/>
  <c r="D97" i="286"/>
  <c r="E102" i="283" s="1"/>
  <c r="O96" i="286"/>
  <c r="P101" i="283" s="1"/>
  <c r="N96" i="286"/>
  <c r="O101" i="283" s="1"/>
  <c r="M96" i="286"/>
  <c r="N101" i="283" s="1"/>
  <c r="L96" i="286"/>
  <c r="M101" i="283" s="1"/>
  <c r="K96" i="286"/>
  <c r="L101" i="283" s="1"/>
  <c r="J96" i="286"/>
  <c r="K101" i="283" s="1"/>
  <c r="I96" i="286"/>
  <c r="J101" i="283" s="1"/>
  <c r="H96" i="286"/>
  <c r="I101" i="283" s="1"/>
  <c r="G96" i="286"/>
  <c r="H101" i="283" s="1"/>
  <c r="F96" i="286"/>
  <c r="G101" i="283" s="1"/>
  <c r="E96" i="286"/>
  <c r="F101" i="283" s="1"/>
  <c r="D96" i="286"/>
  <c r="E101" i="283" s="1"/>
  <c r="O95" i="286"/>
  <c r="P100" i="283" s="1"/>
  <c r="N95" i="286"/>
  <c r="O100" i="283" s="1"/>
  <c r="M95" i="286"/>
  <c r="N100" i="283" s="1"/>
  <c r="L95" i="286"/>
  <c r="M100" i="283" s="1"/>
  <c r="K95" i="286"/>
  <c r="L100" i="283" s="1"/>
  <c r="J95" i="286"/>
  <c r="K100" i="283" s="1"/>
  <c r="I95" i="286"/>
  <c r="J100" i="283" s="1"/>
  <c r="H95" i="286"/>
  <c r="I100" i="283" s="1"/>
  <c r="G95" i="286"/>
  <c r="H100" i="283" s="1"/>
  <c r="F95" i="286"/>
  <c r="G100" i="283" s="1"/>
  <c r="E95" i="286"/>
  <c r="F100" i="283" s="1"/>
  <c r="D95" i="286"/>
  <c r="E100" i="283" s="1"/>
  <c r="O94" i="286"/>
  <c r="P99" i="283" s="1"/>
  <c r="N94" i="286"/>
  <c r="O99" i="283" s="1"/>
  <c r="M94" i="286"/>
  <c r="N99" i="283" s="1"/>
  <c r="L94" i="286"/>
  <c r="M99" i="283" s="1"/>
  <c r="K94" i="286"/>
  <c r="L99" i="283" s="1"/>
  <c r="J94" i="286"/>
  <c r="K99" i="283" s="1"/>
  <c r="I94" i="286"/>
  <c r="J99" i="283" s="1"/>
  <c r="H94" i="286"/>
  <c r="I99" i="283" s="1"/>
  <c r="G94" i="286"/>
  <c r="H99" i="283" s="1"/>
  <c r="F94" i="286"/>
  <c r="G99" i="283" s="1"/>
  <c r="E94" i="286"/>
  <c r="F99" i="283" s="1"/>
  <c r="D94" i="286"/>
  <c r="E99" i="283" s="1"/>
  <c r="O93" i="286"/>
  <c r="P98" i="283" s="1"/>
  <c r="N93" i="286"/>
  <c r="O98" i="283" s="1"/>
  <c r="M93" i="286"/>
  <c r="N98" i="283" s="1"/>
  <c r="L93" i="286"/>
  <c r="M98" i="283" s="1"/>
  <c r="K93" i="286"/>
  <c r="L98" i="283" s="1"/>
  <c r="J93" i="286"/>
  <c r="K98" i="283" s="1"/>
  <c r="I93" i="286"/>
  <c r="J98" i="283" s="1"/>
  <c r="H93" i="286"/>
  <c r="I98" i="283" s="1"/>
  <c r="G93" i="286"/>
  <c r="H98" i="283" s="1"/>
  <c r="F93" i="286"/>
  <c r="G98" i="283" s="1"/>
  <c r="E93" i="286"/>
  <c r="F98" i="283" s="1"/>
  <c r="D93" i="286"/>
  <c r="E98" i="283" s="1"/>
  <c r="O92" i="286"/>
  <c r="P97" i="283" s="1"/>
  <c r="N92" i="286"/>
  <c r="O97" i="283" s="1"/>
  <c r="M92" i="286"/>
  <c r="N97" i="283" s="1"/>
  <c r="L92" i="286"/>
  <c r="M97" i="283" s="1"/>
  <c r="K92" i="286"/>
  <c r="L97" i="283" s="1"/>
  <c r="J92" i="286"/>
  <c r="K97" i="283" s="1"/>
  <c r="I92" i="286"/>
  <c r="J97" i="283" s="1"/>
  <c r="H92" i="286"/>
  <c r="I97" i="283" s="1"/>
  <c r="G92" i="286"/>
  <c r="H97" i="283" s="1"/>
  <c r="F92" i="286"/>
  <c r="G97" i="283" s="1"/>
  <c r="E92" i="286"/>
  <c r="F97" i="283" s="1"/>
  <c r="D92" i="286"/>
  <c r="E97" i="283" s="1"/>
  <c r="O91" i="286"/>
  <c r="P96" i="283" s="1"/>
  <c r="N91" i="286"/>
  <c r="O96" i="283" s="1"/>
  <c r="M91" i="286"/>
  <c r="N96" i="283" s="1"/>
  <c r="L91" i="286"/>
  <c r="M96" i="283" s="1"/>
  <c r="K91" i="286"/>
  <c r="L96" i="283" s="1"/>
  <c r="J91" i="286"/>
  <c r="K96" i="283" s="1"/>
  <c r="I91" i="286"/>
  <c r="J96" i="283" s="1"/>
  <c r="H91" i="286"/>
  <c r="I96" i="283" s="1"/>
  <c r="G91" i="286"/>
  <c r="H96" i="283" s="1"/>
  <c r="F91" i="286"/>
  <c r="G96" i="283" s="1"/>
  <c r="E91" i="286"/>
  <c r="F96" i="283" s="1"/>
  <c r="D91" i="286"/>
  <c r="E96" i="283" s="1"/>
  <c r="O90" i="286"/>
  <c r="P95" i="283" s="1"/>
  <c r="N90" i="286"/>
  <c r="O95" i="283" s="1"/>
  <c r="M90" i="286"/>
  <c r="N95" i="283" s="1"/>
  <c r="L90" i="286"/>
  <c r="M95" i="283" s="1"/>
  <c r="K90" i="286"/>
  <c r="L95" i="283" s="1"/>
  <c r="J90" i="286"/>
  <c r="K95" i="283" s="1"/>
  <c r="I90" i="286"/>
  <c r="J95" i="283" s="1"/>
  <c r="H90" i="286"/>
  <c r="I95" i="283" s="1"/>
  <c r="G90" i="286"/>
  <c r="H95" i="283" s="1"/>
  <c r="F90" i="286"/>
  <c r="G95" i="283" s="1"/>
  <c r="E90" i="286"/>
  <c r="F95" i="283" s="1"/>
  <c r="D90" i="286"/>
  <c r="E95" i="283" s="1"/>
  <c r="O89" i="286"/>
  <c r="P94" i="283" s="1"/>
  <c r="N89" i="286"/>
  <c r="O94" i="283" s="1"/>
  <c r="M89" i="286"/>
  <c r="N94" i="283" s="1"/>
  <c r="L89" i="286"/>
  <c r="M94" i="283" s="1"/>
  <c r="K89" i="286"/>
  <c r="L94" i="283" s="1"/>
  <c r="J89" i="286"/>
  <c r="K94" i="283" s="1"/>
  <c r="I89" i="286"/>
  <c r="J94" i="283" s="1"/>
  <c r="H89" i="286"/>
  <c r="I94" i="283" s="1"/>
  <c r="G89" i="286"/>
  <c r="H94" i="283" s="1"/>
  <c r="F89" i="286"/>
  <c r="G94" i="283" s="1"/>
  <c r="E89" i="286"/>
  <c r="F94" i="283" s="1"/>
  <c r="D89" i="286"/>
  <c r="E94" i="283" s="1"/>
  <c r="O88" i="286"/>
  <c r="P92" i="283" s="1"/>
  <c r="N88" i="286"/>
  <c r="O92" i="283" s="1"/>
  <c r="M88" i="286"/>
  <c r="N92" i="283" s="1"/>
  <c r="L88" i="286"/>
  <c r="M92" i="283" s="1"/>
  <c r="K88" i="286"/>
  <c r="L92" i="283" s="1"/>
  <c r="J88" i="286"/>
  <c r="K92" i="283" s="1"/>
  <c r="I88" i="286"/>
  <c r="J92" i="283" s="1"/>
  <c r="H88" i="286"/>
  <c r="I92" i="283" s="1"/>
  <c r="G88" i="286"/>
  <c r="H92" i="283" s="1"/>
  <c r="F88" i="286"/>
  <c r="G92" i="283" s="1"/>
  <c r="E88" i="286"/>
  <c r="F92" i="283" s="1"/>
  <c r="D88" i="286"/>
  <c r="E92" i="283" s="1"/>
  <c r="O87" i="286"/>
  <c r="P90" i="283" s="1"/>
  <c r="N87" i="286"/>
  <c r="O90" i="283" s="1"/>
  <c r="M87" i="286"/>
  <c r="N90" i="283" s="1"/>
  <c r="L87" i="286"/>
  <c r="M90" i="283" s="1"/>
  <c r="K87" i="286"/>
  <c r="L90" i="283" s="1"/>
  <c r="J87" i="286"/>
  <c r="K90" i="283" s="1"/>
  <c r="I87" i="286"/>
  <c r="J90" i="283" s="1"/>
  <c r="H87" i="286"/>
  <c r="I90" i="283" s="1"/>
  <c r="G87" i="286"/>
  <c r="H90" i="283" s="1"/>
  <c r="F87" i="286"/>
  <c r="G90" i="283" s="1"/>
  <c r="E87" i="286"/>
  <c r="F90" i="283" s="1"/>
  <c r="D87" i="286"/>
  <c r="E90" i="283" s="1"/>
  <c r="O86" i="286"/>
  <c r="P89" i="283" s="1"/>
  <c r="N86" i="286"/>
  <c r="O89" i="283" s="1"/>
  <c r="M86" i="286"/>
  <c r="N89" i="283" s="1"/>
  <c r="L86" i="286"/>
  <c r="M89" i="283" s="1"/>
  <c r="K86" i="286"/>
  <c r="L89" i="283" s="1"/>
  <c r="J86" i="286"/>
  <c r="K89" i="283" s="1"/>
  <c r="I86" i="286"/>
  <c r="J89" i="283" s="1"/>
  <c r="H86" i="286"/>
  <c r="I89" i="283" s="1"/>
  <c r="G86" i="286"/>
  <c r="H89" i="283" s="1"/>
  <c r="F86" i="286"/>
  <c r="G89" i="283" s="1"/>
  <c r="E86" i="286"/>
  <c r="F89" i="283" s="1"/>
  <c r="D86" i="286"/>
  <c r="E89" i="283" s="1"/>
  <c r="O85" i="286"/>
  <c r="P88" i="283" s="1"/>
  <c r="N85" i="286"/>
  <c r="O88" i="283" s="1"/>
  <c r="M85" i="286"/>
  <c r="N88" i="283" s="1"/>
  <c r="L85" i="286"/>
  <c r="M88" i="283" s="1"/>
  <c r="K85" i="286"/>
  <c r="L88" i="283" s="1"/>
  <c r="J85" i="286"/>
  <c r="K88" i="283" s="1"/>
  <c r="I85" i="286"/>
  <c r="J88" i="283" s="1"/>
  <c r="H85" i="286"/>
  <c r="I88" i="283" s="1"/>
  <c r="G85" i="286"/>
  <c r="H88" i="283" s="1"/>
  <c r="F85" i="286"/>
  <c r="G88" i="283" s="1"/>
  <c r="E85" i="286"/>
  <c r="F88" i="283" s="1"/>
  <c r="D85" i="286"/>
  <c r="E88" i="283" s="1"/>
  <c r="O84" i="286"/>
  <c r="P87" i="283" s="1"/>
  <c r="N84" i="286"/>
  <c r="O87" i="283" s="1"/>
  <c r="M84" i="286"/>
  <c r="N87" i="283" s="1"/>
  <c r="L84" i="286"/>
  <c r="M87" i="283" s="1"/>
  <c r="K84" i="286"/>
  <c r="L87" i="283" s="1"/>
  <c r="J84" i="286"/>
  <c r="K87" i="283" s="1"/>
  <c r="I84" i="286"/>
  <c r="J87" i="283" s="1"/>
  <c r="H84" i="286"/>
  <c r="I87" i="283" s="1"/>
  <c r="G84" i="286"/>
  <c r="H87" i="283" s="1"/>
  <c r="F84" i="286"/>
  <c r="G87" i="283" s="1"/>
  <c r="E84" i="286"/>
  <c r="F87" i="283" s="1"/>
  <c r="D84" i="286"/>
  <c r="E87" i="283" s="1"/>
  <c r="O83" i="286"/>
  <c r="P86" i="283" s="1"/>
  <c r="N83" i="286"/>
  <c r="O86" i="283" s="1"/>
  <c r="M83" i="286"/>
  <c r="N86" i="283" s="1"/>
  <c r="L83" i="286"/>
  <c r="M86" i="283" s="1"/>
  <c r="K83" i="286"/>
  <c r="L86" i="283" s="1"/>
  <c r="J83" i="286"/>
  <c r="K86" i="283" s="1"/>
  <c r="I83" i="286"/>
  <c r="J86" i="283" s="1"/>
  <c r="H83" i="286"/>
  <c r="I86" i="283" s="1"/>
  <c r="G83" i="286"/>
  <c r="H86" i="283" s="1"/>
  <c r="F83" i="286"/>
  <c r="G86" i="283" s="1"/>
  <c r="E83" i="286"/>
  <c r="F86" i="283" s="1"/>
  <c r="D83" i="286"/>
  <c r="E86" i="283" s="1"/>
  <c r="O82" i="286"/>
  <c r="P85" i="283" s="1"/>
  <c r="N82" i="286"/>
  <c r="O85" i="283" s="1"/>
  <c r="M82" i="286"/>
  <c r="N85" i="283" s="1"/>
  <c r="L82" i="286"/>
  <c r="M85" i="283" s="1"/>
  <c r="K82" i="286"/>
  <c r="L85" i="283" s="1"/>
  <c r="J82" i="286"/>
  <c r="K85" i="283" s="1"/>
  <c r="I82" i="286"/>
  <c r="J85" i="283" s="1"/>
  <c r="H82" i="286"/>
  <c r="I85" i="283" s="1"/>
  <c r="G82" i="286"/>
  <c r="H85" i="283" s="1"/>
  <c r="F82" i="286"/>
  <c r="G85" i="283" s="1"/>
  <c r="E82" i="286"/>
  <c r="F85" i="283" s="1"/>
  <c r="D82" i="286"/>
  <c r="E85" i="283" s="1"/>
  <c r="O81" i="286"/>
  <c r="P84" i="283" s="1"/>
  <c r="N81" i="286"/>
  <c r="O84" i="283" s="1"/>
  <c r="M81" i="286"/>
  <c r="N84" i="283" s="1"/>
  <c r="L81" i="286"/>
  <c r="M84" i="283" s="1"/>
  <c r="K81" i="286"/>
  <c r="L84" i="283" s="1"/>
  <c r="J81" i="286"/>
  <c r="K84" i="283" s="1"/>
  <c r="I81" i="286"/>
  <c r="J84" i="283" s="1"/>
  <c r="H81" i="286"/>
  <c r="I84" i="283" s="1"/>
  <c r="G81" i="286"/>
  <c r="H84" i="283" s="1"/>
  <c r="F81" i="286"/>
  <c r="G84" i="283" s="1"/>
  <c r="E81" i="286"/>
  <c r="F84" i="283" s="1"/>
  <c r="D81" i="286"/>
  <c r="E84" i="283" s="1"/>
  <c r="O80" i="286"/>
  <c r="P83" i="283" s="1"/>
  <c r="N80" i="286"/>
  <c r="O83" i="283" s="1"/>
  <c r="M80" i="286"/>
  <c r="N83" i="283" s="1"/>
  <c r="L80" i="286"/>
  <c r="M83" i="283" s="1"/>
  <c r="K80" i="286"/>
  <c r="L83" i="283" s="1"/>
  <c r="J80" i="286"/>
  <c r="K83" i="283" s="1"/>
  <c r="I80" i="286"/>
  <c r="J83" i="283" s="1"/>
  <c r="H80" i="286"/>
  <c r="I83" i="283" s="1"/>
  <c r="G80" i="286"/>
  <c r="H83" i="283" s="1"/>
  <c r="F80" i="286"/>
  <c r="G83" i="283" s="1"/>
  <c r="E80" i="286"/>
  <c r="F83" i="283" s="1"/>
  <c r="D80" i="286"/>
  <c r="E83" i="283" s="1"/>
  <c r="O79" i="286"/>
  <c r="P82" i="283" s="1"/>
  <c r="N79" i="286"/>
  <c r="O82" i="283" s="1"/>
  <c r="M79" i="286"/>
  <c r="N82" i="283" s="1"/>
  <c r="L79" i="286"/>
  <c r="M82" i="283" s="1"/>
  <c r="K79" i="286"/>
  <c r="L82" i="283" s="1"/>
  <c r="J79" i="286"/>
  <c r="K82" i="283" s="1"/>
  <c r="I79" i="286"/>
  <c r="J82" i="283" s="1"/>
  <c r="H79" i="286"/>
  <c r="I82" i="283" s="1"/>
  <c r="G79" i="286"/>
  <c r="H82" i="283" s="1"/>
  <c r="F79" i="286"/>
  <c r="G82" i="283" s="1"/>
  <c r="E79" i="286"/>
  <c r="F82" i="283" s="1"/>
  <c r="D79" i="286"/>
  <c r="E82" i="283" s="1"/>
  <c r="O78" i="286"/>
  <c r="P81" i="283" s="1"/>
  <c r="N78" i="286"/>
  <c r="O81" i="283" s="1"/>
  <c r="M78" i="286"/>
  <c r="N81" i="283" s="1"/>
  <c r="L78" i="286"/>
  <c r="M81" i="283" s="1"/>
  <c r="K78" i="286"/>
  <c r="L81" i="283" s="1"/>
  <c r="J78" i="286"/>
  <c r="K81" i="283" s="1"/>
  <c r="I78" i="286"/>
  <c r="J81" i="283" s="1"/>
  <c r="H78" i="286"/>
  <c r="I81" i="283" s="1"/>
  <c r="G78" i="286"/>
  <c r="H81" i="283" s="1"/>
  <c r="F78" i="286"/>
  <c r="G81" i="283" s="1"/>
  <c r="E78" i="286"/>
  <c r="F81" i="283" s="1"/>
  <c r="D78" i="286"/>
  <c r="E81" i="283" s="1"/>
  <c r="O77" i="286"/>
  <c r="P79" i="283" s="1"/>
  <c r="N77" i="286"/>
  <c r="O79" i="283" s="1"/>
  <c r="M77" i="286"/>
  <c r="N79" i="283" s="1"/>
  <c r="L77" i="286"/>
  <c r="M79" i="283" s="1"/>
  <c r="K77" i="286"/>
  <c r="L79" i="283" s="1"/>
  <c r="J77" i="286"/>
  <c r="K79" i="283" s="1"/>
  <c r="I77" i="286"/>
  <c r="J79" i="283" s="1"/>
  <c r="H77" i="286"/>
  <c r="I79" i="283" s="1"/>
  <c r="G77" i="286"/>
  <c r="H79" i="283" s="1"/>
  <c r="F77" i="286"/>
  <c r="G79" i="283" s="1"/>
  <c r="E77" i="286"/>
  <c r="F79" i="283" s="1"/>
  <c r="D77" i="286"/>
  <c r="E79" i="283" s="1"/>
  <c r="O76" i="286"/>
  <c r="P78" i="283" s="1"/>
  <c r="N76" i="286"/>
  <c r="O78" i="283" s="1"/>
  <c r="M76" i="286"/>
  <c r="N78" i="283" s="1"/>
  <c r="L76" i="286"/>
  <c r="M78" i="283" s="1"/>
  <c r="K76" i="286"/>
  <c r="L78" i="283" s="1"/>
  <c r="J76" i="286"/>
  <c r="K78" i="283" s="1"/>
  <c r="I76" i="286"/>
  <c r="J78" i="283" s="1"/>
  <c r="H76" i="286"/>
  <c r="I78" i="283" s="1"/>
  <c r="G76" i="286"/>
  <c r="H78" i="283" s="1"/>
  <c r="F76" i="286"/>
  <c r="G78" i="283" s="1"/>
  <c r="E76" i="286"/>
  <c r="F78" i="283" s="1"/>
  <c r="D76" i="286"/>
  <c r="E78" i="283" s="1"/>
  <c r="O75" i="286"/>
  <c r="P77" i="283" s="1"/>
  <c r="N75" i="286"/>
  <c r="O77" i="283" s="1"/>
  <c r="M75" i="286"/>
  <c r="N77" i="283" s="1"/>
  <c r="L75" i="286"/>
  <c r="M77" i="283" s="1"/>
  <c r="K75" i="286"/>
  <c r="L77" i="283" s="1"/>
  <c r="J75" i="286"/>
  <c r="K77" i="283" s="1"/>
  <c r="I75" i="286"/>
  <c r="J77" i="283" s="1"/>
  <c r="H75" i="286"/>
  <c r="I77" i="283" s="1"/>
  <c r="G75" i="286"/>
  <c r="H77" i="283" s="1"/>
  <c r="F75" i="286"/>
  <c r="G77" i="283" s="1"/>
  <c r="E75" i="286"/>
  <c r="F77" i="283" s="1"/>
  <c r="D75" i="286"/>
  <c r="E77" i="283" s="1"/>
  <c r="O74" i="286"/>
  <c r="P76" i="283" s="1"/>
  <c r="N74" i="286"/>
  <c r="O76" i="283" s="1"/>
  <c r="M74" i="286"/>
  <c r="N76" i="283" s="1"/>
  <c r="L74" i="286"/>
  <c r="M76" i="283" s="1"/>
  <c r="K74" i="286"/>
  <c r="L76" i="283" s="1"/>
  <c r="J74" i="286"/>
  <c r="K76" i="283" s="1"/>
  <c r="I74" i="286"/>
  <c r="J76" i="283" s="1"/>
  <c r="H74" i="286"/>
  <c r="I76" i="283" s="1"/>
  <c r="G74" i="286"/>
  <c r="H76" i="283" s="1"/>
  <c r="F74" i="286"/>
  <c r="G76" i="283" s="1"/>
  <c r="E74" i="286"/>
  <c r="F76" i="283" s="1"/>
  <c r="D74" i="286"/>
  <c r="E76" i="283" s="1"/>
  <c r="O73" i="286"/>
  <c r="P75" i="283" s="1"/>
  <c r="N73" i="286"/>
  <c r="O75" i="283" s="1"/>
  <c r="M73" i="286"/>
  <c r="N75" i="283" s="1"/>
  <c r="L73" i="286"/>
  <c r="M75" i="283" s="1"/>
  <c r="K73" i="286"/>
  <c r="L75" i="283" s="1"/>
  <c r="J73" i="286"/>
  <c r="K75" i="283" s="1"/>
  <c r="I73" i="286"/>
  <c r="J75" i="283" s="1"/>
  <c r="H73" i="286"/>
  <c r="I75" i="283" s="1"/>
  <c r="G73" i="286"/>
  <c r="H75" i="283" s="1"/>
  <c r="F73" i="286"/>
  <c r="G75" i="283" s="1"/>
  <c r="E73" i="286"/>
  <c r="F75" i="283" s="1"/>
  <c r="D73" i="286"/>
  <c r="E75" i="283" s="1"/>
  <c r="O72" i="286"/>
  <c r="P74" i="283" s="1"/>
  <c r="N72" i="286"/>
  <c r="O74" i="283" s="1"/>
  <c r="M72" i="286"/>
  <c r="N74" i="283" s="1"/>
  <c r="L72" i="286"/>
  <c r="M74" i="283" s="1"/>
  <c r="K72" i="286"/>
  <c r="L74" i="283" s="1"/>
  <c r="J72" i="286"/>
  <c r="K74" i="283" s="1"/>
  <c r="I72" i="286"/>
  <c r="J74" i="283" s="1"/>
  <c r="H72" i="286"/>
  <c r="I74" i="283" s="1"/>
  <c r="G72" i="286"/>
  <c r="H74" i="283" s="1"/>
  <c r="F72" i="286"/>
  <c r="G74" i="283" s="1"/>
  <c r="E72" i="286"/>
  <c r="F74" i="283" s="1"/>
  <c r="D72" i="286"/>
  <c r="E74" i="283" s="1"/>
  <c r="O71" i="286"/>
  <c r="P73" i="283" s="1"/>
  <c r="N71" i="286"/>
  <c r="O73" i="283" s="1"/>
  <c r="M71" i="286"/>
  <c r="N73" i="283" s="1"/>
  <c r="L71" i="286"/>
  <c r="M73" i="283" s="1"/>
  <c r="K71" i="286"/>
  <c r="L73" i="283" s="1"/>
  <c r="J71" i="286"/>
  <c r="K73" i="283" s="1"/>
  <c r="I71" i="286"/>
  <c r="J73" i="283" s="1"/>
  <c r="H71" i="286"/>
  <c r="I73" i="283" s="1"/>
  <c r="G71" i="286"/>
  <c r="H73" i="283" s="1"/>
  <c r="F71" i="286"/>
  <c r="G73" i="283" s="1"/>
  <c r="E71" i="286"/>
  <c r="F73" i="283" s="1"/>
  <c r="D71" i="286"/>
  <c r="E73" i="283" s="1"/>
  <c r="O70" i="286"/>
  <c r="P72" i="283" s="1"/>
  <c r="N70" i="286"/>
  <c r="O72" i="283" s="1"/>
  <c r="M70" i="286"/>
  <c r="N72" i="283" s="1"/>
  <c r="L70" i="286"/>
  <c r="M72" i="283" s="1"/>
  <c r="K70" i="286"/>
  <c r="L72" i="283" s="1"/>
  <c r="J70" i="286"/>
  <c r="K72" i="283" s="1"/>
  <c r="I70" i="286"/>
  <c r="J72" i="283" s="1"/>
  <c r="H70" i="286"/>
  <c r="I72" i="283" s="1"/>
  <c r="G70" i="286"/>
  <c r="H72" i="283" s="1"/>
  <c r="F70" i="286"/>
  <c r="G72" i="283" s="1"/>
  <c r="E70" i="286"/>
  <c r="F72" i="283" s="1"/>
  <c r="D70" i="286"/>
  <c r="E72" i="283" s="1"/>
  <c r="O69" i="286"/>
  <c r="P70" i="283" s="1"/>
  <c r="N69" i="286"/>
  <c r="O70" i="283" s="1"/>
  <c r="M69" i="286"/>
  <c r="N70" i="283" s="1"/>
  <c r="L69" i="286"/>
  <c r="M70" i="283" s="1"/>
  <c r="K69" i="286"/>
  <c r="L70" i="283" s="1"/>
  <c r="J69" i="286"/>
  <c r="K70" i="283" s="1"/>
  <c r="I69" i="286"/>
  <c r="J70" i="283" s="1"/>
  <c r="H69" i="286"/>
  <c r="I70" i="283" s="1"/>
  <c r="G69" i="286"/>
  <c r="H70" i="283" s="1"/>
  <c r="F69" i="286"/>
  <c r="G70" i="283" s="1"/>
  <c r="E69" i="286"/>
  <c r="F70" i="283" s="1"/>
  <c r="D69" i="286"/>
  <c r="E70" i="283" s="1"/>
  <c r="O68" i="286"/>
  <c r="P69" i="283" s="1"/>
  <c r="N68" i="286"/>
  <c r="O69" i="283" s="1"/>
  <c r="M68" i="286"/>
  <c r="N69" i="283" s="1"/>
  <c r="L68" i="286"/>
  <c r="M69" i="283" s="1"/>
  <c r="K68" i="286"/>
  <c r="L69" i="283" s="1"/>
  <c r="J68" i="286"/>
  <c r="K69" i="283" s="1"/>
  <c r="I68" i="286"/>
  <c r="J69" i="283" s="1"/>
  <c r="H68" i="286"/>
  <c r="I69" i="283" s="1"/>
  <c r="G68" i="286"/>
  <c r="H69" i="283" s="1"/>
  <c r="F68" i="286"/>
  <c r="G69" i="283" s="1"/>
  <c r="E68" i="286"/>
  <c r="F69" i="283" s="1"/>
  <c r="D68" i="286"/>
  <c r="E69" i="283" s="1"/>
  <c r="O67" i="286"/>
  <c r="P68" i="283" s="1"/>
  <c r="N67" i="286"/>
  <c r="O68" i="283" s="1"/>
  <c r="M67" i="286"/>
  <c r="N68" i="283" s="1"/>
  <c r="L67" i="286"/>
  <c r="M68" i="283" s="1"/>
  <c r="K67" i="286"/>
  <c r="L68" i="283" s="1"/>
  <c r="J67" i="286"/>
  <c r="K68" i="283" s="1"/>
  <c r="I67" i="286"/>
  <c r="J68" i="283" s="1"/>
  <c r="H67" i="286"/>
  <c r="I68" i="283" s="1"/>
  <c r="G67" i="286"/>
  <c r="H68" i="283" s="1"/>
  <c r="F67" i="286"/>
  <c r="G68" i="283" s="1"/>
  <c r="E67" i="286"/>
  <c r="F68" i="283" s="1"/>
  <c r="D67" i="286"/>
  <c r="E68" i="283" s="1"/>
  <c r="O66" i="286"/>
  <c r="P67" i="283" s="1"/>
  <c r="N66" i="286"/>
  <c r="O67" i="283" s="1"/>
  <c r="M66" i="286"/>
  <c r="N67" i="283" s="1"/>
  <c r="L66" i="286"/>
  <c r="M67" i="283" s="1"/>
  <c r="K66" i="286"/>
  <c r="L67" i="283" s="1"/>
  <c r="J66" i="286"/>
  <c r="K67" i="283" s="1"/>
  <c r="I66" i="286"/>
  <c r="J67" i="283" s="1"/>
  <c r="H66" i="286"/>
  <c r="I67" i="283" s="1"/>
  <c r="G66" i="286"/>
  <c r="H67" i="283" s="1"/>
  <c r="F66" i="286"/>
  <c r="G67" i="283" s="1"/>
  <c r="E66" i="286"/>
  <c r="F67" i="283" s="1"/>
  <c r="D66" i="286"/>
  <c r="E67" i="283" s="1"/>
  <c r="O65" i="286"/>
  <c r="P66" i="283" s="1"/>
  <c r="N65" i="286"/>
  <c r="O66" i="283" s="1"/>
  <c r="M65" i="286"/>
  <c r="N66" i="283" s="1"/>
  <c r="L65" i="286"/>
  <c r="M66" i="283" s="1"/>
  <c r="K65" i="286"/>
  <c r="L66" i="283" s="1"/>
  <c r="J65" i="286"/>
  <c r="K66" i="283" s="1"/>
  <c r="I65" i="286"/>
  <c r="J66" i="283" s="1"/>
  <c r="H65" i="286"/>
  <c r="I66" i="283" s="1"/>
  <c r="G65" i="286"/>
  <c r="H66" i="283" s="1"/>
  <c r="F65" i="286"/>
  <c r="G66" i="283" s="1"/>
  <c r="E65" i="286"/>
  <c r="F66" i="283" s="1"/>
  <c r="D65" i="286"/>
  <c r="E66" i="283" s="1"/>
  <c r="O64" i="286"/>
  <c r="P65" i="283" s="1"/>
  <c r="N64" i="286"/>
  <c r="O65" i="283" s="1"/>
  <c r="M64" i="286"/>
  <c r="N65" i="283" s="1"/>
  <c r="L64" i="286"/>
  <c r="M65" i="283" s="1"/>
  <c r="K64" i="286"/>
  <c r="L65" i="283" s="1"/>
  <c r="J64" i="286"/>
  <c r="K65" i="283" s="1"/>
  <c r="I64" i="286"/>
  <c r="J65" i="283" s="1"/>
  <c r="H64" i="286"/>
  <c r="I65" i="283" s="1"/>
  <c r="G64" i="286"/>
  <c r="H65" i="283" s="1"/>
  <c r="F64" i="286"/>
  <c r="G65" i="283" s="1"/>
  <c r="E64" i="286"/>
  <c r="F65" i="283" s="1"/>
  <c r="D64" i="286"/>
  <c r="E65" i="283" s="1"/>
  <c r="O63" i="286"/>
  <c r="P64" i="283" s="1"/>
  <c r="N63" i="286"/>
  <c r="O64" i="283" s="1"/>
  <c r="M63" i="286"/>
  <c r="N64" i="283" s="1"/>
  <c r="L63" i="286"/>
  <c r="M64" i="283" s="1"/>
  <c r="K63" i="286"/>
  <c r="L64" i="283" s="1"/>
  <c r="J63" i="286"/>
  <c r="K64" i="283" s="1"/>
  <c r="I63" i="286"/>
  <c r="J64" i="283" s="1"/>
  <c r="H63" i="286"/>
  <c r="I64" i="283" s="1"/>
  <c r="G63" i="286"/>
  <c r="H64" i="283" s="1"/>
  <c r="F63" i="286"/>
  <c r="G64" i="283" s="1"/>
  <c r="E63" i="286"/>
  <c r="F64" i="283" s="1"/>
  <c r="D63" i="286"/>
  <c r="E64" i="283" s="1"/>
  <c r="O62" i="286"/>
  <c r="P63" i="283" s="1"/>
  <c r="N62" i="286"/>
  <c r="O63" i="283" s="1"/>
  <c r="M62" i="286"/>
  <c r="N63" i="283" s="1"/>
  <c r="L62" i="286"/>
  <c r="M63" i="283" s="1"/>
  <c r="K62" i="286"/>
  <c r="L63" i="283" s="1"/>
  <c r="J62" i="286"/>
  <c r="K63" i="283" s="1"/>
  <c r="I62" i="286"/>
  <c r="J63" i="283" s="1"/>
  <c r="H62" i="286"/>
  <c r="I63" i="283" s="1"/>
  <c r="G62" i="286"/>
  <c r="H63" i="283" s="1"/>
  <c r="F62" i="286"/>
  <c r="G63" i="283" s="1"/>
  <c r="E62" i="286"/>
  <c r="F63" i="283" s="1"/>
  <c r="D62" i="286"/>
  <c r="E63" i="283" s="1"/>
  <c r="O61" i="286"/>
  <c r="P62" i="283" s="1"/>
  <c r="N61" i="286"/>
  <c r="O62" i="283" s="1"/>
  <c r="M61" i="286"/>
  <c r="N62" i="283" s="1"/>
  <c r="L61" i="286"/>
  <c r="M62" i="283" s="1"/>
  <c r="K61" i="286"/>
  <c r="L62" i="283" s="1"/>
  <c r="J61" i="286"/>
  <c r="K62" i="283" s="1"/>
  <c r="I61" i="286"/>
  <c r="J62" i="283" s="1"/>
  <c r="H61" i="286"/>
  <c r="I62" i="283" s="1"/>
  <c r="G61" i="286"/>
  <c r="H62" i="283" s="1"/>
  <c r="F61" i="286"/>
  <c r="G62" i="283" s="1"/>
  <c r="E61" i="286"/>
  <c r="F62" i="283" s="1"/>
  <c r="D61" i="286"/>
  <c r="E62" i="283" s="1"/>
  <c r="O60" i="286"/>
  <c r="P61" i="283" s="1"/>
  <c r="N60" i="286"/>
  <c r="O61" i="283" s="1"/>
  <c r="M60" i="286"/>
  <c r="N61" i="283" s="1"/>
  <c r="L60" i="286"/>
  <c r="M61" i="283" s="1"/>
  <c r="K60" i="286"/>
  <c r="L61" i="283" s="1"/>
  <c r="J60" i="286"/>
  <c r="K61" i="283" s="1"/>
  <c r="I60" i="286"/>
  <c r="J61" i="283" s="1"/>
  <c r="H60" i="286"/>
  <c r="I61" i="283" s="1"/>
  <c r="G60" i="286"/>
  <c r="H61" i="283" s="1"/>
  <c r="F60" i="286"/>
  <c r="G61" i="283" s="1"/>
  <c r="E60" i="286"/>
  <c r="F61" i="283" s="1"/>
  <c r="D60" i="286"/>
  <c r="E61" i="283" s="1"/>
  <c r="O59" i="286"/>
  <c r="P60" i="283" s="1"/>
  <c r="N59" i="286"/>
  <c r="O60" i="283" s="1"/>
  <c r="M59" i="286"/>
  <c r="N60" i="283" s="1"/>
  <c r="L59" i="286"/>
  <c r="M60" i="283" s="1"/>
  <c r="K59" i="286"/>
  <c r="L60" i="283" s="1"/>
  <c r="J59" i="286"/>
  <c r="K60" i="283" s="1"/>
  <c r="I59" i="286"/>
  <c r="J60" i="283" s="1"/>
  <c r="H59" i="286"/>
  <c r="I60" i="283" s="1"/>
  <c r="G59" i="286"/>
  <c r="H60" i="283" s="1"/>
  <c r="F59" i="286"/>
  <c r="G60" i="283" s="1"/>
  <c r="E59" i="286"/>
  <c r="F60" i="283" s="1"/>
  <c r="D59" i="286"/>
  <c r="E60" i="283" s="1"/>
  <c r="O58" i="286"/>
  <c r="P59" i="283" s="1"/>
  <c r="N58" i="286"/>
  <c r="O59" i="283" s="1"/>
  <c r="M58" i="286"/>
  <c r="N59" i="283" s="1"/>
  <c r="L58" i="286"/>
  <c r="M59" i="283" s="1"/>
  <c r="K58" i="286"/>
  <c r="L59" i="283" s="1"/>
  <c r="J58" i="286"/>
  <c r="K59" i="283" s="1"/>
  <c r="I58" i="286"/>
  <c r="J59" i="283" s="1"/>
  <c r="H58" i="286"/>
  <c r="I59" i="283" s="1"/>
  <c r="G58" i="286"/>
  <c r="H59" i="283" s="1"/>
  <c r="F58" i="286"/>
  <c r="G59" i="283" s="1"/>
  <c r="E58" i="286"/>
  <c r="F59" i="283" s="1"/>
  <c r="D58" i="286"/>
  <c r="E59" i="283" s="1"/>
  <c r="O57" i="286"/>
  <c r="P58" i="283" s="1"/>
  <c r="N57" i="286"/>
  <c r="O58" i="283" s="1"/>
  <c r="M57" i="286"/>
  <c r="N58" i="283" s="1"/>
  <c r="L57" i="286"/>
  <c r="M58" i="283" s="1"/>
  <c r="K57" i="286"/>
  <c r="L58" i="283" s="1"/>
  <c r="J57" i="286"/>
  <c r="K58" i="283" s="1"/>
  <c r="I57" i="286"/>
  <c r="J58" i="283" s="1"/>
  <c r="H57" i="286"/>
  <c r="I58" i="283" s="1"/>
  <c r="G57" i="286"/>
  <c r="H58" i="283" s="1"/>
  <c r="F57" i="286"/>
  <c r="G58" i="283" s="1"/>
  <c r="E57" i="286"/>
  <c r="F58" i="283" s="1"/>
  <c r="D57" i="286"/>
  <c r="E58" i="283" s="1"/>
  <c r="O56" i="286"/>
  <c r="P57" i="283" s="1"/>
  <c r="N56" i="286"/>
  <c r="O57" i="283" s="1"/>
  <c r="M56" i="286"/>
  <c r="N57" i="283" s="1"/>
  <c r="L56" i="286"/>
  <c r="M57" i="283" s="1"/>
  <c r="K56" i="286"/>
  <c r="L57" i="283" s="1"/>
  <c r="J56" i="286"/>
  <c r="K57" i="283" s="1"/>
  <c r="I56" i="286"/>
  <c r="J57" i="283" s="1"/>
  <c r="H56" i="286"/>
  <c r="I57" i="283" s="1"/>
  <c r="G56" i="286"/>
  <c r="H57" i="283" s="1"/>
  <c r="F56" i="286"/>
  <c r="G57" i="283" s="1"/>
  <c r="E56" i="286"/>
  <c r="F57" i="283" s="1"/>
  <c r="D56" i="286"/>
  <c r="E57" i="283" s="1"/>
  <c r="O55" i="286"/>
  <c r="P56" i="283" s="1"/>
  <c r="N55" i="286"/>
  <c r="O56" i="283" s="1"/>
  <c r="M55" i="286"/>
  <c r="N56" i="283" s="1"/>
  <c r="L55" i="286"/>
  <c r="M56" i="283" s="1"/>
  <c r="K55" i="286"/>
  <c r="L56" i="283" s="1"/>
  <c r="J55" i="286"/>
  <c r="K56" i="283" s="1"/>
  <c r="I55" i="286"/>
  <c r="J56" i="283" s="1"/>
  <c r="H55" i="286"/>
  <c r="I56" i="283" s="1"/>
  <c r="G55" i="286"/>
  <c r="H56" i="283" s="1"/>
  <c r="F55" i="286"/>
  <c r="G56" i="283" s="1"/>
  <c r="E55" i="286"/>
  <c r="F56" i="283" s="1"/>
  <c r="D55" i="286"/>
  <c r="E56" i="283" s="1"/>
  <c r="O54" i="286"/>
  <c r="P55" i="283" s="1"/>
  <c r="N54" i="286"/>
  <c r="O55" i="283" s="1"/>
  <c r="M54" i="286"/>
  <c r="N55" i="283" s="1"/>
  <c r="L54" i="286"/>
  <c r="M55" i="283" s="1"/>
  <c r="K54" i="286"/>
  <c r="L55" i="283" s="1"/>
  <c r="J54" i="286"/>
  <c r="K55" i="283" s="1"/>
  <c r="I54" i="286"/>
  <c r="J55" i="283" s="1"/>
  <c r="H54" i="286"/>
  <c r="I55" i="283" s="1"/>
  <c r="G54" i="286"/>
  <c r="H55" i="283" s="1"/>
  <c r="F54" i="286"/>
  <c r="G55" i="283" s="1"/>
  <c r="E54" i="286"/>
  <c r="F55" i="283" s="1"/>
  <c r="D54" i="286"/>
  <c r="E55" i="283" s="1"/>
  <c r="O53" i="286"/>
  <c r="P54" i="283" s="1"/>
  <c r="N53" i="286"/>
  <c r="O54" i="283" s="1"/>
  <c r="M53" i="286"/>
  <c r="N54" i="283" s="1"/>
  <c r="L53" i="286"/>
  <c r="M54" i="283" s="1"/>
  <c r="K53" i="286"/>
  <c r="L54" i="283" s="1"/>
  <c r="J53" i="286"/>
  <c r="K54" i="283" s="1"/>
  <c r="I53" i="286"/>
  <c r="J54" i="283" s="1"/>
  <c r="H53" i="286"/>
  <c r="I54" i="283" s="1"/>
  <c r="G53" i="286"/>
  <c r="H54" i="283" s="1"/>
  <c r="F53" i="286"/>
  <c r="G54" i="283" s="1"/>
  <c r="E53" i="286"/>
  <c r="F54" i="283" s="1"/>
  <c r="D53" i="286"/>
  <c r="E54" i="283" s="1"/>
  <c r="O52" i="286"/>
  <c r="P53" i="283" s="1"/>
  <c r="N52" i="286"/>
  <c r="O53" i="283" s="1"/>
  <c r="M52" i="286"/>
  <c r="N53" i="283" s="1"/>
  <c r="L52" i="286"/>
  <c r="M53" i="283" s="1"/>
  <c r="K52" i="286"/>
  <c r="L53" i="283" s="1"/>
  <c r="J52" i="286"/>
  <c r="K53" i="283" s="1"/>
  <c r="I52" i="286"/>
  <c r="J53" i="283" s="1"/>
  <c r="H52" i="286"/>
  <c r="I53" i="283" s="1"/>
  <c r="G52" i="286"/>
  <c r="H53" i="283" s="1"/>
  <c r="F52" i="286"/>
  <c r="G53" i="283" s="1"/>
  <c r="E52" i="286"/>
  <c r="F53" i="283" s="1"/>
  <c r="D52" i="286"/>
  <c r="E53" i="283" s="1"/>
  <c r="O51" i="286"/>
  <c r="P52" i="283" s="1"/>
  <c r="N51" i="286"/>
  <c r="O52" i="283" s="1"/>
  <c r="M51" i="286"/>
  <c r="N52" i="283" s="1"/>
  <c r="L51" i="286"/>
  <c r="M52" i="283" s="1"/>
  <c r="K51" i="286"/>
  <c r="L52" i="283" s="1"/>
  <c r="J51" i="286"/>
  <c r="K52" i="283" s="1"/>
  <c r="I51" i="286"/>
  <c r="J52" i="283" s="1"/>
  <c r="H51" i="286"/>
  <c r="I52" i="283" s="1"/>
  <c r="G51" i="286"/>
  <c r="H52" i="283" s="1"/>
  <c r="F51" i="286"/>
  <c r="G52" i="283" s="1"/>
  <c r="E51" i="286"/>
  <c r="F52" i="283" s="1"/>
  <c r="D51" i="286"/>
  <c r="E52" i="283" s="1"/>
  <c r="O50" i="286"/>
  <c r="P51" i="283" s="1"/>
  <c r="N50" i="286"/>
  <c r="O51" i="283" s="1"/>
  <c r="M50" i="286"/>
  <c r="N51" i="283" s="1"/>
  <c r="L50" i="286"/>
  <c r="M51" i="283" s="1"/>
  <c r="K50" i="286"/>
  <c r="L51" i="283" s="1"/>
  <c r="J50" i="286"/>
  <c r="K51" i="283" s="1"/>
  <c r="I50" i="286"/>
  <c r="J51" i="283" s="1"/>
  <c r="H50" i="286"/>
  <c r="I51" i="283" s="1"/>
  <c r="G50" i="286"/>
  <c r="H51" i="283" s="1"/>
  <c r="F50" i="286"/>
  <c r="G51" i="283" s="1"/>
  <c r="E50" i="286"/>
  <c r="F51" i="283" s="1"/>
  <c r="D50" i="286"/>
  <c r="E51" i="283" s="1"/>
  <c r="O49" i="286"/>
  <c r="P50" i="283" s="1"/>
  <c r="N49" i="286"/>
  <c r="O50" i="283" s="1"/>
  <c r="M49" i="286"/>
  <c r="N50" i="283" s="1"/>
  <c r="L49" i="286"/>
  <c r="M50" i="283" s="1"/>
  <c r="K49" i="286"/>
  <c r="L50" i="283" s="1"/>
  <c r="J49" i="286"/>
  <c r="K50" i="283" s="1"/>
  <c r="I49" i="286"/>
  <c r="J50" i="283" s="1"/>
  <c r="H49" i="286"/>
  <c r="I50" i="283" s="1"/>
  <c r="G49" i="286"/>
  <c r="H50" i="283" s="1"/>
  <c r="F49" i="286"/>
  <c r="G50" i="283" s="1"/>
  <c r="E49" i="286"/>
  <c r="F50" i="283" s="1"/>
  <c r="D49" i="286"/>
  <c r="E50" i="283" s="1"/>
  <c r="O48" i="286"/>
  <c r="P49" i="283" s="1"/>
  <c r="N48" i="286"/>
  <c r="O49" i="283" s="1"/>
  <c r="M48" i="286"/>
  <c r="N49" i="283" s="1"/>
  <c r="L48" i="286"/>
  <c r="M49" i="283" s="1"/>
  <c r="K48" i="286"/>
  <c r="L49" i="283" s="1"/>
  <c r="J48" i="286"/>
  <c r="K49" i="283" s="1"/>
  <c r="I48" i="286"/>
  <c r="J49" i="283" s="1"/>
  <c r="H48" i="286"/>
  <c r="I49" i="283" s="1"/>
  <c r="G48" i="286"/>
  <c r="H49" i="283" s="1"/>
  <c r="F48" i="286"/>
  <c r="G49" i="283" s="1"/>
  <c r="E48" i="286"/>
  <c r="F49" i="283" s="1"/>
  <c r="D48" i="286"/>
  <c r="E49" i="283" s="1"/>
  <c r="O47" i="286"/>
  <c r="P48" i="283" s="1"/>
  <c r="N47" i="286"/>
  <c r="O48" i="283" s="1"/>
  <c r="M47" i="286"/>
  <c r="N48" i="283" s="1"/>
  <c r="L47" i="286"/>
  <c r="M48" i="283" s="1"/>
  <c r="K47" i="286"/>
  <c r="L48" i="283" s="1"/>
  <c r="J47" i="286"/>
  <c r="K48" i="283" s="1"/>
  <c r="I47" i="286"/>
  <c r="J48" i="283" s="1"/>
  <c r="H47" i="286"/>
  <c r="I48" i="283" s="1"/>
  <c r="G47" i="286"/>
  <c r="H48" i="283" s="1"/>
  <c r="F47" i="286"/>
  <c r="G48" i="283" s="1"/>
  <c r="E47" i="286"/>
  <c r="F48" i="283" s="1"/>
  <c r="D47" i="286"/>
  <c r="E48" i="283" s="1"/>
  <c r="O46" i="286"/>
  <c r="P47" i="283" s="1"/>
  <c r="N46" i="286"/>
  <c r="O47" i="283" s="1"/>
  <c r="M46" i="286"/>
  <c r="N47" i="283" s="1"/>
  <c r="L46" i="286"/>
  <c r="M47" i="283" s="1"/>
  <c r="K46" i="286"/>
  <c r="L47" i="283" s="1"/>
  <c r="J46" i="286"/>
  <c r="K47" i="283" s="1"/>
  <c r="I46" i="286"/>
  <c r="J47" i="283" s="1"/>
  <c r="H46" i="286"/>
  <c r="I47" i="283" s="1"/>
  <c r="G46" i="286"/>
  <c r="H47" i="283" s="1"/>
  <c r="F46" i="286"/>
  <c r="G47" i="283" s="1"/>
  <c r="E46" i="286"/>
  <c r="F47" i="283" s="1"/>
  <c r="D46" i="286"/>
  <c r="E47" i="283" s="1"/>
  <c r="O45" i="286"/>
  <c r="P46" i="283" s="1"/>
  <c r="N45" i="286"/>
  <c r="O46" i="283" s="1"/>
  <c r="M45" i="286"/>
  <c r="N46" i="283" s="1"/>
  <c r="L45" i="286"/>
  <c r="M46" i="283" s="1"/>
  <c r="K45" i="286"/>
  <c r="L46" i="283" s="1"/>
  <c r="J45" i="286"/>
  <c r="K46" i="283" s="1"/>
  <c r="I45" i="286"/>
  <c r="J46" i="283" s="1"/>
  <c r="H45" i="286"/>
  <c r="I46" i="283" s="1"/>
  <c r="G45" i="286"/>
  <c r="H46" i="283" s="1"/>
  <c r="F45" i="286"/>
  <c r="G46" i="283" s="1"/>
  <c r="E45" i="286"/>
  <c r="F46" i="283" s="1"/>
  <c r="D45" i="286"/>
  <c r="E46" i="283" s="1"/>
  <c r="O44" i="286"/>
  <c r="P45" i="283" s="1"/>
  <c r="N44" i="286"/>
  <c r="O45" i="283" s="1"/>
  <c r="M44" i="286"/>
  <c r="N45" i="283" s="1"/>
  <c r="L44" i="286"/>
  <c r="M45" i="283" s="1"/>
  <c r="K44" i="286"/>
  <c r="L45" i="283" s="1"/>
  <c r="J44" i="286"/>
  <c r="K45" i="283" s="1"/>
  <c r="I44" i="286"/>
  <c r="J45" i="283" s="1"/>
  <c r="H44" i="286"/>
  <c r="I45" i="283" s="1"/>
  <c r="G44" i="286"/>
  <c r="H45" i="283" s="1"/>
  <c r="F44" i="286"/>
  <c r="G45" i="283" s="1"/>
  <c r="E44" i="286"/>
  <c r="F45" i="283" s="1"/>
  <c r="D44" i="286"/>
  <c r="E45" i="283" s="1"/>
  <c r="O43" i="286"/>
  <c r="P44" i="283" s="1"/>
  <c r="N43" i="286"/>
  <c r="O44" i="283" s="1"/>
  <c r="M43" i="286"/>
  <c r="N44" i="283" s="1"/>
  <c r="L43" i="286"/>
  <c r="M44" i="283" s="1"/>
  <c r="K43" i="286"/>
  <c r="L44" i="283" s="1"/>
  <c r="J43" i="286"/>
  <c r="K44" i="283" s="1"/>
  <c r="I43" i="286"/>
  <c r="J44" i="283" s="1"/>
  <c r="H43" i="286"/>
  <c r="I44" i="283" s="1"/>
  <c r="G43" i="286"/>
  <c r="H44" i="283" s="1"/>
  <c r="F43" i="286"/>
  <c r="G44" i="283" s="1"/>
  <c r="E43" i="286"/>
  <c r="F44" i="283" s="1"/>
  <c r="D43" i="286"/>
  <c r="E44" i="283" s="1"/>
  <c r="O42" i="286"/>
  <c r="P43" i="283" s="1"/>
  <c r="N42" i="286"/>
  <c r="O43" i="283" s="1"/>
  <c r="M42" i="286"/>
  <c r="N43" i="283" s="1"/>
  <c r="L42" i="286"/>
  <c r="M43" i="283" s="1"/>
  <c r="K42" i="286"/>
  <c r="L43" i="283" s="1"/>
  <c r="J42" i="286"/>
  <c r="K43" i="283" s="1"/>
  <c r="I42" i="286"/>
  <c r="J43" i="283" s="1"/>
  <c r="H42" i="286"/>
  <c r="I43" i="283" s="1"/>
  <c r="G42" i="286"/>
  <c r="H43" i="283" s="1"/>
  <c r="F42" i="286"/>
  <c r="G43" i="283" s="1"/>
  <c r="E42" i="286"/>
  <c r="F43" i="283" s="1"/>
  <c r="D42" i="286"/>
  <c r="E43" i="283" s="1"/>
  <c r="O41" i="286"/>
  <c r="P42" i="283" s="1"/>
  <c r="N41" i="286"/>
  <c r="O42" i="283" s="1"/>
  <c r="M41" i="286"/>
  <c r="N42" i="283" s="1"/>
  <c r="L41" i="286"/>
  <c r="M42" i="283" s="1"/>
  <c r="K41" i="286"/>
  <c r="L42" i="283" s="1"/>
  <c r="J41" i="286"/>
  <c r="K42" i="283" s="1"/>
  <c r="I41" i="286"/>
  <c r="J42" i="283" s="1"/>
  <c r="H41" i="286"/>
  <c r="I42" i="283" s="1"/>
  <c r="G41" i="286"/>
  <c r="H42" i="283" s="1"/>
  <c r="F41" i="286"/>
  <c r="G42" i="283" s="1"/>
  <c r="E41" i="286"/>
  <c r="F42" i="283" s="1"/>
  <c r="D41" i="286"/>
  <c r="E42" i="283" s="1"/>
  <c r="O40" i="286"/>
  <c r="P41" i="283" s="1"/>
  <c r="N40" i="286"/>
  <c r="O41" i="283" s="1"/>
  <c r="M40" i="286"/>
  <c r="N41" i="283" s="1"/>
  <c r="L40" i="286"/>
  <c r="M41" i="283" s="1"/>
  <c r="K40" i="286"/>
  <c r="L41" i="283" s="1"/>
  <c r="J40" i="286"/>
  <c r="K41" i="283" s="1"/>
  <c r="I40" i="286"/>
  <c r="J41" i="283" s="1"/>
  <c r="H40" i="286"/>
  <c r="I41" i="283" s="1"/>
  <c r="G40" i="286"/>
  <c r="H41" i="283" s="1"/>
  <c r="F40" i="286"/>
  <c r="G41" i="283" s="1"/>
  <c r="E40" i="286"/>
  <c r="F41" i="283" s="1"/>
  <c r="D40" i="286"/>
  <c r="E41" i="283" s="1"/>
  <c r="O39" i="286"/>
  <c r="P39" i="283" s="1"/>
  <c r="N39" i="286"/>
  <c r="O39" i="283" s="1"/>
  <c r="M39" i="286"/>
  <c r="N39" i="283" s="1"/>
  <c r="L39" i="286"/>
  <c r="M39" i="283" s="1"/>
  <c r="K39" i="286"/>
  <c r="L39" i="283" s="1"/>
  <c r="J39" i="286"/>
  <c r="K39" i="283" s="1"/>
  <c r="I39" i="286"/>
  <c r="J39" i="283" s="1"/>
  <c r="H39" i="286"/>
  <c r="I39" i="283" s="1"/>
  <c r="G39" i="286"/>
  <c r="H39" i="283" s="1"/>
  <c r="F39" i="286"/>
  <c r="G39" i="283" s="1"/>
  <c r="E39" i="286"/>
  <c r="F39" i="283" s="1"/>
  <c r="D39" i="286"/>
  <c r="E39" i="283" s="1"/>
  <c r="O38" i="286"/>
  <c r="P38" i="283" s="1"/>
  <c r="N38" i="286"/>
  <c r="O38" i="283" s="1"/>
  <c r="M38" i="286"/>
  <c r="N38" i="283" s="1"/>
  <c r="L38" i="286"/>
  <c r="M38" i="283" s="1"/>
  <c r="K38" i="286"/>
  <c r="L38" i="283" s="1"/>
  <c r="J38" i="286"/>
  <c r="K38" i="283" s="1"/>
  <c r="I38" i="286"/>
  <c r="J38" i="283" s="1"/>
  <c r="H38" i="286"/>
  <c r="I38" i="283" s="1"/>
  <c r="G38" i="286"/>
  <c r="H38" i="283" s="1"/>
  <c r="F38" i="286"/>
  <c r="G38" i="283" s="1"/>
  <c r="E38" i="286"/>
  <c r="F38" i="283" s="1"/>
  <c r="D38" i="286"/>
  <c r="E38" i="283" s="1"/>
  <c r="O37" i="286"/>
  <c r="P37" i="283" s="1"/>
  <c r="N37" i="286"/>
  <c r="O37" i="283" s="1"/>
  <c r="M37" i="286"/>
  <c r="N37" i="283" s="1"/>
  <c r="L37" i="286"/>
  <c r="M37" i="283" s="1"/>
  <c r="K37" i="286"/>
  <c r="L37" i="283" s="1"/>
  <c r="J37" i="286"/>
  <c r="K37" i="283" s="1"/>
  <c r="I37" i="286"/>
  <c r="J37" i="283" s="1"/>
  <c r="H37" i="286"/>
  <c r="I37" i="283" s="1"/>
  <c r="G37" i="286"/>
  <c r="H37" i="283" s="1"/>
  <c r="F37" i="286"/>
  <c r="G37" i="283" s="1"/>
  <c r="E37" i="286"/>
  <c r="F37" i="283" s="1"/>
  <c r="D37" i="286"/>
  <c r="E37" i="283" s="1"/>
  <c r="O36" i="286"/>
  <c r="P36" i="283" s="1"/>
  <c r="N36" i="286"/>
  <c r="O36" i="283" s="1"/>
  <c r="M36" i="286"/>
  <c r="N36" i="283" s="1"/>
  <c r="L36" i="286"/>
  <c r="M36" i="283" s="1"/>
  <c r="K36" i="286"/>
  <c r="L36" i="283" s="1"/>
  <c r="J36" i="286"/>
  <c r="K36" i="283" s="1"/>
  <c r="I36" i="286"/>
  <c r="J36" i="283" s="1"/>
  <c r="H36" i="286"/>
  <c r="I36" i="283" s="1"/>
  <c r="G36" i="286"/>
  <c r="H36" i="283" s="1"/>
  <c r="F36" i="286"/>
  <c r="G36" i="283" s="1"/>
  <c r="E36" i="286"/>
  <c r="F36" i="283" s="1"/>
  <c r="D36" i="286"/>
  <c r="E36" i="283" s="1"/>
  <c r="O35" i="286"/>
  <c r="P35" i="283" s="1"/>
  <c r="N35" i="286"/>
  <c r="O35" i="283" s="1"/>
  <c r="M35" i="286"/>
  <c r="N35" i="283" s="1"/>
  <c r="L35" i="286"/>
  <c r="M35" i="283" s="1"/>
  <c r="K35" i="286"/>
  <c r="L35" i="283" s="1"/>
  <c r="J35" i="286"/>
  <c r="K35" i="283" s="1"/>
  <c r="I35" i="286"/>
  <c r="J35" i="283" s="1"/>
  <c r="H35" i="286"/>
  <c r="I35" i="283" s="1"/>
  <c r="G35" i="286"/>
  <c r="H35" i="283" s="1"/>
  <c r="F35" i="286"/>
  <c r="G35" i="283" s="1"/>
  <c r="E35" i="286"/>
  <c r="F35" i="283" s="1"/>
  <c r="D35" i="286"/>
  <c r="E35" i="283" s="1"/>
  <c r="O34" i="286"/>
  <c r="P34" i="283" s="1"/>
  <c r="N34" i="286"/>
  <c r="O34" i="283" s="1"/>
  <c r="M34" i="286"/>
  <c r="N34" i="283" s="1"/>
  <c r="L34" i="286"/>
  <c r="M34" i="283" s="1"/>
  <c r="K34" i="286"/>
  <c r="L34" i="283" s="1"/>
  <c r="J34" i="286"/>
  <c r="K34" i="283" s="1"/>
  <c r="I34" i="286"/>
  <c r="J34" i="283" s="1"/>
  <c r="H34" i="286"/>
  <c r="I34" i="283" s="1"/>
  <c r="G34" i="286"/>
  <c r="H34" i="283" s="1"/>
  <c r="F34" i="286"/>
  <c r="G34" i="283" s="1"/>
  <c r="E34" i="286"/>
  <c r="F34" i="283" s="1"/>
  <c r="D34" i="286"/>
  <c r="E34" i="283" s="1"/>
  <c r="O33" i="286"/>
  <c r="P33" i="283" s="1"/>
  <c r="N33" i="286"/>
  <c r="O33" i="283" s="1"/>
  <c r="M33" i="286"/>
  <c r="N33" i="283" s="1"/>
  <c r="L33" i="286"/>
  <c r="M33" i="283" s="1"/>
  <c r="K33" i="286"/>
  <c r="L33" i="283" s="1"/>
  <c r="J33" i="286"/>
  <c r="K33" i="283" s="1"/>
  <c r="I33" i="286"/>
  <c r="J33" i="283" s="1"/>
  <c r="H33" i="286"/>
  <c r="I33" i="283" s="1"/>
  <c r="G33" i="286"/>
  <c r="H33" i="283" s="1"/>
  <c r="F33" i="286"/>
  <c r="G33" i="283" s="1"/>
  <c r="E33" i="286"/>
  <c r="F33" i="283" s="1"/>
  <c r="D33" i="286"/>
  <c r="E33" i="283" s="1"/>
  <c r="O32" i="286"/>
  <c r="P32" i="283" s="1"/>
  <c r="N32" i="286"/>
  <c r="O32" i="283" s="1"/>
  <c r="M32" i="286"/>
  <c r="N32" i="283" s="1"/>
  <c r="L32" i="286"/>
  <c r="M32" i="283" s="1"/>
  <c r="K32" i="286"/>
  <c r="L32" i="283" s="1"/>
  <c r="J32" i="286"/>
  <c r="K32" i="283" s="1"/>
  <c r="I32" i="286"/>
  <c r="J32" i="283" s="1"/>
  <c r="H32" i="286"/>
  <c r="I32" i="283" s="1"/>
  <c r="G32" i="286"/>
  <c r="H32" i="283" s="1"/>
  <c r="F32" i="286"/>
  <c r="G32" i="283" s="1"/>
  <c r="E32" i="286"/>
  <c r="F32" i="283" s="1"/>
  <c r="D32" i="286"/>
  <c r="E32" i="283" s="1"/>
  <c r="O31" i="286"/>
  <c r="P31" i="283" s="1"/>
  <c r="N31" i="286"/>
  <c r="O31" i="283" s="1"/>
  <c r="M31" i="286"/>
  <c r="N31" i="283" s="1"/>
  <c r="L31" i="286"/>
  <c r="M31" i="283" s="1"/>
  <c r="K31" i="286"/>
  <c r="L31" i="283" s="1"/>
  <c r="J31" i="286"/>
  <c r="K31" i="283" s="1"/>
  <c r="I31" i="286"/>
  <c r="J31" i="283" s="1"/>
  <c r="H31" i="286"/>
  <c r="I31" i="283" s="1"/>
  <c r="G31" i="286"/>
  <c r="H31" i="283" s="1"/>
  <c r="F31" i="286"/>
  <c r="G31" i="283" s="1"/>
  <c r="E31" i="286"/>
  <c r="F31" i="283" s="1"/>
  <c r="D31" i="286"/>
  <c r="E31" i="283" s="1"/>
  <c r="O30" i="286"/>
  <c r="P30" i="283" s="1"/>
  <c r="N30" i="286"/>
  <c r="O30" i="283" s="1"/>
  <c r="M30" i="286"/>
  <c r="N30" i="283" s="1"/>
  <c r="L30" i="286"/>
  <c r="M30" i="283" s="1"/>
  <c r="K30" i="286"/>
  <c r="L30" i="283" s="1"/>
  <c r="J30" i="286"/>
  <c r="K30" i="283" s="1"/>
  <c r="I30" i="286"/>
  <c r="J30" i="283" s="1"/>
  <c r="H30" i="286"/>
  <c r="I30" i="283" s="1"/>
  <c r="G30" i="286"/>
  <c r="H30" i="283" s="1"/>
  <c r="F30" i="286"/>
  <c r="G30" i="283" s="1"/>
  <c r="E30" i="286"/>
  <c r="F30" i="283" s="1"/>
  <c r="D30" i="286"/>
  <c r="E30" i="283" s="1"/>
  <c r="O29" i="286"/>
  <c r="P29" i="283" s="1"/>
  <c r="N29" i="286"/>
  <c r="O29" i="283" s="1"/>
  <c r="M29" i="286"/>
  <c r="N29" i="283" s="1"/>
  <c r="L29" i="286"/>
  <c r="M29" i="283" s="1"/>
  <c r="K29" i="286"/>
  <c r="L29" i="283" s="1"/>
  <c r="J29" i="286"/>
  <c r="K29" i="283" s="1"/>
  <c r="I29" i="286"/>
  <c r="J29" i="283" s="1"/>
  <c r="H29" i="286"/>
  <c r="I29" i="283" s="1"/>
  <c r="G29" i="286"/>
  <c r="H29" i="283" s="1"/>
  <c r="F29" i="286"/>
  <c r="G29" i="283" s="1"/>
  <c r="E29" i="286"/>
  <c r="F29" i="283" s="1"/>
  <c r="D29" i="286"/>
  <c r="E29" i="283" s="1"/>
  <c r="O28" i="286"/>
  <c r="P28" i="283" s="1"/>
  <c r="N28" i="286"/>
  <c r="O28" i="283" s="1"/>
  <c r="M28" i="286"/>
  <c r="N28" i="283" s="1"/>
  <c r="L28" i="286"/>
  <c r="M28" i="283" s="1"/>
  <c r="K28" i="286"/>
  <c r="L28" i="283" s="1"/>
  <c r="J28" i="286"/>
  <c r="K28" i="283" s="1"/>
  <c r="I28" i="286"/>
  <c r="J28" i="283" s="1"/>
  <c r="H28" i="286"/>
  <c r="I28" i="283" s="1"/>
  <c r="G28" i="286"/>
  <c r="H28" i="283" s="1"/>
  <c r="F28" i="286"/>
  <c r="G28" i="283" s="1"/>
  <c r="E28" i="286"/>
  <c r="F28" i="283" s="1"/>
  <c r="D28" i="286"/>
  <c r="E28" i="283" s="1"/>
  <c r="O27" i="286"/>
  <c r="P27" i="283" s="1"/>
  <c r="N27" i="286"/>
  <c r="O27" i="283" s="1"/>
  <c r="M27" i="286"/>
  <c r="N27" i="283" s="1"/>
  <c r="L27" i="286"/>
  <c r="M27" i="283" s="1"/>
  <c r="K27" i="286"/>
  <c r="L27" i="283" s="1"/>
  <c r="J27" i="286"/>
  <c r="K27" i="283" s="1"/>
  <c r="I27" i="286"/>
  <c r="J27" i="283" s="1"/>
  <c r="H27" i="286"/>
  <c r="I27" i="283" s="1"/>
  <c r="G27" i="286"/>
  <c r="H27" i="283" s="1"/>
  <c r="F27" i="286"/>
  <c r="G27" i="283" s="1"/>
  <c r="E27" i="286"/>
  <c r="F27" i="283" s="1"/>
  <c r="D27" i="286"/>
  <c r="E27" i="283" s="1"/>
  <c r="O26" i="286"/>
  <c r="P26" i="283" s="1"/>
  <c r="N26" i="286"/>
  <c r="O26" i="283" s="1"/>
  <c r="M26" i="286"/>
  <c r="N26" i="283" s="1"/>
  <c r="L26" i="286"/>
  <c r="M26" i="283" s="1"/>
  <c r="K26" i="286"/>
  <c r="L26" i="283" s="1"/>
  <c r="J26" i="286"/>
  <c r="K26" i="283" s="1"/>
  <c r="I26" i="286"/>
  <c r="J26" i="283" s="1"/>
  <c r="H26" i="286"/>
  <c r="I26" i="283" s="1"/>
  <c r="G26" i="286"/>
  <c r="H26" i="283" s="1"/>
  <c r="F26" i="286"/>
  <c r="G26" i="283" s="1"/>
  <c r="E26" i="286"/>
  <c r="F26" i="283" s="1"/>
  <c r="D26" i="286"/>
  <c r="E26" i="283" s="1"/>
  <c r="O25" i="286"/>
  <c r="P25" i="283" s="1"/>
  <c r="N25" i="286"/>
  <c r="O25" i="283" s="1"/>
  <c r="M25" i="286"/>
  <c r="N25" i="283" s="1"/>
  <c r="L25" i="286"/>
  <c r="M25" i="283" s="1"/>
  <c r="K25" i="286"/>
  <c r="L25" i="283" s="1"/>
  <c r="J25" i="286"/>
  <c r="K25" i="283" s="1"/>
  <c r="I25" i="286"/>
  <c r="J25" i="283" s="1"/>
  <c r="H25" i="286"/>
  <c r="I25" i="283" s="1"/>
  <c r="G25" i="286"/>
  <c r="H25" i="283" s="1"/>
  <c r="F25" i="286"/>
  <c r="G25" i="283" s="1"/>
  <c r="E25" i="286"/>
  <c r="F25" i="283" s="1"/>
  <c r="D25" i="286"/>
  <c r="E25" i="283" s="1"/>
  <c r="O24" i="286"/>
  <c r="P24" i="283" s="1"/>
  <c r="N24" i="286"/>
  <c r="O24" i="283" s="1"/>
  <c r="M24" i="286"/>
  <c r="N24" i="283" s="1"/>
  <c r="L24" i="286"/>
  <c r="M24" i="283" s="1"/>
  <c r="K24" i="286"/>
  <c r="L24" i="283" s="1"/>
  <c r="J24" i="286"/>
  <c r="K24" i="283" s="1"/>
  <c r="I24" i="286"/>
  <c r="J24" i="283" s="1"/>
  <c r="H24" i="286"/>
  <c r="I24" i="283" s="1"/>
  <c r="G24" i="286"/>
  <c r="H24" i="283" s="1"/>
  <c r="F24" i="286"/>
  <c r="G24" i="283" s="1"/>
  <c r="E24" i="286"/>
  <c r="F24" i="283" s="1"/>
  <c r="D24" i="286"/>
  <c r="E24" i="283" s="1"/>
  <c r="O23" i="286"/>
  <c r="P23" i="283" s="1"/>
  <c r="N23" i="286"/>
  <c r="O23" i="283" s="1"/>
  <c r="M23" i="286"/>
  <c r="N23" i="283" s="1"/>
  <c r="L23" i="286"/>
  <c r="M23" i="283" s="1"/>
  <c r="K23" i="286"/>
  <c r="L23" i="283" s="1"/>
  <c r="J23" i="286"/>
  <c r="K23" i="283" s="1"/>
  <c r="I23" i="286"/>
  <c r="J23" i="283" s="1"/>
  <c r="H23" i="286"/>
  <c r="I23" i="283" s="1"/>
  <c r="G23" i="286"/>
  <c r="H23" i="283" s="1"/>
  <c r="F23" i="286"/>
  <c r="G23" i="283" s="1"/>
  <c r="E23" i="286"/>
  <c r="F23" i="283" s="1"/>
  <c r="D23" i="286"/>
  <c r="E23" i="283" s="1"/>
  <c r="O22" i="286"/>
  <c r="P22" i="283" s="1"/>
  <c r="N22" i="286"/>
  <c r="O22" i="283" s="1"/>
  <c r="M22" i="286"/>
  <c r="N22" i="283" s="1"/>
  <c r="L22" i="286"/>
  <c r="M22" i="283" s="1"/>
  <c r="K22" i="286"/>
  <c r="L22" i="283" s="1"/>
  <c r="J22" i="286"/>
  <c r="K22" i="283" s="1"/>
  <c r="I22" i="286"/>
  <c r="J22" i="283" s="1"/>
  <c r="H22" i="286"/>
  <c r="I22" i="283" s="1"/>
  <c r="G22" i="286"/>
  <c r="H22" i="283" s="1"/>
  <c r="F22" i="286"/>
  <c r="G22" i="283" s="1"/>
  <c r="E22" i="286"/>
  <c r="F22" i="283" s="1"/>
  <c r="D22" i="286"/>
  <c r="E22" i="283" s="1"/>
  <c r="O21" i="286"/>
  <c r="P21" i="283" s="1"/>
  <c r="N21" i="286"/>
  <c r="O21" i="283" s="1"/>
  <c r="M21" i="286"/>
  <c r="N21" i="283" s="1"/>
  <c r="L21" i="286"/>
  <c r="M21" i="283" s="1"/>
  <c r="K21" i="286"/>
  <c r="L21" i="283" s="1"/>
  <c r="J21" i="286"/>
  <c r="K21" i="283" s="1"/>
  <c r="I21" i="286"/>
  <c r="J21" i="283" s="1"/>
  <c r="H21" i="286"/>
  <c r="I21" i="283" s="1"/>
  <c r="G21" i="286"/>
  <c r="H21" i="283" s="1"/>
  <c r="F21" i="286"/>
  <c r="G21" i="283" s="1"/>
  <c r="E21" i="286"/>
  <c r="F21" i="283" s="1"/>
  <c r="D21" i="286"/>
  <c r="E21" i="283" s="1"/>
  <c r="O20" i="286"/>
  <c r="P20" i="283" s="1"/>
  <c r="N20" i="286"/>
  <c r="O20" i="283" s="1"/>
  <c r="M20" i="286"/>
  <c r="N20" i="283" s="1"/>
  <c r="L20" i="286"/>
  <c r="M20" i="283" s="1"/>
  <c r="K20" i="286"/>
  <c r="L20" i="283" s="1"/>
  <c r="J20" i="286"/>
  <c r="K20" i="283" s="1"/>
  <c r="I20" i="286"/>
  <c r="J20" i="283" s="1"/>
  <c r="H20" i="286"/>
  <c r="I20" i="283" s="1"/>
  <c r="G20" i="286"/>
  <c r="H20" i="283" s="1"/>
  <c r="F20" i="286"/>
  <c r="G20" i="283" s="1"/>
  <c r="E20" i="286"/>
  <c r="F20" i="283" s="1"/>
  <c r="D20" i="286"/>
  <c r="E20" i="283" s="1"/>
  <c r="O19" i="286"/>
  <c r="P19" i="283" s="1"/>
  <c r="N19" i="286"/>
  <c r="O19" i="283" s="1"/>
  <c r="M19" i="286"/>
  <c r="N19" i="283" s="1"/>
  <c r="L19" i="286"/>
  <c r="M19" i="283" s="1"/>
  <c r="K19" i="286"/>
  <c r="L19" i="283" s="1"/>
  <c r="J19" i="286"/>
  <c r="K19" i="283" s="1"/>
  <c r="I19" i="286"/>
  <c r="J19" i="283" s="1"/>
  <c r="H19" i="286"/>
  <c r="I19" i="283" s="1"/>
  <c r="G19" i="286"/>
  <c r="H19" i="283" s="1"/>
  <c r="F19" i="286"/>
  <c r="G19" i="283" s="1"/>
  <c r="E19" i="286"/>
  <c r="F19" i="283" s="1"/>
  <c r="D19" i="286"/>
  <c r="E19" i="283" s="1"/>
  <c r="O18" i="286"/>
  <c r="P17" i="283" s="1"/>
  <c r="N18" i="286"/>
  <c r="O17" i="283" s="1"/>
  <c r="M18" i="286"/>
  <c r="N17" i="283" s="1"/>
  <c r="L18" i="286"/>
  <c r="M17" i="283" s="1"/>
  <c r="K18" i="286"/>
  <c r="L17" i="283" s="1"/>
  <c r="J18" i="286"/>
  <c r="K17" i="283" s="1"/>
  <c r="I18" i="286"/>
  <c r="J17" i="283" s="1"/>
  <c r="H18" i="286"/>
  <c r="I17" i="283" s="1"/>
  <c r="G18" i="286"/>
  <c r="H17" i="283" s="1"/>
  <c r="F18" i="286"/>
  <c r="G17" i="283" s="1"/>
  <c r="E18" i="286"/>
  <c r="F17" i="283" s="1"/>
  <c r="D18" i="286"/>
  <c r="E17" i="283" s="1"/>
  <c r="O17" i="286"/>
  <c r="P16" i="283" s="1"/>
  <c r="N17" i="286"/>
  <c r="O16" i="283" s="1"/>
  <c r="M17" i="286"/>
  <c r="N16" i="283" s="1"/>
  <c r="L17" i="286"/>
  <c r="M16" i="283" s="1"/>
  <c r="K17" i="286"/>
  <c r="L16" i="283" s="1"/>
  <c r="J17" i="286"/>
  <c r="K16" i="283" s="1"/>
  <c r="I17" i="286"/>
  <c r="J16" i="283" s="1"/>
  <c r="H17" i="286"/>
  <c r="I16" i="283" s="1"/>
  <c r="G17" i="286"/>
  <c r="H16" i="283" s="1"/>
  <c r="F17" i="286"/>
  <c r="G16" i="283" s="1"/>
  <c r="E17" i="286"/>
  <c r="F16" i="283" s="1"/>
  <c r="D17" i="286"/>
  <c r="E16" i="283" s="1"/>
  <c r="O16" i="286"/>
  <c r="P15" i="283" s="1"/>
  <c r="N16" i="286"/>
  <c r="O15" i="283" s="1"/>
  <c r="M16" i="286"/>
  <c r="N15" i="283" s="1"/>
  <c r="L16" i="286"/>
  <c r="M15" i="283" s="1"/>
  <c r="K16" i="286"/>
  <c r="L15" i="283" s="1"/>
  <c r="J16" i="286"/>
  <c r="K15" i="283" s="1"/>
  <c r="I16" i="286"/>
  <c r="J15" i="283" s="1"/>
  <c r="H16" i="286"/>
  <c r="I15" i="283" s="1"/>
  <c r="G16" i="286"/>
  <c r="H15" i="283" s="1"/>
  <c r="F16" i="286"/>
  <c r="G15" i="283" s="1"/>
  <c r="E16" i="286"/>
  <c r="F15" i="283" s="1"/>
  <c r="D16" i="286"/>
  <c r="E15" i="283" s="1"/>
  <c r="O15" i="286"/>
  <c r="P14" i="283" s="1"/>
  <c r="N15" i="286"/>
  <c r="O14" i="283" s="1"/>
  <c r="M15" i="286"/>
  <c r="N14" i="283" s="1"/>
  <c r="L15" i="286"/>
  <c r="M14" i="283" s="1"/>
  <c r="K15" i="286"/>
  <c r="L14" i="283" s="1"/>
  <c r="J15" i="286"/>
  <c r="K14" i="283" s="1"/>
  <c r="I15" i="286"/>
  <c r="J14" i="283" s="1"/>
  <c r="H15" i="286"/>
  <c r="I14" i="283" s="1"/>
  <c r="G15" i="286"/>
  <c r="H14" i="283" s="1"/>
  <c r="F15" i="286"/>
  <c r="G14" i="283" s="1"/>
  <c r="E15" i="286"/>
  <c r="F14" i="283" s="1"/>
  <c r="D15" i="286"/>
  <c r="E14" i="283" s="1"/>
  <c r="O14" i="286"/>
  <c r="N14" i="286"/>
  <c r="M14" i="286"/>
  <c r="L14" i="286"/>
  <c r="K14" i="286"/>
  <c r="J14" i="286"/>
  <c r="I14" i="286"/>
  <c r="H14" i="286"/>
  <c r="G14" i="286"/>
  <c r="F14" i="286"/>
  <c r="E14" i="286"/>
  <c r="D14" i="286"/>
  <c r="O13" i="286"/>
  <c r="P12" i="283" s="1"/>
  <c r="N13" i="286"/>
  <c r="O12" i="283" s="1"/>
  <c r="M13" i="286"/>
  <c r="N12" i="283" s="1"/>
  <c r="L13" i="286"/>
  <c r="M12" i="283" s="1"/>
  <c r="K13" i="286"/>
  <c r="L12" i="283" s="1"/>
  <c r="J13" i="286"/>
  <c r="K12" i="283" s="1"/>
  <c r="I13" i="286"/>
  <c r="J12" i="283" s="1"/>
  <c r="H13" i="286"/>
  <c r="I12" i="283" s="1"/>
  <c r="G13" i="286"/>
  <c r="H12" i="283" s="1"/>
  <c r="F13" i="286"/>
  <c r="G12" i="283" s="1"/>
  <c r="E13" i="286"/>
  <c r="F12" i="283" s="1"/>
  <c r="D13" i="286"/>
  <c r="E12" i="283" s="1"/>
  <c r="O12" i="286"/>
  <c r="P11" i="283" s="1"/>
  <c r="N12" i="286"/>
  <c r="O11" i="283" s="1"/>
  <c r="M12" i="286"/>
  <c r="N11" i="283" s="1"/>
  <c r="L12" i="286"/>
  <c r="M11" i="283" s="1"/>
  <c r="K12" i="286"/>
  <c r="L11" i="283" s="1"/>
  <c r="J12" i="286"/>
  <c r="K11" i="283" s="1"/>
  <c r="I12" i="286"/>
  <c r="J11" i="283" s="1"/>
  <c r="H12" i="286"/>
  <c r="I11" i="283" s="1"/>
  <c r="G12" i="286"/>
  <c r="H11" i="283" s="1"/>
  <c r="F12" i="286"/>
  <c r="G11" i="283" s="1"/>
  <c r="E12" i="286"/>
  <c r="F11" i="283" s="1"/>
  <c r="D12" i="286"/>
  <c r="E11" i="283" s="1"/>
  <c r="O11" i="286"/>
  <c r="P10" i="283" s="1"/>
  <c r="N11" i="286"/>
  <c r="O10" i="283" s="1"/>
  <c r="M11" i="286"/>
  <c r="N10" i="283" s="1"/>
  <c r="L11" i="286"/>
  <c r="M10" i="283" s="1"/>
  <c r="K11" i="286"/>
  <c r="L10" i="283" s="1"/>
  <c r="J11" i="286"/>
  <c r="K10" i="283" s="1"/>
  <c r="I11" i="286"/>
  <c r="J10" i="283" s="1"/>
  <c r="H11" i="286"/>
  <c r="I10" i="283" s="1"/>
  <c r="G11" i="286"/>
  <c r="H10" i="283" s="1"/>
  <c r="F11" i="286"/>
  <c r="G10" i="283" s="1"/>
  <c r="E11" i="286"/>
  <c r="F10" i="283" s="1"/>
  <c r="D11" i="286"/>
  <c r="E10" i="283" s="1"/>
  <c r="O10" i="286"/>
  <c r="N10" i="286"/>
  <c r="M10" i="286"/>
  <c r="L10" i="286"/>
  <c r="K10" i="286"/>
  <c r="J10" i="286"/>
  <c r="I10" i="286"/>
  <c r="H10" i="286"/>
  <c r="G10" i="286"/>
  <c r="F10" i="286"/>
  <c r="E10" i="286"/>
  <c r="D10" i="286"/>
  <c r="O8" i="286"/>
  <c r="P123" i="287" s="1"/>
  <c r="N8" i="286"/>
  <c r="O123" i="287" s="1"/>
  <c r="M8" i="286"/>
  <c r="N123" i="287" s="1"/>
  <c r="L8" i="286"/>
  <c r="M123" i="287" s="1"/>
  <c r="K8" i="286"/>
  <c r="L123" i="287" s="1"/>
  <c r="J8" i="286"/>
  <c r="K123" i="287" s="1"/>
  <c r="I8" i="286"/>
  <c r="J123" i="287" s="1"/>
  <c r="H8" i="286"/>
  <c r="I123" i="287" s="1"/>
  <c r="G8" i="286"/>
  <c r="H123" i="287" s="1"/>
  <c r="F8" i="286"/>
  <c r="G123" i="287" s="1"/>
  <c r="E8" i="286"/>
  <c r="F123" i="287" s="1"/>
  <c r="D8" i="286"/>
  <c r="O7" i="286"/>
  <c r="P122" i="287" s="1"/>
  <c r="N7" i="286"/>
  <c r="O122" i="287" s="1"/>
  <c r="M7" i="286"/>
  <c r="N122" i="287" s="1"/>
  <c r="L7" i="286"/>
  <c r="M122" i="287" s="1"/>
  <c r="K7" i="286"/>
  <c r="L122" i="287" s="1"/>
  <c r="J7" i="286"/>
  <c r="K122" i="287" s="1"/>
  <c r="I7" i="286"/>
  <c r="J122" i="287" s="1"/>
  <c r="H7" i="286"/>
  <c r="I122" i="287" s="1"/>
  <c r="G7" i="286"/>
  <c r="H122" i="287" s="1"/>
  <c r="F7" i="286"/>
  <c r="G122" i="287" s="1"/>
  <c r="E7" i="286"/>
  <c r="F122" i="287" s="1"/>
  <c r="D7" i="286"/>
  <c r="O6" i="286"/>
  <c r="P118" i="287" s="1"/>
  <c r="N6" i="286"/>
  <c r="O118" i="287" s="1"/>
  <c r="M6" i="286"/>
  <c r="N118" i="287" s="1"/>
  <c r="L6" i="286"/>
  <c r="M118" i="287" s="1"/>
  <c r="K6" i="286"/>
  <c r="L118" i="287" s="1"/>
  <c r="J6" i="286"/>
  <c r="K118" i="287" s="1"/>
  <c r="I6" i="286"/>
  <c r="J118" i="287" s="1"/>
  <c r="H6" i="286"/>
  <c r="I118" i="287" s="1"/>
  <c r="G6" i="286"/>
  <c r="H118" i="287" s="1"/>
  <c r="F6" i="286"/>
  <c r="G118" i="287" s="1"/>
  <c r="E6" i="286"/>
  <c r="F118" i="287" s="1"/>
  <c r="D6" i="286"/>
  <c r="E118" i="287" s="1"/>
  <c r="O5" i="286"/>
  <c r="P117" i="287" s="1"/>
  <c r="N5" i="286"/>
  <c r="O117" i="287" s="1"/>
  <c r="M5" i="286"/>
  <c r="N117" i="287" s="1"/>
  <c r="L5" i="286"/>
  <c r="M117" i="287" s="1"/>
  <c r="K5" i="286"/>
  <c r="L117" i="287" s="1"/>
  <c r="J5" i="286"/>
  <c r="K117" i="287" s="1"/>
  <c r="I5" i="286"/>
  <c r="J117" i="287" s="1"/>
  <c r="H5" i="286"/>
  <c r="I117" i="287" s="1"/>
  <c r="G5" i="286"/>
  <c r="H117" i="287" s="1"/>
  <c r="F5" i="286"/>
  <c r="G117" i="287" s="1"/>
  <c r="E5" i="286"/>
  <c r="F117" i="287" s="1"/>
  <c r="D5" i="286"/>
  <c r="E117" i="287" s="1"/>
  <c r="O4" i="286"/>
  <c r="P116" i="287" s="1"/>
  <c r="N4" i="286"/>
  <c r="O116" i="287" s="1"/>
  <c r="M4" i="286"/>
  <c r="N116" i="287" s="1"/>
  <c r="L4" i="286"/>
  <c r="M116" i="287" s="1"/>
  <c r="K4" i="286"/>
  <c r="L116" i="287" s="1"/>
  <c r="J4" i="286"/>
  <c r="K116" i="287" s="1"/>
  <c r="I4" i="286"/>
  <c r="J116" i="287" s="1"/>
  <c r="H4" i="286"/>
  <c r="I116" i="287" s="1"/>
  <c r="G4" i="286"/>
  <c r="H116" i="287" s="1"/>
  <c r="F4" i="286"/>
  <c r="G116" i="287" s="1"/>
  <c r="E4" i="286"/>
  <c r="F116" i="287" s="1"/>
  <c r="D4" i="286"/>
  <c r="E116" i="287" s="1"/>
  <c r="O3" i="286"/>
  <c r="P113" i="287" s="1"/>
  <c r="N3" i="286"/>
  <c r="O113" i="287" s="1"/>
  <c r="M3" i="286"/>
  <c r="N113" i="287" s="1"/>
  <c r="L3" i="286"/>
  <c r="M113" i="287" s="1"/>
  <c r="K3" i="286"/>
  <c r="L113" i="287" s="1"/>
  <c r="J3" i="286"/>
  <c r="K113" i="287" s="1"/>
  <c r="I3" i="286"/>
  <c r="J113" i="287" s="1"/>
  <c r="H3" i="286"/>
  <c r="I113" i="287" s="1"/>
  <c r="G3" i="286"/>
  <c r="H113" i="287" s="1"/>
  <c r="F3" i="286"/>
  <c r="G113" i="287" s="1"/>
  <c r="E3" i="286"/>
  <c r="F113" i="287" s="1"/>
  <c r="D3" i="286"/>
  <c r="E113" i="287" s="1"/>
  <c r="O2" i="286"/>
  <c r="P112" i="287" s="1"/>
  <c r="N2" i="286"/>
  <c r="O112" i="287" s="1"/>
  <c r="M2" i="286"/>
  <c r="N112" i="287" s="1"/>
  <c r="L2" i="286"/>
  <c r="M112" i="287" s="1"/>
  <c r="K2" i="286"/>
  <c r="L112" i="287" s="1"/>
  <c r="J2" i="286"/>
  <c r="K112" i="287" s="1"/>
  <c r="I2" i="286"/>
  <c r="J112" i="287" s="1"/>
  <c r="H2" i="286"/>
  <c r="I112" i="287" s="1"/>
  <c r="G2" i="286"/>
  <c r="H112" i="287" s="1"/>
  <c r="F2" i="286"/>
  <c r="G112" i="287" s="1"/>
  <c r="E2" i="286"/>
  <c r="F112" i="287" s="1"/>
  <c r="D2" i="286"/>
  <c r="E112" i="287" s="1"/>
  <c r="X5" i="175"/>
  <c r="E51" i="175"/>
  <c r="E5" i="175"/>
  <c r="P169" i="179" l="1"/>
  <c r="E13" i="283"/>
  <c r="V73" i="283" s="1"/>
  <c r="I109" i="283"/>
  <c r="Z141" i="283" s="1"/>
  <c r="L13" i="283"/>
  <c r="AC73" i="283" s="1"/>
  <c r="H109" i="283"/>
  <c r="Y141" i="283" s="1"/>
  <c r="P109" i="283"/>
  <c r="AG141" i="283" s="1"/>
  <c r="G109" i="283"/>
  <c r="X141" i="283" s="1"/>
  <c r="O109" i="283"/>
  <c r="AF141" i="283" s="1"/>
  <c r="F109" i="283"/>
  <c r="W141" i="283" s="1"/>
  <c r="N109" i="283"/>
  <c r="AE141" i="283" s="1"/>
  <c r="I13" i="283"/>
  <c r="Z73" i="283" s="1"/>
  <c r="E109" i="283"/>
  <c r="V141" i="283" s="1"/>
  <c r="M109" i="283"/>
  <c r="AD141" i="283" s="1"/>
  <c r="M13" i="283"/>
  <c r="AD73" i="283" s="1"/>
  <c r="L109" i="283"/>
  <c r="AC141" i="283" s="1"/>
  <c r="J13" i="283"/>
  <c r="AA73" i="283" s="1"/>
  <c r="H13" i="283"/>
  <c r="Y73" i="283" s="1"/>
  <c r="P13" i="283"/>
  <c r="AG73" i="283" s="1"/>
  <c r="G13" i="283"/>
  <c r="X73" i="283" s="1"/>
  <c r="O13" i="283"/>
  <c r="AF73" i="283" s="1"/>
  <c r="K109" i="283"/>
  <c r="AB141" i="283" s="1"/>
  <c r="K13" i="283"/>
  <c r="AB73" i="283" s="1"/>
  <c r="F13" i="283"/>
  <c r="W73" i="283" s="1"/>
  <c r="N13" i="283"/>
  <c r="AE73" i="283" s="1"/>
  <c r="J109" i="283"/>
  <c r="AA141" i="283" s="1"/>
  <c r="AE52" i="178"/>
  <c r="AD52" i="178"/>
  <c r="AL52" i="178"/>
  <c r="AK52" i="178"/>
  <c r="AI52" i="178"/>
  <c r="AF52" i="178"/>
  <c r="AC52" i="178"/>
  <c r="AB52" i="178"/>
  <c r="AJ52" i="178"/>
  <c r="W52" i="178"/>
  <c r="AA52" i="178"/>
  <c r="AH52" i="178"/>
  <c r="AG52" i="178"/>
  <c r="P8" i="286"/>
  <c r="E123" i="287"/>
  <c r="Q123" i="287" s="1"/>
  <c r="F18" i="287" s="1"/>
  <c r="G18" i="287" s="1"/>
  <c r="T150" i="287"/>
  <c r="Q116" i="287"/>
  <c r="Q118" i="287"/>
  <c r="P7" i="286"/>
  <c r="E122" i="287"/>
  <c r="Q113" i="287"/>
  <c r="Q117" i="287"/>
  <c r="P10" i="286"/>
  <c r="P11" i="286"/>
  <c r="P116" i="286"/>
  <c r="X42" i="175"/>
  <c r="Q122" i="287" l="1"/>
  <c r="F17" i="287" s="1"/>
  <c r="P114" i="286"/>
  <c r="P115" i="286"/>
  <c r="AL63" i="178"/>
  <c r="AK63" i="178"/>
  <c r="AJ63" i="178"/>
  <c r="AI63" i="178"/>
  <c r="AH63" i="178"/>
  <c r="AG63" i="178"/>
  <c r="AF63" i="178"/>
  <c r="AE63" i="178"/>
  <c r="S209" i="178" l="1"/>
  <c r="R209" i="178"/>
  <c r="Q209" i="178"/>
  <c r="P209" i="178"/>
  <c r="O209" i="178"/>
  <c r="N209" i="178"/>
  <c r="M209" i="178"/>
  <c r="L209" i="178"/>
  <c r="K209" i="178"/>
  <c r="J209" i="178"/>
  <c r="I209" i="178"/>
  <c r="H209" i="178"/>
  <c r="G209" i="178"/>
  <c r="E208" i="178"/>
  <c r="G211" i="178"/>
  <c r="S163" i="178"/>
  <c r="R163" i="178"/>
  <c r="Q163" i="178"/>
  <c r="P163" i="178"/>
  <c r="O163" i="178"/>
  <c r="N163" i="178"/>
  <c r="M163" i="178"/>
  <c r="L163" i="178"/>
  <c r="K163" i="178"/>
  <c r="J163" i="178"/>
  <c r="I163" i="178"/>
  <c r="H163" i="178"/>
  <c r="G163" i="178"/>
  <c r="AG151" i="283" l="1"/>
  <c r="AF151" i="283"/>
  <c r="AE151" i="283"/>
  <c r="AD151" i="283"/>
  <c r="AC151" i="283"/>
  <c r="AB151" i="283"/>
  <c r="AA151" i="283"/>
  <c r="Z151" i="283"/>
  <c r="Y151" i="283"/>
  <c r="X151" i="283"/>
  <c r="W151" i="283"/>
  <c r="V151" i="283"/>
  <c r="AG143" i="283"/>
  <c r="AF143" i="283"/>
  <c r="AE143" i="283"/>
  <c r="AD143" i="283"/>
  <c r="AC143" i="283"/>
  <c r="AB143" i="283"/>
  <c r="AA143" i="283"/>
  <c r="Z143" i="283"/>
  <c r="Y143" i="283"/>
  <c r="X143" i="283"/>
  <c r="W143" i="283"/>
  <c r="V143" i="283"/>
  <c r="AG62" i="283"/>
  <c r="AF62" i="283"/>
  <c r="AE62" i="283"/>
  <c r="AD62" i="283"/>
  <c r="AC62" i="283"/>
  <c r="AB62" i="283"/>
  <c r="AA62" i="283"/>
  <c r="Z62" i="283"/>
  <c r="Y62" i="283"/>
  <c r="X62" i="283"/>
  <c r="W62" i="283"/>
  <c r="V62" i="283"/>
  <c r="P151" i="287"/>
  <c r="O151" i="287"/>
  <c r="N151" i="287"/>
  <c r="M151" i="287"/>
  <c r="L151" i="287"/>
  <c r="K151" i="287"/>
  <c r="J151" i="287"/>
  <c r="I151" i="287"/>
  <c r="H151" i="287"/>
  <c r="G151" i="287"/>
  <c r="F151" i="287"/>
  <c r="E151" i="287"/>
  <c r="Q151" i="287"/>
  <c r="P139" i="287"/>
  <c r="O139" i="287"/>
  <c r="N139" i="287"/>
  <c r="M139" i="287"/>
  <c r="L139" i="287"/>
  <c r="K139" i="287"/>
  <c r="J139" i="287"/>
  <c r="I139" i="287"/>
  <c r="H139" i="287"/>
  <c r="G139" i="287"/>
  <c r="F139" i="287"/>
  <c r="E139" i="287"/>
  <c r="Q139" i="287"/>
  <c r="Q133" i="287"/>
  <c r="P133" i="287"/>
  <c r="O133" i="287"/>
  <c r="N133" i="287"/>
  <c r="M133" i="287"/>
  <c r="L133" i="287"/>
  <c r="K133" i="287"/>
  <c r="J133" i="287"/>
  <c r="I133" i="287"/>
  <c r="H133" i="287"/>
  <c r="G133" i="287"/>
  <c r="F133" i="287"/>
  <c r="E133" i="287"/>
  <c r="P124" i="287"/>
  <c r="O124" i="287"/>
  <c r="N124" i="287"/>
  <c r="M124" i="287"/>
  <c r="L124" i="287"/>
  <c r="K124" i="287"/>
  <c r="J124" i="287"/>
  <c r="I124" i="287"/>
  <c r="H124" i="287"/>
  <c r="G124" i="287"/>
  <c r="F124" i="287"/>
  <c r="E45" i="287"/>
  <c r="F15" i="287"/>
  <c r="G15" i="287" s="1"/>
  <c r="F14" i="287"/>
  <c r="G14" i="287" s="1"/>
  <c r="F12" i="287"/>
  <c r="G12" i="287" s="1"/>
  <c r="F11" i="287"/>
  <c r="G11" i="287" s="1"/>
  <c r="E124" i="287"/>
  <c r="E6" i="287"/>
  <c r="G6" i="287" s="1"/>
  <c r="E5" i="287"/>
  <c r="G5" i="287" s="1"/>
  <c r="E4" i="287"/>
  <c r="G4" i="287" s="1"/>
  <c r="E3" i="287"/>
  <c r="P97" i="287"/>
  <c r="O97" i="287"/>
  <c r="N97" i="287"/>
  <c r="M97" i="287"/>
  <c r="L97" i="287"/>
  <c r="K97" i="287"/>
  <c r="J97" i="287"/>
  <c r="I97" i="287"/>
  <c r="H97" i="287"/>
  <c r="G97" i="287"/>
  <c r="F97" i="287"/>
  <c r="E97" i="287"/>
  <c r="Q97" i="287"/>
  <c r="E402" i="288" s="1"/>
  <c r="E403" i="288" s="1"/>
  <c r="N403" i="288" s="1"/>
  <c r="Q87" i="287"/>
  <c r="P87" i="287"/>
  <c r="O87" i="287"/>
  <c r="N87" i="287"/>
  <c r="M87" i="287"/>
  <c r="L87" i="287"/>
  <c r="K87" i="287"/>
  <c r="J87" i="287"/>
  <c r="I87" i="287"/>
  <c r="H87" i="287"/>
  <c r="G87" i="287"/>
  <c r="F87" i="287"/>
  <c r="E87" i="287"/>
  <c r="P82" i="287"/>
  <c r="O82" i="287"/>
  <c r="N82" i="287"/>
  <c r="M82" i="287"/>
  <c r="L82" i="287"/>
  <c r="K82" i="287"/>
  <c r="J82" i="287"/>
  <c r="I82" i="287"/>
  <c r="H82" i="287"/>
  <c r="G82" i="287"/>
  <c r="F82" i="287"/>
  <c r="E82" i="287"/>
  <c r="Q82" i="287"/>
  <c r="P77" i="287"/>
  <c r="O77" i="287"/>
  <c r="N77" i="287"/>
  <c r="M77" i="287"/>
  <c r="L77" i="287"/>
  <c r="K77" i="287"/>
  <c r="J77" i="287"/>
  <c r="I77" i="287"/>
  <c r="H77" i="287"/>
  <c r="G77" i="287"/>
  <c r="F77" i="287"/>
  <c r="E77" i="287"/>
  <c r="Q77" i="287"/>
  <c r="Q72" i="287"/>
  <c r="P72" i="287"/>
  <c r="O72" i="287"/>
  <c r="N72" i="287"/>
  <c r="M72" i="287"/>
  <c r="L72" i="287"/>
  <c r="K72" i="287"/>
  <c r="J72" i="287"/>
  <c r="I72" i="287"/>
  <c r="H72" i="287"/>
  <c r="G72" i="287"/>
  <c r="F72" i="287"/>
  <c r="E72" i="287"/>
  <c r="P67" i="287"/>
  <c r="O67" i="287"/>
  <c r="N67" i="287"/>
  <c r="M67" i="287"/>
  <c r="L67" i="287"/>
  <c r="K67" i="287"/>
  <c r="J67" i="287"/>
  <c r="I67" i="287"/>
  <c r="H67" i="287"/>
  <c r="G67" i="287"/>
  <c r="F67" i="287"/>
  <c r="E67" i="287"/>
  <c r="Q67" i="287"/>
  <c r="Q61" i="287"/>
  <c r="P61" i="287"/>
  <c r="O61" i="287"/>
  <c r="N61" i="287"/>
  <c r="M61" i="287"/>
  <c r="L61" i="287"/>
  <c r="K61" i="287"/>
  <c r="J61" i="287"/>
  <c r="I61" i="287"/>
  <c r="H61" i="287"/>
  <c r="G61" i="287"/>
  <c r="F61" i="287"/>
  <c r="E61" i="287"/>
  <c r="P54" i="287"/>
  <c r="O54" i="287"/>
  <c r="N54" i="287"/>
  <c r="M54" i="287"/>
  <c r="L54" i="287"/>
  <c r="K54" i="287"/>
  <c r="J54" i="287"/>
  <c r="I54" i="287"/>
  <c r="H54" i="287"/>
  <c r="G54" i="287"/>
  <c r="F54" i="287"/>
  <c r="Q54" i="287"/>
  <c r="E47" i="287"/>
  <c r="G47" i="287" s="1"/>
  <c r="E46" i="287"/>
  <c r="G46" i="287" s="1"/>
  <c r="G45" i="287"/>
  <c r="F45" i="287"/>
  <c r="E44" i="287"/>
  <c r="E38" i="287"/>
  <c r="G35" i="287" s="1"/>
  <c r="E32" i="287"/>
  <c r="G30" i="287" s="1"/>
  <c r="E27" i="287"/>
  <c r="G25" i="287" s="1"/>
  <c r="I25" i="287"/>
  <c r="I24" i="287"/>
  <c r="H19" i="287"/>
  <c r="G17" i="287"/>
  <c r="G16" i="287"/>
  <c r="F13" i="287"/>
  <c r="F10" i="287"/>
  <c r="F9" i="287"/>
  <c r="E7" i="287"/>
  <c r="G7" i="287" s="1"/>
  <c r="E183" i="178"/>
  <c r="S33" i="178"/>
  <c r="R33" i="178"/>
  <c r="Q33" i="178"/>
  <c r="P33" i="178"/>
  <c r="O33" i="178"/>
  <c r="N33" i="178"/>
  <c r="M33" i="178"/>
  <c r="L33" i="178"/>
  <c r="K33" i="178"/>
  <c r="J33" i="178"/>
  <c r="I33" i="178"/>
  <c r="H33" i="178"/>
  <c r="G33" i="178"/>
  <c r="F33" i="178"/>
  <c r="G9" i="287" l="1"/>
  <c r="K141" i="287"/>
  <c r="G29" i="287"/>
  <c r="G32" i="287" s="1"/>
  <c r="H21" i="215"/>
  <c r="J21" i="215" s="1"/>
  <c r="K56" i="287"/>
  <c r="I27" i="287"/>
  <c r="K24" i="287" s="1"/>
  <c r="E79" i="287"/>
  <c r="M79" i="287"/>
  <c r="G24" i="287"/>
  <c r="J68" i="287" s="1"/>
  <c r="F140" i="287"/>
  <c r="J84" i="287"/>
  <c r="K134" i="287"/>
  <c r="E398" i="288"/>
  <c r="E399" i="288" s="1"/>
  <c r="N399" i="288" s="1"/>
  <c r="G13" i="287"/>
  <c r="G10" i="287"/>
  <c r="L128" i="287"/>
  <c r="L155" i="287" s="1"/>
  <c r="L159" i="287" s="1"/>
  <c r="G49" i="287"/>
  <c r="E49" i="287"/>
  <c r="O128" i="287"/>
  <c r="O155" i="287" s="1"/>
  <c r="O159" i="287" s="1"/>
  <c r="F128" i="287"/>
  <c r="F155" i="287" s="1"/>
  <c r="F159" i="287" s="1"/>
  <c r="N128" i="287"/>
  <c r="N155" i="287" s="1"/>
  <c r="N159" i="287" s="1"/>
  <c r="K128" i="287"/>
  <c r="K155" i="287" s="1"/>
  <c r="K159" i="287" s="1"/>
  <c r="E128" i="287"/>
  <c r="E155" i="287" s="1"/>
  <c r="E159" i="287" s="1"/>
  <c r="R104" i="287"/>
  <c r="F135" i="287"/>
  <c r="N135" i="287"/>
  <c r="N141" i="287"/>
  <c r="H63" i="287"/>
  <c r="H89" i="287"/>
  <c r="P89" i="287"/>
  <c r="E141" i="287"/>
  <c r="G63" i="287"/>
  <c r="O63" i="287"/>
  <c r="G89" i="287"/>
  <c r="O89" i="287"/>
  <c r="L141" i="287"/>
  <c r="K74" i="287"/>
  <c r="H99" i="287"/>
  <c r="F56" i="287"/>
  <c r="K69" i="287"/>
  <c r="M84" i="287"/>
  <c r="G99" i="287"/>
  <c r="I135" i="287"/>
  <c r="M56" i="287"/>
  <c r="H135" i="287"/>
  <c r="K89" i="287"/>
  <c r="I79" i="287"/>
  <c r="K63" i="287"/>
  <c r="O56" i="287"/>
  <c r="H141" i="287"/>
  <c r="K135" i="287"/>
  <c r="O84" i="287"/>
  <c r="L63" i="287"/>
  <c r="P84" i="287"/>
  <c r="H84" i="287"/>
  <c r="K79" i="287"/>
  <c r="I56" i="287"/>
  <c r="J141" i="287"/>
  <c r="F89" i="287"/>
  <c r="L79" i="287"/>
  <c r="N63" i="287"/>
  <c r="O141" i="287"/>
  <c r="N84" i="287"/>
  <c r="O69" i="287"/>
  <c r="G56" i="287"/>
  <c r="L89" i="287"/>
  <c r="E74" i="287"/>
  <c r="H69" i="287"/>
  <c r="H56" i="287"/>
  <c r="I141" i="287"/>
  <c r="L135" i="287"/>
  <c r="M89" i="287"/>
  <c r="I69" i="287"/>
  <c r="E63" i="287"/>
  <c r="E135" i="287"/>
  <c r="N89" i="287"/>
  <c r="I84" i="287"/>
  <c r="F63" i="287"/>
  <c r="J56" i="287"/>
  <c r="G141" i="287"/>
  <c r="J135" i="287"/>
  <c r="F84" i="287"/>
  <c r="G69" i="287"/>
  <c r="P141" i="287"/>
  <c r="G84" i="287"/>
  <c r="P69" i="287"/>
  <c r="P56" i="287"/>
  <c r="E99" i="287"/>
  <c r="E89" i="287"/>
  <c r="M63" i="287"/>
  <c r="M135" i="287"/>
  <c r="J69" i="287"/>
  <c r="F99" i="287"/>
  <c r="G3" i="287"/>
  <c r="E19" i="287"/>
  <c r="P99" i="287"/>
  <c r="L56" i="287"/>
  <c r="P74" i="287"/>
  <c r="K84" i="287"/>
  <c r="G135" i="287"/>
  <c r="O135" i="287"/>
  <c r="M128" i="287"/>
  <c r="M155" i="287" s="1"/>
  <c r="M159" i="287" s="1"/>
  <c r="F55" i="287"/>
  <c r="K73" i="287"/>
  <c r="M55" i="287"/>
  <c r="J128" i="287"/>
  <c r="J155" i="287" s="1"/>
  <c r="J159" i="287" s="1"/>
  <c r="H134" i="287"/>
  <c r="E140" i="287"/>
  <c r="L55" i="287"/>
  <c r="F69" i="287"/>
  <c r="F78" i="287"/>
  <c r="E84" i="287"/>
  <c r="H88" i="287"/>
  <c r="P88" i="287"/>
  <c r="H98" i="287"/>
  <c r="I128" i="287"/>
  <c r="I155" i="287" s="1"/>
  <c r="I159" i="287" s="1"/>
  <c r="G134" i="287"/>
  <c r="L140" i="287"/>
  <c r="K55" i="287"/>
  <c r="E56" i="287"/>
  <c r="G62" i="287"/>
  <c r="O62" i="287"/>
  <c r="I63" i="287"/>
  <c r="K68" i="287"/>
  <c r="E69" i="287"/>
  <c r="M69" i="287"/>
  <c r="P73" i="287"/>
  <c r="E78" i="287"/>
  <c r="M78" i="287"/>
  <c r="J83" i="287"/>
  <c r="L84" i="287"/>
  <c r="G88" i="287"/>
  <c r="O88" i="287"/>
  <c r="I89" i="287"/>
  <c r="G98" i="287"/>
  <c r="Q112" i="287"/>
  <c r="F8" i="287" s="1"/>
  <c r="H128" i="287"/>
  <c r="H155" i="287" s="1"/>
  <c r="H159" i="287" s="1"/>
  <c r="P128" i="287"/>
  <c r="P155" i="287" s="1"/>
  <c r="P159" i="287" s="1"/>
  <c r="F134" i="287"/>
  <c r="N134" i="287"/>
  <c r="P135" i="287"/>
  <c r="K140" i="287"/>
  <c r="M141" i="287"/>
  <c r="M83" i="287"/>
  <c r="N140" i="287"/>
  <c r="G36" i="287"/>
  <c r="G38" i="287" s="1"/>
  <c r="N56" i="287"/>
  <c r="H62" i="287"/>
  <c r="J63" i="287"/>
  <c r="N69" i="287"/>
  <c r="H79" i="287"/>
  <c r="K83" i="287"/>
  <c r="J89" i="287"/>
  <c r="P98" i="287"/>
  <c r="O134" i="287"/>
  <c r="F141" i="287"/>
  <c r="P63" i="287"/>
  <c r="L69" i="287"/>
  <c r="F79" i="287"/>
  <c r="N79" i="287"/>
  <c r="G128" i="287"/>
  <c r="G155" i="287" s="1"/>
  <c r="G159" i="287" s="1"/>
  <c r="I134" i="287"/>
  <c r="G27" i="287"/>
  <c r="N78" i="287"/>
  <c r="F44" i="287"/>
  <c r="F49" i="287" s="1"/>
  <c r="I68" i="287"/>
  <c r="K78" i="287"/>
  <c r="H83" i="287"/>
  <c r="P83" i="287"/>
  <c r="E88" i="287"/>
  <c r="M88" i="287"/>
  <c r="E98" i="287"/>
  <c r="L134" i="287"/>
  <c r="AG152" i="283"/>
  <c r="AG153" i="283" s="1"/>
  <c r="AF152" i="283"/>
  <c r="AF153" i="283" s="1"/>
  <c r="AE152" i="283"/>
  <c r="AE153" i="283" s="1"/>
  <c r="AD152" i="283"/>
  <c r="AD153" i="283" s="1"/>
  <c r="AC152" i="283"/>
  <c r="AC153" i="283" s="1"/>
  <c r="AB152" i="283"/>
  <c r="AB153" i="283" s="1"/>
  <c r="AA152" i="283"/>
  <c r="AA153" i="283" s="1"/>
  <c r="Z152" i="283"/>
  <c r="Z153" i="283" s="1"/>
  <c r="Y152" i="283"/>
  <c r="Y153" i="283" s="1"/>
  <c r="X152" i="283"/>
  <c r="X153" i="283" s="1"/>
  <c r="W152" i="283"/>
  <c r="W153" i="283" s="1"/>
  <c r="V152" i="283"/>
  <c r="V153" i="283" s="1"/>
  <c r="AG148" i="283"/>
  <c r="AF148" i="283"/>
  <c r="AE148" i="283"/>
  <c r="AD148" i="283"/>
  <c r="AC148" i="283"/>
  <c r="AB148" i="283"/>
  <c r="AA148" i="283"/>
  <c r="Z148" i="283"/>
  <c r="Y148" i="283"/>
  <c r="X148" i="283"/>
  <c r="W148" i="283"/>
  <c r="V148" i="283"/>
  <c r="AG147" i="283"/>
  <c r="AF147" i="283"/>
  <c r="AE147" i="283"/>
  <c r="AD147" i="283"/>
  <c r="AC147" i="283"/>
  <c r="AB147" i="283"/>
  <c r="AA147" i="283"/>
  <c r="Z147" i="283"/>
  <c r="Y147" i="283"/>
  <c r="X147" i="283"/>
  <c r="W147" i="283"/>
  <c r="V147" i="283"/>
  <c r="AG84" i="283"/>
  <c r="AF84" i="283"/>
  <c r="AE84" i="283"/>
  <c r="AD84" i="283"/>
  <c r="AC84" i="283"/>
  <c r="AB84" i="283"/>
  <c r="AA84" i="283"/>
  <c r="Z84" i="283"/>
  <c r="Y84" i="283"/>
  <c r="X84" i="283"/>
  <c r="W84" i="283"/>
  <c r="V84" i="283"/>
  <c r="AG144" i="283"/>
  <c r="AF144" i="283"/>
  <c r="AE144" i="283"/>
  <c r="AD144" i="283"/>
  <c r="AC144" i="283"/>
  <c r="AB144" i="283"/>
  <c r="AA144" i="283"/>
  <c r="Z144" i="283"/>
  <c r="Y144" i="283"/>
  <c r="X144" i="283"/>
  <c r="W144" i="283"/>
  <c r="V144" i="283"/>
  <c r="AG61" i="283"/>
  <c r="AF61" i="283"/>
  <c r="AE61" i="283"/>
  <c r="AD61" i="283"/>
  <c r="AC61" i="283"/>
  <c r="AB61" i="283"/>
  <c r="AA61" i="283"/>
  <c r="Z61" i="283"/>
  <c r="Y61" i="283"/>
  <c r="X61" i="283"/>
  <c r="V61" i="283"/>
  <c r="AG60" i="283"/>
  <c r="AF60" i="283"/>
  <c r="AE60" i="283"/>
  <c r="AD60" i="283"/>
  <c r="AC60" i="283"/>
  <c r="AB60" i="283"/>
  <c r="AA60" i="283"/>
  <c r="Z60" i="283"/>
  <c r="Y60" i="283"/>
  <c r="X60" i="283"/>
  <c r="W60" i="283"/>
  <c r="V60" i="283"/>
  <c r="AG59" i="283"/>
  <c r="AF59" i="283"/>
  <c r="AE59" i="283"/>
  <c r="AD59" i="283"/>
  <c r="AB59" i="283"/>
  <c r="AA59" i="283"/>
  <c r="Z59" i="283"/>
  <c r="Y59" i="283"/>
  <c r="X59" i="283"/>
  <c r="W59" i="283"/>
  <c r="V59" i="283"/>
  <c r="AG58" i="283"/>
  <c r="AF58" i="283"/>
  <c r="AE58" i="283"/>
  <c r="AD58" i="283"/>
  <c r="AC58" i="283"/>
  <c r="AB58" i="283"/>
  <c r="AA58" i="283"/>
  <c r="Z58" i="283"/>
  <c r="Y58" i="283"/>
  <c r="X58" i="283"/>
  <c r="W58" i="283"/>
  <c r="V58" i="283"/>
  <c r="AG142" i="283"/>
  <c r="AF142" i="283"/>
  <c r="AE142" i="283"/>
  <c r="AD142" i="283"/>
  <c r="AC142" i="283"/>
  <c r="AB142" i="283"/>
  <c r="AA142" i="283"/>
  <c r="Z142" i="283"/>
  <c r="Y142" i="283"/>
  <c r="X142" i="283"/>
  <c r="W142" i="283"/>
  <c r="V142" i="283"/>
  <c r="AG140" i="283"/>
  <c r="AF140" i="283"/>
  <c r="AE140" i="283"/>
  <c r="AD140" i="283"/>
  <c r="AC140" i="283"/>
  <c r="AB140" i="283"/>
  <c r="AA140" i="283"/>
  <c r="Z140" i="283"/>
  <c r="Y140" i="283"/>
  <c r="X140" i="283"/>
  <c r="W140" i="283"/>
  <c r="V140" i="283"/>
  <c r="AG89" i="283"/>
  <c r="AF89" i="283"/>
  <c r="AE89" i="283"/>
  <c r="AD89" i="283"/>
  <c r="AC89" i="283"/>
  <c r="AB89" i="283"/>
  <c r="AA89" i="283"/>
  <c r="Z89" i="283"/>
  <c r="Y89" i="283"/>
  <c r="X89" i="283"/>
  <c r="W89" i="283"/>
  <c r="V89" i="283"/>
  <c r="AG88" i="283"/>
  <c r="AF88" i="283"/>
  <c r="AE88" i="283"/>
  <c r="AD88" i="283"/>
  <c r="AC88" i="283"/>
  <c r="AB88" i="283"/>
  <c r="AA88" i="283"/>
  <c r="Z88" i="283"/>
  <c r="Y88" i="283"/>
  <c r="X88" i="283"/>
  <c r="W88" i="283"/>
  <c r="V88" i="283"/>
  <c r="AG87" i="283"/>
  <c r="AF87" i="283"/>
  <c r="AE87" i="283"/>
  <c r="AD87" i="283"/>
  <c r="AC87" i="283"/>
  <c r="AB87" i="283"/>
  <c r="AA87" i="283"/>
  <c r="Z87" i="283"/>
  <c r="Y87" i="283"/>
  <c r="X87" i="283"/>
  <c r="V87" i="283"/>
  <c r="AG86" i="283"/>
  <c r="AF86" i="283"/>
  <c r="AE86" i="283"/>
  <c r="AD86" i="283"/>
  <c r="AC86" i="283"/>
  <c r="AB86" i="283"/>
  <c r="AA86" i="283"/>
  <c r="Z86" i="283"/>
  <c r="Y86" i="283"/>
  <c r="X86" i="283"/>
  <c r="W86" i="283"/>
  <c r="V86" i="283"/>
  <c r="AG138" i="283"/>
  <c r="AF138" i="283"/>
  <c r="AE138" i="283"/>
  <c r="AD138" i="283"/>
  <c r="AB138" i="283"/>
  <c r="AA138" i="283"/>
  <c r="Z138" i="283"/>
  <c r="Y138" i="283"/>
  <c r="X138" i="283"/>
  <c r="W138" i="283"/>
  <c r="V138" i="283"/>
  <c r="AG137" i="283"/>
  <c r="AF137" i="283"/>
  <c r="AE137" i="283"/>
  <c r="AD137" i="283"/>
  <c r="AC137" i="283"/>
  <c r="AB137" i="283"/>
  <c r="AA137" i="283"/>
  <c r="Z137" i="283"/>
  <c r="Y137" i="283"/>
  <c r="X137" i="283"/>
  <c r="W137" i="283"/>
  <c r="V137" i="283"/>
  <c r="AG136" i="283"/>
  <c r="AF136" i="283"/>
  <c r="AE136" i="283"/>
  <c r="AD136" i="283"/>
  <c r="AC136" i="283"/>
  <c r="AB136" i="283"/>
  <c r="AA136" i="283"/>
  <c r="Z136" i="283"/>
  <c r="Y136" i="283"/>
  <c r="X136" i="283"/>
  <c r="W136" i="283"/>
  <c r="V136" i="283"/>
  <c r="AG135" i="283"/>
  <c r="AF135" i="283"/>
  <c r="AE135" i="283"/>
  <c r="AD135" i="283"/>
  <c r="AC135" i="283"/>
  <c r="AB135" i="283"/>
  <c r="AA135" i="283"/>
  <c r="Z135" i="283"/>
  <c r="Y135" i="283"/>
  <c r="X135" i="283"/>
  <c r="W135" i="283"/>
  <c r="V135" i="283"/>
  <c r="AG134" i="283"/>
  <c r="AF134" i="283"/>
  <c r="AE134" i="283"/>
  <c r="AD134" i="283"/>
  <c r="AC134" i="283"/>
  <c r="AB134" i="283"/>
  <c r="AA134" i="283"/>
  <c r="Z134" i="283"/>
  <c r="Y134" i="283"/>
  <c r="X134" i="283"/>
  <c r="W134" i="283"/>
  <c r="V134" i="283"/>
  <c r="AG133" i="283"/>
  <c r="AF133" i="283"/>
  <c r="AE133" i="283"/>
  <c r="AD133" i="283"/>
  <c r="AC133" i="283"/>
  <c r="AB133" i="283"/>
  <c r="AA133" i="283"/>
  <c r="Z133" i="283"/>
  <c r="Y133" i="283"/>
  <c r="X133" i="283"/>
  <c r="W133" i="283"/>
  <c r="V133" i="283"/>
  <c r="AG18" i="283"/>
  <c r="AF18" i="283"/>
  <c r="AE18" i="283"/>
  <c r="AD18" i="283"/>
  <c r="AC18" i="283"/>
  <c r="AB18" i="283"/>
  <c r="AA18" i="283"/>
  <c r="Z18" i="283"/>
  <c r="Y18" i="283"/>
  <c r="X18" i="283"/>
  <c r="V18" i="283"/>
  <c r="AG17" i="283"/>
  <c r="AF17" i="283"/>
  <c r="AE17" i="283"/>
  <c r="AD17" i="283"/>
  <c r="AC17" i="283"/>
  <c r="AB17" i="283"/>
  <c r="AA17" i="283"/>
  <c r="Z17" i="283"/>
  <c r="Y17" i="283"/>
  <c r="X17" i="283"/>
  <c r="W17" i="283"/>
  <c r="V17" i="283"/>
  <c r="AG16" i="283"/>
  <c r="AF16" i="283"/>
  <c r="AE16" i="283"/>
  <c r="AD16" i="283"/>
  <c r="AB16" i="283"/>
  <c r="AA16" i="283"/>
  <c r="Z16" i="283"/>
  <c r="Y16" i="283"/>
  <c r="X16" i="283"/>
  <c r="W16" i="283"/>
  <c r="V16" i="283"/>
  <c r="AG14" i="283"/>
  <c r="AF14" i="283"/>
  <c r="AE14" i="283"/>
  <c r="AD14" i="283"/>
  <c r="AC14" i="283"/>
  <c r="AB14" i="283"/>
  <c r="AA14" i="283"/>
  <c r="Z14" i="283"/>
  <c r="Y14" i="283"/>
  <c r="X14" i="283"/>
  <c r="W14" i="283"/>
  <c r="V14" i="283"/>
  <c r="AG13" i="283"/>
  <c r="AF13" i="283"/>
  <c r="AE13" i="283"/>
  <c r="AD13" i="283"/>
  <c r="AC13" i="283"/>
  <c r="AB13" i="283"/>
  <c r="AA13" i="283"/>
  <c r="Z13" i="283"/>
  <c r="Y13" i="283"/>
  <c r="X13" i="283"/>
  <c r="W13" i="283"/>
  <c r="V13" i="283"/>
  <c r="AG12" i="283"/>
  <c r="AF12" i="283"/>
  <c r="AE12" i="283"/>
  <c r="AD12" i="283"/>
  <c r="AC12" i="283"/>
  <c r="AB12" i="283"/>
  <c r="AA12" i="283"/>
  <c r="Z12" i="283"/>
  <c r="Y12" i="283"/>
  <c r="X12" i="283"/>
  <c r="W12" i="283"/>
  <c r="V12" i="283"/>
  <c r="AG11" i="283"/>
  <c r="AF11" i="283"/>
  <c r="AE11" i="283"/>
  <c r="AD11" i="283"/>
  <c r="AC11" i="283"/>
  <c r="AB11" i="283"/>
  <c r="AA11" i="283"/>
  <c r="Z11" i="283"/>
  <c r="Y11" i="283"/>
  <c r="X11" i="283"/>
  <c r="W11" i="283"/>
  <c r="V11" i="283"/>
  <c r="AG10" i="283"/>
  <c r="AF10" i="283"/>
  <c r="AE10" i="283"/>
  <c r="AD10" i="283"/>
  <c r="AC10" i="283"/>
  <c r="AB10" i="283"/>
  <c r="AA10" i="283"/>
  <c r="Z10" i="283"/>
  <c r="Y10" i="283"/>
  <c r="X10" i="283"/>
  <c r="W10" i="283"/>
  <c r="V10" i="283"/>
  <c r="AG9" i="283"/>
  <c r="AF9" i="283"/>
  <c r="AE9" i="283"/>
  <c r="AD9" i="283"/>
  <c r="AC9" i="283"/>
  <c r="AB9" i="283"/>
  <c r="AA9" i="283"/>
  <c r="Z9" i="283"/>
  <c r="Y9" i="283"/>
  <c r="X9" i="283"/>
  <c r="V9" i="283"/>
  <c r="AG21" i="283"/>
  <c r="AF21" i="283"/>
  <c r="AE21" i="283"/>
  <c r="AD21" i="283"/>
  <c r="AC21" i="283"/>
  <c r="AB21" i="283"/>
  <c r="AA21" i="283"/>
  <c r="Z21" i="283"/>
  <c r="Y21" i="283"/>
  <c r="X21" i="283"/>
  <c r="W21" i="283"/>
  <c r="V21" i="283"/>
  <c r="AG8" i="283"/>
  <c r="AF8" i="283"/>
  <c r="AE8" i="283"/>
  <c r="AD8" i="283"/>
  <c r="AB8" i="283"/>
  <c r="AA8" i="283"/>
  <c r="Z8" i="283"/>
  <c r="Y8" i="283"/>
  <c r="X8" i="283"/>
  <c r="W8" i="283"/>
  <c r="V8" i="283"/>
  <c r="AG7" i="283"/>
  <c r="AF7" i="283"/>
  <c r="AE7" i="283"/>
  <c r="AD7" i="283"/>
  <c r="AC7" i="283"/>
  <c r="AB7" i="283"/>
  <c r="AA7" i="283"/>
  <c r="Z7" i="283"/>
  <c r="Y7" i="283"/>
  <c r="X7" i="283"/>
  <c r="W7" i="283"/>
  <c r="V7" i="283"/>
  <c r="AG82" i="283"/>
  <c r="AF82" i="283"/>
  <c r="AE82" i="283"/>
  <c r="AD82" i="283"/>
  <c r="AC82" i="283"/>
  <c r="AB82" i="283"/>
  <c r="AA82" i="283"/>
  <c r="Z82" i="283"/>
  <c r="Y82" i="283"/>
  <c r="X82" i="283"/>
  <c r="W82" i="283"/>
  <c r="V82" i="283"/>
  <c r="AG97" i="283"/>
  <c r="AF97" i="283"/>
  <c r="AE97" i="283"/>
  <c r="AD97" i="283"/>
  <c r="AC97" i="283"/>
  <c r="AB97" i="283"/>
  <c r="AA97" i="283"/>
  <c r="Z97" i="283"/>
  <c r="Y97" i="283"/>
  <c r="X97" i="283"/>
  <c r="W97" i="283"/>
  <c r="V97" i="283"/>
  <c r="AG80" i="283"/>
  <c r="AF80" i="283"/>
  <c r="AE80" i="283"/>
  <c r="AD80" i="283"/>
  <c r="AC80" i="283"/>
  <c r="AB80" i="283"/>
  <c r="AA80" i="283"/>
  <c r="Z80" i="283"/>
  <c r="Y80" i="283"/>
  <c r="X80" i="283"/>
  <c r="W80" i="283"/>
  <c r="V80" i="283"/>
  <c r="AG79" i="283"/>
  <c r="AF79" i="283"/>
  <c r="AE79" i="283"/>
  <c r="AD79" i="283"/>
  <c r="AC79" i="283"/>
  <c r="AB79" i="283"/>
  <c r="AA79" i="283"/>
  <c r="Z79" i="283"/>
  <c r="Y79" i="283"/>
  <c r="X79" i="283"/>
  <c r="V79" i="283"/>
  <c r="AG68" i="283"/>
  <c r="AF68" i="283"/>
  <c r="AE68" i="283"/>
  <c r="AD68" i="283"/>
  <c r="AC68" i="283"/>
  <c r="AB68" i="283"/>
  <c r="AA68" i="283"/>
  <c r="Z68" i="283"/>
  <c r="Y68" i="283"/>
  <c r="X68" i="283"/>
  <c r="W68" i="283"/>
  <c r="V68" i="283"/>
  <c r="AG78" i="283"/>
  <c r="AF78" i="283"/>
  <c r="AE78" i="283"/>
  <c r="AD78" i="283"/>
  <c r="AB78" i="283"/>
  <c r="AA78" i="283"/>
  <c r="Z78" i="283"/>
  <c r="Y78" i="283"/>
  <c r="X78" i="283"/>
  <c r="W78" i="283"/>
  <c r="V78" i="283"/>
  <c r="AG71" i="283"/>
  <c r="AF71" i="283"/>
  <c r="AE71" i="283"/>
  <c r="AD71" i="283"/>
  <c r="AC71" i="283"/>
  <c r="AB71" i="283"/>
  <c r="AA71" i="283"/>
  <c r="Z71" i="283"/>
  <c r="Y71" i="283"/>
  <c r="X71" i="283"/>
  <c r="W71" i="283"/>
  <c r="V71" i="283"/>
  <c r="AG65" i="283"/>
  <c r="AF65" i="283"/>
  <c r="AE65" i="283"/>
  <c r="AD65" i="283"/>
  <c r="AC65" i="283"/>
  <c r="AB65" i="283"/>
  <c r="AA65" i="283"/>
  <c r="Z65" i="283"/>
  <c r="Y65" i="283"/>
  <c r="X65" i="283"/>
  <c r="W65" i="283"/>
  <c r="V65" i="283"/>
  <c r="AG77" i="283"/>
  <c r="AF77" i="283"/>
  <c r="AE77" i="283"/>
  <c r="AD77" i="283"/>
  <c r="AC77" i="283"/>
  <c r="AB77" i="283"/>
  <c r="AA77" i="283"/>
  <c r="Z77" i="283"/>
  <c r="Y77" i="283"/>
  <c r="X77" i="283"/>
  <c r="W77" i="283"/>
  <c r="V77" i="283"/>
  <c r="AG67" i="283"/>
  <c r="AF67" i="283"/>
  <c r="AE67" i="283"/>
  <c r="AD67" i="283"/>
  <c r="AC67" i="283"/>
  <c r="AB67" i="283"/>
  <c r="AA67" i="283"/>
  <c r="Z67" i="283"/>
  <c r="Y67" i="283"/>
  <c r="X67" i="283"/>
  <c r="W67" i="283"/>
  <c r="V67" i="283"/>
  <c r="AG131" i="283"/>
  <c r="AF131" i="283"/>
  <c r="AE131" i="283"/>
  <c r="AD131" i="283"/>
  <c r="AC131" i="283"/>
  <c r="AB131" i="283"/>
  <c r="AA131" i="283"/>
  <c r="Z131" i="283"/>
  <c r="Y131" i="283"/>
  <c r="X131" i="283"/>
  <c r="W131" i="283"/>
  <c r="V131" i="283"/>
  <c r="AG130" i="283"/>
  <c r="AF130" i="283"/>
  <c r="AE130" i="283"/>
  <c r="AD130" i="283"/>
  <c r="AC130" i="283"/>
  <c r="AB130" i="283"/>
  <c r="AA130" i="283"/>
  <c r="Z130" i="283"/>
  <c r="Y130" i="283"/>
  <c r="X130" i="283"/>
  <c r="W130" i="283"/>
  <c r="V130" i="283"/>
  <c r="AG129" i="283"/>
  <c r="AF129" i="283"/>
  <c r="AE129" i="283"/>
  <c r="AD129" i="283"/>
  <c r="AB129" i="283"/>
  <c r="AA129" i="283"/>
  <c r="Z129" i="283"/>
  <c r="Y129" i="283"/>
  <c r="X129" i="283"/>
  <c r="W129" i="283"/>
  <c r="V129" i="283"/>
  <c r="AG128" i="283"/>
  <c r="AF128" i="283"/>
  <c r="AE128" i="283"/>
  <c r="AD128" i="283"/>
  <c r="AC128" i="283"/>
  <c r="AB128" i="283"/>
  <c r="AA128" i="283"/>
  <c r="Z128" i="283"/>
  <c r="Y128" i="283"/>
  <c r="X128" i="283"/>
  <c r="W128" i="283"/>
  <c r="V128" i="283"/>
  <c r="AG127" i="283"/>
  <c r="AF127" i="283"/>
  <c r="AE127" i="283"/>
  <c r="AD127" i="283"/>
  <c r="AC127" i="283"/>
  <c r="AB127" i="283"/>
  <c r="AA127" i="283"/>
  <c r="Z127" i="283"/>
  <c r="Y127" i="283"/>
  <c r="X127" i="283"/>
  <c r="W127" i="283"/>
  <c r="V127" i="283"/>
  <c r="AG126" i="283"/>
  <c r="AF126" i="283"/>
  <c r="AE126" i="283"/>
  <c r="AD126" i="283"/>
  <c r="AC126" i="283"/>
  <c r="AB126" i="283"/>
  <c r="AA126" i="283"/>
  <c r="Z126" i="283"/>
  <c r="Y126" i="283"/>
  <c r="X126" i="283"/>
  <c r="W126" i="283"/>
  <c r="V126" i="283"/>
  <c r="AG125" i="283"/>
  <c r="AF125" i="283"/>
  <c r="AE125" i="283"/>
  <c r="AD125" i="283"/>
  <c r="AC125" i="283"/>
  <c r="AB125" i="283"/>
  <c r="AA125" i="283"/>
  <c r="Z125" i="283"/>
  <c r="Y125" i="283"/>
  <c r="X125" i="283"/>
  <c r="W125" i="283"/>
  <c r="V125" i="283"/>
  <c r="AG124" i="283"/>
  <c r="AF124" i="283"/>
  <c r="AE124" i="283"/>
  <c r="AD124" i="283"/>
  <c r="AC124" i="283"/>
  <c r="AB124" i="283"/>
  <c r="AA124" i="283"/>
  <c r="Z124" i="283"/>
  <c r="Y124" i="283"/>
  <c r="X124" i="283"/>
  <c r="W124" i="283"/>
  <c r="V124" i="283"/>
  <c r="AG123" i="283"/>
  <c r="AF123" i="283"/>
  <c r="AE123" i="283"/>
  <c r="AD123" i="283"/>
  <c r="AC123" i="283"/>
  <c r="AB123" i="283"/>
  <c r="AA123" i="283"/>
  <c r="Z123" i="283"/>
  <c r="Y123" i="283"/>
  <c r="X123" i="283"/>
  <c r="W123" i="283"/>
  <c r="V123" i="283"/>
  <c r="AG122" i="283"/>
  <c r="AF122" i="283"/>
  <c r="AE122" i="283"/>
  <c r="AD122" i="283"/>
  <c r="AC122" i="283"/>
  <c r="AB122" i="283"/>
  <c r="AA122" i="283"/>
  <c r="Z122" i="283"/>
  <c r="Y122" i="283"/>
  <c r="X122" i="283"/>
  <c r="W122" i="283"/>
  <c r="V122" i="283"/>
  <c r="AG121" i="283"/>
  <c r="AF121" i="283"/>
  <c r="AE121" i="283"/>
  <c r="AD121" i="283"/>
  <c r="AB121" i="283"/>
  <c r="AA121" i="283"/>
  <c r="Z121" i="283"/>
  <c r="Y121" i="283"/>
  <c r="X121" i="283"/>
  <c r="W121" i="283"/>
  <c r="V121" i="283"/>
  <c r="AG120" i="283"/>
  <c r="AF120" i="283"/>
  <c r="AE120" i="283"/>
  <c r="AD120" i="283"/>
  <c r="AC120" i="283"/>
  <c r="AB120" i="283"/>
  <c r="AA120" i="283"/>
  <c r="Z120" i="283"/>
  <c r="Y120" i="283"/>
  <c r="X120" i="283"/>
  <c r="W120" i="283"/>
  <c r="V120" i="283"/>
  <c r="AG119" i="283"/>
  <c r="AF119" i="283"/>
  <c r="AE119" i="283"/>
  <c r="AD119" i="283"/>
  <c r="AC119" i="283"/>
  <c r="AB119" i="283"/>
  <c r="AA119" i="283"/>
  <c r="Z119" i="283"/>
  <c r="Y119" i="283"/>
  <c r="X119" i="283"/>
  <c r="W119" i="283"/>
  <c r="V119" i="283"/>
  <c r="AG118" i="283"/>
  <c r="AF118" i="283"/>
  <c r="AE118" i="283"/>
  <c r="AD118" i="283"/>
  <c r="AC118" i="283"/>
  <c r="AB118" i="283"/>
  <c r="AA118" i="283"/>
  <c r="Z118" i="283"/>
  <c r="Y118" i="283"/>
  <c r="X118" i="283"/>
  <c r="W118" i="283"/>
  <c r="V118" i="283"/>
  <c r="AG117" i="283"/>
  <c r="AF117" i="283"/>
  <c r="AE117" i="283"/>
  <c r="AD117" i="283"/>
  <c r="AC117" i="283"/>
  <c r="AB117" i="283"/>
  <c r="AA117" i="283"/>
  <c r="Z117" i="283"/>
  <c r="Y117" i="283"/>
  <c r="X117" i="283"/>
  <c r="W117" i="283"/>
  <c r="V117" i="283"/>
  <c r="AG57" i="283"/>
  <c r="AF57" i="283"/>
  <c r="AE57" i="283"/>
  <c r="AD57" i="283"/>
  <c r="AC57" i="283"/>
  <c r="AB57" i="283"/>
  <c r="AA57" i="283"/>
  <c r="Z57" i="283"/>
  <c r="Y57" i="283"/>
  <c r="X57" i="283"/>
  <c r="W57" i="283"/>
  <c r="V57" i="283"/>
  <c r="AG116" i="283"/>
  <c r="AF116" i="283"/>
  <c r="AE116" i="283"/>
  <c r="AD116" i="283"/>
  <c r="AC116" i="283"/>
  <c r="AB116" i="283"/>
  <c r="AA116" i="283"/>
  <c r="Z116" i="283"/>
  <c r="Y116" i="283"/>
  <c r="X116" i="283"/>
  <c r="W116" i="283"/>
  <c r="V116" i="283"/>
  <c r="AG115" i="283"/>
  <c r="AF115" i="283"/>
  <c r="AE115" i="283"/>
  <c r="AD115" i="283"/>
  <c r="AC115" i="283"/>
  <c r="AB115" i="283"/>
  <c r="AA115" i="283"/>
  <c r="Z115" i="283"/>
  <c r="Y115" i="283"/>
  <c r="X115" i="283"/>
  <c r="W115" i="283"/>
  <c r="V115" i="283"/>
  <c r="AG114" i="283"/>
  <c r="AF114" i="283"/>
  <c r="AE114" i="283"/>
  <c r="AD114" i="283"/>
  <c r="AB114" i="283"/>
  <c r="AA114" i="283"/>
  <c r="Z114" i="283"/>
  <c r="Y114" i="283"/>
  <c r="X114" i="283"/>
  <c r="W114" i="283"/>
  <c r="V114" i="283"/>
  <c r="AG56" i="283"/>
  <c r="AF56" i="283"/>
  <c r="AE56" i="283"/>
  <c r="AD56" i="283"/>
  <c r="AC56" i="283"/>
  <c r="AB56" i="283"/>
  <c r="AA56" i="283"/>
  <c r="Z56" i="283"/>
  <c r="Y56" i="283"/>
  <c r="X56" i="283"/>
  <c r="W56" i="283"/>
  <c r="V56" i="283"/>
  <c r="AG113" i="283"/>
  <c r="AF113" i="283"/>
  <c r="AE113" i="283"/>
  <c r="AD113" i="283"/>
  <c r="AC113" i="283"/>
  <c r="AB113" i="283"/>
  <c r="AA113" i="283"/>
  <c r="Z113" i="283"/>
  <c r="Y113" i="283"/>
  <c r="X113" i="283"/>
  <c r="W113" i="283"/>
  <c r="V113" i="283"/>
  <c r="AG112" i="283"/>
  <c r="AF112" i="283"/>
  <c r="AE112" i="283"/>
  <c r="AD112" i="283"/>
  <c r="AC112" i="283"/>
  <c r="AB112" i="283"/>
  <c r="AA112" i="283"/>
  <c r="Z112" i="283"/>
  <c r="Y112" i="283"/>
  <c r="X112" i="283"/>
  <c r="W112" i="283"/>
  <c r="V112" i="283"/>
  <c r="AG35" i="283"/>
  <c r="AF35" i="283"/>
  <c r="AE35" i="283"/>
  <c r="AD35" i="283"/>
  <c r="AC35" i="283"/>
  <c r="AB35" i="283"/>
  <c r="AA35" i="283"/>
  <c r="Z35" i="283"/>
  <c r="Y35" i="283"/>
  <c r="X35" i="283"/>
  <c r="W35" i="283"/>
  <c r="V35" i="283"/>
  <c r="AG111" i="283"/>
  <c r="AF111" i="283"/>
  <c r="AE111" i="283"/>
  <c r="AD111" i="283"/>
  <c r="AC111" i="283"/>
  <c r="AB111" i="283"/>
  <c r="AA111" i="283"/>
  <c r="Z111" i="283"/>
  <c r="Y111" i="283"/>
  <c r="X111" i="283"/>
  <c r="W111" i="283"/>
  <c r="V111" i="283"/>
  <c r="AG110" i="283"/>
  <c r="AF110" i="283"/>
  <c r="AE110" i="283"/>
  <c r="AD110" i="283"/>
  <c r="AC110" i="283"/>
  <c r="AB110" i="283"/>
  <c r="AA110" i="283"/>
  <c r="Z110" i="283"/>
  <c r="Y110" i="283"/>
  <c r="X110" i="283"/>
  <c r="W110" i="283"/>
  <c r="V110" i="283"/>
  <c r="AG108" i="283"/>
  <c r="AF108" i="283"/>
  <c r="AE108" i="283"/>
  <c r="AD108" i="283"/>
  <c r="AB108" i="283"/>
  <c r="AA108" i="283"/>
  <c r="Z108" i="283"/>
  <c r="Y108" i="283"/>
  <c r="X108" i="283"/>
  <c r="W108" i="283"/>
  <c r="V108" i="283"/>
  <c r="AG107" i="283"/>
  <c r="AF107" i="283"/>
  <c r="AE107" i="283"/>
  <c r="AD107" i="283"/>
  <c r="AC107" i="283"/>
  <c r="AB107" i="283"/>
  <c r="AA107" i="283"/>
  <c r="Z107" i="283"/>
  <c r="Y107" i="283"/>
  <c r="X107" i="283"/>
  <c r="W107" i="283"/>
  <c r="V107" i="283"/>
  <c r="AG106" i="283"/>
  <c r="AF106" i="283"/>
  <c r="AE106" i="283"/>
  <c r="AD106" i="283"/>
  <c r="AC106" i="283"/>
  <c r="AB106" i="283"/>
  <c r="AA106" i="283"/>
  <c r="Z106" i="283"/>
  <c r="Y106" i="283"/>
  <c r="X106" i="283"/>
  <c r="W106" i="283"/>
  <c r="V106" i="283"/>
  <c r="AG155" i="283"/>
  <c r="AF155" i="283"/>
  <c r="AE155" i="283"/>
  <c r="AD155" i="283"/>
  <c r="AC155" i="283"/>
  <c r="AB155" i="283"/>
  <c r="AA155" i="283"/>
  <c r="Z155" i="283"/>
  <c r="Y155" i="283"/>
  <c r="X155" i="283"/>
  <c r="W155" i="283"/>
  <c r="V155" i="283"/>
  <c r="AG76" i="283"/>
  <c r="AF76" i="283"/>
  <c r="AE76" i="283"/>
  <c r="AD76" i="283"/>
  <c r="AC76" i="283"/>
  <c r="AB76" i="283"/>
  <c r="AA76" i="283"/>
  <c r="Z76" i="283"/>
  <c r="Y76" i="283"/>
  <c r="X76" i="283"/>
  <c r="W76" i="283"/>
  <c r="V76" i="283"/>
  <c r="AG75" i="283"/>
  <c r="AF75" i="283"/>
  <c r="AE75" i="283"/>
  <c r="AD75" i="283"/>
  <c r="AC75" i="283"/>
  <c r="AB75" i="283"/>
  <c r="AA75" i="283"/>
  <c r="Z75" i="283"/>
  <c r="Y75" i="283"/>
  <c r="X75" i="283"/>
  <c r="W75" i="283"/>
  <c r="V75" i="283"/>
  <c r="AG55" i="283"/>
  <c r="AF55" i="283"/>
  <c r="AE55" i="283"/>
  <c r="AD55" i="283"/>
  <c r="AC55" i="283"/>
  <c r="AB55" i="283"/>
  <c r="AA55" i="283"/>
  <c r="Z55" i="283"/>
  <c r="Y55" i="283"/>
  <c r="X55" i="283"/>
  <c r="W55" i="283"/>
  <c r="V55" i="283"/>
  <c r="AG74" i="283"/>
  <c r="AF74" i="283"/>
  <c r="AE74" i="283"/>
  <c r="AD74" i="283"/>
  <c r="AC74" i="283"/>
  <c r="AB74" i="283"/>
  <c r="AA74" i="283"/>
  <c r="Z74" i="283"/>
  <c r="Y74" i="283"/>
  <c r="X74" i="283"/>
  <c r="W74" i="283"/>
  <c r="V74" i="283"/>
  <c r="AG93" i="283"/>
  <c r="AF93" i="283"/>
  <c r="AE93" i="283"/>
  <c r="AD93" i="283"/>
  <c r="AB93" i="283"/>
  <c r="AA93" i="283"/>
  <c r="Z93" i="283"/>
  <c r="Y93" i="283"/>
  <c r="X93" i="283"/>
  <c r="W93" i="283"/>
  <c r="V93" i="283"/>
  <c r="AG92" i="283"/>
  <c r="AF92" i="283"/>
  <c r="AE92" i="283"/>
  <c r="AD92" i="283"/>
  <c r="AC92" i="283"/>
  <c r="AB92" i="283"/>
  <c r="AA92" i="283"/>
  <c r="Z92" i="283"/>
  <c r="Y92" i="283"/>
  <c r="X92" i="283"/>
  <c r="W92" i="283"/>
  <c r="V92" i="283"/>
  <c r="AG34" i="283"/>
  <c r="AF34" i="283"/>
  <c r="AE34" i="283"/>
  <c r="AD34" i="283"/>
  <c r="AC34" i="283"/>
  <c r="AB34" i="283"/>
  <c r="AA34" i="283"/>
  <c r="Z34" i="283"/>
  <c r="Y34" i="283"/>
  <c r="X34" i="283"/>
  <c r="W34" i="283"/>
  <c r="V34" i="283"/>
  <c r="AG33" i="283"/>
  <c r="AF33" i="283"/>
  <c r="AE33" i="283"/>
  <c r="AD33" i="283"/>
  <c r="AC33" i="283"/>
  <c r="AB33" i="283"/>
  <c r="AA33" i="283"/>
  <c r="Z33" i="283"/>
  <c r="Y33" i="283"/>
  <c r="X33" i="283"/>
  <c r="W33" i="283"/>
  <c r="V33" i="283"/>
  <c r="AG32" i="283"/>
  <c r="AF32" i="283"/>
  <c r="AE32" i="283"/>
  <c r="AD32" i="283"/>
  <c r="AC32" i="283"/>
  <c r="AB32" i="283"/>
  <c r="AA32" i="283"/>
  <c r="Z32" i="283"/>
  <c r="Y32" i="283"/>
  <c r="X32" i="283"/>
  <c r="W32" i="283"/>
  <c r="V32" i="283"/>
  <c r="AG31" i="283"/>
  <c r="AF31" i="283"/>
  <c r="AE31" i="283"/>
  <c r="AD31" i="283"/>
  <c r="AC31" i="283"/>
  <c r="AB31" i="283"/>
  <c r="AA31" i="283"/>
  <c r="Z31" i="283"/>
  <c r="Y31" i="283"/>
  <c r="X31" i="283"/>
  <c r="W31" i="283"/>
  <c r="V31" i="283"/>
  <c r="AG30" i="283"/>
  <c r="AF30" i="283"/>
  <c r="AE30" i="283"/>
  <c r="AD30" i="283"/>
  <c r="AC30" i="283"/>
  <c r="AB30" i="283"/>
  <c r="AA30" i="283"/>
  <c r="Z30" i="283"/>
  <c r="Y30" i="283"/>
  <c r="X30" i="283"/>
  <c r="W30" i="283"/>
  <c r="V30" i="283"/>
  <c r="AG29" i="283"/>
  <c r="AF29" i="283"/>
  <c r="AE29" i="283"/>
  <c r="AD29" i="283"/>
  <c r="AC29" i="283"/>
  <c r="AB29" i="283"/>
  <c r="AA29" i="283"/>
  <c r="Z29" i="283"/>
  <c r="Y29" i="283"/>
  <c r="X29" i="283"/>
  <c r="W29" i="283"/>
  <c r="V29" i="283"/>
  <c r="AG28" i="283"/>
  <c r="AF28" i="283"/>
  <c r="AE28" i="283"/>
  <c r="AD28" i="283"/>
  <c r="AB28" i="283"/>
  <c r="AA28" i="283"/>
  <c r="Z28" i="283"/>
  <c r="Y28" i="283"/>
  <c r="X28" i="283"/>
  <c r="W28" i="283"/>
  <c r="V28" i="283"/>
  <c r="AG27" i="283"/>
  <c r="AF27" i="283"/>
  <c r="AE27" i="283"/>
  <c r="AD27" i="283"/>
  <c r="AC27" i="283"/>
  <c r="AB27" i="283"/>
  <c r="AA27" i="283"/>
  <c r="Z27" i="283"/>
  <c r="Y27" i="283"/>
  <c r="X27" i="283"/>
  <c r="W27" i="283"/>
  <c r="V27" i="283"/>
  <c r="AG26" i="283"/>
  <c r="AF26" i="283"/>
  <c r="AE26" i="283"/>
  <c r="AD26" i="283"/>
  <c r="AC26" i="283"/>
  <c r="AB26" i="283"/>
  <c r="AA26" i="283"/>
  <c r="Z26" i="283"/>
  <c r="Y26" i="283"/>
  <c r="X26" i="283"/>
  <c r="W26" i="283"/>
  <c r="V26" i="283"/>
  <c r="AG25" i="283"/>
  <c r="AF25" i="283"/>
  <c r="AE25" i="283"/>
  <c r="AD25" i="283"/>
  <c r="AC25" i="283"/>
  <c r="AB25" i="283"/>
  <c r="AA25" i="283"/>
  <c r="Z25" i="283"/>
  <c r="Y25" i="283"/>
  <c r="X25" i="283"/>
  <c r="W25" i="283"/>
  <c r="V25" i="283"/>
  <c r="AG24" i="283"/>
  <c r="AF24" i="283"/>
  <c r="AE24" i="283"/>
  <c r="AD24" i="283"/>
  <c r="AC24" i="283"/>
  <c r="AB24" i="283"/>
  <c r="AA24" i="283"/>
  <c r="Z24" i="283"/>
  <c r="Y24" i="283"/>
  <c r="X24" i="283"/>
  <c r="W24" i="283"/>
  <c r="V24" i="283"/>
  <c r="AG23" i="283"/>
  <c r="AF23" i="283"/>
  <c r="AE23" i="283"/>
  <c r="AD23" i="283"/>
  <c r="AC23" i="283"/>
  <c r="AB23" i="283"/>
  <c r="AA23" i="283"/>
  <c r="Z23" i="283"/>
  <c r="Y23" i="283"/>
  <c r="X23" i="283"/>
  <c r="W23" i="283"/>
  <c r="V23" i="283"/>
  <c r="AG104" i="283"/>
  <c r="AF104" i="283"/>
  <c r="AE104" i="283"/>
  <c r="AD104" i="283"/>
  <c r="AC104" i="283"/>
  <c r="AB104" i="283"/>
  <c r="AA104" i="283"/>
  <c r="Z104" i="283"/>
  <c r="Y104" i="283"/>
  <c r="X104" i="283"/>
  <c r="W104" i="283"/>
  <c r="V104" i="283"/>
  <c r="AG54" i="283"/>
  <c r="AF54" i="283"/>
  <c r="AE54" i="283"/>
  <c r="AD54" i="283"/>
  <c r="AC54" i="283"/>
  <c r="AB54" i="283"/>
  <c r="AA54" i="283"/>
  <c r="Z54" i="283"/>
  <c r="Y54" i="283"/>
  <c r="X54" i="283"/>
  <c r="W54" i="283"/>
  <c r="V54" i="283"/>
  <c r="AG53" i="283"/>
  <c r="AF53" i="283"/>
  <c r="AE53" i="283"/>
  <c r="AD53" i="283"/>
  <c r="AB53" i="283"/>
  <c r="AA53" i="283"/>
  <c r="Z53" i="283"/>
  <c r="Y53" i="283"/>
  <c r="X53" i="283"/>
  <c r="W53" i="283"/>
  <c r="V53" i="283"/>
  <c r="AG51" i="283"/>
  <c r="AF51" i="283"/>
  <c r="AE51" i="283"/>
  <c r="AD51" i="283"/>
  <c r="AC51" i="283"/>
  <c r="AB51" i="283"/>
  <c r="AA51" i="283"/>
  <c r="Z51" i="283"/>
  <c r="Y51" i="283"/>
  <c r="X51" i="283"/>
  <c r="W51" i="283"/>
  <c r="V51" i="283"/>
  <c r="AG101" i="283"/>
  <c r="AF101" i="283"/>
  <c r="AE101" i="283"/>
  <c r="AD101" i="283"/>
  <c r="AC101" i="283"/>
  <c r="AB101" i="283"/>
  <c r="AA101" i="283"/>
  <c r="Z101" i="283"/>
  <c r="Y101" i="283"/>
  <c r="X101" i="283"/>
  <c r="W101" i="283"/>
  <c r="V101" i="283"/>
  <c r="AG100" i="283"/>
  <c r="AF100" i="283"/>
  <c r="AE100" i="283"/>
  <c r="AD100" i="283"/>
  <c r="AC100" i="283"/>
  <c r="AB100" i="283"/>
  <c r="AA100" i="283"/>
  <c r="Z100" i="283"/>
  <c r="Y100" i="283"/>
  <c r="X100" i="283"/>
  <c r="W100" i="283"/>
  <c r="V100" i="283"/>
  <c r="AG99" i="283"/>
  <c r="AF99" i="283"/>
  <c r="AE99" i="283"/>
  <c r="AD99" i="283"/>
  <c r="AC99" i="283"/>
  <c r="AB99" i="283"/>
  <c r="AA99" i="283"/>
  <c r="Z99" i="283"/>
  <c r="Y99" i="283"/>
  <c r="X99" i="283"/>
  <c r="W99" i="283"/>
  <c r="V99" i="283"/>
  <c r="AG48" i="283"/>
  <c r="AF48" i="283"/>
  <c r="AE48" i="283"/>
  <c r="AD48" i="283"/>
  <c r="AC48" i="283"/>
  <c r="AB48" i="283"/>
  <c r="AA48" i="283"/>
  <c r="Z48" i="283"/>
  <c r="Y48" i="283"/>
  <c r="X48" i="283"/>
  <c r="W48" i="283"/>
  <c r="V48" i="283"/>
  <c r="AG47" i="283"/>
  <c r="AF47" i="283"/>
  <c r="AE47" i="283"/>
  <c r="AD47" i="283"/>
  <c r="AC47" i="283"/>
  <c r="AB47" i="283"/>
  <c r="AA47" i="283"/>
  <c r="Z47" i="283"/>
  <c r="Y47" i="283"/>
  <c r="X47" i="283"/>
  <c r="W47" i="283"/>
  <c r="V47" i="283"/>
  <c r="AG46" i="283"/>
  <c r="AF46" i="283"/>
  <c r="AE46" i="283"/>
  <c r="AD46" i="283"/>
  <c r="AC46" i="283"/>
  <c r="AB46" i="283"/>
  <c r="AA46" i="283"/>
  <c r="Z46" i="283"/>
  <c r="Y46" i="283"/>
  <c r="X46" i="283"/>
  <c r="W46" i="283"/>
  <c r="V46" i="283"/>
  <c r="P9" i="283"/>
  <c r="AG44" i="283" s="1"/>
  <c r="O9" i="283"/>
  <c r="AF44" i="283" s="1"/>
  <c r="N9" i="283"/>
  <c r="AE44" i="283" s="1"/>
  <c r="M9" i="283"/>
  <c r="AD44" i="283" s="1"/>
  <c r="K9" i="283"/>
  <c r="AB44" i="283" s="1"/>
  <c r="J9" i="283"/>
  <c r="AA44" i="283" s="1"/>
  <c r="H9" i="283"/>
  <c r="Y44" i="283" s="1"/>
  <c r="G9" i="283"/>
  <c r="X44" i="283" s="1"/>
  <c r="F9" i="283"/>
  <c r="W44" i="283" s="1"/>
  <c r="E9" i="283"/>
  <c r="V44" i="283" s="1"/>
  <c r="AF41" i="283"/>
  <c r="AE41" i="283"/>
  <c r="AC41" i="283"/>
  <c r="Z41" i="283"/>
  <c r="X41" i="283"/>
  <c r="W41" i="283"/>
  <c r="W63" i="178"/>
  <c r="W188" i="178"/>
  <c r="W213" i="178"/>
  <c r="K62" i="287" l="1"/>
  <c r="O55" i="287"/>
  <c r="L62" i="287"/>
  <c r="J88" i="287"/>
  <c r="L83" i="287"/>
  <c r="J55" i="287"/>
  <c r="M68" i="287"/>
  <c r="N88" i="287"/>
  <c r="K88" i="287"/>
  <c r="O140" i="287"/>
  <c r="G68" i="287"/>
  <c r="E83" i="287"/>
  <c r="M140" i="287"/>
  <c r="E68" i="287"/>
  <c r="F68" i="287"/>
  <c r="F98" i="287"/>
  <c r="E134" i="287"/>
  <c r="O68" i="287"/>
  <c r="I55" i="287"/>
  <c r="F62" i="287"/>
  <c r="J134" i="287"/>
  <c r="P62" i="287"/>
  <c r="G55" i="287"/>
  <c r="I62" i="287"/>
  <c r="O83" i="287"/>
  <c r="P55" i="287"/>
  <c r="G140" i="287"/>
  <c r="M62" i="287"/>
  <c r="P68" i="287"/>
  <c r="F88" i="287"/>
  <c r="N55" i="287"/>
  <c r="H78" i="287"/>
  <c r="I88" i="287"/>
  <c r="J62" i="287"/>
  <c r="N68" i="287"/>
  <c r="H55" i="287"/>
  <c r="M134" i="287"/>
  <c r="E62" i="287"/>
  <c r="H68" i="287"/>
  <c r="E55" i="287"/>
  <c r="P140" i="287"/>
  <c r="L88" i="287"/>
  <c r="L68" i="287"/>
  <c r="I140" i="287"/>
  <c r="F83" i="287"/>
  <c r="E73" i="287"/>
  <c r="L78" i="287"/>
  <c r="K25" i="287"/>
  <c r="K27" i="287" s="1"/>
  <c r="I83" i="287"/>
  <c r="P134" i="287"/>
  <c r="N83" i="287"/>
  <c r="G83" i="287"/>
  <c r="N62" i="287"/>
  <c r="H140" i="287"/>
  <c r="I78" i="287"/>
  <c r="J140" i="287"/>
  <c r="AC109" i="283"/>
  <c r="AA109" i="283"/>
  <c r="AB109" i="283"/>
  <c r="X109" i="283"/>
  <c r="X149" i="283" s="1"/>
  <c r="AF109" i="283"/>
  <c r="Z109" i="283"/>
  <c r="Y109" i="283"/>
  <c r="AG109" i="283"/>
  <c r="W109" i="283"/>
  <c r="AE109" i="283"/>
  <c r="V109" i="283"/>
  <c r="AD109" i="283"/>
  <c r="AD149" i="283" s="1"/>
  <c r="K78" i="216"/>
  <c r="K80" i="216" s="1"/>
  <c r="I78" i="216"/>
  <c r="I80" i="216" s="1"/>
  <c r="H78" i="216"/>
  <c r="H80" i="216" s="1"/>
  <c r="D78" i="216"/>
  <c r="D80" i="216" s="1"/>
  <c r="L78" i="216"/>
  <c r="L80" i="216" s="1"/>
  <c r="G78" i="216"/>
  <c r="G80" i="216" s="1"/>
  <c r="O78" i="216"/>
  <c r="O80" i="216" s="1"/>
  <c r="J78" i="216"/>
  <c r="J80" i="216" s="1"/>
  <c r="P78" i="216"/>
  <c r="P80" i="216" s="1"/>
  <c r="F78" i="216"/>
  <c r="F80" i="216" s="1"/>
  <c r="N78" i="216"/>
  <c r="N80" i="216" s="1"/>
  <c r="E78" i="216"/>
  <c r="E80" i="216" s="1"/>
  <c r="M78" i="216"/>
  <c r="M80" i="216" s="1"/>
  <c r="Q124" i="287"/>
  <c r="Q128" i="287" s="1"/>
  <c r="Q155" i="287" s="1"/>
  <c r="AE19" i="283"/>
  <c r="AE90" i="283"/>
  <c r="AA69" i="283"/>
  <c r="V69" i="283"/>
  <c r="G56" i="216"/>
  <c r="O56" i="216"/>
  <c r="F56" i="216"/>
  <c r="AD49" i="283"/>
  <c r="W49" i="283"/>
  <c r="AA63" i="283"/>
  <c r="W37" i="283"/>
  <c r="W94" i="283"/>
  <c r="AE49" i="283"/>
  <c r="AE63" i="283"/>
  <c r="AE37" i="283"/>
  <c r="AE94" i="283"/>
  <c r="AE69" i="283"/>
  <c r="Z69" i="283"/>
  <c r="N56" i="216"/>
  <c r="V63" i="283"/>
  <c r="V81" i="283"/>
  <c r="AC49" i="283"/>
  <c r="AG63" i="283"/>
  <c r="Y37" i="283"/>
  <c r="AG37" i="283"/>
  <c r="Y69" i="283"/>
  <c r="AG69" i="283"/>
  <c r="AC69" i="283"/>
  <c r="AC90" i="283"/>
  <c r="V49" i="283"/>
  <c r="Z63" i="283"/>
  <c r="AD63" i="283"/>
  <c r="Z37" i="283"/>
  <c r="AD37" i="283"/>
  <c r="Z94" i="283"/>
  <c r="AD81" i="283"/>
  <c r="AD69" i="283"/>
  <c r="Z19" i="283"/>
  <c r="H56" i="216"/>
  <c r="AA102" i="283"/>
  <c r="AE81" i="283"/>
  <c r="P56" i="216"/>
  <c r="X49" i="283"/>
  <c r="AF49" i="283"/>
  <c r="AB102" i="283"/>
  <c r="X102" i="283"/>
  <c r="AF102" i="283"/>
  <c r="X63" i="283"/>
  <c r="AF63" i="283"/>
  <c r="X94" i="283"/>
  <c r="AF94" i="283"/>
  <c r="AB94" i="283"/>
  <c r="X81" i="283"/>
  <c r="AF81" i="283"/>
  <c r="AB69" i="283"/>
  <c r="X19" i="283"/>
  <c r="AF19" i="283"/>
  <c r="X90" i="283"/>
  <c r="AF90" i="283"/>
  <c r="Z81" i="283"/>
  <c r="Z90" i="283"/>
  <c r="AB81" i="283"/>
  <c r="AB19" i="283"/>
  <c r="AB90" i="283"/>
  <c r="AA49" i="283"/>
  <c r="AA37" i="283"/>
  <c r="AA81" i="283"/>
  <c r="Y49" i="283"/>
  <c r="AG49" i="283"/>
  <c r="Y63" i="283"/>
  <c r="Y81" i="283"/>
  <c r="AG81" i="283"/>
  <c r="E129" i="283"/>
  <c r="V41" i="283"/>
  <c r="V37" i="283"/>
  <c r="Z102" i="283"/>
  <c r="V102" i="283"/>
  <c r="AD102" i="283"/>
  <c r="V94" i="283"/>
  <c r="AD94" i="283"/>
  <c r="V19" i="283"/>
  <c r="AD19" i="283"/>
  <c r="V90" i="283"/>
  <c r="AD90" i="283"/>
  <c r="K129" i="283"/>
  <c r="AB41" i="283"/>
  <c r="Z49" i="283"/>
  <c r="AB49" i="283"/>
  <c r="AB63" i="283"/>
  <c r="AB37" i="283"/>
  <c r="X37" i="283"/>
  <c r="AF37" i="283"/>
  <c r="X69" i="283"/>
  <c r="AF69" i="283"/>
  <c r="W102" i="283"/>
  <c r="AE102" i="283"/>
  <c r="AA94" i="283"/>
  <c r="W69" i="283"/>
  <c r="AA19" i="283"/>
  <c r="AA90" i="283"/>
  <c r="I56" i="216"/>
  <c r="D56" i="216"/>
  <c r="AC102" i="283"/>
  <c r="Y102" i="283"/>
  <c r="AG102" i="283"/>
  <c r="Y94" i="283"/>
  <c r="AG94" i="283"/>
  <c r="Y19" i="283"/>
  <c r="AG19" i="283"/>
  <c r="Y90" i="283"/>
  <c r="AG90" i="283"/>
  <c r="J56" i="216"/>
  <c r="E56" i="216"/>
  <c r="M56" i="216"/>
  <c r="L56" i="216"/>
  <c r="K56" i="216"/>
  <c r="O129" i="283"/>
  <c r="P77" i="286"/>
  <c r="P85" i="286"/>
  <c r="P93" i="286"/>
  <c r="P101" i="286"/>
  <c r="P109" i="286"/>
  <c r="N129" i="283"/>
  <c r="W43" i="178"/>
  <c r="P4" i="286"/>
  <c r="P6" i="286"/>
  <c r="P13" i="286"/>
  <c r="P15" i="286"/>
  <c r="P21" i="286"/>
  <c r="P23" i="286"/>
  <c r="P29" i="286"/>
  <c r="P31" i="286"/>
  <c r="P37" i="286"/>
  <c r="P39" i="286"/>
  <c r="P45" i="286"/>
  <c r="P47" i="286"/>
  <c r="P53" i="286"/>
  <c r="P55" i="286"/>
  <c r="P61" i="286"/>
  <c r="P63" i="286"/>
  <c r="P69" i="286"/>
  <c r="P71" i="286"/>
  <c r="P79" i="286"/>
  <c r="P87" i="286"/>
  <c r="P95" i="286"/>
  <c r="P103" i="286"/>
  <c r="P111" i="286"/>
  <c r="I9" i="283"/>
  <c r="Z44" i="283" s="1"/>
  <c r="P19" i="286"/>
  <c r="P51" i="286"/>
  <c r="P67" i="286"/>
  <c r="P91" i="286"/>
  <c r="P99" i="286"/>
  <c r="P107" i="286"/>
  <c r="P18" i="286"/>
  <c r="P26" i="286"/>
  <c r="P34" i="286"/>
  <c r="P42" i="286"/>
  <c r="P50" i="286"/>
  <c r="P58" i="286"/>
  <c r="P66" i="286"/>
  <c r="P74" i="286"/>
  <c r="P82" i="286"/>
  <c r="P90" i="286"/>
  <c r="P98" i="286"/>
  <c r="P106" i="286"/>
  <c r="G129" i="283"/>
  <c r="P27" i="286"/>
  <c r="P35" i="286"/>
  <c r="P43" i="286"/>
  <c r="P59" i="286"/>
  <c r="P75" i="286"/>
  <c r="P83" i="286"/>
  <c r="P17" i="286"/>
  <c r="P25" i="286"/>
  <c r="P33" i="286"/>
  <c r="P41" i="286"/>
  <c r="P49" i="286"/>
  <c r="P57" i="286"/>
  <c r="P65" i="286"/>
  <c r="P73" i="286"/>
  <c r="P81" i="286"/>
  <c r="P88" i="286"/>
  <c r="P89" i="286"/>
  <c r="P97" i="286"/>
  <c r="P105" i="286"/>
  <c r="P113" i="286"/>
  <c r="W9" i="283"/>
  <c r="W18" i="283"/>
  <c r="W87" i="283"/>
  <c r="W90" i="283" s="1"/>
  <c r="W61" i="283"/>
  <c r="W63" i="283" s="1"/>
  <c r="P3" i="286"/>
  <c r="P5" i="286"/>
  <c r="P12" i="286"/>
  <c r="P14" i="286"/>
  <c r="P16" i="286"/>
  <c r="P20" i="286"/>
  <c r="P22" i="286"/>
  <c r="P24" i="286"/>
  <c r="P28" i="286"/>
  <c r="P30" i="286"/>
  <c r="P32" i="286"/>
  <c r="P36" i="286"/>
  <c r="P38" i="286"/>
  <c r="P40" i="286"/>
  <c r="P44" i="286"/>
  <c r="P46" i="286"/>
  <c r="P48" i="286"/>
  <c r="P52" i="286"/>
  <c r="P54" i="286"/>
  <c r="P56" i="286"/>
  <c r="P60" i="286"/>
  <c r="P62" i="286"/>
  <c r="P64" i="286"/>
  <c r="P68" i="286"/>
  <c r="P70" i="286"/>
  <c r="P72" i="286"/>
  <c r="P76" i="286"/>
  <c r="P78" i="286"/>
  <c r="P80" i="286"/>
  <c r="P84" i="286"/>
  <c r="P86" i="286"/>
  <c r="P92" i="286"/>
  <c r="P94" i="286"/>
  <c r="P96" i="286"/>
  <c r="P100" i="286"/>
  <c r="P102" i="286"/>
  <c r="P104" i="286"/>
  <c r="P108" i="286"/>
  <c r="P110" i="286"/>
  <c r="P112" i="286"/>
  <c r="L9" i="283"/>
  <c r="AC44" i="283" s="1"/>
  <c r="AC53" i="283"/>
  <c r="AC28" i="283"/>
  <c r="AC37" i="283" s="1"/>
  <c r="AC93" i="283"/>
  <c r="AC94" i="283" s="1"/>
  <c r="AC114" i="283"/>
  <c r="AC121" i="283"/>
  <c r="AC129" i="283"/>
  <c r="AC78" i="283"/>
  <c r="AC81" i="283" s="1"/>
  <c r="AC8" i="283"/>
  <c r="AC16" i="283"/>
  <c r="AC138" i="283"/>
  <c r="AC59" i="283"/>
  <c r="R56" i="287"/>
  <c r="Q56" i="287"/>
  <c r="R89" i="287"/>
  <c r="Q89" i="287"/>
  <c r="Q141" i="287"/>
  <c r="R141" i="287"/>
  <c r="Q69" i="287"/>
  <c r="R69" i="287"/>
  <c r="R135" i="287"/>
  <c r="Q135" i="287"/>
  <c r="F19" i="287"/>
  <c r="G8" i="287"/>
  <c r="G19" i="287" s="1"/>
  <c r="R63" i="287"/>
  <c r="Q63" i="287"/>
  <c r="R84" i="287"/>
  <c r="Q84" i="287"/>
  <c r="P2" i="286"/>
  <c r="W33" i="178"/>
  <c r="W88" i="178"/>
  <c r="R88" i="287" l="1"/>
  <c r="Q134" i="287"/>
  <c r="Q88" i="287"/>
  <c r="Q68" i="287"/>
  <c r="E405" i="288"/>
  <c r="R87" i="287"/>
  <c r="R61" i="287"/>
  <c r="Q62" i="287"/>
  <c r="G20" i="212"/>
  <c r="R54" i="287"/>
  <c r="R62" i="287"/>
  <c r="R134" i="287"/>
  <c r="R133" i="287" s="1"/>
  <c r="Q83" i="287"/>
  <c r="R82" i="287"/>
  <c r="R140" i="287"/>
  <c r="R83" i="287"/>
  <c r="R67" i="287"/>
  <c r="R55" i="287"/>
  <c r="R139" i="287"/>
  <c r="Q55" i="287"/>
  <c r="R68" i="287"/>
  <c r="Q140" i="287"/>
  <c r="AG149" i="283"/>
  <c r="V149" i="283"/>
  <c r="V157" i="283" s="1"/>
  <c r="E131" i="283" s="1"/>
  <c r="E133" i="283" s="1"/>
  <c r="Y149" i="283"/>
  <c r="Z149" i="283"/>
  <c r="Z157" i="283" s="1"/>
  <c r="I131" i="283" s="1"/>
  <c r="AA149" i="283"/>
  <c r="AF149" i="283"/>
  <c r="AF157" i="283" s="1"/>
  <c r="O131" i="283" s="1"/>
  <c r="O133" i="283" s="1"/>
  <c r="W149" i="283"/>
  <c r="AE149" i="283"/>
  <c r="AE157" i="283" s="1"/>
  <c r="N131" i="283" s="1"/>
  <c r="N133" i="283" s="1"/>
  <c r="AB149" i="283"/>
  <c r="AB157" i="283" s="1"/>
  <c r="K131" i="283" s="1"/>
  <c r="K133" i="283" s="1"/>
  <c r="W65" i="178"/>
  <c r="W19" i="283"/>
  <c r="I129" i="283"/>
  <c r="AC19" i="283"/>
  <c r="AC63" i="283"/>
  <c r="M129" i="283"/>
  <c r="AD41" i="283"/>
  <c r="AD157" i="283" s="1"/>
  <c r="M131" i="283" s="1"/>
  <c r="H129" i="283"/>
  <c r="Y41" i="283"/>
  <c r="J129" i="283"/>
  <c r="AA41" i="283"/>
  <c r="L129" i="283"/>
  <c r="AC108" i="283"/>
  <c r="AC149" i="283" s="1"/>
  <c r="P129" i="283"/>
  <c r="AG41" i="283"/>
  <c r="F129" i="283"/>
  <c r="W79" i="283"/>
  <c r="W81" i="283" s="1"/>
  <c r="X157" i="283"/>
  <c r="G131" i="283" s="1"/>
  <c r="G133" i="283" s="1"/>
  <c r="L183" i="178"/>
  <c r="M183" i="178"/>
  <c r="O183" i="178"/>
  <c r="N183" i="178"/>
  <c r="I19" i="287"/>
  <c r="E21" i="287"/>
  <c r="E125" i="287" s="1"/>
  <c r="F21" i="287"/>
  <c r="E126" i="287" s="1"/>
  <c r="K183" i="178"/>
  <c r="S183" i="178"/>
  <c r="R183" i="178"/>
  <c r="I183" i="178"/>
  <c r="Q183" i="178"/>
  <c r="J183" i="178"/>
  <c r="H183" i="178"/>
  <c r="P183" i="178"/>
  <c r="W136" i="178"/>
  <c r="W138" i="178" s="1"/>
  <c r="S63" i="178"/>
  <c r="R63" i="178"/>
  <c r="Q63" i="178"/>
  <c r="P63" i="178"/>
  <c r="O63" i="178"/>
  <c r="N63" i="178"/>
  <c r="M63" i="178"/>
  <c r="L63" i="178"/>
  <c r="K63" i="178"/>
  <c r="J63" i="178"/>
  <c r="I63" i="178"/>
  <c r="H63" i="178"/>
  <c r="AG157" i="283" l="1"/>
  <c r="P131" i="283" s="1"/>
  <c r="P133" i="283" s="1"/>
  <c r="W67" i="178"/>
  <c r="W71" i="178" s="1"/>
  <c r="W143" i="178" s="1"/>
  <c r="W144" i="178" s="1"/>
  <c r="Y157" i="283"/>
  <c r="H131" i="283" s="1"/>
  <c r="H133" i="283" s="1"/>
  <c r="AA157" i="283"/>
  <c r="J131" i="283" s="1"/>
  <c r="J133" i="283" s="1"/>
  <c r="W157" i="283"/>
  <c r="F131" i="283" s="1"/>
  <c r="F133" i="283" s="1"/>
  <c r="AC157" i="283"/>
  <c r="L131" i="283" s="1"/>
  <c r="L133" i="283" s="1"/>
  <c r="M133" i="283"/>
  <c r="I133" i="283"/>
  <c r="T209" i="178"/>
  <c r="P125" i="287"/>
  <c r="H125" i="287"/>
  <c r="M98" i="287"/>
  <c r="N73" i="287"/>
  <c r="F73" i="287"/>
  <c r="M125" i="287"/>
  <c r="N125" i="287"/>
  <c r="K98" i="287"/>
  <c r="L73" i="287"/>
  <c r="M73" i="287"/>
  <c r="I125" i="287"/>
  <c r="O125" i="287"/>
  <c r="J125" i="287"/>
  <c r="K125" i="287"/>
  <c r="L125" i="287"/>
  <c r="G21" i="287"/>
  <c r="F125" i="287"/>
  <c r="G125" i="287"/>
  <c r="L98" i="287"/>
  <c r="J78" i="287"/>
  <c r="G78" i="287"/>
  <c r="O78" i="287"/>
  <c r="H73" i="287"/>
  <c r="O98" i="287"/>
  <c r="P78" i="287"/>
  <c r="I98" i="287"/>
  <c r="N98" i="287"/>
  <c r="O73" i="287"/>
  <c r="G73" i="287"/>
  <c r="J98" i="287"/>
  <c r="I73" i="287"/>
  <c r="J73" i="287"/>
  <c r="K126" i="287"/>
  <c r="N126" i="287"/>
  <c r="G126" i="287"/>
  <c r="J79" i="287"/>
  <c r="M74" i="287"/>
  <c r="M99" i="287"/>
  <c r="N74" i="287"/>
  <c r="J126" i="287"/>
  <c r="N99" i="287"/>
  <c r="L126" i="287"/>
  <c r="F126" i="287"/>
  <c r="O126" i="287"/>
  <c r="H126" i="287"/>
  <c r="I126" i="287"/>
  <c r="G74" i="287"/>
  <c r="M126" i="287"/>
  <c r="K99" i="287"/>
  <c r="K130" i="287" s="1"/>
  <c r="L74" i="287"/>
  <c r="P126" i="287"/>
  <c r="L99" i="287"/>
  <c r="F74" i="287"/>
  <c r="O74" i="287"/>
  <c r="O99" i="287"/>
  <c r="I74" i="287"/>
  <c r="J99" i="287"/>
  <c r="P79" i="287"/>
  <c r="G79" i="287"/>
  <c r="H74" i="287"/>
  <c r="O79" i="287"/>
  <c r="I99" i="287"/>
  <c r="J74" i="287"/>
  <c r="W145" i="178"/>
  <c r="D43" i="178"/>
  <c r="D33" i="178"/>
  <c r="P130" i="287" l="1"/>
  <c r="N130" i="287"/>
  <c r="F130" i="287"/>
  <c r="L130" i="287"/>
  <c r="D183" i="178"/>
  <c r="J130" i="287"/>
  <c r="Q125" i="287"/>
  <c r="Q98" i="287"/>
  <c r="R97" i="287"/>
  <c r="R98" i="287"/>
  <c r="R79" i="287"/>
  <c r="G130" i="287"/>
  <c r="Q79" i="287"/>
  <c r="R74" i="287"/>
  <c r="Q74" i="287"/>
  <c r="R77" i="287"/>
  <c r="R78" i="287"/>
  <c r="Q78" i="287"/>
  <c r="H130" i="287"/>
  <c r="O130" i="287"/>
  <c r="M130" i="287"/>
  <c r="Q73" i="287"/>
  <c r="R72" i="287"/>
  <c r="R73" i="287"/>
  <c r="Q99" i="287"/>
  <c r="I130" i="287"/>
  <c r="R99" i="287"/>
  <c r="Q126" i="287"/>
  <c r="E130" i="287"/>
  <c r="R130" i="287" l="1"/>
  <c r="E384" i="288" l="1"/>
  <c r="E385" i="288" s="1"/>
  <c r="N385" i="288" s="1"/>
  <c r="E278" i="288" l="1"/>
  <c r="E279" i="288" s="1"/>
  <c r="N279" i="288" s="1"/>
  <c r="E236" i="288"/>
  <c r="E237" i="288" s="1"/>
  <c r="N237" i="288" s="1"/>
  <c r="E272" i="288"/>
  <c r="E273" i="288" s="1"/>
  <c r="N273" i="288" s="1"/>
  <c r="E257" i="288"/>
  <c r="E258" i="288" s="1"/>
  <c r="N258" i="288" s="1"/>
  <c r="E254" i="288"/>
  <c r="E255" i="288" s="1"/>
  <c r="N255" i="288" s="1"/>
  <c r="E218" i="288" l="1"/>
  <c r="E251" i="288"/>
  <c r="E252" i="288" s="1"/>
  <c r="N252" i="288" s="1"/>
  <c r="E248" i="288"/>
  <c r="E249" i="288" s="1"/>
  <c r="N249" i="288" s="1"/>
  <c r="E293" i="288"/>
  <c r="E294" i="288" s="1"/>
  <c r="N294" i="288" s="1"/>
  <c r="E281" i="288"/>
  <c r="E282" i="288" s="1"/>
  <c r="N282" i="288" s="1"/>
  <c r="E221" i="288"/>
  <c r="E222" i="288" s="1"/>
  <c r="N222" i="288" s="1"/>
  <c r="E269" i="288"/>
  <c r="E270" i="288" s="1"/>
  <c r="N270" i="288" s="1"/>
  <c r="E296" i="288"/>
  <c r="E297" i="288" s="1"/>
  <c r="N297" i="288" s="1"/>
  <c r="E260" i="288"/>
  <c r="E261" i="288" s="1"/>
  <c r="N261" i="288" s="1"/>
  <c r="E275" i="288"/>
  <c r="E276" i="288" s="1"/>
  <c r="N276" i="288" s="1"/>
  <c r="E290" i="288"/>
  <c r="E291" i="288" s="1"/>
  <c r="N291" i="288" s="1"/>
  <c r="E230" i="288"/>
  <c r="E231" i="288" s="1"/>
  <c r="N231" i="288" s="1"/>
  <c r="E239" i="288"/>
  <c r="E240" i="288" s="1"/>
  <c r="N240" i="288" s="1"/>
  <c r="E233" i="288"/>
  <c r="E234" i="288" s="1"/>
  <c r="N234" i="288" s="1"/>
  <c r="E287" i="288"/>
  <c r="E288" i="288" s="1"/>
  <c r="N288" i="288" s="1"/>
  <c r="E224" i="288"/>
  <c r="E263" i="288"/>
  <c r="E264" i="288" s="1"/>
  <c r="N264" i="288" s="1"/>
  <c r="E245" i="288"/>
  <c r="E246" i="288" s="1"/>
  <c r="N246" i="288" s="1"/>
  <c r="E227" i="288"/>
  <c r="E228" i="288" s="1"/>
  <c r="N228" i="288" s="1"/>
  <c r="E284" i="288"/>
  <c r="E285" i="288" s="1"/>
  <c r="N285" i="288" s="1"/>
  <c r="E266" i="288"/>
  <c r="E267" i="288" s="1"/>
  <c r="N267" i="288" s="1"/>
  <c r="E242" i="288"/>
  <c r="E243" i="288" s="1"/>
  <c r="N243" i="288" s="1"/>
  <c r="E219" i="288" l="1"/>
  <c r="N219" i="288" s="1"/>
  <c r="E387" i="288"/>
  <c r="E225" i="288"/>
  <c r="N224" i="288"/>
  <c r="N299" i="288" l="1"/>
  <c r="E299" i="288"/>
  <c r="N387" i="288"/>
  <c r="E388" i="288"/>
  <c r="G18" i="281"/>
  <c r="G44" i="281" s="1"/>
  <c r="I53" i="281"/>
  <c r="I52" i="281"/>
  <c r="C52" i="281"/>
  <c r="E52" i="281" s="1"/>
  <c r="E51" i="281"/>
  <c r="E49" i="281"/>
  <c r="G48" i="281"/>
  <c r="E47" i="281"/>
  <c r="E45" i="281"/>
  <c r="E43" i="281"/>
  <c r="C42" i="281"/>
  <c r="E42" i="281" s="1"/>
  <c r="E41" i="281"/>
  <c r="E39" i="281"/>
  <c r="I27" i="281"/>
  <c r="I26" i="281"/>
  <c r="E26" i="281"/>
  <c r="I25" i="281"/>
  <c r="G50" i="281"/>
  <c r="I23" i="281"/>
  <c r="I22" i="281"/>
  <c r="I21" i="281"/>
  <c r="I19" i="281"/>
  <c r="I17" i="281"/>
  <c r="I16" i="281"/>
  <c r="I15" i="281"/>
  <c r="I13" i="281"/>
  <c r="I24" i="281" l="1"/>
  <c r="O50" i="230" l="1"/>
  <c r="O171" i="179" s="1"/>
  <c r="O173" i="179" s="1"/>
  <c r="G45" i="176"/>
  <c r="F45" i="176"/>
  <c r="G17" i="176"/>
  <c r="G18" i="176"/>
  <c r="G16" i="176"/>
  <c r="I21" i="215" l="1"/>
  <c r="I56" i="215" s="1"/>
  <c r="J56" i="215"/>
  <c r="C46" i="264" l="1"/>
  <c r="E61" i="176" l="1"/>
  <c r="Q58" i="176"/>
  <c r="C23" i="175" l="1"/>
  <c r="AK21" i="175"/>
  <c r="R21" i="175"/>
  <c r="AK20" i="175"/>
  <c r="R20" i="175"/>
  <c r="C57" i="175" l="1"/>
  <c r="AK25" i="175"/>
  <c r="R25" i="175"/>
  <c r="I24" i="176" l="1"/>
  <c r="E3" i="214" l="1"/>
  <c r="D71" i="214"/>
  <c r="D70" i="214"/>
  <c r="D69" i="214"/>
  <c r="D68" i="214"/>
  <c r="D67" i="214"/>
  <c r="D66" i="214"/>
  <c r="D65" i="214"/>
  <c r="D62" i="214"/>
  <c r="D61" i="214"/>
  <c r="D60" i="214"/>
  <c r="D59" i="214"/>
  <c r="D58" i="214"/>
  <c r="D57" i="214"/>
  <c r="D55" i="214"/>
  <c r="D54" i="214"/>
  <c r="D53" i="214"/>
  <c r="D48" i="214"/>
  <c r="D47" i="214"/>
  <c r="D46" i="214"/>
  <c r="D44" i="214"/>
  <c r="D42" i="214"/>
  <c r="D40" i="214"/>
  <c r="D38" i="214"/>
  <c r="D36" i="214"/>
  <c r="D34" i="214"/>
  <c r="D32" i="214"/>
  <c r="D30" i="214"/>
  <c r="D28" i="214"/>
  <c r="D26" i="214"/>
  <c r="D24" i="214"/>
  <c r="D22" i="214"/>
  <c r="D18" i="214"/>
  <c r="D16" i="214"/>
  <c r="D13" i="214"/>
  <c r="D12" i="214"/>
  <c r="D10" i="214"/>
  <c r="D8" i="214"/>
  <c r="F71" i="214"/>
  <c r="F70" i="214"/>
  <c r="F69" i="214"/>
  <c r="F68" i="214"/>
  <c r="F67" i="214"/>
  <c r="F66" i="214"/>
  <c r="F65" i="214"/>
  <c r="F62" i="214"/>
  <c r="F61" i="214"/>
  <c r="F60" i="214"/>
  <c r="F59" i="214"/>
  <c r="F58" i="214"/>
  <c r="F57" i="214"/>
  <c r="F55" i="214"/>
  <c r="F54" i="214"/>
  <c r="F53" i="214"/>
  <c r="F48" i="214"/>
  <c r="F47" i="214"/>
  <c r="F46" i="214"/>
  <c r="F44" i="214"/>
  <c r="H44" i="214" s="1"/>
  <c r="F42" i="214"/>
  <c r="G42" i="214" s="1"/>
  <c r="F40" i="214"/>
  <c r="H40" i="214" s="1"/>
  <c r="F38" i="214"/>
  <c r="G38" i="214" s="1"/>
  <c r="F36" i="214"/>
  <c r="H36" i="214" s="1"/>
  <c r="F34" i="214"/>
  <c r="G34" i="214" s="1"/>
  <c r="F32" i="214"/>
  <c r="H32" i="214" s="1"/>
  <c r="F30" i="214"/>
  <c r="G30" i="214" s="1"/>
  <c r="F28" i="214"/>
  <c r="F26" i="214"/>
  <c r="G26" i="214" s="1"/>
  <c r="F24" i="214"/>
  <c r="F22" i="214"/>
  <c r="H22" i="214" s="1"/>
  <c r="F18" i="214"/>
  <c r="G18" i="214" s="1"/>
  <c r="F16" i="214"/>
  <c r="H16" i="214" s="1"/>
  <c r="F13" i="214"/>
  <c r="G13" i="214" s="1"/>
  <c r="F12" i="214"/>
  <c r="F10" i="214"/>
  <c r="F8" i="214"/>
  <c r="Z141" i="178"/>
  <c r="AL213" i="178"/>
  <c r="Y212" i="178"/>
  <c r="Z211" i="178"/>
  <c r="AL188" i="178"/>
  <c r="Y187" i="178"/>
  <c r="Z186" i="178"/>
  <c r="G186" i="178"/>
  <c r="G141" i="178"/>
  <c r="G69" i="178"/>
  <c r="C48" i="175"/>
  <c r="C65" i="175" s="1"/>
  <c r="C71" i="175" s="1"/>
  <c r="D9" i="216" l="1"/>
  <c r="D22" i="216" s="1"/>
  <c r="E164" i="288"/>
  <c r="E24" i="288"/>
  <c r="E75" i="288"/>
  <c r="C31" i="175"/>
  <c r="C8" i="175"/>
  <c r="D105" i="216"/>
  <c r="V57" i="175"/>
  <c r="V48" i="175"/>
  <c r="C35" i="175" l="1"/>
  <c r="D19" i="214"/>
  <c r="V65" i="175"/>
  <c r="AK27" i="175" l="1"/>
  <c r="AK18" i="175"/>
  <c r="AK7" i="175"/>
  <c r="AJ8" i="175"/>
  <c r="AI8" i="175"/>
  <c r="AH8" i="175"/>
  <c r="AG8" i="175"/>
  <c r="AF8" i="175"/>
  <c r="AE8" i="175"/>
  <c r="AD8" i="175"/>
  <c r="AC8" i="175"/>
  <c r="AB8" i="175"/>
  <c r="AA8" i="175"/>
  <c r="Z8" i="175"/>
  <c r="Y8" i="175"/>
  <c r="W8" i="175"/>
  <c r="V8" i="175"/>
  <c r="R7" i="175"/>
  <c r="Q21" i="216" l="1"/>
  <c r="H43" i="178" l="1"/>
  <c r="H65" i="178" l="1"/>
  <c r="G183" i="178"/>
  <c r="P5" i="230"/>
  <c r="P32" i="230"/>
  <c r="P82" i="176" l="1"/>
  <c r="O82" i="176"/>
  <c r="N82" i="176"/>
  <c r="M82" i="176"/>
  <c r="L82" i="176"/>
  <c r="K82" i="176"/>
  <c r="J82" i="176"/>
  <c r="I82" i="176"/>
  <c r="H82" i="176"/>
  <c r="G82" i="176"/>
  <c r="F82" i="176"/>
  <c r="E82" i="176"/>
  <c r="Q81" i="176"/>
  <c r="Q149" i="176"/>
  <c r="Q96" i="176"/>
  <c r="E97" i="176"/>
  <c r="P97" i="176"/>
  <c r="O97" i="176"/>
  <c r="N97" i="176"/>
  <c r="M97" i="176"/>
  <c r="L97" i="176"/>
  <c r="K97" i="176"/>
  <c r="J97" i="176"/>
  <c r="I97" i="176"/>
  <c r="H97" i="176"/>
  <c r="G97" i="176"/>
  <c r="F97" i="176"/>
  <c r="P48" i="230"/>
  <c r="P12" i="230"/>
  <c r="P9" i="230"/>
  <c r="Q82" i="176" l="1"/>
  <c r="E406" i="288"/>
  <c r="N406" i="288" s="1"/>
  <c r="E25" i="176"/>
  <c r="I25" i="176" s="1"/>
  <c r="AJ48" i="175"/>
  <c r="V23" i="175"/>
  <c r="E46" i="215" l="1"/>
  <c r="E49" i="215"/>
  <c r="E48" i="215"/>
  <c r="E47" i="215"/>
  <c r="E44" i="215"/>
  <c r="C68" i="215"/>
  <c r="D67" i="215" l="1"/>
  <c r="F19" i="214" l="1"/>
  <c r="J12" i="214" l="1"/>
  <c r="G12" i="214"/>
  <c r="C33" i="215" l="1"/>
  <c r="D32" i="215" l="1"/>
  <c r="I27" i="176" l="1"/>
  <c r="K24" i="176" s="1"/>
  <c r="K25" i="176" l="1"/>
  <c r="K27" i="176" s="1"/>
  <c r="F117" i="216" l="1"/>
  <c r="F105" i="216"/>
  <c r="F90" i="216"/>
  <c r="F39" i="216"/>
  <c r="F9" i="216"/>
  <c r="F22" i="216" s="1"/>
  <c r="F124" i="216" l="1"/>
  <c r="F133" i="216"/>
  <c r="F111" i="216"/>
  <c r="K3" i="214"/>
  <c r="L1" i="214" s="1"/>
  <c r="F126" i="216" l="1"/>
  <c r="F135" i="216"/>
  <c r="K89" i="214"/>
  <c r="M89" i="214" s="1"/>
  <c r="N89" i="214" s="1"/>
  <c r="K88" i="214"/>
  <c r="M88" i="214" s="1"/>
  <c r="N88" i="214" s="1"/>
  <c r="K82" i="214"/>
  <c r="L2" i="214"/>
  <c r="D90" i="216"/>
  <c r="D39" i="216"/>
  <c r="D133" i="216" l="1"/>
  <c r="D111" i="216"/>
  <c r="L88" i="214"/>
  <c r="L89" i="214"/>
  <c r="L82" i="214"/>
  <c r="D135" i="216" l="1"/>
  <c r="E145" i="288" l="1"/>
  <c r="AD62" i="178" l="1"/>
  <c r="AD63" i="178" s="1"/>
  <c r="AC62" i="178"/>
  <c r="AC63" i="178" s="1"/>
  <c r="AB62" i="178"/>
  <c r="AB63" i="178" s="1"/>
  <c r="AA62" i="178"/>
  <c r="AA63" i="178" s="1"/>
  <c r="X63" i="178"/>
  <c r="Z69" i="178"/>
  <c r="D57" i="175"/>
  <c r="R51" i="175"/>
  <c r="D48" i="175"/>
  <c r="R33" i="175"/>
  <c r="D31" i="175"/>
  <c r="R29" i="175"/>
  <c r="R28" i="175"/>
  <c r="R27" i="175"/>
  <c r="D23" i="175"/>
  <c r="R19" i="175"/>
  <c r="R18" i="175"/>
  <c r="R16" i="175"/>
  <c r="R15" i="175"/>
  <c r="R13" i="175"/>
  <c r="R12" i="175"/>
  <c r="D8" i="175"/>
  <c r="R6" i="175"/>
  <c r="R5" i="175"/>
  <c r="W23" i="175"/>
  <c r="W31" i="175"/>
  <c r="W48" i="175"/>
  <c r="W57" i="175"/>
  <c r="AK42" i="175"/>
  <c r="AK33" i="175"/>
  <c r="AK29" i="175"/>
  <c r="AK28" i="175"/>
  <c r="AK19" i="175"/>
  <c r="AK17" i="175"/>
  <c r="AK16" i="175"/>
  <c r="AK15" i="175"/>
  <c r="AK14" i="175"/>
  <c r="AK13" i="175"/>
  <c r="AK12" i="175"/>
  <c r="AK11" i="175"/>
  <c r="AK10" i="175"/>
  <c r="AK6" i="175"/>
  <c r="AK5" i="175"/>
  <c r="Z7" i="178"/>
  <c r="Z18" i="178"/>
  <c r="Z38" i="178"/>
  <c r="Z46" i="178"/>
  <c r="Z52" i="178" s="1"/>
  <c r="Z61" i="178"/>
  <c r="Z62" i="178"/>
  <c r="Z112" i="178"/>
  <c r="Z124" i="178"/>
  <c r="Z163" i="178"/>
  <c r="Z183" i="178"/>
  <c r="Z207" i="178"/>
  <c r="X207" i="178"/>
  <c r="X212" i="178" s="1"/>
  <c r="X183" i="178"/>
  <c r="X187" i="178" s="1"/>
  <c r="X163" i="178"/>
  <c r="X88" i="178"/>
  <c r="Y88" i="178"/>
  <c r="Y136" i="178" s="1"/>
  <c r="Y63" i="178"/>
  <c r="Y65" i="178" s="1"/>
  <c r="X52" i="178"/>
  <c r="X43" i="178"/>
  <c r="X33" i="178"/>
  <c r="X65" i="178" l="1"/>
  <c r="AM52" i="178"/>
  <c r="D56" i="214"/>
  <c r="W65" i="175"/>
  <c r="D65" i="175"/>
  <c r="AM62" i="178"/>
  <c r="X213" i="178"/>
  <c r="Z212" i="178"/>
  <c r="Z213" i="178" s="1"/>
  <c r="X188" i="178"/>
  <c r="Z187" i="178"/>
  <c r="Z188" i="178" s="1"/>
  <c r="D63" i="214"/>
  <c r="X8" i="175"/>
  <c r="AM61" i="178"/>
  <c r="X136" i="178"/>
  <c r="J68" i="214"/>
  <c r="J60" i="214"/>
  <c r="J69" i="214"/>
  <c r="J71" i="214"/>
  <c r="J70" i="214"/>
  <c r="J67" i="214"/>
  <c r="J66" i="214"/>
  <c r="J65" i="214"/>
  <c r="L65" i="214" s="1"/>
  <c r="J62" i="214"/>
  <c r="J61" i="214"/>
  <c r="J59" i="214"/>
  <c r="J58" i="214"/>
  <c r="J57" i="214"/>
  <c r="J55" i="214"/>
  <c r="J53" i="214"/>
  <c r="K53" i="214" s="1"/>
  <c r="J54" i="214"/>
  <c r="Z33" i="178"/>
  <c r="E31" i="175"/>
  <c r="Z63" i="178"/>
  <c r="Z43" i="178"/>
  <c r="Z88" i="178"/>
  <c r="X48" i="175"/>
  <c r="X57" i="175"/>
  <c r="E48" i="175"/>
  <c r="E57" i="175"/>
  <c r="X31" i="175"/>
  <c r="X23" i="175"/>
  <c r="E23" i="175"/>
  <c r="R10" i="175"/>
  <c r="D35" i="175"/>
  <c r="E8" i="175"/>
  <c r="W35" i="175"/>
  <c r="Z184" i="178"/>
  <c r="Z149" i="178"/>
  <c r="X184" i="178"/>
  <c r="Y67" i="178"/>
  <c r="Y70" i="178" s="1"/>
  <c r="D63" i="178"/>
  <c r="D65" i="178" s="1"/>
  <c r="E63" i="178"/>
  <c r="T3" i="178"/>
  <c r="E65" i="178" l="1"/>
  <c r="E67" i="178" s="1"/>
  <c r="Z65" i="178"/>
  <c r="D72" i="214"/>
  <c r="D67" i="175"/>
  <c r="X65" i="175"/>
  <c r="X35" i="175"/>
  <c r="E35" i="175"/>
  <c r="E65" i="175"/>
  <c r="K69" i="214"/>
  <c r="L69" i="214"/>
  <c r="K68" i="214"/>
  <c r="L68" i="214"/>
  <c r="K60" i="214"/>
  <c r="L60" i="214"/>
  <c r="K71" i="214"/>
  <c r="L71" i="214"/>
  <c r="K70" i="214"/>
  <c r="L70" i="214"/>
  <c r="K67" i="214"/>
  <c r="L67" i="214"/>
  <c r="K66" i="214"/>
  <c r="L66" i="214"/>
  <c r="K62" i="214"/>
  <c r="L62" i="214"/>
  <c r="K61" i="214"/>
  <c r="L61" i="214"/>
  <c r="K59" i="214"/>
  <c r="L59" i="214"/>
  <c r="K58" i="214"/>
  <c r="L58" i="214"/>
  <c r="K57" i="214"/>
  <c r="L57" i="214"/>
  <c r="K55" i="214"/>
  <c r="L55" i="214"/>
  <c r="K54" i="214"/>
  <c r="L54" i="214"/>
  <c r="E136" i="178"/>
  <c r="E138" i="178" s="1"/>
  <c r="E100" i="288"/>
  <c r="E102" i="288" s="1"/>
  <c r="N102" i="288" s="1"/>
  <c r="E93" i="288"/>
  <c r="E94" i="288" s="1"/>
  <c r="N94" i="288" s="1"/>
  <c r="Y138" i="178"/>
  <c r="X138" i="178"/>
  <c r="W67" i="175"/>
  <c r="X145" i="178"/>
  <c r="X67" i="178"/>
  <c r="X70" i="178" s="1"/>
  <c r="Z67" i="178" l="1"/>
  <c r="Z71" i="178" s="1"/>
  <c r="Z143" i="178" s="1"/>
  <c r="Z136" i="178"/>
  <c r="X71" i="178"/>
  <c r="Z70" i="178"/>
  <c r="X67" i="175"/>
  <c r="E67" i="175"/>
  <c r="E145" i="178"/>
  <c r="Z138" i="178" l="1"/>
  <c r="Z144" i="178" s="1"/>
  <c r="Z145" i="178"/>
  <c r="F207" i="178"/>
  <c r="F183" i="178"/>
  <c r="F187" i="178" s="1"/>
  <c r="F188" i="178" s="1"/>
  <c r="F163" i="178"/>
  <c r="F107" i="178"/>
  <c r="F88" i="178"/>
  <c r="G8" i="214"/>
  <c r="F63" i="178"/>
  <c r="F43" i="178"/>
  <c r="D207" i="178"/>
  <c r="D163" i="178"/>
  <c r="D107" i="178"/>
  <c r="D88" i="178"/>
  <c r="F65" i="178" l="1"/>
  <c r="F212" i="178"/>
  <c r="F213" i="178" s="1"/>
  <c r="D136" i="178"/>
  <c r="D67" i="178"/>
  <c r="G48" i="214"/>
  <c r="J48" i="214"/>
  <c r="K48" i="214" s="1"/>
  <c r="F136" i="178"/>
  <c r="F138" i="178" s="1"/>
  <c r="F184" i="178"/>
  <c r="F208" i="178" s="1"/>
  <c r="D184" i="178"/>
  <c r="D208" i="178" s="1"/>
  <c r="G147" i="178" l="1"/>
  <c r="G148" i="178" s="1"/>
  <c r="D145" i="178"/>
  <c r="D138" i="178"/>
  <c r="F67" i="178"/>
  <c r="F145" i="178"/>
  <c r="F70" i="178" l="1"/>
  <c r="F71" i="178" s="1"/>
  <c r="Q93" i="176" l="1"/>
  <c r="Q91" i="176"/>
  <c r="P47" i="230"/>
  <c r="P46" i="230"/>
  <c r="P45" i="230"/>
  <c r="P44" i="230"/>
  <c r="P43" i="230"/>
  <c r="P42" i="230"/>
  <c r="P41" i="230"/>
  <c r="P39" i="230"/>
  <c r="P38" i="230"/>
  <c r="P37" i="230"/>
  <c r="P36" i="230"/>
  <c r="P35" i="230"/>
  <c r="P24" i="230"/>
  <c r="P23" i="230"/>
  <c r="P22" i="230"/>
  <c r="P21" i="230"/>
  <c r="P20" i="230"/>
  <c r="P19" i="230"/>
  <c r="P18" i="230"/>
  <c r="P17" i="230"/>
  <c r="P16" i="230"/>
  <c r="P15" i="230"/>
  <c r="P14" i="230"/>
  <c r="P13" i="230"/>
  <c r="P11" i="230"/>
  <c r="P10" i="230"/>
  <c r="P8" i="230"/>
  <c r="P7" i="230"/>
  <c r="P6" i="230"/>
  <c r="N50" i="230"/>
  <c r="N171" i="179" s="1"/>
  <c r="N173" i="179" s="1"/>
  <c r="M50" i="230"/>
  <c r="M171" i="179" s="1"/>
  <c r="M173" i="179" s="1"/>
  <c r="L50" i="230"/>
  <c r="L171" i="179" s="1"/>
  <c r="L173" i="179" s="1"/>
  <c r="K50" i="230"/>
  <c r="K171" i="179" s="1"/>
  <c r="K173" i="179" s="1"/>
  <c r="J50" i="230"/>
  <c r="J171" i="179" s="1"/>
  <c r="J173" i="179" s="1"/>
  <c r="I50" i="230"/>
  <c r="I171" i="179" s="1"/>
  <c r="I173" i="179" s="1"/>
  <c r="H50" i="230"/>
  <c r="H171" i="179" s="1"/>
  <c r="H173" i="179" s="1"/>
  <c r="G50" i="230"/>
  <c r="G171" i="179" s="1"/>
  <c r="G173" i="179" s="1"/>
  <c r="F50" i="230"/>
  <c r="F171" i="179" s="1"/>
  <c r="F173" i="179" s="1"/>
  <c r="E50" i="230"/>
  <c r="E171" i="179" s="1"/>
  <c r="E173" i="179" s="1"/>
  <c r="D50" i="230"/>
  <c r="D171" i="179" s="1"/>
  <c r="H27" i="230"/>
  <c r="H85" i="179" s="1"/>
  <c r="G27" i="230"/>
  <c r="G85" i="179" s="1"/>
  <c r="F27" i="230"/>
  <c r="F85" i="179" s="1"/>
  <c r="E27" i="230"/>
  <c r="E85" i="179" s="1"/>
  <c r="D27" i="230"/>
  <c r="D85" i="179" s="1"/>
  <c r="O27" i="230"/>
  <c r="O85" i="179" s="1"/>
  <c r="N27" i="230"/>
  <c r="N85" i="179" s="1"/>
  <c r="M27" i="230"/>
  <c r="M85" i="179" s="1"/>
  <c r="L27" i="230"/>
  <c r="L85" i="179" s="1"/>
  <c r="K27" i="230"/>
  <c r="K85" i="179" s="1"/>
  <c r="J27" i="230"/>
  <c r="J85" i="179" s="1"/>
  <c r="I27" i="230"/>
  <c r="I85" i="179" s="1"/>
  <c r="P34" i="230"/>
  <c r="P33" i="230"/>
  <c r="O87" i="179" l="1"/>
  <c r="P103" i="287"/>
  <c r="P129" i="287" s="1"/>
  <c r="I87" i="179"/>
  <c r="J103" i="287"/>
  <c r="J129" i="287" s="1"/>
  <c r="M87" i="179"/>
  <c r="N103" i="287"/>
  <c r="N129" i="287" s="1"/>
  <c r="L87" i="179"/>
  <c r="M103" i="287"/>
  <c r="M129" i="287" s="1"/>
  <c r="H87" i="179"/>
  <c r="I103" i="287"/>
  <c r="I129" i="287" s="1"/>
  <c r="N87" i="179"/>
  <c r="O103" i="287"/>
  <c r="O129" i="287" s="1"/>
  <c r="P171" i="179"/>
  <c r="P173" i="179" s="1"/>
  <c r="D173" i="179"/>
  <c r="G87" i="179"/>
  <c r="H103" i="287"/>
  <c r="H129" i="287" s="1"/>
  <c r="E87" i="179"/>
  <c r="F103" i="287"/>
  <c r="F129" i="287" s="1"/>
  <c r="P85" i="179"/>
  <c r="P87" i="179" s="1"/>
  <c r="D87" i="179"/>
  <c r="E103" i="287"/>
  <c r="K87" i="179"/>
  <c r="L103" i="287"/>
  <c r="L129" i="287" s="1"/>
  <c r="J87" i="179"/>
  <c r="K103" i="287"/>
  <c r="K129" i="287" s="1"/>
  <c r="F87" i="179"/>
  <c r="G103" i="287"/>
  <c r="G129" i="287" s="1"/>
  <c r="P27" i="230"/>
  <c r="P50" i="230"/>
  <c r="R103" i="287" l="1"/>
  <c r="R102" i="287"/>
  <c r="E129" i="287"/>
  <c r="R129" i="287" s="1"/>
  <c r="R131" i="287" l="1"/>
  <c r="S130" i="287" s="1"/>
  <c r="Q3" i="216"/>
  <c r="P121" i="216"/>
  <c r="O121" i="216"/>
  <c r="N121" i="216"/>
  <c r="M121" i="216"/>
  <c r="L121" i="216"/>
  <c r="K121" i="216"/>
  <c r="J121" i="216"/>
  <c r="I121" i="216"/>
  <c r="H121" i="216"/>
  <c r="G121" i="216"/>
  <c r="F121" i="216"/>
  <c r="E121" i="216"/>
  <c r="D121" i="216"/>
  <c r="P117" i="216"/>
  <c r="O117" i="216"/>
  <c r="N117" i="216"/>
  <c r="M117" i="216"/>
  <c r="L117" i="216"/>
  <c r="K117" i="216"/>
  <c r="J117" i="216"/>
  <c r="I117" i="216"/>
  <c r="H117" i="216"/>
  <c r="G117" i="216"/>
  <c r="E117" i="216"/>
  <c r="D117" i="216"/>
  <c r="D124" i="216" s="1"/>
  <c r="P105" i="216"/>
  <c r="O105" i="216"/>
  <c r="N105" i="216"/>
  <c r="M105" i="216"/>
  <c r="L105" i="216"/>
  <c r="K105" i="216"/>
  <c r="J105" i="216"/>
  <c r="I105" i="216"/>
  <c r="H105" i="216"/>
  <c r="G105" i="216"/>
  <c r="E105" i="216"/>
  <c r="P90" i="216"/>
  <c r="O90" i="216"/>
  <c r="N90" i="216"/>
  <c r="M90" i="216"/>
  <c r="L90" i="216"/>
  <c r="K90" i="216"/>
  <c r="J90" i="216"/>
  <c r="I90" i="216"/>
  <c r="H90" i="216"/>
  <c r="G90" i="216"/>
  <c r="E90" i="216"/>
  <c r="P39" i="216"/>
  <c r="O39" i="216"/>
  <c r="N39" i="216"/>
  <c r="M39" i="216"/>
  <c r="L39" i="216"/>
  <c r="K39" i="216"/>
  <c r="J39" i="216"/>
  <c r="I39" i="216"/>
  <c r="H39" i="216"/>
  <c r="G39" i="216"/>
  <c r="E39" i="216"/>
  <c r="E358" i="288" l="1"/>
  <c r="N358" i="288" s="1"/>
  <c r="L124" i="216"/>
  <c r="L126" i="216" s="1"/>
  <c r="S129" i="287"/>
  <c r="J124" i="216"/>
  <c r="J126" i="216" s="1"/>
  <c r="S147" i="287"/>
  <c r="S148" i="287"/>
  <c r="M124" i="216"/>
  <c r="G124" i="216"/>
  <c r="O124" i="216"/>
  <c r="K124" i="216"/>
  <c r="H124" i="216"/>
  <c r="P124" i="216"/>
  <c r="I124" i="216"/>
  <c r="E124" i="216"/>
  <c r="N124" i="216"/>
  <c r="D126" i="216"/>
  <c r="Q78" i="216"/>
  <c r="Q80" i="216" s="1"/>
  <c r="L111" i="216"/>
  <c r="H111" i="216"/>
  <c r="Q90" i="216"/>
  <c r="P111" i="216"/>
  <c r="J111" i="216"/>
  <c r="G111" i="216"/>
  <c r="N111" i="216"/>
  <c r="O111" i="216"/>
  <c r="K111" i="216"/>
  <c r="I111" i="216"/>
  <c r="M111" i="216"/>
  <c r="E111" i="216"/>
  <c r="Q105" i="216"/>
  <c r="Q117" i="216"/>
  <c r="Q121" i="216"/>
  <c r="Q25" i="216"/>
  <c r="Q20" i="216"/>
  <c r="P9" i="216"/>
  <c r="O9" i="216"/>
  <c r="N9" i="216"/>
  <c r="M9" i="216"/>
  <c r="L9" i="216"/>
  <c r="K9" i="216"/>
  <c r="J9" i="216"/>
  <c r="I9" i="216"/>
  <c r="H9" i="216"/>
  <c r="G9" i="216"/>
  <c r="E9" i="216"/>
  <c r="E22" i="216" s="1"/>
  <c r="E133" i="216" s="1"/>
  <c r="E124" i="288"/>
  <c r="S146" i="287" l="1"/>
  <c r="R148" i="287"/>
  <c r="T148" i="287" s="1"/>
  <c r="R147" i="287"/>
  <c r="S131" i="287"/>
  <c r="R149" i="287" s="1"/>
  <c r="T149" i="287" s="1"/>
  <c r="P126" i="216"/>
  <c r="H126" i="216"/>
  <c r="E126" i="216"/>
  <c r="E128" i="216"/>
  <c r="K126" i="216"/>
  <c r="I126" i="216"/>
  <c r="N126" i="216"/>
  <c r="G126" i="216"/>
  <c r="M126" i="216"/>
  <c r="O126" i="216"/>
  <c r="E135" i="216"/>
  <c r="J19" i="214"/>
  <c r="F56" i="214"/>
  <c r="Q111" i="216"/>
  <c r="J16" i="214"/>
  <c r="L16" i="214" s="1"/>
  <c r="G22" i="216"/>
  <c r="G133" i="216" s="1"/>
  <c r="K22" i="216"/>
  <c r="K133" i="216" s="1"/>
  <c r="O22" i="216"/>
  <c r="O133" i="216" s="1"/>
  <c r="J22" i="216"/>
  <c r="J133" i="216" s="1"/>
  <c r="N22" i="216"/>
  <c r="N133" i="216" s="1"/>
  <c r="I22" i="216"/>
  <c r="I133" i="216" s="1"/>
  <c r="M22" i="216"/>
  <c r="M133" i="216" s="1"/>
  <c r="H22" i="216"/>
  <c r="H133" i="216" s="1"/>
  <c r="L22" i="216"/>
  <c r="L133" i="216" s="1"/>
  <c r="P22" i="216"/>
  <c r="P133" i="216" s="1"/>
  <c r="Q39" i="216"/>
  <c r="Q56" i="216"/>
  <c r="Q9" i="216"/>
  <c r="Q22" i="216" s="1"/>
  <c r="G207" i="178"/>
  <c r="S207" i="178"/>
  <c r="E47" i="288"/>
  <c r="E23" i="288"/>
  <c r="E16" i="288"/>
  <c r="T33" i="178"/>
  <c r="T147" i="287" l="1"/>
  <c r="R151" i="287"/>
  <c r="T146" i="287"/>
  <c r="S151" i="287"/>
  <c r="P135" i="216"/>
  <c r="O135" i="216"/>
  <c r="M135" i="216"/>
  <c r="K135" i="216"/>
  <c r="J135" i="216"/>
  <c r="H135" i="216"/>
  <c r="G135" i="216"/>
  <c r="I135" i="216"/>
  <c r="N135" i="216"/>
  <c r="L135" i="216"/>
  <c r="G213" i="178"/>
  <c r="T136" i="178"/>
  <c r="J32" i="214"/>
  <c r="J36" i="214"/>
  <c r="J56" i="214"/>
  <c r="J10" i="214"/>
  <c r="K19" i="214"/>
  <c r="L19" i="214"/>
  <c r="L56" i="214" l="1"/>
  <c r="K56" i="214"/>
  <c r="F77" i="214" l="1"/>
  <c r="J78" i="214"/>
  <c r="E7" i="288"/>
  <c r="E10" i="288"/>
  <c r="E11" i="288" s="1"/>
  <c r="N11" i="288" s="1"/>
  <c r="E13" i="288"/>
  <c r="E21" i="288"/>
  <c r="E46" i="288"/>
  <c r="E48" i="288" s="1"/>
  <c r="N48" i="288" s="1"/>
  <c r="E51" i="288"/>
  <c r="E52" i="288" s="1"/>
  <c r="N52" i="288" s="1"/>
  <c r="E54" i="288"/>
  <c r="E55" i="288" s="1"/>
  <c r="N55" i="288" s="1"/>
  <c r="E61" i="288"/>
  <c r="E62" i="288" s="1"/>
  <c r="N62" i="288" s="1"/>
  <c r="E109" i="288"/>
  <c r="E22" i="288"/>
  <c r="E70" i="288"/>
  <c r="E71" i="288" s="1"/>
  <c r="N71" i="288" s="1"/>
  <c r="E73" i="288"/>
  <c r="E110" i="288"/>
  <c r="E15" i="288"/>
  <c r="E86" i="288"/>
  <c r="E88" i="288" s="1"/>
  <c r="N88" i="288" s="1"/>
  <c r="E90" i="288"/>
  <c r="E91" i="288" s="1"/>
  <c r="N91" i="288" s="1"/>
  <c r="E111" i="288"/>
  <c r="E74" i="288"/>
  <c r="E79" i="288"/>
  <c r="E78" i="288"/>
  <c r="E113" i="288"/>
  <c r="E64" i="288"/>
  <c r="E65" i="288" s="1"/>
  <c r="N65" i="288" s="1"/>
  <c r="E67" i="288"/>
  <c r="E68" i="288" s="1"/>
  <c r="N68" i="288" s="1"/>
  <c r="E18" i="288"/>
  <c r="E30" i="288"/>
  <c r="E32" i="288" s="1"/>
  <c r="N32" i="288" s="1"/>
  <c r="E34" i="288"/>
  <c r="E36" i="288" s="1"/>
  <c r="N36" i="288" s="1"/>
  <c r="E96" i="288"/>
  <c r="E98" i="288" s="1"/>
  <c r="N98" i="288" s="1"/>
  <c r="E104" i="288"/>
  <c r="E106" i="288" s="1"/>
  <c r="N106" i="288" s="1"/>
  <c r="E42" i="288"/>
  <c r="E44" i="288" s="1"/>
  <c r="N44" i="288" s="1"/>
  <c r="E153" i="288"/>
  <c r="E209" i="288"/>
  <c r="E144" i="288"/>
  <c r="E162" i="288"/>
  <c r="E210" i="288"/>
  <c r="E211" i="288"/>
  <c r="E163" i="288"/>
  <c r="E133" i="288"/>
  <c r="E134" i="288"/>
  <c r="E212" i="288"/>
  <c r="E129" i="288"/>
  <c r="E130" i="288"/>
  <c r="E305" i="288"/>
  <c r="E10" i="215"/>
  <c r="C50" i="215"/>
  <c r="C48" i="215"/>
  <c r="H48" i="215" s="1"/>
  <c r="E14" i="215"/>
  <c r="E13" i="215"/>
  <c r="E12" i="215"/>
  <c r="E9" i="215"/>
  <c r="J47" i="214"/>
  <c r="K47" i="214" s="1"/>
  <c r="J46" i="214"/>
  <c r="J44" i="214"/>
  <c r="J40" i="214"/>
  <c r="J28" i="214"/>
  <c r="J22" i="214"/>
  <c r="J13" i="214"/>
  <c r="J42" i="214"/>
  <c r="J38" i="214"/>
  <c r="J34" i="214"/>
  <c r="J30" i="214"/>
  <c r="J26" i="214"/>
  <c r="J24" i="214"/>
  <c r="J18" i="214"/>
  <c r="J20" i="214" s="1"/>
  <c r="J8" i="214"/>
  <c r="AL43" i="178"/>
  <c r="AK43" i="178"/>
  <c r="AJ43" i="178"/>
  <c r="AI43" i="178"/>
  <c r="AH43" i="178"/>
  <c r="AG43" i="178"/>
  <c r="AF43" i="178"/>
  <c r="AE43" i="178"/>
  <c r="AD43" i="178"/>
  <c r="AC43" i="178"/>
  <c r="AB43" i="178"/>
  <c r="AA43" i="178"/>
  <c r="S43" i="178"/>
  <c r="R43" i="178"/>
  <c r="Q43" i="178"/>
  <c r="P43" i="178"/>
  <c r="O43" i="178"/>
  <c r="N43" i="178"/>
  <c r="M43" i="178"/>
  <c r="L43" i="178"/>
  <c r="K43" i="178"/>
  <c r="J43" i="178"/>
  <c r="I43" i="178"/>
  <c r="G43" i="178"/>
  <c r="K184" i="178"/>
  <c r="I184" i="178"/>
  <c r="G184" i="178"/>
  <c r="G208" i="178" s="1"/>
  <c r="R207" i="178"/>
  <c r="Q207" i="178"/>
  <c r="P207" i="178"/>
  <c r="O207" i="178"/>
  <c r="N207" i="178"/>
  <c r="M207" i="178"/>
  <c r="L207" i="178"/>
  <c r="K207" i="178"/>
  <c r="J207" i="178"/>
  <c r="I207" i="178"/>
  <c r="H207" i="178"/>
  <c r="N184" i="178"/>
  <c r="S107" i="178"/>
  <c r="E82" i="288" s="1"/>
  <c r="E84" i="288" s="1"/>
  <c r="N84" i="288" s="1"/>
  <c r="S88" i="178"/>
  <c r="E118" i="288"/>
  <c r="AL88" i="178"/>
  <c r="AL136" i="178" s="1"/>
  <c r="AL33" i="178"/>
  <c r="Q57" i="175"/>
  <c r="Q48" i="175"/>
  <c r="Q31" i="175"/>
  <c r="Q23" i="175"/>
  <c r="Q8" i="175"/>
  <c r="P72" i="176"/>
  <c r="O72" i="176"/>
  <c r="N72" i="176"/>
  <c r="M72" i="176"/>
  <c r="L72" i="176"/>
  <c r="K72" i="176"/>
  <c r="J72" i="176"/>
  <c r="I72" i="176"/>
  <c r="H72" i="176"/>
  <c r="G72" i="176"/>
  <c r="F72" i="176"/>
  <c r="E72" i="176"/>
  <c r="P77" i="176"/>
  <c r="O77" i="176"/>
  <c r="N77" i="176"/>
  <c r="M77" i="176"/>
  <c r="L77" i="176"/>
  <c r="K77" i="176"/>
  <c r="J77" i="176"/>
  <c r="I77" i="176"/>
  <c r="H77" i="176"/>
  <c r="G77" i="176"/>
  <c r="F77" i="176"/>
  <c r="E77" i="176"/>
  <c r="P87" i="176"/>
  <c r="O87" i="176"/>
  <c r="N87" i="176"/>
  <c r="M87" i="176"/>
  <c r="L87" i="176"/>
  <c r="K87" i="176"/>
  <c r="J87" i="176"/>
  <c r="I87" i="176"/>
  <c r="H87" i="176"/>
  <c r="G87" i="176"/>
  <c r="F87" i="176"/>
  <c r="E87" i="176"/>
  <c r="P133" i="176"/>
  <c r="O133" i="176"/>
  <c r="N133" i="176"/>
  <c r="M133" i="176"/>
  <c r="L133" i="176"/>
  <c r="K133" i="176"/>
  <c r="J133" i="176"/>
  <c r="I133" i="176"/>
  <c r="H133" i="176"/>
  <c r="G133" i="176"/>
  <c r="F133" i="176"/>
  <c r="E133" i="176"/>
  <c r="Q132" i="176"/>
  <c r="Q133" i="176" s="1"/>
  <c r="E408" i="288" s="1"/>
  <c r="P61" i="176"/>
  <c r="O61" i="176"/>
  <c r="N61" i="176"/>
  <c r="M61" i="176"/>
  <c r="L61" i="176"/>
  <c r="K61" i="176"/>
  <c r="J61" i="176"/>
  <c r="I61" i="176"/>
  <c r="H61" i="176"/>
  <c r="G61" i="176"/>
  <c r="F61" i="176"/>
  <c r="Q60" i="176"/>
  <c r="Q61" i="176" s="1"/>
  <c r="P67" i="176"/>
  <c r="O67" i="176"/>
  <c r="N67" i="176"/>
  <c r="M67" i="176"/>
  <c r="L67" i="176"/>
  <c r="K67" i="176"/>
  <c r="J67" i="176"/>
  <c r="I67" i="176"/>
  <c r="H67" i="176"/>
  <c r="G67" i="176"/>
  <c r="F67" i="176"/>
  <c r="E67" i="176"/>
  <c r="P54" i="176"/>
  <c r="O54" i="176"/>
  <c r="N54" i="176"/>
  <c r="M54" i="176"/>
  <c r="L54" i="176"/>
  <c r="K54" i="176"/>
  <c r="J54" i="176"/>
  <c r="I54" i="176"/>
  <c r="H54" i="176"/>
  <c r="G54" i="176"/>
  <c r="F54" i="176"/>
  <c r="E54" i="176"/>
  <c r="E310" i="288"/>
  <c r="P124" i="176"/>
  <c r="O124" i="176"/>
  <c r="N124" i="176"/>
  <c r="M124" i="176"/>
  <c r="L124" i="176"/>
  <c r="K124" i="176"/>
  <c r="J124" i="176"/>
  <c r="I124" i="176"/>
  <c r="H124" i="176"/>
  <c r="G124" i="176"/>
  <c r="F124" i="176"/>
  <c r="E124" i="176"/>
  <c r="E139" i="176"/>
  <c r="Q121" i="176"/>
  <c r="E47" i="176" s="1"/>
  <c r="G47" i="176" s="1"/>
  <c r="Q120" i="176"/>
  <c r="E46" i="176" s="1"/>
  <c r="G46" i="176" s="1"/>
  <c r="Q119" i="176"/>
  <c r="F15" i="176" s="1"/>
  <c r="Q118" i="176"/>
  <c r="F14" i="176" s="1"/>
  <c r="Q117" i="176"/>
  <c r="F13" i="176" s="1"/>
  <c r="Q116" i="176"/>
  <c r="F12" i="176" s="1"/>
  <c r="Q115" i="176"/>
  <c r="F11" i="176" s="1"/>
  <c r="G11" i="176" s="1"/>
  <c r="Q114" i="176"/>
  <c r="F10" i="176" s="1"/>
  <c r="Q113" i="176"/>
  <c r="F9" i="176" s="1"/>
  <c r="Q112" i="176"/>
  <c r="F8" i="176" s="1"/>
  <c r="Q111" i="176"/>
  <c r="E7" i="176" s="1"/>
  <c r="Q110" i="176"/>
  <c r="E6" i="176" s="1"/>
  <c r="Q109" i="176"/>
  <c r="E5" i="176" s="1"/>
  <c r="Q108" i="176"/>
  <c r="E4" i="176" s="1"/>
  <c r="Q107" i="176"/>
  <c r="E3" i="176" s="1"/>
  <c r="Q123" i="176"/>
  <c r="E45" i="176" s="1"/>
  <c r="Q122" i="176"/>
  <c r="E44" i="176" s="1"/>
  <c r="Q86" i="176"/>
  <c r="Q87" i="176" s="1"/>
  <c r="Q138" i="176"/>
  <c r="Q139" i="176" s="1"/>
  <c r="Q94" i="176"/>
  <c r="Q92" i="176"/>
  <c r="Q95" i="176"/>
  <c r="Q147" i="176"/>
  <c r="Q146" i="176"/>
  <c r="Q148" i="176"/>
  <c r="Q150" i="176"/>
  <c r="Q145" i="176"/>
  <c r="Q76" i="176"/>
  <c r="Q77" i="176" s="1"/>
  <c r="Q71" i="176"/>
  <c r="Q72" i="176" s="1"/>
  <c r="Q66" i="176"/>
  <c r="Q65" i="176"/>
  <c r="Q53" i="176"/>
  <c r="Q52" i="176"/>
  <c r="Q51" i="176"/>
  <c r="F91" i="214"/>
  <c r="F90" i="214"/>
  <c r="F87" i="214"/>
  <c r="F86" i="214"/>
  <c r="F83" i="214"/>
  <c r="F75" i="214"/>
  <c r="H20" i="176"/>
  <c r="P151" i="176"/>
  <c r="O151" i="176"/>
  <c r="N151" i="176"/>
  <c r="M151" i="176"/>
  <c r="L151" i="176"/>
  <c r="K151" i="176"/>
  <c r="J151" i="176"/>
  <c r="I151" i="176"/>
  <c r="P139" i="176"/>
  <c r="O139" i="176"/>
  <c r="N139" i="176"/>
  <c r="M139" i="176"/>
  <c r="L139" i="176"/>
  <c r="K139" i="176"/>
  <c r="J139" i="176"/>
  <c r="I139" i="176"/>
  <c r="H151" i="176"/>
  <c r="H139" i="176"/>
  <c r="G151" i="176"/>
  <c r="G139" i="176"/>
  <c r="AI57" i="175"/>
  <c r="AH57" i="175"/>
  <c r="AG57" i="175"/>
  <c r="AF57" i="175"/>
  <c r="AE57" i="175"/>
  <c r="AD57" i="175"/>
  <c r="AC57" i="175"/>
  <c r="AB57" i="175"/>
  <c r="AA57" i="175"/>
  <c r="Z57" i="175"/>
  <c r="Y57" i="175"/>
  <c r="AI48" i="175"/>
  <c r="AH48" i="175"/>
  <c r="AG48" i="175"/>
  <c r="AF48" i="175"/>
  <c r="AE48" i="175"/>
  <c r="AD48" i="175"/>
  <c r="AC48" i="175"/>
  <c r="AB48" i="175"/>
  <c r="AA48" i="175"/>
  <c r="Z48" i="175"/>
  <c r="Y48" i="175"/>
  <c r="AI31" i="175"/>
  <c r="AH31" i="175"/>
  <c r="AG31" i="175"/>
  <c r="AF31" i="175"/>
  <c r="AE31" i="175"/>
  <c r="AD31" i="175"/>
  <c r="AC31" i="175"/>
  <c r="AB31" i="175"/>
  <c r="AA31" i="175"/>
  <c r="Z31" i="175"/>
  <c r="Y31" i="175"/>
  <c r="AI23" i="175"/>
  <c r="AH23" i="175"/>
  <c r="AG23" i="175"/>
  <c r="AF23" i="175"/>
  <c r="AE23" i="175"/>
  <c r="AD23" i="175"/>
  <c r="AC23" i="175"/>
  <c r="AB23" i="175"/>
  <c r="AA23" i="175"/>
  <c r="Z23" i="175"/>
  <c r="Y23" i="175"/>
  <c r="P57" i="175"/>
  <c r="O57" i="175"/>
  <c r="N57" i="175"/>
  <c r="M57" i="175"/>
  <c r="L57" i="175"/>
  <c r="K57" i="175"/>
  <c r="J57" i="175"/>
  <c r="I57" i="175"/>
  <c r="H57" i="175"/>
  <c r="G57" i="175"/>
  <c r="F57" i="175"/>
  <c r="P48" i="175"/>
  <c r="O48" i="175"/>
  <c r="N48" i="175"/>
  <c r="M48" i="175"/>
  <c r="L48" i="175"/>
  <c r="K48" i="175"/>
  <c r="J48" i="175"/>
  <c r="I48" i="175"/>
  <c r="H48" i="175"/>
  <c r="G48" i="175"/>
  <c r="F48" i="175"/>
  <c r="P8" i="175"/>
  <c r="O8" i="175"/>
  <c r="N8" i="175"/>
  <c r="M8" i="175"/>
  <c r="L8" i="175"/>
  <c r="K8" i="175"/>
  <c r="J8" i="175"/>
  <c r="I8" i="175"/>
  <c r="H8" i="175"/>
  <c r="G8" i="175"/>
  <c r="F8" i="175"/>
  <c r="P31" i="175"/>
  <c r="O31" i="175"/>
  <c r="N31" i="175"/>
  <c r="M31" i="175"/>
  <c r="L31" i="175"/>
  <c r="K31" i="175"/>
  <c r="J31" i="175"/>
  <c r="I31" i="175"/>
  <c r="H31" i="175"/>
  <c r="G31" i="175"/>
  <c r="F31" i="175"/>
  <c r="P23" i="175"/>
  <c r="O23" i="175"/>
  <c r="N23" i="175"/>
  <c r="M23" i="175"/>
  <c r="L23" i="175"/>
  <c r="K23" i="175"/>
  <c r="J23" i="175"/>
  <c r="I23" i="175"/>
  <c r="H23" i="175"/>
  <c r="G23" i="175"/>
  <c r="F23" i="175"/>
  <c r="E338" i="288"/>
  <c r="E339" i="288" s="1"/>
  <c r="E327" i="288"/>
  <c r="E324" i="288"/>
  <c r="E325" i="288" s="1"/>
  <c r="E27" i="176"/>
  <c r="G63" i="178"/>
  <c r="E319" i="288"/>
  <c r="E348" i="288"/>
  <c r="E347" i="288"/>
  <c r="E343" i="288"/>
  <c r="E344" i="288" s="1"/>
  <c r="N344" i="288" s="1"/>
  <c r="E335" i="288"/>
  <c r="E336" i="288" s="1"/>
  <c r="E328" i="288"/>
  <c r="E332" i="288"/>
  <c r="E333" i="288" s="1"/>
  <c r="N333" i="288" s="1"/>
  <c r="E302" i="288"/>
  <c r="E143" i="288"/>
  <c r="D9" i="212"/>
  <c r="D8" i="212"/>
  <c r="D7" i="212"/>
  <c r="V31" i="175"/>
  <c r="V35" i="175" s="1"/>
  <c r="AJ31" i="175"/>
  <c r="AJ23" i="175"/>
  <c r="E311" i="288"/>
  <c r="AJ57" i="175"/>
  <c r="AJ65" i="175" s="1"/>
  <c r="G88" i="178"/>
  <c r="G107" i="178"/>
  <c r="AK88" i="178"/>
  <c r="AK136" i="178" s="1"/>
  <c r="AJ88" i="178"/>
  <c r="AJ136" i="178" s="1"/>
  <c r="AI88" i="178"/>
  <c r="AI136" i="178" s="1"/>
  <c r="AH88" i="178"/>
  <c r="AH136" i="178" s="1"/>
  <c r="AG88" i="178"/>
  <c r="AG136" i="178" s="1"/>
  <c r="AF88" i="178"/>
  <c r="AF136" i="178" s="1"/>
  <c r="AE88" i="178"/>
  <c r="AE136" i="178" s="1"/>
  <c r="AD88" i="178"/>
  <c r="AD136" i="178" s="1"/>
  <c r="AC88" i="178"/>
  <c r="AC136" i="178" s="1"/>
  <c r="AB88" i="178"/>
  <c r="AB136" i="178" s="1"/>
  <c r="AA88" i="178"/>
  <c r="AA136" i="178" s="1"/>
  <c r="AK33" i="178"/>
  <c r="AJ33" i="178"/>
  <c r="AI33" i="178"/>
  <c r="AH33" i="178"/>
  <c r="AG33" i="178"/>
  <c r="AF33" i="178"/>
  <c r="AE33" i="178"/>
  <c r="AD33" i="178"/>
  <c r="AC33" i="178"/>
  <c r="AB33" i="178"/>
  <c r="AA33" i="178"/>
  <c r="R88" i="178"/>
  <c r="R107" i="178"/>
  <c r="Q88" i="178"/>
  <c r="Q107" i="178"/>
  <c r="P88" i="178"/>
  <c r="P107" i="178"/>
  <c r="O88" i="178"/>
  <c r="O107" i="178"/>
  <c r="N88" i="178"/>
  <c r="N107" i="178"/>
  <c r="M88" i="178"/>
  <c r="M107" i="178"/>
  <c r="L88" i="178"/>
  <c r="L107" i="178"/>
  <c r="K88" i="178"/>
  <c r="K107" i="178"/>
  <c r="J88" i="178"/>
  <c r="J107" i="178"/>
  <c r="I88" i="178"/>
  <c r="I107" i="178"/>
  <c r="H88" i="178"/>
  <c r="H107" i="178"/>
  <c r="F139" i="176"/>
  <c r="E151" i="176"/>
  <c r="F151" i="176"/>
  <c r="V71" i="175"/>
  <c r="E313" i="288"/>
  <c r="E367" i="288" l="1"/>
  <c r="N367" i="288" s="1"/>
  <c r="E356" i="288"/>
  <c r="N356" i="288" s="1"/>
  <c r="E357" i="288"/>
  <c r="N357" i="288" s="1"/>
  <c r="E366" i="288"/>
  <c r="N366" i="288" s="1"/>
  <c r="E365" i="288"/>
  <c r="N365" i="288" s="1"/>
  <c r="E368" i="288"/>
  <c r="N368" i="288" s="1"/>
  <c r="E362" i="288"/>
  <c r="E363" i="288" s="1"/>
  <c r="E369" i="288"/>
  <c r="N369" i="288" s="1"/>
  <c r="E379" i="288"/>
  <c r="N379" i="288" s="1"/>
  <c r="E159" i="288"/>
  <c r="E160" i="288" s="1"/>
  <c r="N160" i="288" s="1"/>
  <c r="E175" i="288"/>
  <c r="E177" i="288" s="1"/>
  <c r="N177" i="288" s="1"/>
  <c r="E197" i="288"/>
  <c r="E199" i="288" s="1"/>
  <c r="N199" i="288" s="1"/>
  <c r="E205" i="288"/>
  <c r="E206" i="288" s="1"/>
  <c r="N206" i="288" s="1"/>
  <c r="E194" i="288"/>
  <c r="E195" i="288" s="1"/>
  <c r="N195" i="288" s="1"/>
  <c r="E179" i="288"/>
  <c r="E181" i="288" s="1"/>
  <c r="N181" i="288" s="1"/>
  <c r="E191" i="288"/>
  <c r="E192" i="288" s="1"/>
  <c r="N192" i="288" s="1"/>
  <c r="E167" i="288"/>
  <c r="E169" i="288" s="1"/>
  <c r="N169" i="288" s="1"/>
  <c r="E171" i="288"/>
  <c r="E173" i="288" s="1"/>
  <c r="N173" i="288" s="1"/>
  <c r="E201" i="288"/>
  <c r="E203" i="288" s="1"/>
  <c r="N203" i="288" s="1"/>
  <c r="E183" i="288"/>
  <c r="E185" i="288" s="1"/>
  <c r="N185" i="288" s="1"/>
  <c r="E122" i="288"/>
  <c r="E127" i="288" s="1"/>
  <c r="N127" i="288" s="1"/>
  <c r="E187" i="288"/>
  <c r="E189" i="288" s="1"/>
  <c r="N189" i="288" s="1"/>
  <c r="E152" i="288"/>
  <c r="E154" i="288" s="1"/>
  <c r="N154" i="288" s="1"/>
  <c r="E140" i="288"/>
  <c r="E141" i="288" s="1"/>
  <c r="N141" i="288" s="1"/>
  <c r="E329" i="288"/>
  <c r="N330" i="288" s="1"/>
  <c r="E349" i="288"/>
  <c r="N349" i="288" s="1"/>
  <c r="G65" i="178"/>
  <c r="N325" i="288"/>
  <c r="E214" i="288"/>
  <c r="N214" i="288" s="1"/>
  <c r="E135" i="288"/>
  <c r="N135" i="288" s="1"/>
  <c r="E120" i="288"/>
  <c r="N120" i="288" s="1"/>
  <c r="E131" i="288"/>
  <c r="N131" i="288" s="1"/>
  <c r="E165" i="288"/>
  <c r="N165" i="288" s="1"/>
  <c r="E19" i="288"/>
  <c r="N19" i="288" s="1"/>
  <c r="E80" i="288"/>
  <c r="N80" i="288" s="1"/>
  <c r="E76" i="288"/>
  <c r="N76" i="288" s="1"/>
  <c r="E114" i="288"/>
  <c r="N114" i="288" s="1"/>
  <c r="E8" i="288"/>
  <c r="N8" i="288" s="1"/>
  <c r="AF65" i="178"/>
  <c r="AL65" i="178"/>
  <c r="N65" i="178"/>
  <c r="N67" i="178" s="1"/>
  <c r="M65" i="178"/>
  <c r="M67" i="178" s="1"/>
  <c r="AB65" i="178"/>
  <c r="AJ65" i="178"/>
  <c r="I65" i="178"/>
  <c r="I67" i="178" s="1"/>
  <c r="Q65" i="178"/>
  <c r="Q67" i="178" s="1"/>
  <c r="AK65" i="178"/>
  <c r="L65" i="178"/>
  <c r="L67" i="178" s="1"/>
  <c r="AA65" i="178"/>
  <c r="AI65" i="178"/>
  <c r="AE65" i="178"/>
  <c r="O65" i="178"/>
  <c r="O67" i="178" s="1"/>
  <c r="AC65" i="178"/>
  <c r="K65" i="178"/>
  <c r="E26" i="288"/>
  <c r="E28" i="288" s="1"/>
  <c r="N28" i="288" s="1"/>
  <c r="S65" i="178"/>
  <c r="AH65" i="178"/>
  <c r="P65" i="178"/>
  <c r="P67" i="178" s="1"/>
  <c r="AD65" i="178"/>
  <c r="J65" i="178"/>
  <c r="J67" i="178" s="1"/>
  <c r="R65" i="178"/>
  <c r="R67" i="178" s="1"/>
  <c r="AG65" i="178"/>
  <c r="AD35" i="175"/>
  <c r="AF65" i="175"/>
  <c r="I65" i="175"/>
  <c r="AH35" i="175"/>
  <c r="Z35" i="175"/>
  <c r="AB65" i="175"/>
  <c r="N208" i="178"/>
  <c r="K208" i="178"/>
  <c r="I208" i="178"/>
  <c r="G188" i="178"/>
  <c r="J77" i="214"/>
  <c r="K77" i="214" s="1"/>
  <c r="M65" i="175"/>
  <c r="S184" i="178"/>
  <c r="S208" i="178" s="1"/>
  <c r="E318" i="288"/>
  <c r="Q35" i="175"/>
  <c r="G65" i="175"/>
  <c r="K65" i="175"/>
  <c r="O65" i="175"/>
  <c r="AB35" i="175"/>
  <c r="AF35" i="175"/>
  <c r="Z65" i="175"/>
  <c r="AD65" i="175"/>
  <c r="AH65" i="175"/>
  <c r="F78" i="214"/>
  <c r="E49" i="176"/>
  <c r="F44" i="176"/>
  <c r="F49" i="176" s="1"/>
  <c r="G49" i="176"/>
  <c r="AJ35" i="175"/>
  <c r="H35" i="175"/>
  <c r="L35" i="175"/>
  <c r="P35" i="175"/>
  <c r="G35" i="175"/>
  <c r="K35" i="175"/>
  <c r="O35" i="175"/>
  <c r="Y35" i="175"/>
  <c r="AC35" i="175"/>
  <c r="AG35" i="175"/>
  <c r="F35" i="175"/>
  <c r="J35" i="175"/>
  <c r="N35" i="175"/>
  <c r="I35" i="175"/>
  <c r="M35" i="175"/>
  <c r="AA35" i="175"/>
  <c r="AE35" i="175"/>
  <c r="AI35" i="175"/>
  <c r="H65" i="175"/>
  <c r="L65" i="175"/>
  <c r="P65" i="175"/>
  <c r="AA65" i="175"/>
  <c r="AE65" i="175"/>
  <c r="AI65" i="175"/>
  <c r="F65" i="175"/>
  <c r="J65" i="175"/>
  <c r="N65" i="175"/>
  <c r="Y65" i="175"/>
  <c r="AC65" i="175"/>
  <c r="AG65" i="175"/>
  <c r="Q65" i="175"/>
  <c r="Q71" i="175" s="1"/>
  <c r="E304" i="288"/>
  <c r="AJ71" i="175"/>
  <c r="Q97" i="176"/>
  <c r="M184" i="178"/>
  <c r="M208" i="178" s="1"/>
  <c r="F63" i="214"/>
  <c r="L184" i="178"/>
  <c r="L208" i="178" s="1"/>
  <c r="AM88" i="178"/>
  <c r="AM63" i="178"/>
  <c r="F84" i="214"/>
  <c r="F81" i="214"/>
  <c r="F80" i="214"/>
  <c r="F79" i="214"/>
  <c r="J76" i="214"/>
  <c r="L76" i="214" s="1"/>
  <c r="F76" i="214"/>
  <c r="I136" i="178"/>
  <c r="I138" i="178" s="1"/>
  <c r="AM43" i="178"/>
  <c r="AM33" i="178"/>
  <c r="T43" i="178"/>
  <c r="J49" i="214"/>
  <c r="K46" i="214"/>
  <c r="K49" i="214" s="1"/>
  <c r="L14" i="214"/>
  <c r="K24" i="214"/>
  <c r="L24" i="214"/>
  <c r="L20" i="214"/>
  <c r="L78" i="214"/>
  <c r="K78" i="214"/>
  <c r="K28" i="214"/>
  <c r="L28" i="214"/>
  <c r="L47" i="214"/>
  <c r="L49" i="214" s="1"/>
  <c r="AC138" i="178"/>
  <c r="AE138" i="178"/>
  <c r="AG138" i="178"/>
  <c r="AI138" i="178"/>
  <c r="AK138" i="178"/>
  <c r="AB138" i="178"/>
  <c r="AD138" i="178"/>
  <c r="AF138" i="178"/>
  <c r="AH138" i="178"/>
  <c r="AJ138" i="178"/>
  <c r="D15" i="212"/>
  <c r="D16" i="212"/>
  <c r="D6" i="212"/>
  <c r="D17" i="212"/>
  <c r="D14" i="212"/>
  <c r="D13" i="212"/>
  <c r="T63" i="178"/>
  <c r="K136" i="178"/>
  <c r="K138" i="178" s="1"/>
  <c r="M136" i="178"/>
  <c r="M138" i="178" s="1"/>
  <c r="O136" i="178"/>
  <c r="O138" i="178" s="1"/>
  <c r="Q136" i="178"/>
  <c r="Q138" i="178" s="1"/>
  <c r="E57" i="288"/>
  <c r="E59" i="288" s="1"/>
  <c r="N59" i="288" s="1"/>
  <c r="H147" i="178"/>
  <c r="H148" i="178" s="1"/>
  <c r="H136" i="178"/>
  <c r="H138" i="178" s="1"/>
  <c r="J136" i="178"/>
  <c r="J138" i="178" s="1"/>
  <c r="L136" i="178"/>
  <c r="L138" i="178" s="1"/>
  <c r="N136" i="178"/>
  <c r="N138" i="178" s="1"/>
  <c r="P136" i="178"/>
  <c r="P138" i="178" s="1"/>
  <c r="R136" i="178"/>
  <c r="R138" i="178" s="1"/>
  <c r="P184" i="178"/>
  <c r="P208" i="178" s="1"/>
  <c r="G136" i="178"/>
  <c r="G138" i="178" s="1"/>
  <c r="Q184" i="178"/>
  <c r="Q208" i="178" s="1"/>
  <c r="R184" i="178"/>
  <c r="R208" i="178" s="1"/>
  <c r="J184" i="178"/>
  <c r="J208" i="178" s="1"/>
  <c r="O184" i="178"/>
  <c r="O208" i="178" s="1"/>
  <c r="H184" i="178"/>
  <c r="H208" i="178" s="1"/>
  <c r="T163" i="178"/>
  <c r="T207" i="178"/>
  <c r="K67" i="178"/>
  <c r="H67" i="178"/>
  <c r="G5" i="176"/>
  <c r="G9" i="176"/>
  <c r="G13" i="176"/>
  <c r="G8" i="176"/>
  <c r="G12" i="176"/>
  <c r="G3" i="176"/>
  <c r="G7" i="176"/>
  <c r="G15" i="176"/>
  <c r="G6" i="176"/>
  <c r="G14" i="176"/>
  <c r="J86" i="214"/>
  <c r="J91" i="214"/>
  <c r="K104" i="176"/>
  <c r="J83" i="214"/>
  <c r="J75" i="214"/>
  <c r="K75" i="214" s="1"/>
  <c r="J90" i="214"/>
  <c r="J87" i="214"/>
  <c r="G24" i="176"/>
  <c r="G25" i="176"/>
  <c r="N103" i="176"/>
  <c r="G103" i="176"/>
  <c r="Q151" i="176"/>
  <c r="Q67" i="176"/>
  <c r="C38" i="175"/>
  <c r="T183" i="178"/>
  <c r="Q54" i="176"/>
  <c r="P103" i="176"/>
  <c r="Q124" i="176"/>
  <c r="E20" i="176"/>
  <c r="G4" i="176"/>
  <c r="G10" i="176"/>
  <c r="F20" i="176"/>
  <c r="J80" i="214"/>
  <c r="J84" i="214"/>
  <c r="G3" i="214"/>
  <c r="J14" i="214"/>
  <c r="J81" i="214"/>
  <c r="J79" i="214"/>
  <c r="C47" i="215" l="1"/>
  <c r="H47" i="215" s="1"/>
  <c r="K147" i="178"/>
  <c r="K148" i="178" s="1"/>
  <c r="C12" i="215"/>
  <c r="H12" i="215" s="1"/>
  <c r="C22" i="281"/>
  <c r="C48" i="281" s="1"/>
  <c r="E48" i="281" s="1"/>
  <c r="N362" i="288"/>
  <c r="E371" i="288"/>
  <c r="N371" i="288" s="1"/>
  <c r="E360" i="288"/>
  <c r="N360" i="288" s="1"/>
  <c r="E137" i="288"/>
  <c r="E138" i="288" s="1"/>
  <c r="J147" i="178"/>
  <c r="J148" i="178" s="1"/>
  <c r="E156" i="288"/>
  <c r="E157" i="288" s="1"/>
  <c r="N157" i="288" s="1"/>
  <c r="E148" i="288"/>
  <c r="E150" i="288" s="1"/>
  <c r="N150" i="288" s="1"/>
  <c r="AG67" i="178"/>
  <c r="AG71" i="178" s="1"/>
  <c r="AG143" i="178" s="1"/>
  <c r="AG144" i="178" s="1"/>
  <c r="AC67" i="178"/>
  <c r="AC71" i="178" s="1"/>
  <c r="AC143" i="178" s="1"/>
  <c r="AC144" i="178" s="1"/>
  <c r="AD67" i="178"/>
  <c r="AD71" i="178" s="1"/>
  <c r="AD143" i="178" s="1"/>
  <c r="AD144" i="178" s="1"/>
  <c r="AB67" i="178"/>
  <c r="AB71" i="178" s="1"/>
  <c r="AB143" i="178" s="1"/>
  <c r="AB144" i="178" s="1"/>
  <c r="AJ67" i="178"/>
  <c r="AJ71" i="178" s="1"/>
  <c r="AJ143" i="178" s="1"/>
  <c r="AJ144" i="178" s="1"/>
  <c r="AI67" i="178"/>
  <c r="AI71" i="178" s="1"/>
  <c r="AI143" i="178" s="1"/>
  <c r="AI144" i="178" s="1"/>
  <c r="AK67" i="178"/>
  <c r="AK71" i="178" s="1"/>
  <c r="AK143" i="178" s="1"/>
  <c r="AK144" i="178" s="1"/>
  <c r="E341" i="288"/>
  <c r="N341" i="288" s="1"/>
  <c r="M147" i="178"/>
  <c r="M148" i="178" s="1"/>
  <c r="Q147" i="178"/>
  <c r="Q148" i="178" s="1"/>
  <c r="N363" i="288"/>
  <c r="E409" i="288"/>
  <c r="E410" i="288" s="1"/>
  <c r="N410" i="288" s="1"/>
  <c r="E312" i="288"/>
  <c r="E315" i="288" s="1"/>
  <c r="N315" i="288" s="1"/>
  <c r="R147" i="178"/>
  <c r="R148" i="178" s="1"/>
  <c r="AD147" i="178"/>
  <c r="AI147" i="178"/>
  <c r="O147" i="178"/>
  <c r="O148" i="178" s="1"/>
  <c r="AG147" i="178"/>
  <c r="AC147" i="178"/>
  <c r="AF147" i="178"/>
  <c r="T65" i="178"/>
  <c r="T145" i="178" s="1"/>
  <c r="AH147" i="178"/>
  <c r="N147" i="178"/>
  <c r="N148" i="178" s="1"/>
  <c r="I147" i="178"/>
  <c r="I148" i="178" s="1"/>
  <c r="AE147" i="178"/>
  <c r="AJ147" i="178"/>
  <c r="AB147" i="178"/>
  <c r="AK147" i="178"/>
  <c r="L147" i="178"/>
  <c r="L148" i="178" s="1"/>
  <c r="P147" i="178"/>
  <c r="P148" i="178" s="1"/>
  <c r="E320" i="288"/>
  <c r="I67" i="175"/>
  <c r="S188" i="178"/>
  <c r="L77" i="214"/>
  <c r="K76" i="214"/>
  <c r="AA147" i="178"/>
  <c r="Z147" i="178"/>
  <c r="AL147" i="178"/>
  <c r="AI67" i="175"/>
  <c r="E7" i="215"/>
  <c r="G12" i="281"/>
  <c r="E42" i="215"/>
  <c r="E8" i="215"/>
  <c r="G14" i="281"/>
  <c r="E43" i="215"/>
  <c r="H2" i="214"/>
  <c r="H47" i="214" s="1"/>
  <c r="F1" i="214"/>
  <c r="F2" i="214"/>
  <c r="H1" i="214"/>
  <c r="J104" i="176"/>
  <c r="O104" i="176"/>
  <c r="R65" i="175"/>
  <c r="R35" i="175"/>
  <c r="AK35" i="175"/>
  <c r="AK65" i="175"/>
  <c r="J83" i="176"/>
  <c r="M83" i="176"/>
  <c r="K83" i="176"/>
  <c r="F83" i="176"/>
  <c r="I83" i="176"/>
  <c r="P83" i="176"/>
  <c r="G83" i="176"/>
  <c r="E83" i="176"/>
  <c r="L83" i="176"/>
  <c r="N83" i="176"/>
  <c r="H83" i="176"/>
  <c r="O83" i="176"/>
  <c r="G84" i="176"/>
  <c r="F84" i="176"/>
  <c r="M84" i="176"/>
  <c r="P84" i="176"/>
  <c r="I84" i="176"/>
  <c r="L84" i="176"/>
  <c r="O84" i="176"/>
  <c r="N84" i="176"/>
  <c r="E84" i="176"/>
  <c r="H84" i="176"/>
  <c r="K84" i="176"/>
  <c r="J84" i="176"/>
  <c r="AL67" i="178"/>
  <c r="AL71" i="178" s="1"/>
  <c r="AL143" i="178" s="1"/>
  <c r="AA138" i="178"/>
  <c r="AM136" i="178"/>
  <c r="AM65" i="178"/>
  <c r="AH67" i="175"/>
  <c r="Z67" i="175"/>
  <c r="C67" i="175"/>
  <c r="AE145" i="178"/>
  <c r="AA145" i="178"/>
  <c r="AG145" i="178"/>
  <c r="AF67" i="178"/>
  <c r="AF71" i="178" s="1"/>
  <c r="AF143" i="178" s="1"/>
  <c r="AF144" i="178" s="1"/>
  <c r="AE67" i="178"/>
  <c r="AE71" i="178" s="1"/>
  <c r="AE143" i="178" s="1"/>
  <c r="AE144" i="178" s="1"/>
  <c r="AK145" i="178"/>
  <c r="P104" i="176"/>
  <c r="N104" i="176"/>
  <c r="L104" i="176"/>
  <c r="E104" i="176"/>
  <c r="L103" i="176"/>
  <c r="H103" i="176"/>
  <c r="AJ67" i="175"/>
  <c r="F72" i="214"/>
  <c r="J63" i="214"/>
  <c r="K63" i="214" s="1"/>
  <c r="F92" i="214"/>
  <c r="H56" i="215"/>
  <c r="G134" i="176"/>
  <c r="P134" i="176"/>
  <c r="M134" i="176"/>
  <c r="J134" i="176"/>
  <c r="K20" i="214"/>
  <c r="K14" i="214"/>
  <c r="K81" i="214"/>
  <c r="L81" i="214"/>
  <c r="L91" i="214"/>
  <c r="K91" i="214"/>
  <c r="L79" i="214"/>
  <c r="K79" i="214"/>
  <c r="K80" i="214"/>
  <c r="L80" i="214"/>
  <c r="L90" i="214"/>
  <c r="K90" i="214"/>
  <c r="L83" i="214"/>
  <c r="K83" i="214"/>
  <c r="L84" i="214"/>
  <c r="K84" i="214"/>
  <c r="K86" i="214"/>
  <c r="L86" i="214"/>
  <c r="L87" i="214"/>
  <c r="K87" i="214"/>
  <c r="O67" i="175"/>
  <c r="E78" i="176"/>
  <c r="I78" i="176"/>
  <c r="F134" i="176"/>
  <c r="H78" i="176"/>
  <c r="E73" i="176"/>
  <c r="N78" i="176"/>
  <c r="N134" i="176"/>
  <c r="P73" i="176"/>
  <c r="M135" i="176"/>
  <c r="K135" i="176"/>
  <c r="H135" i="176"/>
  <c r="N79" i="176"/>
  <c r="E134" i="176"/>
  <c r="K78" i="176"/>
  <c r="J135" i="176"/>
  <c r="P74" i="176"/>
  <c r="H79" i="176"/>
  <c r="K134" i="176"/>
  <c r="E74" i="176"/>
  <c r="I79" i="176"/>
  <c r="H134" i="176"/>
  <c r="E135" i="176"/>
  <c r="K74" i="176"/>
  <c r="P135" i="176"/>
  <c r="F78" i="176"/>
  <c r="I135" i="176"/>
  <c r="K79" i="176"/>
  <c r="E63" i="176"/>
  <c r="L79" i="176"/>
  <c r="O135" i="176"/>
  <c r="G135" i="176"/>
  <c r="M79" i="176"/>
  <c r="L135" i="176"/>
  <c r="F79" i="176"/>
  <c r="I134" i="176"/>
  <c r="K73" i="176"/>
  <c r="N135" i="176"/>
  <c r="F135" i="176"/>
  <c r="L78" i="176"/>
  <c r="O134" i="176"/>
  <c r="M78" i="176"/>
  <c r="E79" i="176"/>
  <c r="L134" i="176"/>
  <c r="T184" i="178"/>
  <c r="R145" i="178"/>
  <c r="AD145" i="178"/>
  <c r="AF145" i="178"/>
  <c r="AC145" i="178"/>
  <c r="AI145" i="178"/>
  <c r="AJ145" i="178"/>
  <c r="AB145" i="178"/>
  <c r="AA67" i="178"/>
  <c r="AA71" i="178" s="1"/>
  <c r="AA143" i="178" s="1"/>
  <c r="H145" i="178"/>
  <c r="Q145" i="178"/>
  <c r="N145" i="178"/>
  <c r="O145" i="178"/>
  <c r="L145" i="178"/>
  <c r="P145" i="178"/>
  <c r="K145" i="178"/>
  <c r="J145" i="178"/>
  <c r="M145" i="178"/>
  <c r="I145" i="178"/>
  <c r="K103" i="176"/>
  <c r="G140" i="176"/>
  <c r="G104" i="176"/>
  <c r="O103" i="176"/>
  <c r="I104" i="176"/>
  <c r="F104" i="176"/>
  <c r="H104" i="176"/>
  <c r="M104" i="176"/>
  <c r="M103" i="176"/>
  <c r="E88" i="176"/>
  <c r="M68" i="176"/>
  <c r="M62" i="176"/>
  <c r="M55" i="176"/>
  <c r="E55" i="176"/>
  <c r="I88" i="176"/>
  <c r="E62" i="176"/>
  <c r="P55" i="176"/>
  <c r="H55" i="176"/>
  <c r="N88" i="176"/>
  <c r="M88" i="176"/>
  <c r="E68" i="176"/>
  <c r="H62" i="176"/>
  <c r="I55" i="176"/>
  <c r="I68" i="176"/>
  <c r="I62" i="176"/>
  <c r="L55" i="176"/>
  <c r="H68" i="176"/>
  <c r="L88" i="176"/>
  <c r="O55" i="176"/>
  <c r="G68" i="176"/>
  <c r="K88" i="176"/>
  <c r="N55" i="176"/>
  <c r="F68" i="176"/>
  <c r="J88" i="176"/>
  <c r="P62" i="176"/>
  <c r="H88" i="176"/>
  <c r="K55" i="176"/>
  <c r="O62" i="176"/>
  <c r="G88" i="176"/>
  <c r="J55" i="176"/>
  <c r="N62" i="176"/>
  <c r="F88" i="176"/>
  <c r="L62" i="176"/>
  <c r="P68" i="176"/>
  <c r="G55" i="176"/>
  <c r="K62" i="176"/>
  <c r="O68" i="176"/>
  <c r="F55" i="176"/>
  <c r="J62" i="176"/>
  <c r="N68" i="176"/>
  <c r="L68" i="176"/>
  <c r="P88" i="176"/>
  <c r="G62" i="176"/>
  <c r="K68" i="176"/>
  <c r="O88" i="176"/>
  <c r="F62" i="176"/>
  <c r="J68" i="176"/>
  <c r="O89" i="176"/>
  <c r="J89" i="176"/>
  <c r="O63" i="176"/>
  <c r="I63" i="176"/>
  <c r="P56" i="176"/>
  <c r="K56" i="176"/>
  <c r="G56" i="176"/>
  <c r="N89" i="176"/>
  <c r="E69" i="176"/>
  <c r="P63" i="176"/>
  <c r="K63" i="176"/>
  <c r="L56" i="176"/>
  <c r="H56" i="176"/>
  <c r="I69" i="176"/>
  <c r="L63" i="176"/>
  <c r="G63" i="176"/>
  <c r="M56" i="176"/>
  <c r="I56" i="176"/>
  <c r="E56" i="176"/>
  <c r="F89" i="176"/>
  <c r="M69" i="176"/>
  <c r="M63" i="176"/>
  <c r="H63" i="176"/>
  <c r="O56" i="176"/>
  <c r="J56" i="176"/>
  <c r="F56" i="176"/>
  <c r="E89" i="176"/>
  <c r="F63" i="176"/>
  <c r="K69" i="176"/>
  <c r="P89" i="176"/>
  <c r="G89" i="176"/>
  <c r="P69" i="176"/>
  <c r="N56" i="176"/>
  <c r="G69" i="176"/>
  <c r="L89" i="176"/>
  <c r="N69" i="176"/>
  <c r="L69" i="176"/>
  <c r="M89" i="176"/>
  <c r="N63" i="176"/>
  <c r="H89" i="176"/>
  <c r="J69" i="176"/>
  <c r="H69" i="176"/>
  <c r="I89" i="176"/>
  <c r="J63" i="176"/>
  <c r="O69" i="176"/>
  <c r="F69" i="176"/>
  <c r="K89" i="176"/>
  <c r="P140" i="176"/>
  <c r="G27" i="176"/>
  <c r="O140" i="176"/>
  <c r="P98" i="176"/>
  <c r="E98" i="176"/>
  <c r="H98" i="176"/>
  <c r="F98" i="176"/>
  <c r="G98" i="176"/>
  <c r="P99" i="176"/>
  <c r="E99" i="176"/>
  <c r="G99" i="176"/>
  <c r="H99" i="176"/>
  <c r="F99" i="176"/>
  <c r="M140" i="176"/>
  <c r="H140" i="176"/>
  <c r="F140" i="176"/>
  <c r="K140" i="176"/>
  <c r="L140" i="176"/>
  <c r="I140" i="176"/>
  <c r="J140" i="176"/>
  <c r="N140" i="176"/>
  <c r="E140" i="176"/>
  <c r="N141" i="176"/>
  <c r="O141" i="176"/>
  <c r="F141" i="176"/>
  <c r="E141" i="176"/>
  <c r="I141" i="176"/>
  <c r="P141" i="176"/>
  <c r="G141" i="176"/>
  <c r="K141" i="176"/>
  <c r="H141" i="176"/>
  <c r="L141" i="176"/>
  <c r="M141" i="176"/>
  <c r="J141" i="176"/>
  <c r="I102" i="176"/>
  <c r="I128" i="176" s="1"/>
  <c r="I103" i="176"/>
  <c r="F103" i="176"/>
  <c r="J103" i="176"/>
  <c r="E303" i="288"/>
  <c r="AJ38" i="175"/>
  <c r="AH67" i="178"/>
  <c r="AH71" i="178" s="1"/>
  <c r="AH143" i="178" s="1"/>
  <c r="AH144" i="178" s="1"/>
  <c r="AH145" i="178"/>
  <c r="Y67" i="175"/>
  <c r="V38" i="175"/>
  <c r="V67" i="175"/>
  <c r="D10" i="212"/>
  <c r="E103" i="176"/>
  <c r="K67" i="175"/>
  <c r="Q38" i="175"/>
  <c r="Q67" i="175"/>
  <c r="AD67" i="175"/>
  <c r="AL138" i="178"/>
  <c r="AL145" i="178"/>
  <c r="G67" i="178"/>
  <c r="G71" i="178" s="1"/>
  <c r="G145" i="178"/>
  <c r="P67" i="175"/>
  <c r="AE67" i="175"/>
  <c r="G67" i="175"/>
  <c r="H67" i="175"/>
  <c r="J67" i="175"/>
  <c r="AG67" i="175"/>
  <c r="AB67" i="175"/>
  <c r="N67" i="175"/>
  <c r="L67" i="175"/>
  <c r="AF67" i="175"/>
  <c r="M67" i="175"/>
  <c r="AC67" i="175"/>
  <c r="J92" i="214"/>
  <c r="AA67" i="175"/>
  <c r="D26" i="212"/>
  <c r="F67" i="175"/>
  <c r="G20" i="176"/>
  <c r="E21" i="176" s="1"/>
  <c r="E376" i="288" l="1"/>
  <c r="N376" i="288" s="1"/>
  <c r="N138" i="288"/>
  <c r="E216" i="288"/>
  <c r="N216" i="288" s="1"/>
  <c r="AL144" i="178"/>
  <c r="I128" i="216"/>
  <c r="AA144" i="178"/>
  <c r="L128" i="216"/>
  <c r="N128" i="216"/>
  <c r="M128" i="216"/>
  <c r="E307" i="288"/>
  <c r="N307" i="288" s="1"/>
  <c r="O128" i="216"/>
  <c r="P128" i="216"/>
  <c r="K128" i="216"/>
  <c r="G128" i="216"/>
  <c r="H128" i="216"/>
  <c r="J128" i="216"/>
  <c r="R67" i="175"/>
  <c r="AK67" i="175"/>
  <c r="AM147" i="178"/>
  <c r="Z148" i="178"/>
  <c r="AM145" i="178"/>
  <c r="O129" i="216"/>
  <c r="G129" i="216"/>
  <c r="T208" i="178"/>
  <c r="F102" i="176"/>
  <c r="F128" i="176" s="1"/>
  <c r="M102" i="176"/>
  <c r="M128" i="176" s="1"/>
  <c r="M155" i="176" s="1"/>
  <c r="M159" i="176" s="1"/>
  <c r="J102" i="176"/>
  <c r="J128" i="176" s="1"/>
  <c r="E102" i="176"/>
  <c r="E128" i="176" s="1"/>
  <c r="E155" i="176" s="1"/>
  <c r="E159" i="176" s="1"/>
  <c r="H10" i="214"/>
  <c r="P129" i="216"/>
  <c r="P102" i="176"/>
  <c r="P128" i="176" s="1"/>
  <c r="N102" i="176"/>
  <c r="N128" i="176" s="1"/>
  <c r="N155" i="176" s="1"/>
  <c r="N159" i="176" s="1"/>
  <c r="G102" i="176"/>
  <c r="G128" i="176" s="1"/>
  <c r="G155" i="176" s="1"/>
  <c r="G159" i="176" s="1"/>
  <c r="K102" i="176"/>
  <c r="K128" i="176" s="1"/>
  <c r="K155" i="176" s="1"/>
  <c r="K159" i="176" s="1"/>
  <c r="L102" i="176"/>
  <c r="L128" i="176" s="1"/>
  <c r="L155" i="176" s="1"/>
  <c r="L159" i="176" s="1"/>
  <c r="H102" i="176"/>
  <c r="H128" i="176" s="1"/>
  <c r="H155" i="176" s="1"/>
  <c r="H159" i="176" s="1"/>
  <c r="G40" i="281"/>
  <c r="G38" i="281"/>
  <c r="H24" i="214"/>
  <c r="H19" i="214"/>
  <c r="G143" i="178"/>
  <c r="G144" i="178" s="1"/>
  <c r="E24" i="214"/>
  <c r="E13" i="214"/>
  <c r="E38" i="214"/>
  <c r="E42" i="214"/>
  <c r="E30" i="214"/>
  <c r="E34" i="214"/>
  <c r="E47" i="214"/>
  <c r="E26" i="214"/>
  <c r="E19" i="214"/>
  <c r="G24" i="214"/>
  <c r="G19" i="214"/>
  <c r="O102" i="176"/>
  <c r="O128" i="176" s="1"/>
  <c r="O155" i="176" s="1"/>
  <c r="O159" i="176" s="1"/>
  <c r="I20" i="176"/>
  <c r="R84" i="176"/>
  <c r="Q84" i="176"/>
  <c r="R83" i="176"/>
  <c r="Q83" i="176"/>
  <c r="R82" i="176"/>
  <c r="I129" i="216"/>
  <c r="G80" i="214"/>
  <c r="M80" i="214" s="1"/>
  <c r="N80" i="214" s="1"/>
  <c r="G10" i="214"/>
  <c r="K72" i="214"/>
  <c r="E129" i="216"/>
  <c r="R104" i="176"/>
  <c r="G63" i="214"/>
  <c r="G78" i="214"/>
  <c r="M78" i="214" s="1"/>
  <c r="N78" i="214" s="1"/>
  <c r="G76" i="214"/>
  <c r="M76" i="214" s="1"/>
  <c r="G90" i="214"/>
  <c r="M90" i="214" s="1"/>
  <c r="N90" i="214" s="1"/>
  <c r="G53" i="214"/>
  <c r="G69" i="214"/>
  <c r="G59" i="214"/>
  <c r="G57" i="214"/>
  <c r="G66" i="214"/>
  <c r="H46" i="214"/>
  <c r="G86" i="214"/>
  <c r="M86" i="214" s="1"/>
  <c r="N86" i="214" s="1"/>
  <c r="G83" i="214"/>
  <c r="M83" i="214" s="1"/>
  <c r="N83" i="214" s="1"/>
  <c r="G75" i="214"/>
  <c r="G67" i="214"/>
  <c r="G56" i="214"/>
  <c r="G71" i="214"/>
  <c r="G46" i="214"/>
  <c r="G47" i="214"/>
  <c r="G70" i="214"/>
  <c r="G91" i="214"/>
  <c r="M91" i="214" s="1"/>
  <c r="N91" i="214" s="1"/>
  <c r="G77" i="214"/>
  <c r="M77" i="214" s="1"/>
  <c r="N77" i="214" s="1"/>
  <c r="G68" i="214"/>
  <c r="G61" i="214"/>
  <c r="G55" i="214"/>
  <c r="G87" i="214"/>
  <c r="M87" i="214" s="1"/>
  <c r="N87" i="214" s="1"/>
  <c r="G84" i="214"/>
  <c r="M84" i="214" s="1"/>
  <c r="N84" i="214" s="1"/>
  <c r="G82" i="214"/>
  <c r="M82" i="214" s="1"/>
  <c r="N82" i="214" s="1"/>
  <c r="G58" i="214"/>
  <c r="G65" i="214"/>
  <c r="G62" i="214"/>
  <c r="G81" i="214"/>
  <c r="M81" i="214" s="1"/>
  <c r="N81" i="214" s="1"/>
  <c r="G79" i="214"/>
  <c r="M79" i="214" s="1"/>
  <c r="N79" i="214" s="1"/>
  <c r="G54" i="214"/>
  <c r="G60" i="214"/>
  <c r="H82" i="214"/>
  <c r="H56" i="214"/>
  <c r="H65" i="214"/>
  <c r="H76" i="214"/>
  <c r="H87" i="214"/>
  <c r="H55" i="214"/>
  <c r="H63" i="214"/>
  <c r="H75" i="214"/>
  <c r="H83" i="214"/>
  <c r="H54" i="214"/>
  <c r="H62" i="214"/>
  <c r="H71" i="214"/>
  <c r="H84" i="214"/>
  <c r="H53" i="214"/>
  <c r="H61" i="214"/>
  <c r="H70" i="214"/>
  <c r="H81" i="214"/>
  <c r="H60" i="214"/>
  <c r="H69" i="214"/>
  <c r="H80" i="214"/>
  <c r="H59" i="214"/>
  <c r="H68" i="214"/>
  <c r="H79" i="214"/>
  <c r="H90" i="214"/>
  <c r="H58" i="214"/>
  <c r="H67" i="214"/>
  <c r="H78" i="214"/>
  <c r="H91" i="214"/>
  <c r="H57" i="214"/>
  <c r="H66" i="214"/>
  <c r="H77" i="214"/>
  <c r="H86" i="214"/>
  <c r="K92" i="214"/>
  <c r="R56" i="176"/>
  <c r="R55" i="176"/>
  <c r="F129" i="216"/>
  <c r="K129" i="216"/>
  <c r="N129" i="216"/>
  <c r="Q89" i="176"/>
  <c r="Q63" i="176"/>
  <c r="Q68" i="176"/>
  <c r="Q56" i="176"/>
  <c r="Q69" i="176"/>
  <c r="Q55" i="176"/>
  <c r="Q88" i="176"/>
  <c r="Q62" i="176"/>
  <c r="Q141" i="176"/>
  <c r="Q140" i="176"/>
  <c r="N98" i="176"/>
  <c r="K98" i="176"/>
  <c r="R54" i="176"/>
  <c r="R139" i="176"/>
  <c r="R140" i="176"/>
  <c r="R62" i="176"/>
  <c r="R61" i="176"/>
  <c r="R89" i="176"/>
  <c r="R141" i="176"/>
  <c r="R63" i="176"/>
  <c r="R68" i="176"/>
  <c r="R67" i="176"/>
  <c r="R88" i="176"/>
  <c r="R87" i="176"/>
  <c r="R69" i="176"/>
  <c r="R103" i="176"/>
  <c r="M129" i="216"/>
  <c r="H129" i="216"/>
  <c r="J72" i="214"/>
  <c r="L129" i="216"/>
  <c r="J129" i="216"/>
  <c r="G73" i="176"/>
  <c r="L73" i="176"/>
  <c r="J125" i="176"/>
  <c r="K125" i="176"/>
  <c r="H125" i="176"/>
  <c r="L98" i="176"/>
  <c r="P78" i="176"/>
  <c r="J78" i="176"/>
  <c r="I98" i="176"/>
  <c r="N73" i="176"/>
  <c r="I73" i="176"/>
  <c r="H73" i="176"/>
  <c r="N125" i="176"/>
  <c r="O125" i="176"/>
  <c r="L125" i="176"/>
  <c r="M73" i="176"/>
  <c r="M125" i="176"/>
  <c r="G125" i="176"/>
  <c r="M98" i="176"/>
  <c r="J73" i="176"/>
  <c r="E125" i="176"/>
  <c r="E129" i="176" s="1"/>
  <c r="O78" i="176"/>
  <c r="G78" i="176"/>
  <c r="F73" i="176"/>
  <c r="O73" i="176"/>
  <c r="F125" i="176"/>
  <c r="J98" i="176"/>
  <c r="I125" i="176"/>
  <c r="P125" i="176"/>
  <c r="O98" i="176"/>
  <c r="G27" i="212"/>
  <c r="F21" i="176"/>
  <c r="C49" i="215" l="1"/>
  <c r="H49" i="215" s="1"/>
  <c r="C14" i="215"/>
  <c r="H14" i="215" s="1"/>
  <c r="C24" i="281"/>
  <c r="C50" i="281" s="1"/>
  <c r="E50" i="281" s="1"/>
  <c r="I50" i="281" s="1"/>
  <c r="E377" i="288"/>
  <c r="M129" i="176"/>
  <c r="E373" i="288"/>
  <c r="D128" i="216"/>
  <c r="L138" i="216"/>
  <c r="L137" i="216"/>
  <c r="J138" i="216"/>
  <c r="J137" i="216"/>
  <c r="I138" i="216"/>
  <c r="I137" i="216"/>
  <c r="F138" i="216"/>
  <c r="F137" i="216"/>
  <c r="N138" i="216"/>
  <c r="N137" i="216"/>
  <c r="M138" i="216"/>
  <c r="M137" i="216"/>
  <c r="E138" i="216"/>
  <c r="E137" i="216"/>
  <c r="O138" i="216"/>
  <c r="O137" i="216"/>
  <c r="G138" i="216"/>
  <c r="G137" i="216"/>
  <c r="K138" i="216"/>
  <c r="K137" i="216"/>
  <c r="H138" i="216"/>
  <c r="H137" i="216"/>
  <c r="D138" i="216"/>
  <c r="D137" i="216"/>
  <c r="F129" i="176"/>
  <c r="G129" i="176"/>
  <c r="H129" i="176"/>
  <c r="O129" i="176"/>
  <c r="L129" i="176"/>
  <c r="N129" i="176"/>
  <c r="I129" i="176"/>
  <c r="P129" i="176"/>
  <c r="K129" i="176"/>
  <c r="J129" i="176"/>
  <c r="J155" i="176"/>
  <c r="J159" i="176" s="1"/>
  <c r="I155" i="176"/>
  <c r="I159" i="176" s="1"/>
  <c r="F155" i="176"/>
  <c r="F159" i="176" s="1"/>
  <c r="Q102" i="176"/>
  <c r="L56" i="215"/>
  <c r="M92" i="214"/>
  <c r="N76" i="214"/>
  <c r="N92" i="214" s="1"/>
  <c r="G92" i="214"/>
  <c r="R73" i="176"/>
  <c r="G72" i="214"/>
  <c r="Q98" i="176"/>
  <c r="L72" i="214"/>
  <c r="L92" i="214"/>
  <c r="Q78" i="176"/>
  <c r="Q73" i="176"/>
  <c r="R98" i="176"/>
  <c r="G21" i="176"/>
  <c r="K99" i="176"/>
  <c r="N99" i="176"/>
  <c r="R78" i="176"/>
  <c r="F20" i="212"/>
  <c r="H72" i="214"/>
  <c r="H92" i="214"/>
  <c r="Q125" i="176"/>
  <c r="N74" i="176"/>
  <c r="I99" i="176"/>
  <c r="K126" i="176"/>
  <c r="L99" i="176"/>
  <c r="J79" i="176"/>
  <c r="O79" i="176"/>
  <c r="J99" i="176"/>
  <c r="F126" i="176"/>
  <c r="J74" i="176"/>
  <c r="G74" i="176"/>
  <c r="M74" i="176"/>
  <c r="P79" i="176"/>
  <c r="M99" i="176"/>
  <c r="N126" i="176"/>
  <c r="J126" i="176"/>
  <c r="O126" i="176"/>
  <c r="F74" i="176"/>
  <c r="H74" i="176"/>
  <c r="G126" i="176"/>
  <c r="L74" i="176"/>
  <c r="M126" i="176"/>
  <c r="G79" i="176"/>
  <c r="P126" i="176"/>
  <c r="L126" i="176"/>
  <c r="I74" i="176"/>
  <c r="H126" i="176"/>
  <c r="H130" i="176" s="1"/>
  <c r="O99" i="176"/>
  <c r="I126" i="176"/>
  <c r="E126" i="176"/>
  <c r="E130" i="176" s="1"/>
  <c r="O74" i="176"/>
  <c r="G16" i="212"/>
  <c r="G13" i="212"/>
  <c r="G10" i="212"/>
  <c r="H10" i="212" s="1"/>
  <c r="G14" i="212"/>
  <c r="G17" i="212"/>
  <c r="G15" i="212"/>
  <c r="D27" i="212"/>
  <c r="E374" i="288" l="1"/>
  <c r="E382" i="288" s="1"/>
  <c r="N382" i="288" s="1"/>
  <c r="N373" i="288"/>
  <c r="F128" i="216"/>
  <c r="G130" i="176"/>
  <c r="F130" i="176"/>
  <c r="R102" i="176"/>
  <c r="Q128" i="176"/>
  <c r="M130" i="176"/>
  <c r="K130" i="176"/>
  <c r="P130" i="176"/>
  <c r="O130" i="176"/>
  <c r="L130" i="176"/>
  <c r="I130" i="176"/>
  <c r="N130" i="176"/>
  <c r="J130" i="176"/>
  <c r="R97" i="176"/>
  <c r="Q74" i="176"/>
  <c r="Q99" i="176"/>
  <c r="Q79" i="176"/>
  <c r="R77" i="176"/>
  <c r="R72" i="176"/>
  <c r="R99" i="176"/>
  <c r="D20" i="212"/>
  <c r="G21" i="212" s="1"/>
  <c r="D21" i="212" s="1"/>
  <c r="R79" i="176"/>
  <c r="R74" i="176"/>
  <c r="H17" i="212"/>
  <c r="H16" i="212"/>
  <c r="H13" i="212"/>
  <c r="Q126" i="176"/>
  <c r="H14" i="212"/>
  <c r="H15" i="212"/>
  <c r="E390" i="288" l="1"/>
  <c r="E391" i="288" s="1"/>
  <c r="N391" i="288" s="1"/>
  <c r="G8" i="212"/>
  <c r="G6" i="212" l="1"/>
  <c r="G7" i="212"/>
  <c r="H7" i="212" s="1"/>
  <c r="H8" i="212"/>
  <c r="Q134" i="176" l="1"/>
  <c r="H6" i="212"/>
  <c r="R134" i="176"/>
  <c r="Q135" i="176" l="1"/>
  <c r="L21" i="215" s="1"/>
  <c r="M21" i="215" s="1"/>
  <c r="R135" i="176"/>
  <c r="R133" i="176" s="1"/>
  <c r="C10" i="215" l="1"/>
  <c r="H10" i="215" s="1"/>
  <c r="J10" i="215" s="1"/>
  <c r="C18" i="281"/>
  <c r="C44" i="281" s="1"/>
  <c r="P155" i="176"/>
  <c r="P159" i="176" s="1"/>
  <c r="I10" i="215" l="1"/>
  <c r="C45" i="215"/>
  <c r="H45" i="215" s="1"/>
  <c r="I45" i="215" s="1"/>
  <c r="E44" i="281"/>
  <c r="I44" i="281" s="1"/>
  <c r="L44" i="281"/>
  <c r="Q155" i="176"/>
  <c r="R129" i="176"/>
  <c r="R130" i="176" l="1"/>
  <c r="R131" i="176" s="1"/>
  <c r="S129" i="176" s="1"/>
  <c r="R148" i="176" l="1"/>
  <c r="R149" i="176"/>
  <c r="R146" i="176"/>
  <c r="R147" i="176"/>
  <c r="R145" i="176"/>
  <c r="R150" i="176"/>
  <c r="S130" i="176"/>
  <c r="R151" i="176" l="1"/>
  <c r="S131" i="176"/>
  <c r="S149" i="176"/>
  <c r="T149" i="176" s="1"/>
  <c r="S145" i="176"/>
  <c r="S148" i="176"/>
  <c r="T148" i="176" s="1"/>
  <c r="S146" i="176"/>
  <c r="T146" i="176" s="1"/>
  <c r="S150" i="176"/>
  <c r="T150" i="176" s="1"/>
  <c r="S147" i="176"/>
  <c r="T147" i="176" s="1"/>
  <c r="T145" i="176" l="1"/>
  <c r="S151" i="176"/>
  <c r="D129" i="216" l="1"/>
  <c r="S136" i="178" l="1"/>
  <c r="S138" i="178" s="1"/>
  <c r="S147" i="178" l="1"/>
  <c r="S67" i="178"/>
  <c r="S143" i="178" s="1"/>
  <c r="S144" i="178" s="1"/>
  <c r="S215" i="178"/>
  <c r="S219" i="178" s="1"/>
  <c r="S145" i="178"/>
  <c r="G23" i="212" l="1"/>
  <c r="E38" i="288"/>
  <c r="T147" i="178"/>
  <c r="S148" i="178"/>
  <c r="E317" i="288" l="1"/>
  <c r="E322" i="288" s="1"/>
  <c r="E40" i="288"/>
  <c r="N40" i="288" s="1"/>
  <c r="P137" i="216"/>
  <c r="D23" i="212"/>
  <c r="G24" i="212" s="1"/>
  <c r="G9" i="212" s="1"/>
  <c r="N322" i="288" l="1"/>
  <c r="E354" i="288"/>
  <c r="N354" i="288" s="1"/>
  <c r="E116" i="288"/>
  <c r="P138" i="216"/>
  <c r="E29" i="176"/>
  <c r="E35" i="176"/>
  <c r="N116" i="288" l="1"/>
  <c r="E30" i="176"/>
  <c r="E32" i="176" s="1"/>
  <c r="G30" i="176" s="1"/>
  <c r="E36" i="176"/>
  <c r="E38" i="176" s="1"/>
  <c r="G36" i="176" s="1"/>
  <c r="D24" i="212"/>
  <c r="H9" i="212" l="1"/>
  <c r="G29" i="176"/>
  <c r="G32" i="176" s="1"/>
  <c r="G35" i="176"/>
  <c r="G38" i="176" s="1"/>
  <c r="C61" i="215" l="1"/>
  <c r="C26" i="215" l="1"/>
  <c r="C24" i="264" l="1"/>
  <c r="C3" i="264" l="1"/>
  <c r="C27" i="215"/>
  <c r="D26" i="215" s="1"/>
  <c r="C62" i="215" l="1"/>
  <c r="D61" i="215" s="1"/>
  <c r="J45" i="215" s="1"/>
  <c r="C12" i="281"/>
  <c r="C20" i="281"/>
  <c r="C46" i="281" s="1"/>
  <c r="C14" i="281"/>
  <c r="C40" i="281" l="1"/>
  <c r="C29" i="281"/>
  <c r="E14" i="281" s="1"/>
  <c r="I14" i="281" s="1"/>
  <c r="C38" i="281"/>
  <c r="C7" i="215"/>
  <c r="C13" i="215"/>
  <c r="C8" i="215"/>
  <c r="C9" i="215"/>
  <c r="C15" i="215"/>
  <c r="C11" i="215"/>
  <c r="E20" i="281" l="1"/>
  <c r="E18" i="281"/>
  <c r="I18" i="281" s="1"/>
  <c r="E24" i="281"/>
  <c r="L40" i="281"/>
  <c r="C55" i="281"/>
  <c r="E40" i="281" s="1"/>
  <c r="I40" i="281" s="1"/>
  <c r="L38" i="281"/>
  <c r="E12" i="281"/>
  <c r="C44" i="215"/>
  <c r="H8" i="215"/>
  <c r="C42" i="215"/>
  <c r="C46" i="215"/>
  <c r="C43" i="215"/>
  <c r="H13" i="215"/>
  <c r="H7" i="215"/>
  <c r="C17" i="215"/>
  <c r="D11" i="215" s="1"/>
  <c r="E38" i="281" l="1"/>
  <c r="N35" i="281"/>
  <c r="E46" i="281"/>
  <c r="L55" i="281"/>
  <c r="E29" i="281"/>
  <c r="I12" i="281"/>
  <c r="E11" i="215"/>
  <c r="F11" i="215" s="1"/>
  <c r="G20" i="281"/>
  <c r="D7" i="215"/>
  <c r="D13" i="215"/>
  <c r="F13" i="215" s="1"/>
  <c r="D8" i="215"/>
  <c r="F8" i="215" s="1"/>
  <c r="H43" i="215"/>
  <c r="I8" i="215"/>
  <c r="J8" i="215"/>
  <c r="H46" i="215"/>
  <c r="J7" i="215"/>
  <c r="I7" i="215"/>
  <c r="H19" i="215"/>
  <c r="H23" i="215" s="1"/>
  <c r="D14" i="215"/>
  <c r="F14" i="215" s="1"/>
  <c r="D10" i="215"/>
  <c r="F10" i="215" s="1"/>
  <c r="D12" i="215"/>
  <c r="F12" i="215" s="1"/>
  <c r="C52" i="215"/>
  <c r="D43" i="215" s="1"/>
  <c r="F43" i="215" s="1"/>
  <c r="H42" i="215"/>
  <c r="E55" i="281" l="1"/>
  <c r="I38" i="281"/>
  <c r="O35" i="281"/>
  <c r="M36" i="281" s="1"/>
  <c r="H11" i="215"/>
  <c r="I54" i="215"/>
  <c r="I58" i="215" s="1"/>
  <c r="G46" i="281"/>
  <c r="I46" i="281" s="1"/>
  <c r="I20" i="281"/>
  <c r="I29" i="281" s="1"/>
  <c r="C4" i="264"/>
  <c r="C25" i="264"/>
  <c r="D17" i="215"/>
  <c r="D42" i="215"/>
  <c r="F42" i="215" s="1"/>
  <c r="F7" i="215"/>
  <c r="F17" i="215" s="1"/>
  <c r="D46" i="215"/>
  <c r="F46" i="215" s="1"/>
  <c r="J19" i="215"/>
  <c r="J23" i="215" s="1"/>
  <c r="D45" i="215"/>
  <c r="F45" i="215" s="1"/>
  <c r="D49" i="215"/>
  <c r="F49" i="215" s="1"/>
  <c r="D47" i="215"/>
  <c r="F47" i="215" s="1"/>
  <c r="D48" i="215"/>
  <c r="F48" i="215" s="1"/>
  <c r="I19" i="215"/>
  <c r="I23" i="215" s="1"/>
  <c r="J43" i="215"/>
  <c r="J42" i="215"/>
  <c r="H54" i="215"/>
  <c r="H58" i="215" s="1"/>
  <c r="N36" i="281" l="1"/>
  <c r="N38" i="281" s="1"/>
  <c r="I55" i="281"/>
  <c r="M44" i="281"/>
  <c r="M38" i="281"/>
  <c r="M40" i="281"/>
  <c r="C47" i="264"/>
  <c r="C48" i="264" s="1"/>
  <c r="C37" i="264" s="1"/>
  <c r="C26" i="264"/>
  <c r="J54" i="215"/>
  <c r="J58" i="215" s="1"/>
  <c r="F52" i="215"/>
  <c r="D52" i="215"/>
  <c r="N40" i="281" l="1"/>
  <c r="N44" i="281"/>
  <c r="O44" i="281" s="1"/>
  <c r="O36" i="281"/>
  <c r="M55" i="281"/>
  <c r="O38" i="281"/>
  <c r="C16" i="264"/>
  <c r="C6" i="264"/>
  <c r="N55" i="281" l="1"/>
  <c r="O40" i="281"/>
  <c r="O55" i="281" s="1"/>
  <c r="C5" i="264" l="1"/>
  <c r="C7" i="264" s="1"/>
  <c r="C9" i="264" s="1"/>
  <c r="C11" i="264" s="1"/>
  <c r="C15" i="264" l="1"/>
  <c r="C13" i="264"/>
  <c r="C17" i="264" l="1"/>
  <c r="C18" i="264" s="1"/>
  <c r="E16" i="264"/>
  <c r="C19" i="264" l="1"/>
  <c r="C20" i="264" s="1"/>
  <c r="E393" i="288" l="1"/>
  <c r="E394" i="288" s="1"/>
  <c r="N394" i="288" s="1"/>
  <c r="C27" i="264" l="1"/>
  <c r="C28" i="264" s="1"/>
  <c r="C30" i="264" s="1"/>
  <c r="C32" i="264" s="1"/>
  <c r="C36" i="264" l="1"/>
  <c r="E37" i="264" l="1"/>
  <c r="E43" i="264" s="1"/>
  <c r="C38" i="264"/>
  <c r="C39" i="264" s="1"/>
  <c r="C40" i="264" s="1"/>
  <c r="C41" i="264" s="1"/>
  <c r="C42" i="264" s="1"/>
</calcChain>
</file>

<file path=xl/comments1.xml><?xml version="1.0" encoding="utf-8"?>
<comments xmlns="http://schemas.openxmlformats.org/spreadsheetml/2006/main">
  <authors>
    <author>Deborah Swain</author>
  </authors>
  <commentList>
    <comment ref="E14" authorId="0">
      <text>
        <r>
          <rPr>
            <b/>
            <sz val="9"/>
            <color indexed="81"/>
            <rFont val="Tahoma"/>
            <family val="2"/>
          </rPr>
          <t>Deborah Swain:</t>
        </r>
        <r>
          <rPr>
            <sz val="9"/>
            <color indexed="81"/>
            <rFont val="Tahoma"/>
            <family val="2"/>
          </rPr>
          <t xml:space="preserve">
12030 per E-3
</t>
        </r>
      </text>
    </comment>
    <comment ref="E36" authorId="0">
      <text>
        <r>
          <rPr>
            <b/>
            <sz val="9"/>
            <color indexed="81"/>
            <rFont val="Tahoma"/>
            <family val="2"/>
          </rPr>
          <t>Deborah Swain:</t>
        </r>
        <r>
          <rPr>
            <sz val="9"/>
            <color indexed="81"/>
            <rFont val="Tahoma"/>
            <family val="2"/>
          </rPr>
          <t xml:space="preserve">
1116 per E-3
</t>
        </r>
      </text>
    </comment>
  </commentList>
</comments>
</file>

<file path=xl/comments2.xml><?xml version="1.0" encoding="utf-8"?>
<comments xmlns="http://schemas.openxmlformats.org/spreadsheetml/2006/main">
  <authors>
    <author>mbravo</author>
  </authors>
  <commentList>
    <comment ref="G46" authorId="0">
      <text>
        <r>
          <rPr>
            <b/>
            <sz val="10"/>
            <color indexed="81"/>
            <rFont val="Tahoma"/>
            <family val="2"/>
          </rPr>
          <t>mbravo:</t>
        </r>
        <r>
          <rPr>
            <sz val="10"/>
            <color indexed="81"/>
            <rFont val="Tahoma"/>
            <family val="2"/>
          </rPr>
          <t xml:space="preserve">
.3763 = 34% FED TAX + EFFECTIVE RATE OF STATE TAX
</t>
        </r>
      </text>
    </comment>
  </commentList>
</comments>
</file>

<file path=xl/comments3.xml><?xml version="1.0" encoding="utf-8"?>
<comments xmlns="http://schemas.openxmlformats.org/spreadsheetml/2006/main">
  <authors>
    <author>Patrick Flynn</author>
  </authors>
  <commentList>
    <comment ref="J116" authorId="0">
      <text>
        <r>
          <rPr>
            <b/>
            <sz val="9"/>
            <color indexed="81"/>
            <rFont val="Tahoma"/>
            <family val="2"/>
          </rPr>
          <t>Changed to a different polymer.</t>
        </r>
        <r>
          <rPr>
            <sz val="9"/>
            <color indexed="81"/>
            <rFont val="Tahoma"/>
            <family val="2"/>
          </rPr>
          <t xml:space="preserve">
</t>
        </r>
      </text>
    </comment>
  </commentList>
</comments>
</file>

<file path=xl/sharedStrings.xml><?xml version="1.0" encoding="utf-8"?>
<sst xmlns="http://schemas.openxmlformats.org/spreadsheetml/2006/main" count="8867" uniqueCount="3259">
  <si>
    <t>Supporting Schedules:  A-19,  C-7, C-8, D-3, D-4, D-5, D-7</t>
  </si>
  <si>
    <t>Thirteen</t>
  </si>
  <si>
    <t>Month</t>
  </si>
  <si>
    <t>Recap Schedules: B-1, B-2</t>
  </si>
  <si>
    <t>Supporting Schedules: B-1, B-2, C-3, C-4, C-5, C-8</t>
  </si>
  <si>
    <t>Supporting Schedules: D-1, C-8</t>
  </si>
  <si>
    <t>Recap Schedules: C-2</t>
  </si>
  <si>
    <t>Recap Schedules:  A-18, A-19, D-2</t>
  </si>
  <si>
    <t>Supporting Schedules:  C-6 Pg 2 &amp; 3, C-7</t>
  </si>
  <si>
    <t>Federal Taxable Income (Line 16 - Line 24)</t>
  </si>
  <si>
    <t>Payroll Tax for allocations/annualization/increase</t>
  </si>
  <si>
    <t>Bill Code</t>
  </si>
  <si>
    <t>Amortization of Rate Case Expense:</t>
  </si>
  <si>
    <t>Current rate case expense</t>
  </si>
  <si>
    <t>Total projected rate case expense</t>
  </si>
  <si>
    <t>Annual Amortization</t>
  </si>
  <si>
    <t>Total Capital</t>
  </si>
  <si>
    <t>Rate Base</t>
  </si>
  <si>
    <t>Interest Expense per Capital Structure</t>
  </si>
  <si>
    <t>Interest Expense Per Books</t>
  </si>
  <si>
    <t>Rate Base - Water</t>
  </si>
  <si>
    <t>Rate Base - Sewer</t>
  </si>
  <si>
    <t xml:space="preserve">SCHEDULE C - 3 </t>
  </si>
  <si>
    <t>SANLANDO UTILITIES CORP</t>
  </si>
  <si>
    <t xml:space="preserve">Tax Credits - Zero Cost </t>
  </si>
  <si>
    <t>Taxes Other than Income</t>
  </si>
  <si>
    <t>Total Pro Forma Plant Additions</t>
  </si>
  <si>
    <t>Total Adjustments for requested increases</t>
  </si>
  <si>
    <t>Annualized water/sewer revenues per Schedule E-2</t>
  </si>
  <si>
    <t>Test Year water/sewer revenues per Schedule E-2</t>
  </si>
  <si>
    <t>Deferred Income Tax Expense (Final) - Sewer</t>
  </si>
  <si>
    <t>Connect</t>
  </si>
  <si>
    <t>Prepaid Capacity Charges</t>
  </si>
  <si>
    <t>Accum. Deferred ITC's</t>
  </si>
  <si>
    <t>Operating Reserves</t>
  </si>
  <si>
    <t>TOTAL DEFERRED CREDITS &amp; OPER. RESERVES</t>
  </si>
  <si>
    <t>Contributions in Aid of Construction</t>
  </si>
  <si>
    <t>733  Contractual Services - Legal</t>
  </si>
  <si>
    <t>734  Contractual Services - Mgmt. Fees</t>
  </si>
  <si>
    <t>Mar</t>
  </si>
  <si>
    <t>Apr</t>
  </si>
  <si>
    <t>Jun</t>
  </si>
  <si>
    <t>Jul</t>
  </si>
  <si>
    <t>Aug</t>
  </si>
  <si>
    <t>Oct</t>
  </si>
  <si>
    <t>13- Month Average</t>
  </si>
  <si>
    <t xml:space="preserve">Tax Depreciation and Amortization </t>
  </si>
  <si>
    <t>Average Test Year Balance</t>
  </si>
  <si>
    <t xml:space="preserve">Balance </t>
  </si>
  <si>
    <t>Rate Schedule - Present, and Interim</t>
  </si>
  <si>
    <t>320.3  Water Treatment Equipment</t>
  </si>
  <si>
    <t>Investment Tax Credits - Analysis</t>
  </si>
  <si>
    <t xml:space="preserve">Adjusted </t>
  </si>
  <si>
    <t>Line</t>
  </si>
  <si>
    <t>Per</t>
  </si>
  <si>
    <t xml:space="preserve">AFUDC  </t>
  </si>
  <si>
    <t xml:space="preserve">Adjust </t>
  </si>
  <si>
    <t>for Increase</t>
  </si>
  <si>
    <t>Schedule of Wastewater Accumulated Depreciation By Primary Account</t>
  </si>
  <si>
    <t>Schedule of Water and Wastewater Contributions in Aid of Construction</t>
  </si>
  <si>
    <t>Recap Schedules:      B-1, B-2</t>
  </si>
  <si>
    <t>Regulatory</t>
  </si>
  <si>
    <t>Real Estate</t>
  </si>
  <si>
    <t>Assessment</t>
  </si>
  <si>
    <t>Payroll</t>
  </si>
  <si>
    <t>&amp; Personal</t>
  </si>
  <si>
    <t>Fees (RAFs)</t>
  </si>
  <si>
    <t>Taxes</t>
  </si>
  <si>
    <t>D-7</t>
  </si>
  <si>
    <t>RATE SCHEDULES</t>
  </si>
  <si>
    <t>E-1</t>
  </si>
  <si>
    <t>Class A Utility Cost of Service Study</t>
  </si>
  <si>
    <t>Projected Test Year Revenue Calculation</t>
  </si>
  <si>
    <t xml:space="preserve">       TOTAL </t>
  </si>
  <si>
    <t>Test Year</t>
  </si>
  <si>
    <t>Beginning and End of Year Average</t>
  </si>
  <si>
    <t>(6)</t>
  </si>
  <si>
    <t xml:space="preserve">Test Year Operating Revenues </t>
  </si>
  <si>
    <t>Schedule: B-4</t>
  </si>
  <si>
    <t>WATER SALES</t>
  </si>
  <si>
    <t>SEWER SALES</t>
  </si>
  <si>
    <t>Total</t>
  </si>
  <si>
    <t>Account No. and Description</t>
  </si>
  <si>
    <t>460   Unmetered Water Revenue</t>
  </si>
  <si>
    <t>521.1 Flat Rate - Residential</t>
  </si>
  <si>
    <t>461.1 Metered - Residential</t>
  </si>
  <si>
    <t>521.2 Flat Rate - Commercial</t>
  </si>
  <si>
    <t>461.2 Metered - Commercial</t>
  </si>
  <si>
    <t>521.3 Flat Rate - Industrial</t>
  </si>
  <si>
    <t>461.3 Metered - Industrial</t>
  </si>
  <si>
    <t>521.4 Flat Rate - Public Authorities</t>
  </si>
  <si>
    <t>Accumulated Deferred Income Taxes - Federal</t>
  </si>
  <si>
    <t>13 Month Average Balance</t>
  </si>
  <si>
    <t>Not applicable.   The Utility has no investment tax credits</t>
  </si>
  <si>
    <t>Make</t>
  </si>
  <si>
    <t>Private Fire</t>
  </si>
  <si>
    <t>Protection</t>
  </si>
  <si>
    <t>Revenue Schedule at Test Year Rates - Proof of Revenue</t>
  </si>
  <si>
    <t>Explanation:  Provide a calculation of revenues at present and proposed rates using the billing analysis.  Explain any differences between these revenues and booked revenues. If a rate change occurred during the test year, a revenue calculation must be made for each period.</t>
  </si>
  <si>
    <t xml:space="preserve">Total Billable </t>
  </si>
  <si>
    <t>Rates Effective</t>
  </si>
  <si>
    <t>Proposed Rates</t>
  </si>
  <si>
    <t>Residential - Base Charge</t>
  </si>
  <si>
    <t>Consumption Charge (per 1,000 Gallons)</t>
  </si>
  <si>
    <t>Total Residential Service</t>
  </si>
  <si>
    <t>Average Residential Bill</t>
  </si>
  <si>
    <t>General Service -  Base Charge</t>
  </si>
  <si>
    <t>5/8” General Service</t>
  </si>
  <si>
    <t>1” General Service</t>
  </si>
  <si>
    <t>1.5” General Service</t>
  </si>
  <si>
    <t>2” General Service</t>
  </si>
  <si>
    <t>3” General Service</t>
  </si>
  <si>
    <t>4" General Service</t>
  </si>
  <si>
    <t>6” General Service</t>
  </si>
  <si>
    <t>Total General Service Base Facility Charges</t>
  </si>
  <si>
    <t>Total General Service Consumption</t>
  </si>
  <si>
    <t>Total General Service</t>
  </si>
  <si>
    <t>Average General Service Bill</t>
  </si>
  <si>
    <t>Private Fire Protection</t>
  </si>
  <si>
    <t>Other Miscellaneous Revenues</t>
  </si>
  <si>
    <t>Total Other Revenues</t>
  </si>
  <si>
    <t>Forfeited Discounts</t>
  </si>
  <si>
    <t>Adjusted Test Year/ Annualized / Proposed Revenues</t>
  </si>
  <si>
    <t>Total Per Books</t>
  </si>
  <si>
    <t>Sewer Public Auth</t>
  </si>
  <si>
    <t>Approved Rate</t>
  </si>
  <si>
    <t>Accounts Rec less Accum. Provision for Uncoll Accts</t>
  </si>
  <si>
    <t>Misc. Current &amp; Accrued Assets</t>
  </si>
  <si>
    <t xml:space="preserve">    Current &amp; Accrued Assets (13 Month Average)</t>
  </si>
  <si>
    <t xml:space="preserve">    Current &amp; Accrued Liabilities(13 Month Average)</t>
  </si>
  <si>
    <t xml:space="preserve">    Working Capital (Balance Sheet Method)</t>
  </si>
  <si>
    <t>Line No</t>
  </si>
  <si>
    <t>Annual Report Reconciliation</t>
  </si>
  <si>
    <t>Plant in Service W-4; F-7</t>
  </si>
  <si>
    <t>Difference (Rounding)</t>
  </si>
  <si>
    <t>Plant in Service S-4; F-7</t>
  </si>
  <si>
    <t>Plant in Service W-6; F-8</t>
  </si>
  <si>
    <t>Plant in Service S-6; F-8</t>
  </si>
  <si>
    <t>CIAC W-7; F-22</t>
  </si>
  <si>
    <t>CIAC S-7; F-22</t>
  </si>
  <si>
    <t>Accum Amort CIAC S-8; F-22</t>
  </si>
  <si>
    <t>Accum Amort CIAC W-8; F-22</t>
  </si>
  <si>
    <t>1065 Struct &amp; Imprv Gen Plt</t>
  </si>
  <si>
    <t>1175 Off Struct &amp; Imprv</t>
  </si>
  <si>
    <t>1180 Office Furniture &amp; Equipment</t>
  </si>
  <si>
    <t>340.5 Office Furn &amp; Equip</t>
  </si>
  <si>
    <t>1555 Transportation Equipment</t>
  </si>
  <si>
    <t>1195 Laboratory Equipment</t>
  </si>
  <si>
    <t>1215 Water Plant Allocated</t>
  </si>
  <si>
    <t>374.6 Reuse Dist Reservoirs</t>
  </si>
  <si>
    <t>366.6 Reuse Services</t>
  </si>
  <si>
    <t>367.6 Reuse Mtr Installations</t>
  </si>
  <si>
    <t>1460 Office Furniture &amp; Equipment</t>
  </si>
  <si>
    <t>311.3  Pumping Equipment</t>
  </si>
  <si>
    <t>311.4 Electric Pump Equip Trans Dist</t>
  </si>
  <si>
    <t>336.4 Backflow Prevention Devices</t>
  </si>
  <si>
    <t>1200 Power Operated Equip</t>
  </si>
  <si>
    <t>348. Other Tangible Plant</t>
  </si>
  <si>
    <t>1045 L &amp; L Rights Gen Plt</t>
  </si>
  <si>
    <t>1190 Tools, Shop &amp; Misc Eqpt</t>
  </si>
  <si>
    <t>355.2 Power Gen Equip Coll Plt</t>
  </si>
  <si>
    <t>371.5 Pumping Equipment Reclaim WTP</t>
  </si>
  <si>
    <t>389.5 Other Plt Reclaim Wtr Trt</t>
  </si>
  <si>
    <t>1840 Acc Depr- Franchises</t>
  </si>
  <si>
    <t>1845 Acc Depr - Struct &amp; Imprv SRC Sply</t>
  </si>
  <si>
    <t>1895 Acc Depr - Elect Pump Equip SRC Pump</t>
  </si>
  <si>
    <t>1900 Acc Depr - Elect Pump Equip WTP</t>
  </si>
  <si>
    <t>1850 Acc Depr - Struct &amp; Imprv WTP</t>
  </si>
  <si>
    <t>1910 Acc Depr - Water Treatment Equip</t>
  </si>
  <si>
    <t>1920 Acc Depr - Trans &amp; Distr Mains</t>
  </si>
  <si>
    <t>1925 Acc Depr Service Lines</t>
  </si>
  <si>
    <t>1930 Acc Depr - Meters</t>
  </si>
  <si>
    <t>334.4 Meters &amp; Meters Installations</t>
  </si>
  <si>
    <t>333.4  Service Lines</t>
  </si>
  <si>
    <t>1935 Acc Depr - Meter Installs</t>
  </si>
  <si>
    <t>1940 Acc Depr - Hydrants</t>
  </si>
  <si>
    <t>1860 Acc Depr - Struct &amp; Imprv Gen Plt</t>
  </si>
  <si>
    <t>1880 Acc Depr - Infiltration Gallery</t>
  </si>
  <si>
    <t>1890 Acc Depr - Power Generation Equp</t>
  </si>
  <si>
    <t>1905 Acc Depr - Elect Pump Equip Tran</t>
  </si>
  <si>
    <t>1945 Acc Depr - Backflow Prevent Devc</t>
  </si>
  <si>
    <t>1205 Communication Eqpt</t>
  </si>
  <si>
    <t>1965 Acc Depr - Oth Plant &amp; Misc Trans</t>
  </si>
  <si>
    <t>1960 Acc Depr - Oth Plant &amp; Misc WTP</t>
  </si>
  <si>
    <t>1970 Acc Dept - Office Structure</t>
  </si>
  <si>
    <t>1975 Acc Depr - Office Furn/Eqpt</t>
  </si>
  <si>
    <t>1985 Acc Depr - Tool Shop &amp; Misc Eqpt</t>
  </si>
  <si>
    <t>1990 Acc Depr Laboratory Equipment</t>
  </si>
  <si>
    <t>2000 Acc Depr - Communication Eqpt</t>
  </si>
  <si>
    <t>2010 Acc Depr - Other Tang Plt Water</t>
  </si>
  <si>
    <t>2005 Acc Depr Misc Equipment</t>
  </si>
  <si>
    <t>2030 Acc Depr - Organization</t>
  </si>
  <si>
    <t>2040 Acc Depr Franchises Intang Plt</t>
  </si>
  <si>
    <t>2055 Acc Depr - Struct/Imprv Pump Plt LS</t>
  </si>
  <si>
    <t>2080 Acc Depr - Pwr Gen Eqp Coll Plt</t>
  </si>
  <si>
    <t>2105 Acc Depr - Sewer Force Main</t>
  </si>
  <si>
    <t>2110 Acc Depr - Sewer Gravity Main</t>
  </si>
  <si>
    <t>2125 Acc Depr - Flow Measure Devices</t>
  </si>
  <si>
    <t>2140 Acc Depr - Pump Eqp Pump Plt</t>
  </si>
  <si>
    <t>2145 Acc Depr - Pump Eqp Rclm WTP</t>
  </si>
  <si>
    <t>2160 Acc Depr - Treat/Disp Eqp Trt Plt</t>
  </si>
  <si>
    <t>2180 Acc Depr - Outfall Lines</t>
  </si>
  <si>
    <t>2190 Acc Depr - Other Plt Collection</t>
  </si>
  <si>
    <t>2195 Acc Depr - Other Plt Pump</t>
  </si>
  <si>
    <t>2205 Acc Depr - Other Plt Rclm WTP</t>
  </si>
  <si>
    <t>2220 Acc Depr - Office Furn/Eqpt</t>
  </si>
  <si>
    <t>2230 Acc Depr - Tool Shop &amp; Misc Eqpt</t>
  </si>
  <si>
    <t>2245 Acc Depr - Communication Eqpt</t>
  </si>
  <si>
    <t>2250 Acc Depr - Misc Equip Sewer</t>
  </si>
  <si>
    <t>2270 Acc Depr - Reuse Services</t>
  </si>
  <si>
    <t>2275 Acc Depr - Reuse Mtr/Installs</t>
  </si>
  <si>
    <t>2280 Acc Depr Reuse Dist Reservoirs</t>
  </si>
  <si>
    <t>2285 Acc Depr - Reuse Trans/Dist Sys</t>
  </si>
  <si>
    <t>3265 CIAC - Struct &amp; Imprv SRC Supply</t>
  </si>
  <si>
    <t>3270 CIAC - Struct &amp; Imprv WTP</t>
  </si>
  <si>
    <t>3295 CIAC - Wells &amp; Srpings</t>
  </si>
  <si>
    <t>3330 CIAC - Water Treatment Eqpt</t>
  </si>
  <si>
    <t>3335 CIAC - Dist Resv &amp; Standpipes</t>
  </si>
  <si>
    <t>3345 CIAC - Service Lines</t>
  </si>
  <si>
    <t>3350 CIAC - Meters</t>
  </si>
  <si>
    <t>3355 CIAC - Meter Installs</t>
  </si>
  <si>
    <t>3360 CIAC - Hydrants</t>
  </si>
  <si>
    <t>3435 CIAC - Water Tap</t>
  </si>
  <si>
    <t>3445 CIAC - Wtr Res Cap Fee</t>
  </si>
  <si>
    <t>3450 CIAC - Wtr Plt Mod Fee</t>
  </si>
  <si>
    <t>3455 CIAC - Wtr Plt Mtr Fee</t>
  </si>
  <si>
    <t>3500 CIAC - Struc/Impr Pump Plt LS</t>
  </si>
  <si>
    <t>3520 CIAC - Struct/Imprv Gen Plt</t>
  </si>
  <si>
    <t>3550 CIAC - Force Main</t>
  </si>
  <si>
    <t>3555 CIAC - Gravity Main</t>
  </si>
  <si>
    <t>3605 CIAC - Treat/Disp Equip Trt Plt</t>
  </si>
  <si>
    <t>3625 CIAC - Outfall Lines</t>
  </si>
  <si>
    <t>3705 CIAC -Sewer - Tap</t>
  </si>
  <si>
    <t>3715 CIAC - SWR Res Cap Fee</t>
  </si>
  <si>
    <t>3720 CIAC - SWR Plt Mod Fee</t>
  </si>
  <si>
    <t>3750 CIAC - Reuse Services</t>
  </si>
  <si>
    <t>3430 CIAC - Other Tangible Plt Water</t>
  </si>
  <si>
    <t>3315 CIAC - Elec Pump Eqp SRC Pump</t>
  </si>
  <si>
    <t>3340 CIAC - Trans &amp; Distr Mains</t>
  </si>
  <si>
    <t>3810 Acc Amort Struct &amp; Imprv SRC</t>
  </si>
  <si>
    <t>3815 Acc Amort Struct &amp; Imprv WTP</t>
  </si>
  <si>
    <t>3860 Acc Amort Elec Pump Eqp SRC</t>
  </si>
  <si>
    <t>3840 Acc Amort - Wells &amp; Springs</t>
  </si>
  <si>
    <t>3875 Acc Amort Water Treatment Eqpt</t>
  </si>
  <si>
    <t>3880 Acc Amort Dist Resv &amp; Stamdpip</t>
  </si>
  <si>
    <t>3885 Acc Amort Trans &amp; Distr Mains</t>
  </si>
  <si>
    <t>3890 Acc Amort Service Lines</t>
  </si>
  <si>
    <t>3895 Acc Amort Meters</t>
  </si>
  <si>
    <t>3900 Acc Amort Meter Installs</t>
  </si>
  <si>
    <t>3905 Acc Amort Hydrants</t>
  </si>
  <si>
    <t>3800 Acc Amort Organization</t>
  </si>
  <si>
    <t>3980 Acc Amort Water CIAC Tap</t>
  </si>
  <si>
    <t>3995 Acc Amort Wtr Res Cap Fee-NC</t>
  </si>
  <si>
    <t>4000 Acc Amort Wtr Plt Mod Fee-NC</t>
  </si>
  <si>
    <t>4030 Acc Amort Organization</t>
  </si>
  <si>
    <t>4050 Acc Amort Struct/Imprv Pump Plt LS</t>
  </si>
  <si>
    <t>4070 Acc Amort Struct/Imprv Gen Plt</t>
  </si>
  <si>
    <t>4105 Acc Amort Gravity Main</t>
  </si>
  <si>
    <t>4100 Acc Amort Sewer Force Main</t>
  </si>
  <si>
    <t>4155 Acc Amort Treat/Disp Equip Trt Plt</t>
  </si>
  <si>
    <t>4175 Acc Amort Outfall Lines</t>
  </si>
  <si>
    <t>4265 Acc Amort Sewer - Tap</t>
  </si>
  <si>
    <t>4275 Acc Amort SWR Res Cap Fee-NC</t>
  </si>
  <si>
    <t>4280 Acc Amort SWR Plt Mod Fee-NC</t>
  </si>
  <si>
    <t>4310 Acc Amort Reuse Services</t>
  </si>
  <si>
    <t>4005 Acc Amort  Wtr Plt Mtr Fee-NC</t>
  </si>
  <si>
    <t>3975 Acc Amort Other Tang Plt Water</t>
  </si>
  <si>
    <t>CIAC A-12(a)</t>
  </si>
  <si>
    <t>Accumulated Amortization CIAC A-14(a)</t>
  </si>
  <si>
    <t>1210 Misc Equipment</t>
  </si>
  <si>
    <t>1640 Other Plant</t>
  </si>
  <si>
    <t>2300 Acc Depr Transportation Wtr</t>
  </si>
  <si>
    <t>1875 Acc Depr Wells &amp; Springs</t>
  </si>
  <si>
    <t>TOTAL ACCUM DEPRECIATION A-18(a)</t>
  </si>
  <si>
    <t>TOTAL CIAC A-19(a)</t>
  </si>
  <si>
    <t>TOTAL ACCUM AMORT CIAC A-19 (a)</t>
  </si>
  <si>
    <t>Sep</t>
  </si>
  <si>
    <t xml:space="preserve">Nov </t>
  </si>
  <si>
    <t>Water Allocation</t>
  </si>
  <si>
    <t>Sewer Allocation</t>
  </si>
  <si>
    <t>461.1</t>
  </si>
  <si>
    <t>Sewer Flat Rate Residential</t>
  </si>
  <si>
    <t>Sewer Flat Rate Commercial</t>
  </si>
  <si>
    <t>Water Revenue Metered Commercial</t>
  </si>
  <si>
    <t>Water Revenue Metered Residential</t>
  </si>
  <si>
    <t>Sewer Flat Rate Public Authorities</t>
  </si>
  <si>
    <t>Sewer Flat Rate Multi Family</t>
  </si>
  <si>
    <t>Sewer Measured Residential</t>
  </si>
  <si>
    <t>Sewer Measured Commercial</t>
  </si>
  <si>
    <t>Sewer Measured Multi Family</t>
  </si>
  <si>
    <t>Misc Service Revenues</t>
  </si>
  <si>
    <t>Other Water Revenues</t>
  </si>
  <si>
    <t>Flat Rate Re-Use Residential</t>
  </si>
  <si>
    <t>Measured Re-Use Revenues Residential</t>
  </si>
  <si>
    <t>Water Revenues Accruals</t>
  </si>
  <si>
    <t>Water Revenue Multi Family</t>
  </si>
  <si>
    <t>Sewer Revenues Accruals</t>
  </si>
  <si>
    <t>474 / 536</t>
  </si>
  <si>
    <t>3042011 Structures &amp; Improvements SRC Supply</t>
  </si>
  <si>
    <t>3113025 Electric Pumping Equipment SRC Pump</t>
  </si>
  <si>
    <t>Struct &amp; Imprv Gen Plt</t>
  </si>
  <si>
    <t>308.2 Infiltration Gallery</t>
  </si>
  <si>
    <t>310.2 Power Generation Eqp</t>
  </si>
  <si>
    <t>311.3 Elec Pump Eqp WTP</t>
  </si>
  <si>
    <t>311.4 Elec Pump Eqp Trans Dst</t>
  </si>
  <si>
    <t>336.4 Backflow Prevent Device</t>
  </si>
  <si>
    <t>339.4 Other Plt &amp; Misc Eqp Dist</t>
  </si>
  <si>
    <t>347.5 Misc Equipment</t>
  </si>
  <si>
    <t>Other Tangible Plant Water</t>
  </si>
  <si>
    <t>352.1 Franchises Intang Plt</t>
  </si>
  <si>
    <t>3542011 Struct / Imprv Pump</t>
  </si>
  <si>
    <t>364.2 Flow Measure Devices</t>
  </si>
  <si>
    <t>371.3 Pump Equip Pump Plt</t>
  </si>
  <si>
    <t>389.5 Pump Eqp Rclm WTP</t>
  </si>
  <si>
    <t>380.4 Treat Eq Trt Plt</t>
  </si>
  <si>
    <t>3859.2 Other Plt Collection</t>
  </si>
  <si>
    <t>389.3 Other Plant Pump</t>
  </si>
  <si>
    <t>389.4 Other Plt Treatment</t>
  </si>
  <si>
    <t>389.5 Other Plt Rclm Wtr Trt</t>
  </si>
  <si>
    <t>393.7 Tool Shop &amp; Misc Eqpt</t>
  </si>
  <si>
    <t>396.7 Communication Eqpt</t>
  </si>
  <si>
    <t>397.7 Misc Equip Sewer</t>
  </si>
  <si>
    <t>367.6 Reuse Mtr/Installations</t>
  </si>
  <si>
    <t>Amortization Expense CIAC Water</t>
  </si>
  <si>
    <t>Amortization Expense CIAC Sewer</t>
  </si>
  <si>
    <t>Total Depreciation Expense, Net</t>
  </si>
  <si>
    <t>Net Book Value Disposal</t>
  </si>
  <si>
    <t>Disposal Proceeds</t>
  </si>
  <si>
    <t>Water Revenue Accruals</t>
  </si>
  <si>
    <t>Sewer Revenue Residential Flat Rate</t>
  </si>
  <si>
    <t>Sewer Revenue Accruals</t>
  </si>
  <si>
    <t>Sewer Revenue Commercial Flat Rate</t>
  </si>
  <si>
    <t>Sewer Revenue Publuc Auth Flat Rate</t>
  </si>
  <si>
    <t>Sewer Revenue Multi Fam Flat Rate</t>
  </si>
  <si>
    <t>Sewer Revenue Residential Measured</t>
  </si>
  <si>
    <t>Sewer Revenue Commercial Measured</t>
  </si>
  <si>
    <t>Sewer Revenue Multi Fam Measured</t>
  </si>
  <si>
    <t>Reuse Revenue Residential Flat Rate</t>
  </si>
  <si>
    <t>Misc Service Revenue</t>
  </si>
  <si>
    <t>Other W/ S Revenues</t>
  </si>
  <si>
    <t>471/536</t>
  </si>
  <si>
    <t>474/536</t>
  </si>
  <si>
    <t>Water Revenue Commercial</t>
  </si>
  <si>
    <t xml:space="preserve">Water Revenue Multi Fam </t>
  </si>
  <si>
    <t xml:space="preserve">Water Revenue Residential </t>
  </si>
  <si>
    <t>339.3 Oth Olt &amp; Misc Eqp WTP</t>
  </si>
  <si>
    <t>3752008 Reuse Transmission &amp; Dist Sys</t>
  </si>
  <si>
    <t>ERC</t>
  </si>
  <si>
    <t>Total ERC</t>
  </si>
  <si>
    <t>Water ERC</t>
  </si>
  <si>
    <t>Reuse ERC</t>
  </si>
  <si>
    <t>Re-Use Plant</t>
  </si>
  <si>
    <t>Sewer ERC / Reuse ERC</t>
  </si>
  <si>
    <t xml:space="preserve">354.4  Structures &amp; Improvements </t>
  </si>
  <si>
    <t>355.2 Power Generation Equipment</t>
  </si>
  <si>
    <t>375.6 Reuse Trans. And Dist. System</t>
  </si>
  <si>
    <t>367.6  Reuse Mtr/Installations</t>
  </si>
  <si>
    <t>BALANCE SHEET METHOD</t>
  </si>
  <si>
    <t>13 MONTH AVG</t>
  </si>
  <si>
    <t>Current &amp; Accrued Assets</t>
  </si>
  <si>
    <t>Current &amp; Accrued Liabilities</t>
  </si>
  <si>
    <t>A- Allocated based on revenues</t>
  </si>
  <si>
    <t>B-Allocated based on gross plant</t>
  </si>
  <si>
    <t>C- Allocated based on ERC</t>
  </si>
  <si>
    <t>Misc. Current &amp; Accrued Liabilities</t>
  </si>
  <si>
    <t>A - 17</t>
  </si>
  <si>
    <t xml:space="preserve">Schedule of Interest In Tax Expense Calculation </t>
  </si>
  <si>
    <t>Other Taxes</t>
  </si>
  <si>
    <t>Real Estate &amp; Personal Property Taxes</t>
  </si>
  <si>
    <t>Interest During construction</t>
  </si>
  <si>
    <t>355.2 Power Gen Equipment</t>
  </si>
  <si>
    <t>371.5 Pumping Equipment</t>
  </si>
  <si>
    <t>389.5 Other Plant &amp; Misc Equipment</t>
  </si>
  <si>
    <t>374.6 Reuse Distribution Reservoirs</t>
  </si>
  <si>
    <t>375.6 Reuse Transmission &amp; Distribution</t>
  </si>
  <si>
    <t>371.4  Pumping Equipment</t>
  </si>
  <si>
    <t>Gross Plant (13 month Average)</t>
  </si>
  <si>
    <t>Net Plant (13 month Average)</t>
  </si>
  <si>
    <t>Annual Report Reconciliation:</t>
  </si>
  <si>
    <t>Depreciation Expense</t>
  </si>
  <si>
    <t>CLASS A and B</t>
  </si>
  <si>
    <t>354.5 Struct Imprv Gen Plt</t>
  </si>
  <si>
    <t>(A) Utility Plant in Service</t>
  </si>
  <si>
    <t>(F)</t>
  </si>
  <si>
    <t>13 Month Avg.</t>
  </si>
  <si>
    <t>1485 Communication Eqpt</t>
  </si>
  <si>
    <t>1915 Acc Depr - Dist Resv &amp; Standpipe</t>
  </si>
  <si>
    <t>Total Adjustments to Utility Plant in Service</t>
  </si>
  <si>
    <t>13 Month Avg</t>
  </si>
  <si>
    <t>TOTAL UTILITY PLANT IN SERVICE - WATER ADJUSTED</t>
  </si>
  <si>
    <t>TOTAL UTILITY PLANT IN SERVICE - WATER Per G/L</t>
  </si>
  <si>
    <t>TOTAL ACCUMULATED DEPRECIATION - WATER Per G/L</t>
  </si>
  <si>
    <t>TOTAL ACCUMULATED DEPRECIATION -WATER Adjusted</t>
  </si>
  <si>
    <t>TOTAL UTILITY PLANT IN SERVICE - WASTEWATER ADJUSTED</t>
  </si>
  <si>
    <t>TOTAL ACCUM DEPRECIATION -WASTEWATER  Adjusted</t>
  </si>
  <si>
    <t>395.7 Power Operated Equipment</t>
  </si>
  <si>
    <t>374.5 Reuse Distribution Reservoirs</t>
  </si>
  <si>
    <t>374.5 Reuse Dist Reservoirs</t>
  </si>
  <si>
    <t>Utility Plant in Service - Common Plant</t>
  </si>
  <si>
    <t>1470 Tools, Shop &amp; Misc Eqpt</t>
  </si>
  <si>
    <t>1860 Struct &amp; Imprv Gen Plt</t>
  </si>
  <si>
    <t>1970 Off Struct &amp; Imprv</t>
  </si>
  <si>
    <t>1975 Office Furniture &amp; Equipment</t>
  </si>
  <si>
    <t xml:space="preserve">2310 Computer </t>
  </si>
  <si>
    <t>2300 Transportation Equipment</t>
  </si>
  <si>
    <t>1985 Tools, Shop &amp; Misc Eqpt</t>
  </si>
  <si>
    <t>1990 Laboratory Equipment</t>
  </si>
  <si>
    <t>2000 Communication Eqpt</t>
  </si>
  <si>
    <t>2005 Misc Equipment</t>
  </si>
  <si>
    <t>2220 Office Furniture &amp; Equipment</t>
  </si>
  <si>
    <t>2230 Tools, Shop &amp; Misc Eqpt</t>
  </si>
  <si>
    <t>2245 Communication Eqpt</t>
  </si>
  <si>
    <t>Total Accumulated Depr</t>
  </si>
  <si>
    <t>Total Depreciation Expense</t>
  </si>
  <si>
    <t>6470 Struct &amp; Imprv Gen Plt</t>
  </si>
  <si>
    <t>6580 Off Struct &amp; Imprv</t>
  </si>
  <si>
    <t>6585 Office Furniture &amp; Equipment</t>
  </si>
  <si>
    <t xml:space="preserve">6920 Computer </t>
  </si>
  <si>
    <t>6905 Transportation Equipment</t>
  </si>
  <si>
    <t>6595 Tools, Shop &amp; Misc Eqpt</t>
  </si>
  <si>
    <t>6600 Laboratory Equipment</t>
  </si>
  <si>
    <t xml:space="preserve"> Power Operated Equip</t>
  </si>
  <si>
    <t>6610 Communication Eqpt</t>
  </si>
  <si>
    <t>6615 Misc Equipment</t>
  </si>
  <si>
    <t>6825 Office Furniture &amp; Equipment</t>
  </si>
  <si>
    <t>6835 Tools, Shop &amp; Misc Eqpt</t>
  </si>
  <si>
    <t>6850 Communication Eqpt</t>
  </si>
  <si>
    <t>TOTAL  Structure &amp; Imprv</t>
  </si>
  <si>
    <t>TOTAL Office Furn &amp; Equip</t>
  </si>
  <si>
    <t xml:space="preserve">1570 Computer </t>
  </si>
  <si>
    <t>1490 Misc Equipment</t>
  </si>
  <si>
    <t>2250 Misc Equipment</t>
  </si>
  <si>
    <t>6855 Misc Equipment</t>
  </si>
  <si>
    <t>2010 Other Tang Plt Water</t>
  </si>
  <si>
    <t>Thirteen Month Average</t>
  </si>
  <si>
    <t>Not applicable</t>
  </si>
  <si>
    <t>Supporting Schedules:  D-6</t>
  </si>
  <si>
    <t>Recap Schedules:   A-19; D-2</t>
  </si>
  <si>
    <t>Recap Schedules:   A-19, D-2</t>
  </si>
  <si>
    <t>Chase</t>
  </si>
  <si>
    <t xml:space="preserve">Unamortized </t>
  </si>
  <si>
    <t xml:space="preserve">Amount </t>
  </si>
  <si>
    <t>Unamortized Issuing</t>
  </si>
  <si>
    <t xml:space="preserve"> Expense Associated</t>
  </si>
  <si>
    <t>with Column (4)</t>
  </si>
  <si>
    <t xml:space="preserve">Interest </t>
  </si>
  <si>
    <t>Cost (Coupon</t>
  </si>
  <si>
    <t xml:space="preserve">Total </t>
  </si>
  <si>
    <t>Interest Cost</t>
  </si>
  <si>
    <t xml:space="preserve"> Cost Rate</t>
  </si>
  <si>
    <t>Revolving Line of Credit</t>
  </si>
  <si>
    <t xml:space="preserve"> Interest Expense</t>
  </si>
  <si>
    <t>Not applicable.</t>
  </si>
  <si>
    <t>Average Amount</t>
  </si>
  <si>
    <t>A-3</t>
  </si>
  <si>
    <t>Revenue</t>
  </si>
  <si>
    <t>Annual</t>
  </si>
  <si>
    <t>Adjustment</t>
  </si>
  <si>
    <t>Revenues</t>
  </si>
  <si>
    <t>OPERATING REVENUES</t>
  </si>
  <si>
    <t>(D)</t>
  </si>
  <si>
    <t>Operation &amp; Maintenance</t>
  </si>
  <si>
    <t>Depreciation, net of CIAC Amort.</t>
  </si>
  <si>
    <t>Amortization</t>
  </si>
  <si>
    <t>Taxes Other Than Income</t>
  </si>
  <si>
    <t>(C)</t>
  </si>
  <si>
    <t>(E)</t>
  </si>
  <si>
    <t>Provision for Income Taxes</t>
  </si>
  <si>
    <t>OPERATING EXPENSES</t>
  </si>
  <si>
    <t>348.5  Other Tangible Plant</t>
  </si>
  <si>
    <t>Test Year Average Balance</t>
  </si>
  <si>
    <t>Net Proceeds</t>
  </si>
  <si>
    <t xml:space="preserve">Schedule of Wastewater Net Operating Income </t>
  </si>
  <si>
    <t>Schedule: A-12</t>
  </si>
  <si>
    <t>Schedule: A-14</t>
  </si>
  <si>
    <t>Schedule: A-10</t>
  </si>
  <si>
    <t>Schedule: A-6</t>
  </si>
  <si>
    <t>B-3</t>
  </si>
  <si>
    <t>B-15, B-3</t>
  </si>
  <si>
    <t>C-1, B-3</t>
  </si>
  <si>
    <t>Reconciliation of Total Income Tax Provision</t>
  </si>
  <si>
    <t>Parent(s) Debt Information</t>
  </si>
  <si>
    <t>Supporting Schedules:     A-5, A-6, A-9, A-10</t>
  </si>
  <si>
    <t>Recap Schedules:     A-1, A-2</t>
  </si>
  <si>
    <t>Schedule of Water and Wastewater Accumulated Depreciation</t>
  </si>
  <si>
    <t>Schedule: A-8</t>
  </si>
  <si>
    <t>Utilities, Inc.</t>
  </si>
  <si>
    <t>Term of</t>
  </si>
  <si>
    <t>Amort.</t>
  </si>
  <si>
    <t>Budget</t>
  </si>
  <si>
    <t>Period</t>
  </si>
  <si>
    <t>Working Capital Allowance</t>
  </si>
  <si>
    <t xml:space="preserve">    Total Rate Base</t>
  </si>
  <si>
    <t>$</t>
  </si>
  <si>
    <t>Page 3 of 3</t>
  </si>
  <si>
    <t>Schedule of Wastewater Rate Base</t>
  </si>
  <si>
    <t xml:space="preserve">Schedule of Adjustments to Rate Base </t>
  </si>
  <si>
    <t>Schedule: A-3</t>
  </si>
  <si>
    <t>Water</t>
  </si>
  <si>
    <t>Wastewater</t>
  </si>
  <si>
    <t>(A)</t>
  </si>
  <si>
    <t>(B)</t>
  </si>
  <si>
    <t>Accumulated Depreciation</t>
  </si>
  <si>
    <t>Schedule of Water and Wastewater Plant in Service</t>
  </si>
  <si>
    <t>Schedule of Adjustments to Operating Income</t>
  </si>
  <si>
    <t>RAF rate</t>
  </si>
  <si>
    <t>Total Test Year Adjustments</t>
  </si>
  <si>
    <t>Adjusted Test Year</t>
  </si>
  <si>
    <t>RAFs Assoc. with Revenue Increase</t>
  </si>
  <si>
    <t>Total Balance</t>
  </si>
  <si>
    <t>(2+3-4)</t>
  </si>
  <si>
    <t>Subtotal</t>
  </si>
  <si>
    <t>Interest on Long-Term Debt</t>
  </si>
  <si>
    <t>Book Depreciation and Amortization</t>
  </si>
  <si>
    <t>Long-Term Debt</t>
  </si>
  <si>
    <t>Less: Interest Charges (Sch. C-3)</t>
  </si>
  <si>
    <t>ITC Realized This Year</t>
  </si>
  <si>
    <t>Amortization of Debt Premium,</t>
  </si>
  <si>
    <t>Taxable Income Per Books</t>
  </si>
  <si>
    <t>Sewer Accumulated Depreciation by Primary Account</t>
  </si>
  <si>
    <t>A-11</t>
  </si>
  <si>
    <t>A-13</t>
  </si>
  <si>
    <t>A-15</t>
  </si>
  <si>
    <t>Schedule of AFUDC Rates Used</t>
  </si>
  <si>
    <t>Service Availability Charges Schedule</t>
  </si>
  <si>
    <t>461.4 Metered - Public Authorities</t>
  </si>
  <si>
    <t>(5)</t>
  </si>
  <si>
    <t>Balance</t>
  </si>
  <si>
    <t>3466094 Tools, Shop &amp; Miscellaneous Equipment</t>
  </si>
  <si>
    <t>3446095 Laboratory Equipment</t>
  </si>
  <si>
    <t>Interest During Construction</t>
  </si>
  <si>
    <t>Contributed Property</t>
  </si>
  <si>
    <t>Meters &amp; Meter Installation Fees</t>
  </si>
  <si>
    <t>Total Revenue Increase Requested</t>
  </si>
  <si>
    <t>521.5 Flat Rate - Multi-Family</t>
  </si>
  <si>
    <t>461.5 Metered - Multi-Family</t>
  </si>
  <si>
    <t>521.6 Flat Rate - Other</t>
  </si>
  <si>
    <t>541   Measured Re-Use Revenues</t>
  </si>
  <si>
    <t>Maturity Date</t>
  </si>
  <si>
    <t>Cost of Long Term Debt</t>
  </si>
  <si>
    <t>Schedule D-5</t>
  </si>
  <si>
    <t>Annual Amortization of</t>
  </si>
  <si>
    <t xml:space="preserve">Issue Date - </t>
  </si>
  <si>
    <t xml:space="preserve">Principal Amount </t>
  </si>
  <si>
    <t>Amount Outstanding</t>
  </si>
  <si>
    <t>462.2 Private Fire Protection</t>
  </si>
  <si>
    <t>522.2 Measured - Commercial</t>
  </si>
  <si>
    <t>464   Other Sales - Public Authorities</t>
  </si>
  <si>
    <t>522.3 Measured - Industrial</t>
  </si>
  <si>
    <t>465   Irrigation Customers</t>
  </si>
  <si>
    <t>522.4 Measured - Public Authority</t>
  </si>
  <si>
    <t>466   Sales for Resale</t>
  </si>
  <si>
    <t>522.5 Measured - Multi-Family</t>
  </si>
  <si>
    <t>467   Interdepartmental Sales</t>
  </si>
  <si>
    <t>523   Other Sales - Public Authorities</t>
  </si>
  <si>
    <t>524   Revenues from Other Systems</t>
  </si>
  <si>
    <t>Account No. 190.2020 Deferred Tax Credits- Rate Case</t>
  </si>
  <si>
    <t>Account No. 190.1020 Deferred Tax Credits- Rate Case</t>
  </si>
  <si>
    <t>Account No. 190.1021 Deferred Tax Credits- Maint Fee</t>
  </si>
  <si>
    <t>Account No. 190.1024 Deferred Tax Credits- Org. Exp.</t>
  </si>
  <si>
    <t/>
  </si>
  <si>
    <t>Schedule of Wastewater Plant in Service By Primary Account</t>
  </si>
  <si>
    <t>Recap Schedules:     A-2, A-4</t>
  </si>
  <si>
    <t>351.1  Organization</t>
  </si>
  <si>
    <t>352.1  Franchises</t>
  </si>
  <si>
    <t>389.1  Other Plant &amp; Misc. Equipment</t>
  </si>
  <si>
    <t>COLLECTION PLANT</t>
  </si>
  <si>
    <t>353.2  Land &amp; Land Rights</t>
  </si>
  <si>
    <t>354.2  Structures &amp; Improvements</t>
  </si>
  <si>
    <t>360.2  Collection Sewers - Force</t>
  </si>
  <si>
    <t>361.2  Collection Sewers - Gravity</t>
  </si>
  <si>
    <t>362.2  Special Collecting Structures</t>
  </si>
  <si>
    <t>Explanation: Complete the following comparison of the applicant's current and prior test year O&amp;M expenses before this Commission.  Provide an explanation of all differences which are not attributable to the change in customer growth and  the CPI-U.  If the applicant has not had a previous rate case, use the year 5 years prior to the test year for comparison. Provide an additional schedule, if necessary, to explain differences.</t>
  </si>
  <si>
    <t>Explanation if different from Section 367.0816, Florida</t>
  </si>
  <si>
    <t>Type Charge</t>
  </si>
  <si>
    <t>Charges</t>
  </si>
  <si>
    <t>EQUITY CAPITAL &amp; LIABILITIES</t>
  </si>
  <si>
    <t>Common Stock Issued</t>
  </si>
  <si>
    <t>Explanation: Provide a detailed description of all adjustments to rate base per books, with a total for each rate base line item.</t>
  </si>
  <si>
    <t>Explanation:  Provide a schedule of public fire hydrants (including standpipes, etc.) by size.  This schedule is not required for a sewer only rate application.</t>
  </si>
  <si>
    <t>Explanation:  Provide a schedule of test year non-used and useful depreciation expense by primary account</t>
  </si>
  <si>
    <t>Calculation of ITC Interest Synchronization Adjustment</t>
  </si>
  <si>
    <t>ONLY for Option 2 companies (See Sch. C-8, pg. 4)</t>
  </si>
  <si>
    <t>Debt Only</t>
  </si>
  <si>
    <t>Current State Income Taxes</t>
  </si>
  <si>
    <t>Federal Tax Rate</t>
  </si>
  <si>
    <t>Balances From Schedule D-1</t>
  </si>
  <si>
    <t>Ratio</t>
  </si>
  <si>
    <t>Federal Income Tax Rate</t>
  </si>
  <si>
    <t>Less: Investment Tax Credit Realized</t>
  </si>
  <si>
    <t>Total Deferred Tax Expense (To C-1)</t>
  </si>
  <si>
    <t>Common Equity</t>
  </si>
  <si>
    <t>Summary:</t>
  </si>
  <si>
    <t>Total Current Income Tax Expense (To C-1)</t>
  </si>
  <si>
    <t>Per Person</t>
  </si>
  <si>
    <t>Service Rendered</t>
  </si>
  <si>
    <t>Estimate Through</t>
  </si>
  <si>
    <t>Amortization Period 4 Years</t>
  </si>
  <si>
    <t>Other Interest Expense - Intercompany</t>
  </si>
  <si>
    <t>Explanation:  Provide a billing analysis for each class of service by meter size.  For applicants having master metered multiple dwellings, provide number of bills at each level by meter size or number of bills categorized by the number of units.  Round consumption to nearest 1,000 gallons &amp; begin at zero.  If a rate change occurred during the test year, provide a separate billing analysis which coincides with each period.</t>
  </si>
  <si>
    <t>Consumer Price Index - U</t>
  </si>
  <si>
    <t>Benchmark Index:</t>
  </si>
  <si>
    <t>Operation &amp; Maintenance Expense Comparison - Wastewater</t>
  </si>
  <si>
    <t>Contractual Services</t>
  </si>
  <si>
    <t>Analysis of Rate Case Expense</t>
  </si>
  <si>
    <t>Schedule: B-10</t>
  </si>
  <si>
    <t>Explanation:  Provide the description and amount of all book/tax differences accounted for as permanent differences.  This would include any items accounted for on a flow through basis.</t>
  </si>
  <si>
    <t>Miscellaneous Current &amp; Accrued Assets</t>
  </si>
  <si>
    <t>TOTAL CURRENT ASSETS</t>
  </si>
  <si>
    <t>Reconciliation Adjustments</t>
  </si>
  <si>
    <t>Wastewater Treatment Plant Data</t>
  </si>
  <si>
    <t xml:space="preserve">                                                                                                            </t>
  </si>
  <si>
    <t>Difference</t>
  </si>
  <si>
    <t>Explanation</t>
  </si>
  <si>
    <t>% of</t>
  </si>
  <si>
    <t>Cost</t>
  </si>
  <si>
    <t>Weighted</t>
  </si>
  <si>
    <t>Tax or Franchise Fee Schedule</t>
  </si>
  <si>
    <t xml:space="preserve">   Limited by NOL</t>
  </si>
  <si>
    <t>Sold (Face Value)</t>
  </si>
  <si>
    <t>on Principal Amount Sold</t>
  </si>
  <si>
    <t>Explanation:  Provide the amount of interest expense used to calculate income taxes on Schedule No. C-2. Explain any changes in interest expense in detail giving amount of change and reason for change.  If the basis for allocating interest used in the tax</t>
  </si>
  <si>
    <t>Schedule D-4</t>
  </si>
  <si>
    <t>Adj. Total</t>
  </si>
  <si>
    <t>Annual Balances Subsequent to Last Established Rate Base</t>
  </si>
  <si>
    <t>Schedule: A-4</t>
  </si>
  <si>
    <t>Year-End Balance</t>
  </si>
  <si>
    <t xml:space="preserve">Line </t>
  </si>
  <si>
    <t>Explanation: Provide a schedule of operation and maintenance expenses by primary account for each month of the test year.  If schedule has to be continued on 2nd page, reprint the account titles and numbers.</t>
  </si>
  <si>
    <t xml:space="preserve">             OPERATING REVENUES</t>
  </si>
  <si>
    <t>Schedule: E-14</t>
  </si>
  <si>
    <t>Water [x] or Sewer [x]</t>
  </si>
  <si>
    <t>Customer Class:</t>
  </si>
  <si>
    <t>Meter Size: all</t>
  </si>
  <si>
    <t>Gallons</t>
  </si>
  <si>
    <t>Consolidated</t>
  </si>
  <si>
    <t>Number</t>
  </si>
  <si>
    <t>Cumulative</t>
  </si>
  <si>
    <t>Consumed</t>
  </si>
  <si>
    <t>Reversed</t>
  </si>
  <si>
    <t>Recap Schedules:     A-2, A-8</t>
  </si>
  <si>
    <t>Accumulated Amortization of CIAC by Classification</t>
  </si>
  <si>
    <t>Annual Advances for Construction Additions and Balances</t>
  </si>
  <si>
    <t xml:space="preserve">Calculation of Working Capital Allowance </t>
  </si>
  <si>
    <t>Comparative Balance Sheet - Liabilities &amp; Owners' Equity</t>
  </si>
  <si>
    <t>B-1</t>
  </si>
  <si>
    <t>Schedule of Water Operating Statement - Final</t>
  </si>
  <si>
    <t>Schedule of Sewer Operating Statement - Final</t>
  </si>
  <si>
    <t>Adjustments to Operating Income - Final</t>
  </si>
  <si>
    <t>B-5</t>
  </si>
  <si>
    <t>Operation and Maintenance Expenses by Month - Water</t>
  </si>
  <si>
    <t>Operation and Maintenance Expenses by Month - Sewer</t>
  </si>
  <si>
    <t>B-7</t>
  </si>
  <si>
    <t>Cost of Variable Rate Long Term Debt</t>
  </si>
  <si>
    <t>Schedule D-6</t>
  </si>
  <si>
    <t>Basis of Variable</t>
  </si>
  <si>
    <t>Rate (i.e. Prime + 2%)</t>
  </si>
  <si>
    <t>C-10</t>
  </si>
  <si>
    <t>Rate</t>
  </si>
  <si>
    <t>Is the treatment of unbilled revenues at issue with the IRS?</t>
  </si>
  <si>
    <t>Short-Term Debt</t>
  </si>
  <si>
    <t>Preferred Stock</t>
  </si>
  <si>
    <t>Deferred Income Tax Expense</t>
  </si>
  <si>
    <t>Parent Debt Adjustment</t>
  </si>
  <si>
    <t>NET DEPRECIATION EXPENSE - SEWER</t>
  </si>
  <si>
    <t xml:space="preserve">Taxes Other Than Income (Final Rates) </t>
  </si>
  <si>
    <t>Schedule: B-15</t>
  </si>
  <si>
    <t xml:space="preserve">Explanation:  Provide a reconciliation between the total operating income tax provision and the currently payable income taxes on operating income for the test year.  </t>
  </si>
  <si>
    <t>Recap Schedule: A-1, A-2</t>
  </si>
  <si>
    <t>No</t>
  </si>
  <si>
    <t>Sewer</t>
  </si>
  <si>
    <t>Unamortized Discount or Premium</t>
  </si>
  <si>
    <t>Unamortized Issuing Expense</t>
  </si>
  <si>
    <t xml:space="preserve">Issuing Expense on </t>
  </si>
  <si>
    <t>Interest Cost (Coupon</t>
  </si>
  <si>
    <t>Total Interest Cost</t>
  </si>
  <si>
    <t>Effective Cost Rate</t>
  </si>
  <si>
    <t>within One Year</t>
  </si>
  <si>
    <t>on Principal Outstanding</t>
  </si>
  <si>
    <t>Principal Outstanding</t>
  </si>
  <si>
    <t>Rate x Column (4))</t>
  </si>
  <si>
    <t>3907091 Office Furniture &amp; Equipment</t>
  </si>
  <si>
    <t xml:space="preserve">G/L  Account No. and Name </t>
  </si>
  <si>
    <t>Interim [  ] Final [X]</t>
  </si>
  <si>
    <t>Accts. Rec'b - Assoc. Cos.</t>
  </si>
  <si>
    <t>Notes Rec'b - Assoc. Cos.</t>
  </si>
  <si>
    <t>Schedule E-5</t>
  </si>
  <si>
    <t>Water [  ]  Sewer [ X ]</t>
  </si>
  <si>
    <t>Initial</t>
  </si>
  <si>
    <t>Normal</t>
  </si>
  <si>
    <t>Violation</t>
  </si>
  <si>
    <t>Premises</t>
  </si>
  <si>
    <t>A copy of the Federal and Florida tax returns will be made available for inspection during the field audit.</t>
  </si>
  <si>
    <t>None</t>
  </si>
  <si>
    <t>Other Charges as follows:</t>
  </si>
  <si>
    <t>NSF Check Charge</t>
  </si>
  <si>
    <t>Cut-Off Charge</t>
  </si>
  <si>
    <t>For the Test Year and 2 Years Prior and 1 Year Subsequent</t>
  </si>
  <si>
    <t>Schedule: B-11</t>
  </si>
  <si>
    <t>Effective</t>
  </si>
  <si>
    <t>Accrued Interest</t>
  </si>
  <si>
    <t>Cost Rate</t>
  </si>
  <si>
    <t>Rate, Years of Life</t>
  </si>
  <si>
    <t>TOTAL UTILITY PLANT IN SERVICE</t>
  </si>
  <si>
    <t>TOTAL ACCUMULATED DEPRECIATION</t>
  </si>
  <si>
    <t>WASTEWATER - MFR Account No. and Name</t>
  </si>
  <si>
    <t xml:space="preserve">WASTEWATER - G/L  Account No. and Name </t>
  </si>
  <si>
    <t>3511001 Organization</t>
  </si>
  <si>
    <t>3824009 Outfall Lines</t>
  </si>
  <si>
    <t>Guaranteed Revenues Received</t>
  </si>
  <si>
    <t>Schedule: E-11</t>
  </si>
  <si>
    <t>Explanation:  Provide copies of all guaranteed revenue contracts with a schedule of billing and receipts on an annual basis by class.</t>
  </si>
  <si>
    <t>General</t>
  </si>
  <si>
    <t>Year Ended</t>
  </si>
  <si>
    <t>Residential</t>
  </si>
  <si>
    <t>Service</t>
  </si>
  <si>
    <t>Schedule E-10</t>
  </si>
  <si>
    <t>Historical [x]  Projected [ ]</t>
  </si>
  <si>
    <t>Water [ X]  Sewer [X ]</t>
  </si>
  <si>
    <t>Comparative Balance Sheet - Assets</t>
  </si>
  <si>
    <t>Schedule: A-18</t>
  </si>
  <si>
    <t>ASSETS</t>
  </si>
  <si>
    <t>Other Utility Plant Adjustments</t>
  </si>
  <si>
    <t>GROSS UTILITY PLANT</t>
  </si>
  <si>
    <t>Less:  Accumulated Depreciation</t>
  </si>
  <si>
    <t>NET UTILITY PLANT</t>
  </si>
  <si>
    <t>Violation Reconnection Fee</t>
  </si>
  <si>
    <t>Water [ ]  Sewer [x]</t>
  </si>
  <si>
    <t>Utility</t>
  </si>
  <si>
    <t>Supporting</t>
  </si>
  <si>
    <t>No.</t>
  </si>
  <si>
    <t>Description</t>
  </si>
  <si>
    <t>Books</t>
  </si>
  <si>
    <t>Adjustments</t>
  </si>
  <si>
    <t>Schedule(s)</t>
  </si>
  <si>
    <t>Interest Adjustment (To Line 6)</t>
  </si>
  <si>
    <t>Recap Schedules: C-1</t>
  </si>
  <si>
    <t xml:space="preserve">      This Year (Sch. C-8)</t>
  </si>
  <si>
    <t>Accts. Rec'b - Other</t>
  </si>
  <si>
    <t>C-6</t>
  </si>
  <si>
    <t>A-18</t>
  </si>
  <si>
    <t>A-19</t>
  </si>
  <si>
    <t>B-2</t>
  </si>
  <si>
    <t>B-4</t>
  </si>
  <si>
    <t>Test Year Operating Revenues</t>
  </si>
  <si>
    <t>B-6</t>
  </si>
  <si>
    <t>B-8</t>
  </si>
  <si>
    <t>B-9</t>
  </si>
  <si>
    <t>B-10</t>
  </si>
  <si>
    <t>B-11</t>
  </si>
  <si>
    <t>Explanation:  Provide an analysis of all maintenance projects greater than 2% of test year revenues per  system which occurred during the 2 years prior to the test year, the test year, and the budgeted amount for 1 year subsequent to the test year.  For each project, provide a description, the total cost or budgeted   amount and how often the project should be repeated.</t>
  </si>
  <si>
    <t>Explanation:  Complete the following schedule of all taxes other than income.   For all allocations, provide description of allocation and calculations.</t>
  </si>
  <si>
    <t>353.7  Land &amp; Land Rights</t>
  </si>
  <si>
    <t>354.7  Structures &amp; Improvements</t>
  </si>
  <si>
    <t>390.7  Office Furniture &amp; Equipment</t>
  </si>
  <si>
    <t>391.7  Transportation Equipment</t>
  </si>
  <si>
    <t>392.7  Stores Equipment</t>
  </si>
  <si>
    <t>393.7  Tools, Shop &amp; Garage Equipment</t>
  </si>
  <si>
    <t>394.7  Laboratory Equipment</t>
  </si>
  <si>
    <t>395.7  Power Operated Equipment</t>
  </si>
  <si>
    <t>396.7  Communication Equipment</t>
  </si>
  <si>
    <t>397.7  Miscellaneous Equipment</t>
  </si>
  <si>
    <t>Increase in ad valorem tax per B-3</t>
  </si>
  <si>
    <t>TOTAL</t>
  </si>
  <si>
    <t>Schedule of Annual AFUDC Rates Used</t>
  </si>
  <si>
    <t>Schedule: A-15</t>
  </si>
  <si>
    <t>Page 1 of 1</t>
  </si>
  <si>
    <t>Schedule of Water and Wastewater Advances For Construction</t>
  </si>
  <si>
    <t>Schedule: A-16</t>
  </si>
  <si>
    <t>COST OF CAPITAL</t>
  </si>
  <si>
    <t>D-1</t>
  </si>
  <si>
    <t>D-2</t>
  </si>
  <si>
    <t>D-3</t>
  </si>
  <si>
    <t xml:space="preserve">Deferred Rate Case Exp </t>
  </si>
  <si>
    <t>3072014 Wells &amp; Springs</t>
  </si>
  <si>
    <t>339.2  Other Plant &amp; Miscellaneous Equipment</t>
  </si>
  <si>
    <t xml:space="preserve">Explanation: Provide the calculation of average rate base for the test year, showing all adjustments. All non-used and useful items should be reported as Plant Held For Future Use.  </t>
  </si>
  <si>
    <t>Explanation: Provide the average CIAC balance by account.  If a projected year is employed, provide breakdown for average and projected test year.</t>
  </si>
  <si>
    <t>Non-Used</t>
  </si>
  <si>
    <t>(11)/((4)-(6)-(7))</t>
  </si>
  <si>
    <t>Schedule of Customer Deposits</t>
  </si>
  <si>
    <t>For the</t>
  </si>
  <si>
    <t>Deposits</t>
  </si>
  <si>
    <t>Visit</t>
  </si>
  <si>
    <t xml:space="preserve">Explanation:  Provide the annual balance of Advances For Construction, for water and sewer separately, for all years since either rate base was last established by this Commission, or the date of inception of  utility service if rate base has not been established previously by this Commission; and yearly additions and adjustments by dollar amount up to the end of the test year.  Provide an additional page if necessary. If a projected test year is used, include the projected additions and/or retirements, specifically identifying those amounts. Also provide a brief description of the applicant's policy regarding advances. </t>
  </si>
  <si>
    <t>Other Long-Term Debt</t>
  </si>
  <si>
    <t>TOTAL LONG-TERM DEBT</t>
  </si>
  <si>
    <t>Accounts Payable</t>
  </si>
  <si>
    <t>Notes Payable</t>
  </si>
  <si>
    <t>Schedule E-4</t>
  </si>
  <si>
    <t>Accumulated Deferred Income Tax</t>
  </si>
  <si>
    <t>353.4  Land &amp; Land Rights</t>
  </si>
  <si>
    <t>Current Federal Inc. Taxes (Line 28 - Line 30)</t>
  </si>
  <si>
    <t>Current Federal Income Taxes (Line 32)</t>
  </si>
  <si>
    <t>Net Utility Operating Income (Sch. B-2 )</t>
  </si>
  <si>
    <t>Add: Income Tax Expense Per Books (Sch. B-2)</t>
  </si>
  <si>
    <t>759  Insurance - Other</t>
  </si>
  <si>
    <t>Less: CIAC</t>
  </si>
  <si>
    <t>Accumulated Amortization of CIAC</t>
  </si>
  <si>
    <t>(Limited by NOL)</t>
  </si>
  <si>
    <t>Accumulated Deferred Income Taxes - Summary</t>
  </si>
  <si>
    <t>Recap Schedules:  D-1</t>
  </si>
  <si>
    <t>Line No.</t>
  </si>
  <si>
    <t>741  Rental of Building/Real Prop.</t>
  </si>
  <si>
    <t>742  Rental of Equipment</t>
  </si>
  <si>
    <t>750  Transportation Expenses</t>
  </si>
  <si>
    <t>756  Insurance - Vehicle</t>
  </si>
  <si>
    <t>757  Insurance - General Liability</t>
  </si>
  <si>
    <t>758  Insurance - Workman's Comp.</t>
  </si>
  <si>
    <t>Schedule E-3</t>
  </si>
  <si>
    <t>Explanation:  Provide a schedule of monthly customers billed or served by class.</t>
  </si>
  <si>
    <t>Month/</t>
  </si>
  <si>
    <t>Multi-</t>
  </si>
  <si>
    <t>Explanation: Provide the calculation of state and federal income taxes for the test year. Provide detail on adjustments to income taxes and investment tax credits generated.</t>
  </si>
  <si>
    <t>Gallons of Wastewater Treated</t>
  </si>
  <si>
    <t>A-6</t>
  </si>
  <si>
    <t>A-7</t>
  </si>
  <si>
    <t>A-10</t>
  </si>
  <si>
    <t>A-12</t>
  </si>
  <si>
    <t>A-14</t>
  </si>
  <si>
    <t>A-16</t>
  </si>
  <si>
    <t>A-17</t>
  </si>
  <si>
    <t>(7)</t>
  </si>
  <si>
    <t>Requested</t>
  </si>
  <si>
    <t>Plant Capacity Fees</t>
  </si>
  <si>
    <t>Line/Main Extension Fees</t>
  </si>
  <si>
    <t>Level</t>
  </si>
  <si>
    <t>of Bills</t>
  </si>
  <si>
    <t>Bills</t>
  </si>
  <si>
    <t>(1)x(2)</t>
  </si>
  <si>
    <t>[(1)x(6)]+(5)</t>
  </si>
  <si>
    <t>of Total</t>
  </si>
  <si>
    <t>The billing analysis is contained in Volume II</t>
  </si>
  <si>
    <t>303.5  Land &amp; Land Rights</t>
  </si>
  <si>
    <t>304.5  Structures &amp; Improvements</t>
  </si>
  <si>
    <t>341.5  Transportation Equipment</t>
  </si>
  <si>
    <t>343.5  Tools, Shop &amp; Garage Equipment</t>
  </si>
  <si>
    <t>344.5  Laboratory Equipment</t>
  </si>
  <si>
    <t>Deferred Tax Expense - Final</t>
  </si>
  <si>
    <t>C-7</t>
  </si>
  <si>
    <t>Page 2 of 3</t>
  </si>
  <si>
    <t>Schedule of Rate Base - Sewer</t>
  </si>
  <si>
    <t>Water Accumulated Depreciation by Primary Account</t>
  </si>
  <si>
    <t>Rate Schedule - Sewer</t>
  </si>
  <si>
    <t>Total Revenues</t>
  </si>
  <si>
    <t>SOURCE OF SUPPLY AND PUMPING PLANT</t>
  </si>
  <si>
    <t>303.2  Land &amp; Land Rights</t>
  </si>
  <si>
    <t>304.2  Structures &amp; Improvements</t>
  </si>
  <si>
    <t>305.2  Collect. &amp; Impound. Reservoirs</t>
  </si>
  <si>
    <t>306.2  Lake, River &amp; Other Intakes</t>
  </si>
  <si>
    <t>307.2  Wells &amp; Springs</t>
  </si>
  <si>
    <t>308.2  Infiltration Galleries &amp; Tunnels</t>
  </si>
  <si>
    <t>309.2  Supply Mains</t>
  </si>
  <si>
    <t>310.2  Power Generation Equipment</t>
  </si>
  <si>
    <t>311.2  Pumping Equipment</t>
  </si>
  <si>
    <t>WATER TREATMENT PLANT</t>
  </si>
  <si>
    <t>303.3  Land &amp; Land Rights</t>
  </si>
  <si>
    <t>304.3  Structures &amp; Improvements</t>
  </si>
  <si>
    <t>ITCs (from D-1, Line 7)</t>
  </si>
  <si>
    <t>Weighted Debt Cost (From Line 12)</t>
  </si>
  <si>
    <t>Test year</t>
  </si>
  <si>
    <t xml:space="preserve">Final Rates </t>
  </si>
  <si>
    <t>Reconciliation of Total Income Tax Provision - Final</t>
  </si>
  <si>
    <t>State and Federal Income Tax Calculation - Current -Final</t>
  </si>
  <si>
    <t>C-3</t>
  </si>
  <si>
    <t>C-4</t>
  </si>
  <si>
    <t>474   Other Water Revenues</t>
  </si>
  <si>
    <t>534   Rents From Sewer Property</t>
  </si>
  <si>
    <t>535   Interdepartmental Rents</t>
  </si>
  <si>
    <t>Adjusted</t>
  </si>
  <si>
    <t>Expense</t>
  </si>
  <si>
    <t>LESS: AMORTIZATION OF CIAC</t>
  </si>
  <si>
    <t>Net Depreciation Expense - Wastewater</t>
  </si>
  <si>
    <t>Schedule: B-14</t>
  </si>
  <si>
    <t>Recap Schedules:     B-2</t>
  </si>
  <si>
    <t>522.1 Measured - Residential</t>
  </si>
  <si>
    <t>December</t>
  </si>
  <si>
    <t>N/A</t>
  </si>
  <si>
    <t>Recap Schedules:  C-2, C-3, C-10, D-2, A-18, A-19</t>
  </si>
  <si>
    <t xml:space="preserve">   Credits</t>
  </si>
  <si>
    <t>Explanation:  Provide an analysis of accumulated tax credits generated and amortized on an annual basis beginning with the test year in the last rate case to the end of the current test year. Amounts provided by the Revenue Act of 1971 and subsequent acts should be shown separately from  amounts applicable to prior laws. Identify progress payments separately.</t>
  </si>
  <si>
    <t>Explanation:  Provide the calculation of total deferred income tax expense for the test year.   Provide detail on items resulting in tax deferrals other than accelerated depreciation.</t>
  </si>
  <si>
    <t>per B-3</t>
  </si>
  <si>
    <t>Property</t>
  </si>
  <si>
    <t>Test Year Per Books</t>
  </si>
  <si>
    <t>Utility [X] or Parent [  ]</t>
  </si>
  <si>
    <t>Rate Schedule</t>
  </si>
  <si>
    <t>Customer Monthly Billing Schedule</t>
  </si>
  <si>
    <t>Miscellaneous Service Charges</t>
  </si>
  <si>
    <t>Contracts and Agreements Schedule</t>
  </si>
  <si>
    <t>Dollar Dividend on</t>
  </si>
  <si>
    <t>Effective Cost</t>
  </si>
  <si>
    <t>Special Restriction</t>
  </si>
  <si>
    <t>Accumulated Deferred Income Taxes - Final</t>
  </si>
  <si>
    <t>F-8</t>
  </si>
  <si>
    <t>F-7</t>
  </si>
  <si>
    <t>Margin Reserve Calculations - Water and Wastewater</t>
  </si>
  <si>
    <t>and Wastewater Collection System</t>
  </si>
  <si>
    <t>Investment Tax Credits</t>
  </si>
  <si>
    <t>Requested Cost of Capital - Final</t>
  </si>
  <si>
    <t>Percentage</t>
  </si>
  <si>
    <t>715  Purchased Power</t>
  </si>
  <si>
    <t>INTERIM RATE SCHEDULES</t>
  </si>
  <si>
    <t>A-2 Interim</t>
  </si>
  <si>
    <t>A-3 Interim</t>
  </si>
  <si>
    <t>B-2 Interim</t>
  </si>
  <si>
    <t>B-3 Interim</t>
  </si>
  <si>
    <t>D-1 Interim</t>
  </si>
  <si>
    <t>Private Fire Protection Service</t>
  </si>
  <si>
    <t>3486050 Water Plant Allocated</t>
  </si>
  <si>
    <t>*</t>
  </si>
  <si>
    <t xml:space="preserve"> </t>
  </si>
  <si>
    <t>Total Used For Tax Calculation</t>
  </si>
  <si>
    <t>Supporting Schedules:  None</t>
  </si>
  <si>
    <t>(1)</t>
  </si>
  <si>
    <t>(2)</t>
  </si>
  <si>
    <t>(3)</t>
  </si>
  <si>
    <t>(4)</t>
  </si>
  <si>
    <t>Accrued Interest Rec'b</t>
  </si>
  <si>
    <t>Allowance for Bad Debts</t>
  </si>
  <si>
    <t>Materials &amp; Supplies</t>
  </si>
  <si>
    <t>% rate of return</t>
  </si>
  <si>
    <t>TREATMENT AND DISPOSAL PLANT</t>
  </si>
  <si>
    <t>C-2</t>
  </si>
  <si>
    <t>C-5</t>
  </si>
  <si>
    <t>C-8</t>
  </si>
  <si>
    <t>C-9</t>
  </si>
  <si>
    <t>Notes Receivable</t>
  </si>
  <si>
    <t>760  Advertising Expense</t>
  </si>
  <si>
    <t>766  Reg. Comm. Exp. - Rate Case Amort.</t>
  </si>
  <si>
    <t>767  Reg. Comm. Exp. - Other</t>
  </si>
  <si>
    <t>770  Bad Debt Expense</t>
  </si>
  <si>
    <t>775  Miscellaneous Expenses</t>
  </si>
  <si>
    <t>Current TY</t>
  </si>
  <si>
    <t>4033001</t>
  </si>
  <si>
    <t>4033007</t>
  </si>
  <si>
    <t>4033008</t>
  </si>
  <si>
    <t>4033010</t>
  </si>
  <si>
    <t>4033006</t>
  </si>
  <si>
    <t>4033011</t>
  </si>
  <si>
    <t>4033003</t>
  </si>
  <si>
    <t>4033004</t>
  </si>
  <si>
    <t>4033009</t>
  </si>
  <si>
    <t>4037008</t>
  </si>
  <si>
    <t>4033091</t>
  </si>
  <si>
    <t>4032001</t>
  </si>
  <si>
    <t>4032014</t>
  </si>
  <si>
    <t>4032025</t>
  </si>
  <si>
    <t>4032031</t>
  </si>
  <si>
    <t>4032032</t>
  </si>
  <si>
    <t>4032042</t>
  </si>
  <si>
    <t>4032043</t>
  </si>
  <si>
    <t>4032045</t>
  </si>
  <si>
    <t>4032046</t>
  </si>
  <si>
    <t>4032047</t>
  </si>
  <si>
    <t>4032048</t>
  </si>
  <si>
    <t>4032090</t>
  </si>
  <si>
    <t>4032091</t>
  </si>
  <si>
    <t>4032094</t>
  </si>
  <si>
    <t>4032095</t>
  </si>
  <si>
    <t>4032097</t>
  </si>
  <si>
    <t>Depr Exp Account</t>
  </si>
  <si>
    <t>TOTAL DEPRECIATION EXPENSE - WATER</t>
  </si>
  <si>
    <t>TOTAL DEPRECIATION EXPENSE - WASTEWATER</t>
  </si>
  <si>
    <t>Schedule of Accumulated Amortization of CIAC</t>
  </si>
  <si>
    <t>Test  Year Average Balance - Water and Wastewater</t>
  </si>
  <si>
    <t>Explanation: Provide the average CIAC balance by account.  If a projected year is employed, provide breakdown for average projected year.</t>
  </si>
  <si>
    <t xml:space="preserve">Explanation:  Provide the total amount of rate case expense requested in the application.  State whether the total includes the amount up to proposed agency action or through a hearing before the Commission.   Provide a list of each firm providing services for the applicant, the individuals for each firm assisting in the application, including each individual's hourly rate, and an estimate of the total charges to be incurred by each firm, as well as a description of the type of services provided. Also provide the additional information for amortization and allocation method, including support behind this determination.  </t>
  </si>
  <si>
    <t>Adjusted TY</t>
  </si>
  <si>
    <t>TY Adj.'s</t>
  </si>
  <si>
    <t>(8)</t>
  </si>
  <si>
    <t>(9)</t>
  </si>
  <si>
    <t>(10)</t>
  </si>
  <si>
    <t>(11)</t>
  </si>
  <si>
    <t>Non-Used &amp;</t>
  </si>
  <si>
    <t>Account No. and Name</t>
  </si>
  <si>
    <t>Average</t>
  </si>
  <si>
    <t>Useful %</t>
  </si>
  <si>
    <t>Amount</t>
  </si>
  <si>
    <t>INTANGIBLE PLANT</t>
  </si>
  <si>
    <t>VOLUME I</t>
  </si>
  <si>
    <t>Account No. 190.1011 / 2011</t>
  </si>
  <si>
    <t>Account No. 190.1012 / 2012</t>
  </si>
  <si>
    <t>Account No. 190.1020 / 2020</t>
  </si>
  <si>
    <t>Account No. 190.1021 / 2021</t>
  </si>
  <si>
    <t>Account No. 190.1024 /2024</t>
  </si>
  <si>
    <t>Tax Credits - Weighted Cost</t>
  </si>
  <si>
    <t xml:space="preserve"> RAF Adjustment Required for Annualized Revenues</t>
  </si>
  <si>
    <t>B-15</t>
  </si>
  <si>
    <t>INCOME TAX</t>
  </si>
  <si>
    <t>C-1</t>
  </si>
  <si>
    <t>Misc. Current and Accrued Liabilities</t>
  </si>
  <si>
    <t>TOTAL CURRENT &amp; ACCRUED LIABILITIES</t>
  </si>
  <si>
    <t>Advances for Construction</t>
  </si>
  <si>
    <t xml:space="preserve">      TOTAL WATER SALES</t>
  </si>
  <si>
    <t>525   Interdepartmental Sales</t>
  </si>
  <si>
    <t>Account No. 190.2031 Deferred Tax Credits- Depreciation</t>
  </si>
  <si>
    <t>Cash</t>
  </si>
  <si>
    <t>Accounts Rec'b - trade</t>
  </si>
  <si>
    <t>Firm or</t>
  </si>
  <si>
    <t>Counsel, Consultant</t>
  </si>
  <si>
    <t>Hourly Rate</t>
  </si>
  <si>
    <t>Total Estimate</t>
  </si>
  <si>
    <t>Type of</t>
  </si>
  <si>
    <t>Vendor Name</t>
  </si>
  <si>
    <t>or Witness</t>
  </si>
  <si>
    <t>September</t>
  </si>
  <si>
    <t>November</t>
  </si>
  <si>
    <t>January</t>
  </si>
  <si>
    <t>February</t>
  </si>
  <si>
    <t>Description, Coupon</t>
  </si>
  <si>
    <t>301.1  Organization</t>
  </si>
  <si>
    <t>302.1  Franchises</t>
  </si>
  <si>
    <t>1.</t>
  </si>
  <si>
    <t>2.</t>
  </si>
  <si>
    <t xml:space="preserve">Test Year </t>
  </si>
  <si>
    <t>Call Provision,</t>
  </si>
  <si>
    <t>Principal Amount</t>
  </si>
  <si>
    <t>Discount or Premium</t>
  </si>
  <si>
    <t>Issuing Expense</t>
  </si>
  <si>
    <t>Rate (Contract Rate</t>
  </si>
  <si>
    <t>Explanation:  Provide a complete list of outside services which were incurred during the test year.  List  by type of service, such as accounting, engineering or legal, and provide specific detail of work performed by each consultant and the associated cost breakdown by items.  Provide amounts separated by system and method of allocation if appropriate.  Specific detail is not necessary for charges which are less than 2%  of the test year revenues for that system.  Do not include rate case expense charges.</t>
  </si>
  <si>
    <t>of Charges</t>
  </si>
  <si>
    <t>by Firm</t>
  </si>
  <si>
    <t>3044031 Structures &amp; Improvements (Water Plant)</t>
  </si>
  <si>
    <t>3204032 Water Treatment Equipment</t>
  </si>
  <si>
    <t>339.3  Other Plant &amp; Miscellaneous Equipment</t>
  </si>
  <si>
    <t>3305042 Distribution Reservoirs and Standpipes</t>
  </si>
  <si>
    <t>331.4  Transmission &amp; Distribution Mains</t>
  </si>
  <si>
    <t>3315043 Transmission and Distribution Mains</t>
  </si>
  <si>
    <t>3335045 Service Lines</t>
  </si>
  <si>
    <t>3345046 Meters</t>
  </si>
  <si>
    <t>3345047 Meter Installations</t>
  </si>
  <si>
    <t>3355048 Hydrants</t>
  </si>
  <si>
    <t>339.4  Other Plant &amp; Miscellaneous Equipment</t>
  </si>
  <si>
    <t>3406091 Office Furniture &amp; Equipment</t>
  </si>
  <si>
    <t>Received</t>
  </si>
  <si>
    <t>Refunded</t>
  </si>
  <si>
    <t xml:space="preserve">Customer Deposits </t>
  </si>
  <si>
    <t>Historic [X] or Projected [ ]</t>
  </si>
  <si>
    <t>Recap Schedules:     D-2</t>
  </si>
  <si>
    <t>Recap Schedules:   D-2</t>
  </si>
  <si>
    <t>Explanation: Provide the calculation of working capital using the Balance Sheet method.  The calculation should not include accounts that are reported in other rate base or cost of capital accounts.  Unless otherwise explained, this calculation should include both current and deferred debits and credits.  All adjustments to the per book accounts shall be explained.</t>
  </si>
  <si>
    <t>CLASS A AND B WATER AND/OR SEWER UTILITIES</t>
  </si>
  <si>
    <t>FINANCIAL, RATE AND ENGINEERING</t>
  </si>
  <si>
    <t>SCHEDULE</t>
  </si>
  <si>
    <t>PAGE(S)</t>
  </si>
  <si>
    <t>D-2 Interim</t>
  </si>
  <si>
    <t>E-1 Interim</t>
  </si>
  <si>
    <t>E-2 Interim</t>
  </si>
  <si>
    <t xml:space="preserve">Adjustments to Rate Base </t>
  </si>
  <si>
    <t xml:space="preserve">Requested Cost of Capital </t>
  </si>
  <si>
    <t xml:space="preserve">Reconciliation of Capital Structure to Rate Base </t>
  </si>
  <si>
    <t>Schedule of Contributions in Aid of Construction By Classification</t>
  </si>
  <si>
    <t>Unamortized Debt Discount &amp; Exp.</t>
  </si>
  <si>
    <t xml:space="preserve">      Description</t>
  </si>
  <si>
    <t>Ref.</t>
  </si>
  <si>
    <t>Federal</t>
  </si>
  <si>
    <t>Timing Differences:</t>
  </si>
  <si>
    <t>Current Tax Expense</t>
  </si>
  <si>
    <t>Average  Amount</t>
  </si>
  <si>
    <t xml:space="preserve">VOLUME I </t>
  </si>
  <si>
    <t xml:space="preserve">INDEX </t>
  </si>
  <si>
    <t xml:space="preserve">Schedule: B-8  </t>
  </si>
  <si>
    <t>March</t>
  </si>
  <si>
    <t>April</t>
  </si>
  <si>
    <t>May</t>
  </si>
  <si>
    <t>June</t>
  </si>
  <si>
    <t>July</t>
  </si>
  <si>
    <t>August</t>
  </si>
  <si>
    <t>State and Federal Income Tax Calculation - Current Sewer</t>
  </si>
  <si>
    <t>Schedule: A-11</t>
  </si>
  <si>
    <t>Net Deferred Income Taxes</t>
  </si>
  <si>
    <t>Accumulated Deferred Income Taxes - State</t>
  </si>
  <si>
    <t>Flowback</t>
  </si>
  <si>
    <t>To Curr.</t>
  </si>
  <si>
    <t>Debit</t>
  </si>
  <si>
    <t>Deferral</t>
  </si>
  <si>
    <t>(Credit)</t>
  </si>
  <si>
    <t>Recap Schedules:  C-6</t>
  </si>
  <si>
    <t>Schedule: C-7</t>
  </si>
  <si>
    <t>TRANSMISSION &amp; DISTRIBUTION PLANT</t>
  </si>
  <si>
    <t>303.4  Land &amp; Land Rights</t>
  </si>
  <si>
    <t>304.4  Structures &amp; Improvements</t>
  </si>
  <si>
    <t>330.4  Distr. Reservoirs &amp; Standpipes</t>
  </si>
  <si>
    <t>334.4  Meters &amp; Meter Installations</t>
  </si>
  <si>
    <t>335.4  Hydrants</t>
  </si>
  <si>
    <t>What tax years are currently open with the Internal Revenue Service?</t>
  </si>
  <si>
    <t>MINIMUM FILING REQUIREMENTS</t>
  </si>
  <si>
    <t>Supporting Schedules:  D-2</t>
  </si>
  <si>
    <t>Recap Schedules:  A-1, A-2</t>
  </si>
  <si>
    <t>Reconciliation of Capital Structure to Requested Rate Base</t>
  </si>
  <si>
    <t>Interim [ ] Final [x]</t>
  </si>
  <si>
    <t>Pro Rata</t>
  </si>
  <si>
    <t>Schedule D-3</t>
  </si>
  <si>
    <t>Analysis of Major Maintenance Projects - Water &amp; Sewer</t>
  </si>
  <si>
    <t>Explanation:  Provide the information required to adjust income tax expense by the interest expense of the parent(s) that may be invested in the equity of the applicant.  If a year-end rate base is used, provide on both a year-end and an average basis.  Amounts should be parent only.</t>
  </si>
  <si>
    <t>n/a</t>
  </si>
  <si>
    <t>Explanation:  For each of the accumulated deferred tax accounts provide a summary of the ending balances as reported on pages 2 &amp; 3 of this schedule.  The same annual balances should be shown.</t>
  </si>
  <si>
    <t>Schedule: D-7</t>
  </si>
  <si>
    <t>Schedule E-2</t>
  </si>
  <si>
    <t>Schedule: E-1</t>
  </si>
  <si>
    <t>Water [  ] or Sewer [X]</t>
  </si>
  <si>
    <t>Explanation:  Provide a schedule of present and proposed rates.  State residential sewer cap, if one exists.</t>
  </si>
  <si>
    <t>363.2  Services to Customers</t>
  </si>
  <si>
    <t>364.2  Flow Measuring Devices</t>
  </si>
  <si>
    <t>365.2  Flow Measuring Installations</t>
  </si>
  <si>
    <t>389.2  Other Plant &amp; Misc. Equipment</t>
  </si>
  <si>
    <t>SYSTEM PUMPING PLANT</t>
  </si>
  <si>
    <t>353.3  Land &amp; Land Rights</t>
  </si>
  <si>
    <t>354.3  Structures &amp; Improvements</t>
  </si>
  <si>
    <t>370.3  Receiving Wells</t>
  </si>
  <si>
    <t>371.3  Pumping Equipment</t>
  </si>
  <si>
    <t>389.3  Other Plant &amp; Misc. Equipment</t>
  </si>
  <si>
    <t>Account No. 190.2021 Deferred Tax Credits- Maint Fee</t>
  </si>
  <si>
    <t>NONE</t>
  </si>
  <si>
    <t>Hours</t>
  </si>
  <si>
    <t>Notes &amp; Accounts Payable - Assoc. Cos.</t>
  </si>
  <si>
    <t>Customer Deposits</t>
  </si>
  <si>
    <t>Accrued Taxes</t>
  </si>
  <si>
    <t>Current Portion Long Term Debt</t>
  </si>
  <si>
    <t>Accrued Dividends</t>
  </si>
  <si>
    <t>Explanation:  Provide the annual AFUDC rates used since either rate base was last established by this Commission, or the date of inception of utility service if rate base has not been established previously. Include a description of practices and authority of rate(s) used.</t>
  </si>
  <si>
    <t>Advances From Associated Companies</t>
  </si>
  <si>
    <t>Utility Plant in Service</t>
  </si>
  <si>
    <t>Utility Land &amp; Land Rights</t>
  </si>
  <si>
    <t>Less: Non-Used &amp; Useful Plant</t>
  </si>
  <si>
    <t>Construction Work in Progress</t>
  </si>
  <si>
    <t>Less: Accumulated Depreciation</t>
  </si>
  <si>
    <t>Prelim. Survey  &amp; Investigation Charges</t>
  </si>
  <si>
    <t>Clearing Accounts</t>
  </si>
  <si>
    <t>Class of Capital</t>
  </si>
  <si>
    <t>Lender</t>
  </si>
  <si>
    <t>Tax Credits - Zero Cost</t>
  </si>
  <si>
    <t>710 Purchased Sewage Treatment</t>
  </si>
  <si>
    <t>711 Sludge Removal Expense</t>
  </si>
  <si>
    <t>536   Other Sewer Revenues</t>
  </si>
  <si>
    <t xml:space="preserve">      TOTAL OTHER</t>
  </si>
  <si>
    <t xml:space="preserve">             SEWER REVENUES</t>
  </si>
  <si>
    <t xml:space="preserve">      TOTAL SEWER</t>
  </si>
  <si>
    <t xml:space="preserve">  Disc. and Expense Net</t>
  </si>
  <si>
    <t>ITC Amortization</t>
  </si>
  <si>
    <t>Other Timing Differences (Itemize):</t>
  </si>
  <si>
    <t>(3% ITC and IRC 46(f)(2))</t>
  </si>
  <si>
    <t>Schedule M Adjustments:</t>
  </si>
  <si>
    <t>Detail of Operation &amp; Maintenance Expenses By Month - Wastewater</t>
  </si>
  <si>
    <t>Schedule: B-6</t>
  </si>
  <si>
    <t>Recap Schedules:  B-2</t>
  </si>
  <si>
    <t>701  Salaries &amp; Wages - Employees</t>
  </si>
  <si>
    <t>703  Salaries &amp; Wages - Officers, Etc.</t>
  </si>
  <si>
    <t>704  Employee Pensions &amp; Benefits</t>
  </si>
  <si>
    <t>Bus. Hrs.</t>
  </si>
  <si>
    <t>After Hrs.</t>
  </si>
  <si>
    <t>Initial Connection Fee</t>
  </si>
  <si>
    <t>Normal Reconnection Fee</t>
  </si>
  <si>
    <t>398.7  Other Plant - Allocations</t>
  </si>
  <si>
    <t>720  Materials &amp; Supplies</t>
  </si>
  <si>
    <t>731  Contractual Services - Engr.</t>
  </si>
  <si>
    <t>732  Contractual Services - Acct.</t>
  </si>
  <si>
    <t>Supporting Schedules: None</t>
  </si>
  <si>
    <t>Recap Schedules:  C-3</t>
  </si>
  <si>
    <t>Beginning</t>
  </si>
  <si>
    <t>Current</t>
  </si>
  <si>
    <t>Year</t>
  </si>
  <si>
    <t>Ending</t>
  </si>
  <si>
    <t>Book/Tax Differences - Permanent</t>
  </si>
  <si>
    <t>Adjust.</t>
  </si>
  <si>
    <t>Schedule: C-3</t>
  </si>
  <si>
    <t>Schedule: C-1</t>
  </si>
  <si>
    <t>Schedule: C-2</t>
  </si>
  <si>
    <t>Other</t>
  </si>
  <si>
    <t>Month Ended</t>
  </si>
  <si>
    <t>GENERAL PLANT</t>
  </si>
  <si>
    <t>Recap Schedules:     A-1, A-2, A-19</t>
  </si>
  <si>
    <t>Schedule of Working Capital Allowance Calculation</t>
  </si>
  <si>
    <t>(IRC 46(f)(2) only - See below)</t>
  </si>
  <si>
    <t>State Tax Rate</t>
  </si>
  <si>
    <t>State Taxable Income</t>
  </si>
  <si>
    <t>E-2</t>
  </si>
  <si>
    <t>E-3</t>
  </si>
  <si>
    <t>E-4</t>
  </si>
  <si>
    <t>E-5</t>
  </si>
  <si>
    <t>Miscellaneous Service Charge Revenue</t>
  </si>
  <si>
    <t>E-6</t>
  </si>
  <si>
    <t>E-7</t>
  </si>
  <si>
    <t>E-8</t>
  </si>
  <si>
    <t>E-9</t>
  </si>
  <si>
    <t>E-10</t>
  </si>
  <si>
    <t>E-11</t>
  </si>
  <si>
    <t>E-12</t>
  </si>
  <si>
    <t>E-13</t>
  </si>
  <si>
    <t>E-14</t>
  </si>
  <si>
    <t>ENGINEERING SCHEDULES</t>
  </si>
  <si>
    <t>F-2</t>
  </si>
  <si>
    <t>F-4</t>
  </si>
  <si>
    <t>F-6</t>
  </si>
  <si>
    <t>Used and Useful Calculations - Water Distribution System</t>
  </si>
  <si>
    <t>F-10</t>
  </si>
  <si>
    <t xml:space="preserve">Outstanding </t>
  </si>
  <si>
    <t>WATER - MFR Account No. and Name</t>
  </si>
  <si>
    <t xml:space="preserve">WATER - G/L  Account No. and Name </t>
  </si>
  <si>
    <t>3011001 Organization</t>
  </si>
  <si>
    <t>3021002 Franchises</t>
  </si>
  <si>
    <t>339.1  Other Plant &amp; Miscellaneous Equipment</t>
  </si>
  <si>
    <t>Income Tax Returns</t>
  </si>
  <si>
    <t>Issue Date</t>
  </si>
  <si>
    <t>Outstanding</t>
  </si>
  <si>
    <t>(5)-(9)+(7)</t>
  </si>
  <si>
    <t>(8)+(9)+(10)</t>
  </si>
  <si>
    <t>Florida Public Service Commission</t>
  </si>
  <si>
    <t>Page 1 of 3</t>
  </si>
  <si>
    <t>Preferred Stock Outstanding</t>
  </si>
  <si>
    <t>D-4</t>
  </si>
  <si>
    <t>D-5</t>
  </si>
  <si>
    <t>D-6</t>
  </si>
  <si>
    <t>Miscellaneous Service Charge Revenues</t>
  </si>
  <si>
    <t>Organization Exp - Amort</t>
  </si>
  <si>
    <t>Tap Fees</t>
  </si>
  <si>
    <t>Total State Tax Deferred</t>
  </si>
  <si>
    <t>Timing Differences For Federal Deferred Taxes</t>
  </si>
  <si>
    <t>Non-Used and Useful Plant - Summary - Final</t>
  </si>
  <si>
    <t>Schedule: A-7</t>
  </si>
  <si>
    <t>Contributed lines:</t>
  </si>
  <si>
    <t>Accumulated . Amort CIAC Water</t>
  </si>
  <si>
    <t>Sub-Total Lines</t>
  </si>
  <si>
    <t>Sub-Total Property</t>
  </si>
  <si>
    <t>Sub-Total Meters &amp; Meter Installations</t>
  </si>
  <si>
    <t>Total CIAC - WATER</t>
  </si>
  <si>
    <t>Total Accumulated Amort CIAC - WATER</t>
  </si>
  <si>
    <t>SEWER</t>
  </si>
  <si>
    <t>Accumulated . Amort CIAC Sewer</t>
  </si>
  <si>
    <t>Total CIAC - SEWER</t>
  </si>
  <si>
    <t>Total Accumulated Amort CIAC - SEWER</t>
  </si>
  <si>
    <t xml:space="preserve">Revenue </t>
  </si>
  <si>
    <t>Water Plant</t>
  </si>
  <si>
    <t>Sewer Plant</t>
  </si>
  <si>
    <t>Total Plant</t>
  </si>
  <si>
    <t>Water Net Plant</t>
  </si>
  <si>
    <t>Sewer Net Plant</t>
  </si>
  <si>
    <t>Allocation</t>
  </si>
  <si>
    <t>Miscellaneous Revenues</t>
  </si>
  <si>
    <t xml:space="preserve">Water </t>
  </si>
  <si>
    <t>Methodology</t>
  </si>
  <si>
    <t>Actual</t>
  </si>
  <si>
    <t>Employee Pension &amp; Benefits</t>
  </si>
  <si>
    <t>Sludge Removal Expense</t>
  </si>
  <si>
    <t>Contractual Services - Acct.</t>
  </si>
  <si>
    <t>Legal Fees</t>
  </si>
  <si>
    <t>Contractual Services - Legal</t>
  </si>
  <si>
    <t>Contractual Services - Testing</t>
  </si>
  <si>
    <t>Contractual Services - Other</t>
  </si>
  <si>
    <t>Transportation Expense</t>
  </si>
  <si>
    <t>Insurance - Other</t>
  </si>
  <si>
    <t>Bad Debt Expense</t>
  </si>
  <si>
    <t>Sales/Use Tax Expense</t>
  </si>
  <si>
    <t>4081201</t>
  </si>
  <si>
    <t>FICA Expense</t>
  </si>
  <si>
    <t>4091050</t>
  </si>
  <si>
    <t>Fed Unemployment Tax</t>
  </si>
  <si>
    <t>4091060</t>
  </si>
  <si>
    <t>St Unemployment Tax</t>
  </si>
  <si>
    <t>Property &amp; Other General Taxes</t>
  </si>
  <si>
    <t>4081121</t>
  </si>
  <si>
    <t>Real Estate Taxes</t>
  </si>
  <si>
    <t>4081122</t>
  </si>
  <si>
    <t>Pers Prop &amp; ICT Tax</t>
  </si>
  <si>
    <t>4081301</t>
  </si>
  <si>
    <t>Gross Receipts Tax</t>
  </si>
  <si>
    <t>4081303</t>
  </si>
  <si>
    <t>Franchise Tax</t>
  </si>
  <si>
    <t>Interest Expense - Inter - Co</t>
  </si>
  <si>
    <t>Sale of Equipment</t>
  </si>
  <si>
    <t>S/T Int Exp Customers Dep</t>
  </si>
  <si>
    <t>S/T Int Exp Other</t>
  </si>
  <si>
    <t>Depreciation , Net of Amort.</t>
  </si>
  <si>
    <t xml:space="preserve">Net Income Before Taxes </t>
  </si>
  <si>
    <t>Amort of Invest Tax Credit</t>
  </si>
  <si>
    <t>% of NI</t>
  </si>
  <si>
    <t>4091000</t>
  </si>
  <si>
    <t>Income Taxes Federal</t>
  </si>
  <si>
    <t>Income Taxes - State</t>
  </si>
  <si>
    <t>Def Income Taxes - State</t>
  </si>
  <si>
    <t>Def Income Tax - Federal</t>
  </si>
  <si>
    <t>Income Taxes</t>
  </si>
  <si>
    <t>Net Income After Taxes</t>
  </si>
  <si>
    <t>Notes:</t>
  </si>
  <si>
    <t>A</t>
  </si>
  <si>
    <t>B</t>
  </si>
  <si>
    <t>C</t>
  </si>
  <si>
    <t>3406090 Off Struct &amp; Imprv</t>
  </si>
  <si>
    <t>3466097 Communication Eqpt</t>
  </si>
  <si>
    <t>RECLAIMED WATER DISTRIBUTION PLANT</t>
  </si>
  <si>
    <t>375.6 Reuse Transmission and Dist System</t>
  </si>
  <si>
    <t>Per Books</t>
  </si>
  <si>
    <t>Per Utility</t>
  </si>
  <si>
    <t>WATER</t>
  </si>
  <si>
    <t>Plant in Service</t>
  </si>
  <si>
    <t>Land</t>
  </si>
  <si>
    <t>Other (Explain)</t>
  </si>
  <si>
    <t xml:space="preserve">    Total</t>
  </si>
  <si>
    <t>WASTEWATER</t>
  </si>
  <si>
    <t>Preferred Stock Issued</t>
  </si>
  <si>
    <t>Additional Paid in Capital</t>
  </si>
  <si>
    <t>Retained Earnings</t>
  </si>
  <si>
    <t>Other Equity Capital</t>
  </si>
  <si>
    <t>TOTAL EQUITY CAPITAL</t>
  </si>
  <si>
    <t>Bonds</t>
  </si>
  <si>
    <t>Reacquired Bonds</t>
  </si>
  <si>
    <t>Explanation: Provide month ending balances for each month of the test year and the ending balance for the prior year.</t>
  </si>
  <si>
    <t>Interest on Short-Term Debt</t>
  </si>
  <si>
    <t xml:space="preserve">  Permanent Differences (From Sch. C-4)</t>
  </si>
  <si>
    <t xml:space="preserve">  Timing Differences (From Sch. C-5)</t>
  </si>
  <si>
    <t>Total Income Tax Expense</t>
  </si>
  <si>
    <t>Total Schedule M Adjustments</t>
  </si>
  <si>
    <t>Total Timing Differences (To C-2)</t>
  </si>
  <si>
    <t>Taxable Income Before State Taxes</t>
  </si>
  <si>
    <t>Schedule: C-6</t>
  </si>
  <si>
    <t>Public Fire Hydrants Schedule</t>
  </si>
  <si>
    <t>October</t>
  </si>
  <si>
    <t>Dec</t>
  </si>
  <si>
    <t>Nov</t>
  </si>
  <si>
    <t>Jan</t>
  </si>
  <si>
    <t>Feb</t>
  </si>
  <si>
    <t>B-14, B-3</t>
  </si>
  <si>
    <t>To remove from rate base average construction work in progress</t>
  </si>
  <si>
    <t>Other - Tap Fees</t>
  </si>
  <si>
    <t>Acquisition Adjustments</t>
  </si>
  <si>
    <t>Accum. Amort. of Acq. Adjustments</t>
  </si>
  <si>
    <t>-</t>
  </si>
  <si>
    <t>WATER AND/OR WASTEWATER UTILITIES</t>
  </si>
  <si>
    <t>FINANCIAL, RATE</t>
  </si>
  <si>
    <t>AND ENGINEERING</t>
  </si>
  <si>
    <t>MINIMUM FILING</t>
  </si>
  <si>
    <t>REQUIREMENTS</t>
  </si>
  <si>
    <t>OF</t>
  </si>
  <si>
    <t>FOR THE</t>
  </si>
  <si>
    <t>Explanation:  For each of the accumulated deferred tax accounts provide annual balances beginning with the year of the last rate case and ending with the test year.</t>
  </si>
  <si>
    <t>Deferred Rate Case Expense</t>
  </si>
  <si>
    <t>Other Miscellaneous Deferred Debits</t>
  </si>
  <si>
    <t>Accum. Deferred Income Taxes</t>
  </si>
  <si>
    <t>TOTAL OTHER ASSETS</t>
  </si>
  <si>
    <t>TOTAL ASSETS</t>
  </si>
  <si>
    <t xml:space="preserve">Comparative Balance Sheet - Equity Capital &amp; Liabilities </t>
  </si>
  <si>
    <t>Historic  [X] Projected [ ]</t>
  </si>
  <si>
    <t>NET OPERATING INCOME</t>
  </si>
  <si>
    <t>RATE BASE</t>
  </si>
  <si>
    <t>RATE OF RETURN</t>
  </si>
  <si>
    <t>%</t>
  </si>
  <si>
    <t>Historic [X] or Projected [  ]</t>
  </si>
  <si>
    <t>Equivalent Residential Connections - Wastewater</t>
  </si>
  <si>
    <t>FORM PSC/WAW 20  (      /      )</t>
  </si>
  <si>
    <t>Explanation: Provide the calculation of net operating income for the test year.  If amortization (Line 4) is related to any amount other than an acquisition adjustment, submit an additional schedule showing a description and calculation of charge.</t>
  </si>
  <si>
    <t xml:space="preserve">      OTHER WATER REVENUES</t>
  </si>
  <si>
    <t xml:space="preserve">      TOTAL SEWER SALES</t>
  </si>
  <si>
    <t>470   Forfeited Discounts</t>
  </si>
  <si>
    <t>471   Misc. Service Revenues</t>
  </si>
  <si>
    <t xml:space="preserve">      OTHER SEWER REVENUES</t>
  </si>
  <si>
    <t>472   Rents From Water Property</t>
  </si>
  <si>
    <t>531   Sale of Sludge</t>
  </si>
  <si>
    <t>473   Interdepartmental Rents</t>
  </si>
  <si>
    <t>532   Forfeited Discounts</t>
  </si>
  <si>
    <t>Schedule of Requested Cost of Capital</t>
  </si>
  <si>
    <t>Interim [ ]  Final [x]</t>
  </si>
  <si>
    <t xml:space="preserve">Historical [x]  Projected [ ] </t>
  </si>
  <si>
    <t>Reconciled to</t>
  </si>
  <si>
    <t>Requested Rate Base</t>
  </si>
  <si>
    <t>Weighted Cost</t>
  </si>
  <si>
    <t>Long Term Debt</t>
  </si>
  <si>
    <t>Short Term Debt</t>
  </si>
  <si>
    <t>DESCRIPTION OF SCHEDULE</t>
  </si>
  <si>
    <t>A-2</t>
  </si>
  <si>
    <t>Adjustments to Rate Base - Final</t>
  </si>
  <si>
    <t>A-4</t>
  </si>
  <si>
    <t>Annual Plant Additions and Balances</t>
  </si>
  <si>
    <t>Sewer Plant in Service by Primary Account</t>
  </si>
  <si>
    <t>Summary of Non-Used &amp; Useful Plant</t>
  </si>
  <si>
    <t>A-8</t>
  </si>
  <si>
    <t>Annual Accumulated Depreciation Additions and Balances</t>
  </si>
  <si>
    <t>398.7  Other Tangible Plant</t>
  </si>
  <si>
    <t>ITC Interest Synchronization</t>
  </si>
  <si>
    <t>Less: State Income Tax Exemption ($5,000)</t>
  </si>
  <si>
    <t>B-12</t>
  </si>
  <si>
    <t>Schedule of Allocated Expenses</t>
  </si>
  <si>
    <t>B-14</t>
  </si>
  <si>
    <t>Less: Accum. Amortization of CIAC</t>
  </si>
  <si>
    <t>Accumulated Deferred Income Taxes</t>
  </si>
  <si>
    <t>Total Equity Capital and Liabilities</t>
  </si>
  <si>
    <t>A-1</t>
  </si>
  <si>
    <t>Schedule of Rate Base - Water - Final</t>
  </si>
  <si>
    <t>A-5</t>
  </si>
  <si>
    <t>Water Plant in Service by Primary Account</t>
  </si>
  <si>
    <t>A-9</t>
  </si>
  <si>
    <t>Annual CIAC Additions and Balances</t>
  </si>
  <si>
    <t>CIAC by Classification</t>
  </si>
  <si>
    <t>Annual Accumulated Amortization of CIAC Additions and Balances</t>
  </si>
  <si>
    <t>Explanation: Provide a detailed description of all adjustments to operating income per books, with a total for each line item shown on the net operating income statement.</t>
  </si>
  <si>
    <t>Schedule of Interest in Tax Expense Calculation</t>
  </si>
  <si>
    <t>Prior Year</t>
  </si>
  <si>
    <t>Explanation:  Provide a schedule of private fire protection service by size of connection.  This schedule is not required for a sewer only rate application.</t>
  </si>
  <si>
    <t>Size</t>
  </si>
  <si>
    <t>Type</t>
  </si>
  <si>
    <t>Quantity</t>
  </si>
  <si>
    <t>Explanation:  Provide a list of all outstanding contracts or agreements having rates or conditions different from those on approved tariffs.  Describe with whom, the purpose and the elements of each contract  shown.</t>
  </si>
  <si>
    <t xml:space="preserve">   Description</t>
  </si>
  <si>
    <t>Schedule: E-9</t>
  </si>
  <si>
    <t>A-3, A-6</t>
  </si>
  <si>
    <t>A-3, A-10</t>
  </si>
  <si>
    <t>389.4  Other Plant &amp; Misc. Equipment</t>
  </si>
  <si>
    <t>345.5  Power Operated Equipment</t>
  </si>
  <si>
    <t>Connection</t>
  </si>
  <si>
    <t>Reconnect</t>
  </si>
  <si>
    <t>346.5  Communication Equipment</t>
  </si>
  <si>
    <t>347.5  Miscellaneous Equipment</t>
  </si>
  <si>
    <t>Reconciliation of Capital Structure to Requested Rate Base - Final</t>
  </si>
  <si>
    <t>Variable Rate Long-Term Debt</t>
  </si>
  <si>
    <t>Revenue Schedule at Present and Proposed Rates</t>
  </si>
  <si>
    <t>Private Fire Protection Schedule</t>
  </si>
  <si>
    <t>Guaranteed Revenues Received Schedule</t>
  </si>
  <si>
    <t>Billing Analysis Schedule (contained in Volume II)</t>
  </si>
  <si>
    <t>F-1</t>
  </si>
  <si>
    <t>Gallons of Water Pumped, Sold and Unaccounted For</t>
  </si>
  <si>
    <t>F-3</t>
  </si>
  <si>
    <t>Water Treatment Plant Data</t>
  </si>
  <si>
    <t>F-5</t>
  </si>
  <si>
    <t>Used and Useful Calculations - Water Treatment Plant</t>
  </si>
  <si>
    <t>Used and Useful Calculations - Wastewater Treatment Plant</t>
  </si>
  <si>
    <t>F-9</t>
  </si>
  <si>
    <t>Equivalent Residential Connections - Water</t>
  </si>
  <si>
    <t>A-1 Interim</t>
  </si>
  <si>
    <t>Water Rate Base - Interim</t>
  </si>
  <si>
    <t>Sewer Rate Base - Interim</t>
  </si>
  <si>
    <t>B-1 Interim</t>
  </si>
  <si>
    <t>Schedule of Water Operating Statement - Interim</t>
  </si>
  <si>
    <t>Schedule of Sewer Operating Statement - Interim</t>
  </si>
  <si>
    <t xml:space="preserve">Adjustments to Operating Income </t>
  </si>
  <si>
    <t>Revenue Schedule at Present and Interim Rates</t>
  </si>
  <si>
    <t xml:space="preserve">Total Other Charges </t>
  </si>
  <si>
    <t>(a)  Actual Cost is equal to the total cost incurred for services.</t>
  </si>
  <si>
    <t>3602007 Force or Vacuum Mains</t>
  </si>
  <si>
    <t>3612008 Sewer Mains</t>
  </si>
  <si>
    <t>3612010 Manholes</t>
  </si>
  <si>
    <t>3602006 Sewage Service Lines</t>
  </si>
  <si>
    <t>3804004 Sewer Lagoons</t>
  </si>
  <si>
    <t>Comparative Operation and Maintenance Expenses - Water</t>
  </si>
  <si>
    <t>Comparative Operation and Maintenance Expenses - Sewer</t>
  </si>
  <si>
    <t>Schedule of Test Year Contractual Services</t>
  </si>
  <si>
    <t>Analysis of Major Maintenance Projects - Water and Sewer</t>
  </si>
  <si>
    <t>B-13</t>
  </si>
  <si>
    <t>Depreciation Expense - Water</t>
  </si>
  <si>
    <t>Depreciation Expense - Sewer</t>
  </si>
  <si>
    <t>Schedule of Taxes Other than Income</t>
  </si>
  <si>
    <t>Explanation: Provide a balance sheet for years requested.  Provide same for historical base or intermediate years, if not already shown.</t>
  </si>
  <si>
    <t>Explanation: Provide a summary of the items included in non-used and useful plant for the test year.  Provide additional support schedules, if necessary.</t>
  </si>
  <si>
    <t>Schedule: C-10</t>
  </si>
  <si>
    <t>Miscellaneous Tax Information</t>
  </si>
  <si>
    <t>Page 1 of 2</t>
  </si>
  <si>
    <t>State</t>
  </si>
  <si>
    <t xml:space="preserve">Parent's Name: </t>
  </si>
  <si>
    <t>Is the treatment of customer deposits at issue with the IRS?</t>
  </si>
  <si>
    <t>716  Fuel for Power Purchased</t>
  </si>
  <si>
    <t>718  Chemicals</t>
  </si>
  <si>
    <t>B-6, B-3</t>
  </si>
  <si>
    <t>Increase in RAFs associated with annualized water revenues per B-3</t>
  </si>
  <si>
    <t>Increase in RAFs associated with annualized sewer revenues per B-3</t>
  </si>
  <si>
    <t>B-4, B-3</t>
  </si>
  <si>
    <t>Explanation:  Provide a schedule of state, municipal, city or county franchise taxes or fees paid (or payable).  State the type of agreement (I.e. contract, tax).</t>
  </si>
  <si>
    <t xml:space="preserve">    (5)</t>
  </si>
  <si>
    <t xml:space="preserve">Type Tax </t>
  </si>
  <si>
    <t>To Whom</t>
  </si>
  <si>
    <t>How Collected</t>
  </si>
  <si>
    <t>or Fee</t>
  </si>
  <si>
    <t>Paid</t>
  </si>
  <si>
    <t>From Customers</t>
  </si>
  <si>
    <t>Agreement</t>
  </si>
  <si>
    <t>Water [X] or Sewer [X]</t>
  </si>
  <si>
    <t>Schedule: E-12</t>
  </si>
  <si>
    <t>Explanation:  All Class A utilities whose service classes include industrial customers, whose utilization exceeds an average of 350,000 GPD, shall provide a fully allocated class cost of service study showing customer, base (commodity), and extra capacity</t>
  </si>
  <si>
    <t>Schedule: E-13</t>
  </si>
  <si>
    <t>Project. TY</t>
  </si>
  <si>
    <t>Historical</t>
  </si>
  <si>
    <t>Proj.</t>
  </si>
  <si>
    <t>Proj. Test</t>
  </si>
  <si>
    <t>Consumption</t>
  </si>
  <si>
    <t>Present</t>
  </si>
  <si>
    <t>Projected</t>
  </si>
  <si>
    <t>Proposed</t>
  </si>
  <si>
    <t>Proj. Rev.</t>
  </si>
  <si>
    <t>Class/Meter Size</t>
  </si>
  <si>
    <t>Year Bills</t>
  </si>
  <si>
    <t>Factor</t>
  </si>
  <si>
    <t>(000)</t>
  </si>
  <si>
    <t>Rates</t>
  </si>
  <si>
    <t>TY Revenue</t>
  </si>
  <si>
    <t>Requirement</t>
  </si>
  <si>
    <t>Explanation:  If a projected test year is used, provide a schedule of historical and projected bills and consumption by classification. Include a calculation of each projection factor on a separate schedule, if necessary.  List other classes or meter sizes as applicable.  Include a calculation of each projection factor on a separate schedule, if necessary.  List other classes or meter sizes as applicable.</t>
  </si>
  <si>
    <t>Billing Analysis Schedules</t>
  </si>
  <si>
    <t>735 Contractual Services - Testing</t>
  </si>
  <si>
    <t>736 Contractual Services - Other</t>
  </si>
  <si>
    <t>Associated with Column (5)</t>
  </si>
  <si>
    <t>Associated with Column (4)</t>
  </si>
  <si>
    <t>on Face Value)</t>
  </si>
  <si>
    <t>Face Value (11)x(5)</t>
  </si>
  <si>
    <t>Rate (12)/(10)</t>
  </si>
  <si>
    <t>Recap Schedules:  C-2</t>
  </si>
  <si>
    <t>Page 2 of 2</t>
  </si>
  <si>
    <t>Prior TY</t>
  </si>
  <si>
    <t>Explanation:  Provide a copy of the most recently filed federal income tax return, state income tax return and most recent final IRS revenue agent's report for the applicant or consolidated entity (whichever type of return is filed).  A statement of when and where the returns and reports are available for review may be provided in lieu of providing the returns and reports.</t>
  </si>
  <si>
    <t>354.4  Structures &amp; Improvements</t>
  </si>
  <si>
    <t>380.4  Treatment &amp; Disposal Equipment</t>
  </si>
  <si>
    <t>381.4  Plant Sewers</t>
  </si>
  <si>
    <t>382.4  Outfall Sewer Lines</t>
  </si>
  <si>
    <t>UIF</t>
  </si>
  <si>
    <t>Schedule: C-5</t>
  </si>
  <si>
    <t>Schedule: C-8</t>
  </si>
  <si>
    <t>Schedule: C-9</t>
  </si>
  <si>
    <t>Schedule E-6</t>
  </si>
  <si>
    <t>Schedule E-7</t>
  </si>
  <si>
    <t>Schedule E-8</t>
  </si>
  <si>
    <t xml:space="preserve">   State Income Tax (5.5% of Line 19)</t>
  </si>
  <si>
    <t>Federal Income Taxes (Line 26 x Line 27)</t>
  </si>
  <si>
    <t>Current State Income Taxes (Line 24)</t>
  </si>
  <si>
    <t>13 Month Average</t>
  </si>
  <si>
    <t>Schedule: C-4</t>
  </si>
  <si>
    <t>13 Month</t>
  </si>
  <si>
    <t>Average Balance</t>
  </si>
  <si>
    <t xml:space="preserve">13 Month </t>
  </si>
  <si>
    <t>Supporting Schedules:    C-2, C-5, C-7, C-8</t>
  </si>
  <si>
    <t>Premises Visit Fee (in lieu of disconnection)</t>
  </si>
  <si>
    <t xml:space="preserve">Premises Visit Fee </t>
  </si>
  <si>
    <t xml:space="preserve">Page 1 of 1 </t>
  </si>
  <si>
    <t xml:space="preserve">Schedule: A-2 </t>
  </si>
  <si>
    <t xml:space="preserve">Schedule: A-17 </t>
  </si>
  <si>
    <t xml:space="preserve">Schedule: A-19 </t>
  </si>
  <si>
    <t>Schedule: B-2</t>
  </si>
  <si>
    <t xml:space="preserve">Schedule: B-9 </t>
  </si>
  <si>
    <t>Schedule D-1</t>
  </si>
  <si>
    <t>Schedule D-2</t>
  </si>
  <si>
    <t>Retirements</t>
  </si>
  <si>
    <t xml:space="preserve">Additions </t>
  </si>
  <si>
    <t>Assist w/MFRs, data requests, audit facilitation</t>
  </si>
  <si>
    <t>Account No. 190.2024 Deferred St Tax - Org</t>
  </si>
  <si>
    <t>353.5  Land &amp; Land Rights</t>
  </si>
  <si>
    <t>354.4 Struct/Imprv Treat Plt</t>
  </si>
  <si>
    <t>355.4 Power Gen Equip Trt Plt</t>
  </si>
  <si>
    <t xml:space="preserve">355.4 Power Gen Equip </t>
  </si>
  <si>
    <t>397.4 Laboratory Eqpt</t>
  </si>
  <si>
    <t>1475 Laboratory Eqpt</t>
  </si>
  <si>
    <t>1480 Power Operated Eqpt</t>
  </si>
  <si>
    <t>1835 Acc Depr - Organization</t>
  </si>
  <si>
    <t>1885 Acc Depr Supply Mains</t>
  </si>
  <si>
    <t>1995 Acc Depr Power Operated Equip</t>
  </si>
  <si>
    <t>2050 Acc Depr - Struc/Imprv Coll Plt</t>
  </si>
  <si>
    <t>2060 Acc Depr Struct/Imprv Treat Plt</t>
  </si>
  <si>
    <t>2075 Acc Depr Struct/Imprv Gen Plt</t>
  </si>
  <si>
    <t>2090 Acc Depr - PWR Gen Eqp Trt Plt</t>
  </si>
  <si>
    <t>2113 Acc Depr - Manholes</t>
  </si>
  <si>
    <t>2120 Acc Depr - Services to Customers</t>
  </si>
  <si>
    <t>2235 Acc Depr - Laboratory Eqpt</t>
  </si>
  <si>
    <t>2240 Acc Depr - Power Operated Eqpt</t>
  </si>
  <si>
    <t>2315 Acc Depr Desktop Computer Wtr</t>
  </si>
  <si>
    <t>2320 Acc Depr - Mainframie Comp Wtr</t>
  </si>
  <si>
    <t>2325 Acc Depr Mini Comp Wtr</t>
  </si>
  <si>
    <t>2330 Comp Sys Amortization Wtr</t>
  </si>
  <si>
    <t>2335 Micro Sys Amortization Wtr</t>
  </si>
  <si>
    <t>355.4 Gen Equipment</t>
  </si>
  <si>
    <t>1220 Other Tangible Plt Wtr</t>
  </si>
  <si>
    <t>2075 Struct &amp; Imprv</t>
  </si>
  <si>
    <t>2235 Laboratory Equipment</t>
  </si>
  <si>
    <t>2240 Power Operated Equip</t>
  </si>
  <si>
    <t>1285 Land &amp;  Land Rights</t>
  </si>
  <si>
    <t>1315 Struct / Improv</t>
  </si>
  <si>
    <t>3505 CIAC - Struc/Impr Treat Plt</t>
  </si>
  <si>
    <t>3557 CIAC - Manholes</t>
  </si>
  <si>
    <t>3565 CIAC Services to Customers</t>
  </si>
  <si>
    <t>3865 Acc Amort Elec Pump Eqp WTP</t>
  </si>
  <si>
    <t>4055 Acc Amort Struct/Imprv Treat Plt</t>
  </si>
  <si>
    <t>4107 Acc Amort Manholes</t>
  </si>
  <si>
    <t>4115 Acc Amort Services to Customers</t>
  </si>
  <si>
    <t>3870 Acc Amort Elect Pump Eqp Trans Dist</t>
  </si>
  <si>
    <t>2906 RCIP - Atty Fees</t>
  </si>
  <si>
    <t>2907 RCIP - Capitalized Time</t>
  </si>
  <si>
    <t>2909 RCIP - Travel</t>
  </si>
  <si>
    <t>2910 RCIP - Consulting Fees</t>
  </si>
  <si>
    <t>2914 RCIP - Transfer to Def RC</t>
  </si>
  <si>
    <t>2915 Reg Exp Being Amort</t>
  </si>
  <si>
    <t>2920 Rate Case Being Amort</t>
  </si>
  <si>
    <t>2930 Rate Case Accum Amort</t>
  </si>
  <si>
    <t>2960 Def Chgs-Tank Maint &amp; Rep Wtr</t>
  </si>
  <si>
    <t>2965 Def Chgs - Relocation Expenses</t>
  </si>
  <si>
    <t>2980 Def Chgs - Emo Fees</t>
  </si>
  <si>
    <t>2905 Rate Case in Progress</t>
  </si>
  <si>
    <t>3000 Def Chgs - Other Wtr &amp; Swr</t>
  </si>
  <si>
    <t>3025 Def Chgs - PR Wash/Jet SWR Mains</t>
  </si>
  <si>
    <t>3110 Amort - Tank Maint &amp; Rep WTR</t>
  </si>
  <si>
    <t>3120 Amort - Relocation Exp</t>
  </si>
  <si>
    <t>3135 Amort - Employee Fees</t>
  </si>
  <si>
    <t>3155 - Amort - Other Wtr &amp; SWR</t>
  </si>
  <si>
    <t>3180 Amort - PR Wash/Jet SWR Mains</t>
  </si>
  <si>
    <t>3195 Amort - Tank Maint &amp; Rep SWR</t>
  </si>
  <si>
    <t>3040 - Def Chgs - Tank Maint &amp; Rep SWR</t>
  </si>
  <si>
    <t>2675 A/R - Customer Trade CC&amp;B</t>
  </si>
  <si>
    <t>2680 A/R Customer Accrual</t>
  </si>
  <si>
    <t>2685 A/R Customer Refunds</t>
  </si>
  <si>
    <t>Total A/R</t>
  </si>
  <si>
    <t>2690 Accum Prov Uncollec Accts</t>
  </si>
  <si>
    <t>2710 A/R Assoc Cos</t>
  </si>
  <si>
    <t>2755 Inventory</t>
  </si>
  <si>
    <t>2775 Special Deposits</t>
  </si>
  <si>
    <t>2785 Prepayments</t>
  </si>
  <si>
    <t>2856 Preliminary Survey Project</t>
  </si>
  <si>
    <t>Deferred Rate Case</t>
  </si>
  <si>
    <t>Other Deferred</t>
  </si>
  <si>
    <t>4369 Def Fed Tax - CIAC Pre 1987</t>
  </si>
  <si>
    <t>4371 Def Fed Tax - Tap Fee Post 2000</t>
  </si>
  <si>
    <t>4375 Def Fed Tax - Rate Case</t>
  </si>
  <si>
    <t>4377 Def Fed Tax - Def Maint</t>
  </si>
  <si>
    <t>4383 Def Fed Tax - Organ Exp</t>
  </si>
  <si>
    <t>4385 Def Fed Tax - Bad Debt</t>
  </si>
  <si>
    <t>4387 Def Fed Tax - Depreciation</t>
  </si>
  <si>
    <t>4421 Def St Tax Tap Fee Post 2000</t>
  </si>
  <si>
    <t>4425 Def St Tax Rate Case</t>
  </si>
  <si>
    <t>4427 Det St Tax - Def Maint</t>
  </si>
  <si>
    <t>4433 Det St Tax - Orgn Exp</t>
  </si>
  <si>
    <t>4435 Def St Tax - Bad Debt</t>
  </si>
  <si>
    <t>4437 Def St Tax - Depreciation</t>
  </si>
  <si>
    <t>4525 A/P Trade - Accrual</t>
  </si>
  <si>
    <t>4515 A/P Trade</t>
  </si>
  <si>
    <t>4527 A/P Trade - Recd Not Vouchered</t>
  </si>
  <si>
    <t>4535 A/P Assoc Companies</t>
  </si>
  <si>
    <t>4545 A/P Miscellaneous</t>
  </si>
  <si>
    <t>4595 Customer Deposits</t>
  </si>
  <si>
    <t>Total A/P Trade</t>
  </si>
  <si>
    <t>4548 A/P 3rd Party Liability</t>
  </si>
  <si>
    <t>4612 Accrued Taxes General</t>
  </si>
  <si>
    <t>4614 Accrued Gross Receipt Tax</t>
  </si>
  <si>
    <t>4634 Accrued Sales Tax</t>
  </si>
  <si>
    <t>4635 Accrued Use Tax</t>
  </si>
  <si>
    <t>4636 Accrued County Tax A</t>
  </si>
  <si>
    <t>4638 Accrued City Tax A</t>
  </si>
  <si>
    <t>4685 Accrued Cust Dep Interest</t>
  </si>
  <si>
    <t>4715 Deferred Revenue</t>
  </si>
  <si>
    <t>4760 Common Stock</t>
  </si>
  <si>
    <t>4780 Paid In Capital</t>
  </si>
  <si>
    <t>4785 Misc Paid in Capital</t>
  </si>
  <si>
    <t>4998 Retained Earn-Prior Years</t>
  </si>
  <si>
    <t>4661 Accrued St Income Tax</t>
  </si>
  <si>
    <t>Deferred Tax</t>
  </si>
  <si>
    <t>Total Accrued Taxes</t>
  </si>
  <si>
    <t>Total PIC</t>
  </si>
  <si>
    <t>Current Year RE</t>
  </si>
  <si>
    <t>2620 Utill Plant Acquired/Disposed</t>
  </si>
  <si>
    <t>Other Outside Services</t>
  </si>
  <si>
    <t>309.2 Supply Mains</t>
  </si>
  <si>
    <t>354.2 Struct/Imprv Coll Plt</t>
  </si>
  <si>
    <t>355.4 Power Gen Equip Treat</t>
  </si>
  <si>
    <t>355.4 Power Generation Equipment</t>
  </si>
  <si>
    <t>394.7 Laboratory Eqpt</t>
  </si>
  <si>
    <t>395.7 Power Operated Eqpt</t>
  </si>
  <si>
    <t>398.7 Other Tang Plt Sewer</t>
  </si>
  <si>
    <t>Amort Exp Account</t>
  </si>
  <si>
    <t>TOTAL AMORTIZATION EXPENSE - WATER</t>
  </si>
  <si>
    <t>TOTAL AMORTIZATION EXPENSE - WASTEWATER</t>
  </si>
  <si>
    <t>Amort Struct&amp; Imprv SRC Supply</t>
  </si>
  <si>
    <t>Amort Strct&amp;Imprv WTP</t>
  </si>
  <si>
    <t>Amort Wells &amp; Springs</t>
  </si>
  <si>
    <t>Amort Elec Pump Eqp SRC Pump</t>
  </si>
  <si>
    <t>Amort Elec Pump Eqp WTP</t>
  </si>
  <si>
    <t>Amort Water Treatment Eqpt</t>
  </si>
  <si>
    <t>Amort Dist Resv &amp; Standpipes</t>
  </si>
  <si>
    <t>Amort Trans &amp; Distr Mains</t>
  </si>
  <si>
    <t>Amort Service Lines</t>
  </si>
  <si>
    <t>Amort Meters</t>
  </si>
  <si>
    <t>Amort Meter Installs</t>
  </si>
  <si>
    <t>Amort Hydrants</t>
  </si>
  <si>
    <t>Amort Other Tangible Plt Water</t>
  </si>
  <si>
    <t>Amort WTR Res Cap Fee</t>
  </si>
  <si>
    <t>Amort WTR PLT Mtr Fee</t>
  </si>
  <si>
    <t>Amort WTR PLT Mod Fee</t>
  </si>
  <si>
    <t>Amort Water tap</t>
  </si>
  <si>
    <t>Amort Struct/Imprv Pump Plt LS</t>
  </si>
  <si>
    <t>Amort Struct/Imprv Treat Plt</t>
  </si>
  <si>
    <t>Amort Sturct/Imprv Gen Plt</t>
  </si>
  <si>
    <t>Amort Sewer Force Main / SRVC</t>
  </si>
  <si>
    <t>Amort Sewer Gravity Main</t>
  </si>
  <si>
    <t>Amort Manholes</t>
  </si>
  <si>
    <t>Amort Services to Customers</t>
  </si>
  <si>
    <t>Amort Treat/Disp Equip Trt Plt</t>
  </si>
  <si>
    <t>Amort Outfall Lines</t>
  </si>
  <si>
    <t>Amort Other Tangible Plt Sewer</t>
  </si>
  <si>
    <t xml:space="preserve">Amort Sewer Tap </t>
  </si>
  <si>
    <t>Amort SWR Res Cap Fee</t>
  </si>
  <si>
    <t>Amort SWR Plt Mod Fee</t>
  </si>
  <si>
    <t>Amort Reuse Services</t>
  </si>
  <si>
    <t>Amort Orginization</t>
  </si>
  <si>
    <t>Miscellaneous Exp Non-Utility</t>
  </si>
  <si>
    <t>Disposal Clearing</t>
  </si>
  <si>
    <t>Account No. 190.1011 Deferred Tax Debits- Tap Fees Pre 1987</t>
  </si>
  <si>
    <t>Account No. 190.1012 Deferred Tax Debits- Tap Fees Post 2000</t>
  </si>
  <si>
    <t>Deferred Maintenance - Amort</t>
  </si>
  <si>
    <t>Deferred Rate Case Additions</t>
  </si>
  <si>
    <t>Type of Service</t>
  </si>
  <si>
    <t>Consultants</t>
  </si>
  <si>
    <t>Description of Work Performed</t>
  </si>
  <si>
    <t>Schedule of Short Term Debt</t>
  </si>
  <si>
    <t xml:space="preserve">13 Month  Average </t>
  </si>
  <si>
    <t>Off Struct &amp; Imprv Allocated To Sewer</t>
  </si>
  <si>
    <t>Off Struct &amp; Imprv Allocated From Water</t>
  </si>
  <si>
    <t>Tools, Shop &amp; Misc. Equip  Allocated to Sewer</t>
  </si>
  <si>
    <t>Tools, Shop &amp; Misc. Equip  Allocated from Water</t>
  </si>
  <si>
    <t>Laboratory Equipment Allocated to Sewer</t>
  </si>
  <si>
    <t>Laboratory Eqpt Allocated from Water</t>
  </si>
  <si>
    <t>Communication Eqpt Allocated to Sewer</t>
  </si>
  <si>
    <t>Communication Eqpt Allocated from Water</t>
  </si>
  <si>
    <t>Misc Equipment Allocated to Sewer</t>
  </si>
  <si>
    <t>Misc Equip Allocated from Water</t>
  </si>
  <si>
    <t>Transportation Allocated to Sewer</t>
  </si>
  <si>
    <t>Add Back Adjustment for COA Rollback</t>
  </si>
  <si>
    <t>COA</t>
  </si>
  <si>
    <t xml:space="preserve">Adjustments to Test Year (Explain): </t>
  </si>
  <si>
    <t>Adjustments to Annual Report</t>
  </si>
  <si>
    <t>Difference - rounding</t>
  </si>
  <si>
    <t>348.7  Other Plant - Allocations</t>
  </si>
  <si>
    <t>Other - Bad Debt</t>
  </si>
  <si>
    <t>Net Nonutility Property</t>
  </si>
  <si>
    <t>Gain (Losses) from Dispositon</t>
  </si>
  <si>
    <t>Adjusted Prior Year</t>
  </si>
  <si>
    <t>Allocations per Annual Report</t>
  </si>
  <si>
    <t>Allocations per ERC</t>
  </si>
  <si>
    <t>Per Financials</t>
  </si>
  <si>
    <t>Filing Fee</t>
  </si>
  <si>
    <t>Prior unamortized rate case expenses</t>
  </si>
  <si>
    <t>Gallons (in 000's)</t>
  </si>
  <si>
    <t>Annualized Revenues</t>
  </si>
  <si>
    <t>Revenues at Proposed Rates</t>
  </si>
  <si>
    <t>Total Residential Service BFC</t>
  </si>
  <si>
    <t>Tampering Fee</t>
  </si>
  <si>
    <t xml:space="preserve">Residential </t>
  </si>
  <si>
    <t>Present Rates</t>
  </si>
  <si>
    <t>Test Year Rates</t>
  </si>
  <si>
    <t xml:space="preserve">Effective  </t>
  </si>
  <si>
    <t>Per Annual Rpt</t>
  </si>
  <si>
    <t>Revised</t>
  </si>
  <si>
    <t>OTHER  UTILITY PLANT ADJUSTMETNS</t>
  </si>
  <si>
    <t>ACCOUNTS RECEIVABLE  - TRADE</t>
  </si>
  <si>
    <t>ALLOWANCE FOR BAD DEBTS</t>
  </si>
  <si>
    <t xml:space="preserve">NOTES RECEIVABLE ASSOC COMPANIES </t>
  </si>
  <si>
    <t>MATERIALS &amp; SUPPLIES</t>
  </si>
  <si>
    <t>MISCELLANEOUS CURRENT &amp; ACCRUED ASSETS</t>
  </si>
  <si>
    <t>PRELIM SURVEY &amp; INVESTIGATION</t>
  </si>
  <si>
    <t>DEFERRED RATE CASE EXPENSE</t>
  </si>
  <si>
    <t>OTHER MISCELLANEOUS DEFERRED DEBITS</t>
  </si>
  <si>
    <t>ACCRUED TAXES</t>
  </si>
  <si>
    <t>ACCOUNTS PAYABLE</t>
  </si>
  <si>
    <t>2908 RCIP - Administrative Expenses</t>
  </si>
  <si>
    <t>Total Retained Earnings</t>
  </si>
  <si>
    <t>TOTAL CURRENT &amp; ACCRUED ASSETS</t>
  </si>
  <si>
    <t>NET</t>
  </si>
  <si>
    <t>Allocate ad valorem tax based on Net Plant</t>
  </si>
  <si>
    <t>Account No. 190.2026 Bad Debt Expense</t>
  </si>
  <si>
    <t>Account No. 190.1026 Bad Debt Expense</t>
  </si>
  <si>
    <t>Connection Meter Fee</t>
  </si>
  <si>
    <t>Account No. 190.1031 Deferred Tax Credits- Depreciation</t>
  </si>
  <si>
    <t>Restate allocations from WSC/Utilities Inc.</t>
  </si>
  <si>
    <r>
      <t>Other</t>
    </r>
    <r>
      <rPr>
        <vertAlign val="superscript"/>
        <sz val="9"/>
        <rFont val="Calibri"/>
        <family val="2"/>
      </rPr>
      <t>1</t>
    </r>
  </si>
  <si>
    <r>
      <t>1</t>
    </r>
    <r>
      <rPr>
        <sz val="9"/>
        <rFont val="Calibri"/>
        <family val="2"/>
      </rPr>
      <t xml:space="preserve"> Adjustment needed due to the fact that the Company's tax schedule were done prior to the Company's books being closed</t>
    </r>
  </si>
  <si>
    <t>Explanation: Provide a reconciliation of the 13-month average capital structure to requested rate base.  Explain all adjustments. Submit an additional schedule if a year-end basis is used.</t>
  </si>
  <si>
    <t>Explanation: Provide data as specified on preferred stock on a 13-month average basis.  If the utility is an operating division or subsidiary, submit an additional schedule which reflects the same information for the parent level.</t>
  </si>
  <si>
    <t>Explanation: Provide the following information on a 13-month  average basis.  If the utility is an operating division or subsidiary, submit an additional schedule which reflects the same information for the parent level.</t>
  </si>
  <si>
    <t>Explanation: Provide the specified date on long term debt issues on a 13-month  average basis for the test year.  Arrange by type of issue (i.e., first mortgage bonds).  If the utility is an operating division or subsidiary, submit an additional schedule which reflects the same information on the parent level.</t>
  </si>
  <si>
    <t>Thirteen Month  Average</t>
  </si>
  <si>
    <t>Explanation: Provide the specified data on variable cost long term debt issues on a 13-month average basis.  If the utility is an operating division or subsidiary, submit an additional schedule which reflects the same information for the parent level.</t>
  </si>
  <si>
    <t>Explanation:  Provide a schedule of customer deposits on a 13-month average basis.</t>
  </si>
  <si>
    <t>Explanation:  Provide a schedule of present and proposed miscellaneous service charges.  If an increase is proposed (or new charges), provide a schedule of derivation of charges.</t>
  </si>
  <si>
    <t>Explanation:  Provide a schedule of test year miscellaneous charges received by type.  Provide an additional schedule for proposed charges, if applicable.</t>
  </si>
  <si>
    <t>Explanation:  Provide a schedule of present and proposed service availability charges. (See Rule 25-20.580, F.A.C.). If no change is proposed, then this schedule is not required.</t>
  </si>
  <si>
    <t>Explanation: Provide a schedule which calculates the requested cost of capital on a 13-month average basis.  If a year-end basis is used, submit an additional schedule reflecting year-end calculations.</t>
  </si>
  <si>
    <t>Explanation:  Provide answers to the following questions with respect to the applicant or its consolidated entity.</t>
  </si>
  <si>
    <t>TOTAL EQUITY CAPITAL &amp; LIABILITIES</t>
  </si>
  <si>
    <t>Is the treatment of contributions in aid of construction at issue with the IRS?</t>
  </si>
  <si>
    <t>Account No. 190.2011 Deferred Tax Debits- Tap Fees Pre 1987</t>
  </si>
  <si>
    <t>Account No. 190.2012 Deferred Tax Debits- Tap Fees Post 2000</t>
  </si>
  <si>
    <t>6840 Laboratory Equipment</t>
  </si>
  <si>
    <t>6845 Power Operated Equip</t>
  </si>
  <si>
    <t>Adjustments*</t>
  </si>
  <si>
    <t>Avg Balance</t>
  </si>
  <si>
    <t>375.6 Reuse Transmission &amp; Dist</t>
  </si>
  <si>
    <t>A-3, A-12</t>
  </si>
  <si>
    <t>A-3, A-14</t>
  </si>
  <si>
    <t xml:space="preserve"> A-3, A-17</t>
  </si>
  <si>
    <t>Adjust Current RAF</t>
  </si>
  <si>
    <t>INTEREST EXPENSE -FINAL</t>
  </si>
  <si>
    <t>INTEREST EXPENSE- INTERIM</t>
  </si>
  <si>
    <t>Adjust Current Year</t>
  </si>
  <si>
    <t>Adjustment to RAF per B-3</t>
  </si>
  <si>
    <t>Reuse Revenue Residential Measured</t>
  </si>
  <si>
    <t>Pump Eqp RCLM WTR Dist Plt</t>
  </si>
  <si>
    <t>Office Furniture</t>
  </si>
  <si>
    <t>Historical Year ended 12/31/2013</t>
  </si>
  <si>
    <t>Amort Supply Mains</t>
  </si>
  <si>
    <t>Amort Elec Pump Eqp Trans Dist</t>
  </si>
  <si>
    <t>Amort Reuse Mtr/Installations</t>
  </si>
  <si>
    <t>Sale of Utility Property</t>
  </si>
  <si>
    <t>345 Power Operated Equipment</t>
  </si>
  <si>
    <t>Power Operated  Equipment Allocated to Sewer</t>
  </si>
  <si>
    <t>Current Tax - SIT- Sold Co</t>
  </si>
  <si>
    <t>Miscellaneous Inc Non-Utility</t>
  </si>
  <si>
    <t>381 Plant Sewers Trtmt Plt</t>
  </si>
  <si>
    <t>Struct/Imprv Rclm Dist</t>
  </si>
  <si>
    <t>354.3 Struc/Imprv</t>
  </si>
  <si>
    <t>371.6 Pumping Equipmnt RCL WTr D</t>
  </si>
  <si>
    <t>2070 Acc Depr - Struct/Imprv RCLM D</t>
  </si>
  <si>
    <t>2150 Acc Depr - Pump Eqp RCLM Dist</t>
  </si>
  <si>
    <t>2170 Acc DeprPlant Sewrs Trt Plt</t>
  </si>
  <si>
    <t>2200 Acc Depr - Other Plt Treatment</t>
  </si>
  <si>
    <t>2215 Acc Depr Office Structure</t>
  </si>
  <si>
    <t>2795 Prepaid Reimbursements</t>
  </si>
  <si>
    <t>4389 Def Fed Tax - NOL</t>
  </si>
  <si>
    <t>4417 Accum Def Income Tax - St</t>
  </si>
  <si>
    <t>4628 Accrued Real Est Tax</t>
  </si>
  <si>
    <t>3305 CIAC - Supply Mains</t>
  </si>
  <si>
    <t>3770 CIAC - Reuse - Tap</t>
  </si>
  <si>
    <t>3850 Acc Amort Supply Lines</t>
  </si>
  <si>
    <t>4330 Acc Amort Reuse - Tap</t>
  </si>
  <si>
    <t>12/31/2013</t>
  </si>
  <si>
    <t>2013 Per Financials</t>
  </si>
  <si>
    <t>Adj to Annual Report</t>
  </si>
  <si>
    <t>392.7 Stores Equipment</t>
  </si>
  <si>
    <t>371.5 Pumping Equipment WTP</t>
  </si>
  <si>
    <t>371.6 Punping Equipment Dist</t>
  </si>
  <si>
    <t xml:space="preserve">354.3 Structure &amp; Improvements </t>
  </si>
  <si>
    <t>354.3 Structure &amp; Improvements</t>
  </si>
  <si>
    <t>371.6 Pumping Equipment Dist</t>
  </si>
  <si>
    <t>371.6 Pumping Equp RCLM Dist</t>
  </si>
  <si>
    <t>355.4 Power Gen Equipment</t>
  </si>
  <si>
    <t>4565 Advances from Utilities Inc</t>
  </si>
  <si>
    <t>4659 Accrued Fed Income Tax</t>
  </si>
  <si>
    <t>Account No. 190.1 Deferred Fed Tax - NOL</t>
  </si>
  <si>
    <t>Difference  - Allocation From Water</t>
  </si>
  <si>
    <t>Difference  - Allocation to Sewer</t>
  </si>
  <si>
    <t>Difference - Allocation to Sewer</t>
  </si>
  <si>
    <t>Difference - Allocation from Water</t>
  </si>
  <si>
    <t>Difference  - Rounding</t>
  </si>
  <si>
    <t>Reclass Sales Tax Expense to O &amp; M Expenses</t>
  </si>
  <si>
    <t>W</t>
  </si>
  <si>
    <t>Milian, Swain &amp; Associates</t>
  </si>
  <si>
    <t>M&amp;R Consultants</t>
  </si>
  <si>
    <t>Public Service Commission</t>
  </si>
  <si>
    <t>Deborah Swain</t>
  </si>
  <si>
    <t>Cynthia Yapp</t>
  </si>
  <si>
    <t>Martin Friedman</t>
  </si>
  <si>
    <t>Frank Seidman</t>
  </si>
  <si>
    <t>Travel, Hotel/Accommodation, Rental Care, Airfare</t>
  </si>
  <si>
    <t>Water Revenue Requirement (FINAL)</t>
  </si>
  <si>
    <t>Water Rate Base</t>
  </si>
  <si>
    <t>Rate of Return</t>
  </si>
  <si>
    <t>Utility Operating Income</t>
  </si>
  <si>
    <t>Earned Utility Income</t>
  </si>
  <si>
    <t>Utility Operating Income Deficiency</t>
  </si>
  <si>
    <t xml:space="preserve">Revenue Tax </t>
  </si>
  <si>
    <t>Additional Revenue Required (Incl. Income Tax Expansion)</t>
  </si>
  <si>
    <t>Income Tax</t>
  </si>
  <si>
    <t xml:space="preserve">Additional Revenue Required </t>
  </si>
  <si>
    <t>% Increase requested</t>
  </si>
  <si>
    <t>Additional Revenue Required</t>
  </si>
  <si>
    <t>Less: Revenue Tax @ 4.5%</t>
  </si>
  <si>
    <t>Balance Subject to Income Tax</t>
  </si>
  <si>
    <t>Federal / State Income Tax @ 37.63</t>
  </si>
  <si>
    <t>Sewer Revenue Requirement (FINAL)</t>
  </si>
  <si>
    <t>Sewer Rate Base</t>
  </si>
  <si>
    <t>Sub-total</t>
  </si>
  <si>
    <t>*Reuse Ratebase</t>
  </si>
  <si>
    <t>ROR</t>
  </si>
  <si>
    <t>Reuse Revenue Requirement</t>
  </si>
  <si>
    <t>Shift Rev Req to Water - Reuse Revenues</t>
  </si>
  <si>
    <t>Shift Rev Req to Water - Reuse Revenues*</t>
  </si>
  <si>
    <t>Total Residential Service Billable Cons.</t>
  </si>
  <si>
    <t>Reuse Revenue - Residential</t>
  </si>
  <si>
    <t>Other W/S Revenues</t>
  </si>
  <si>
    <t>Computer</t>
  </si>
  <si>
    <t xml:space="preserve">Transportation </t>
  </si>
  <si>
    <t>CIAC</t>
  </si>
  <si>
    <t>Reuse Services</t>
  </si>
  <si>
    <t>(Line 16 - 21)</t>
  </si>
  <si>
    <t>Federal Deferred Taxes (Line 24 x Line 25)</t>
  </si>
  <si>
    <t>Add:  State Deferred Taxes (Line 21)</t>
  </si>
  <si>
    <t>State Deferred Taxes ( Line 16x Line 18)</t>
  </si>
  <si>
    <t>CALCULATION OF RATE OF RETURN TO COVER TAXES</t>
  </si>
  <si>
    <t xml:space="preserve">Schedule of Requested Cost of Capital </t>
  </si>
  <si>
    <t>PROFORMA YEAR</t>
  </si>
  <si>
    <t>REQUIRED RATE OF RETURN AFTER TAXES</t>
  </si>
  <si>
    <t>REQUIRED RATE OF RETURN TO COVER FEDERAL INCOME TAX AND STATE INCOME TAX (TO BE USED TO CALCULATE REQUIREMENTS)</t>
  </si>
  <si>
    <t>ALLOCATION OF INTEREST EXPENSE TO WATER &amp; SEWER</t>
  </si>
  <si>
    <t>% Allocation</t>
  </si>
  <si>
    <t>Per Financials 12/9/2014</t>
  </si>
  <si>
    <t>Adjusted 12/9/2014</t>
  </si>
  <si>
    <t>Adjusted 12/31/14</t>
  </si>
  <si>
    <t>12/31/14</t>
  </si>
  <si>
    <t>12/31/15</t>
  </si>
  <si>
    <t>Adjusted        Dec-14</t>
  </si>
  <si>
    <t>Dec-14</t>
  </si>
  <si>
    <t>Amount Outstanding  at 12/31/15</t>
  </si>
  <si>
    <t>Dec 14</t>
  </si>
  <si>
    <t>Jan 15</t>
  </si>
  <si>
    <t>Feb 15</t>
  </si>
  <si>
    <t>Mar 15</t>
  </si>
  <si>
    <t>Apr 15</t>
  </si>
  <si>
    <t>May 15</t>
  </si>
  <si>
    <t>Jun 15</t>
  </si>
  <si>
    <t>Jul 15</t>
  </si>
  <si>
    <t>Aug 15</t>
  </si>
  <si>
    <t>Sep 15</t>
  </si>
  <si>
    <t>Oct 15</t>
  </si>
  <si>
    <t>Nov 15</t>
  </si>
  <si>
    <t>Dec 15</t>
  </si>
  <si>
    <t xml:space="preserve">Other Adjustments </t>
  </si>
  <si>
    <t>Ended 12/31/14</t>
  </si>
  <si>
    <t>Ended 12/31/15</t>
  </si>
  <si>
    <t>AYE 12/31/15</t>
  </si>
  <si>
    <t>AYE  12/31/15</t>
  </si>
  <si>
    <t>Note: Preferred stock is actual for Mid-County's parent company, Utilities, Inc.</t>
  </si>
  <si>
    <t xml:space="preserve">5/8” </t>
  </si>
  <si>
    <t xml:space="preserve">1” </t>
  </si>
  <si>
    <t>1.5”</t>
  </si>
  <si>
    <t xml:space="preserve">2” </t>
  </si>
  <si>
    <t xml:space="preserve">3” </t>
  </si>
  <si>
    <t xml:space="preserve">4" </t>
  </si>
  <si>
    <t xml:space="preserve">6” </t>
  </si>
  <si>
    <t>Gallonage Charge per 1,000 gallons</t>
  </si>
  <si>
    <t>All Meter Sizes</t>
  </si>
  <si>
    <t xml:space="preserve"> 20,000 gallon Maximum</t>
  </si>
  <si>
    <t>Flat Rate (bi-monthly)</t>
  </si>
  <si>
    <t>Multi-Residential (Unmetered)</t>
  </si>
  <si>
    <t>Jan - Dec 2015</t>
  </si>
  <si>
    <t>Total Multi-Residential (unmetered)  Service BFC</t>
  </si>
  <si>
    <t>Gallonage Charge (per 1,000 Gallons)</t>
  </si>
  <si>
    <t>Schedule Year Ended: December 31, 2015</t>
  </si>
  <si>
    <t>Test Year Ended: December 31, 2015</t>
  </si>
  <si>
    <t>736  Contractual Services - Other</t>
  </si>
  <si>
    <t>735  Contractual Services - Testing</t>
  </si>
  <si>
    <t>2015</t>
  </si>
  <si>
    <t>Sept.</t>
  </si>
  <si>
    <t>(14)</t>
  </si>
  <si>
    <t>(13)</t>
  </si>
  <si>
    <t>(12)</t>
  </si>
  <si>
    <t>RATE BASE, Average</t>
  </si>
  <si>
    <t>Franchises</t>
  </si>
  <si>
    <t>Transportation Equipment</t>
  </si>
  <si>
    <t>Explanation:  Complete the following revenue schedule for the historical test year or base year.  If general service revenues not accounted for by sub-account, then show the total amount under metered-or measured-commercial and provide an explanation.</t>
  </si>
  <si>
    <t>462.1 Public Fire Protection</t>
  </si>
  <si>
    <t>TEST YEAR ENDING 12/31/14</t>
  </si>
  <si>
    <t>O&amp;M EXPENSE CUMULATIVE BALANCES FROM UC LEDGER TRIAL BALANCE</t>
  </si>
  <si>
    <t>Obj. Account</t>
  </si>
  <si>
    <t>NARUC</t>
  </si>
  <si>
    <t>Jan-15</t>
  </si>
  <si>
    <t>Feb-15</t>
  </si>
  <si>
    <t>Mar-15</t>
  </si>
  <si>
    <t>Apr-15</t>
  </si>
  <si>
    <t>May-15</t>
  </si>
  <si>
    <t>Jun-15</t>
  </si>
  <si>
    <t>Jul-15</t>
  </si>
  <si>
    <t>Aug-15</t>
  </si>
  <si>
    <t>Sep-15</t>
  </si>
  <si>
    <t>Oct-15</t>
  </si>
  <si>
    <t>Nov-15</t>
  </si>
  <si>
    <t>Dec-15</t>
  </si>
  <si>
    <t>PURCHASED WATER-SEWER SYS</t>
  </si>
  <si>
    <t>SALARIES-ACCTG/FINANCE</t>
  </si>
  <si>
    <t>601/701</t>
  </si>
  <si>
    <t>PURCHASED SEWER TREATMENT</t>
  </si>
  <si>
    <t>SALARIES-ADMIN</t>
  </si>
  <si>
    <t>ELEC PWR - SWR SYSTEM</t>
  </si>
  <si>
    <t>615/715</t>
  </si>
  <si>
    <t>SALARIES-HR</t>
  </si>
  <si>
    <t>CHLORINE</t>
  </si>
  <si>
    <t>618/718</t>
  </si>
  <si>
    <t>SALARIES-MIS</t>
  </si>
  <si>
    <t>ODOR CONTROL CHEMICALS</t>
  </si>
  <si>
    <t>SALARIES-LEADERSHIP OPS</t>
  </si>
  <si>
    <t>OTHER TREATMENT CHEMICALS</t>
  </si>
  <si>
    <t>SALARIES-REGULATORY</t>
  </si>
  <si>
    <t>METER READING</t>
  </si>
  <si>
    <t>636/736</t>
  </si>
  <si>
    <t>SALARIES-CUSTOMER SERVICE</t>
  </si>
  <si>
    <t>AGENCY EXPENSE</t>
  </si>
  <si>
    <t>670/770</t>
  </si>
  <si>
    <t>SALARIES-BILLING</t>
  </si>
  <si>
    <t>UNCOLLECTIBLE ACCOUNTS</t>
  </si>
  <si>
    <t>SALARIES-CORP SERVICE ADMIN</t>
  </si>
  <si>
    <t>UNCOLL ACCOUNTS ACCRUAL</t>
  </si>
  <si>
    <t>SALARIES-OPERATIONS FIELD</t>
  </si>
  <si>
    <t>BILL STOCK</t>
  </si>
  <si>
    <t>620/720</t>
  </si>
  <si>
    <t>SALARIES-OPERATIONS OFFICE</t>
  </si>
  <si>
    <t>BILLING COMPUTER SUPPLIES</t>
  </si>
  <si>
    <t>CAPITALIZED TIME ADJUSTMENT</t>
  </si>
  <si>
    <t>BILLING ENVELOPES</t>
  </si>
  <si>
    <t>BILLING POSTAGE</t>
  </si>
  <si>
    <t>CUSTOMER SERVICE PRINTING</t>
  </si>
  <si>
    <t>675/775</t>
  </si>
  <si>
    <t>SALARIES-OFFICERS/STKHLDR</t>
  </si>
  <si>
    <t>603/703</t>
  </si>
  <si>
    <t>401K/ESOP CONTRIBUTIONS</t>
  </si>
  <si>
    <t>604/704</t>
  </si>
  <si>
    <t>DENTAL PREMIUMS</t>
  </si>
  <si>
    <t>DENTAL INS REIMBURSEMENTS</t>
  </si>
  <si>
    <t>EMPLOYEE INS DEDUCTIONS</t>
  </si>
  <si>
    <t>HEALTH COSTS &amp; OTHER</t>
  </si>
  <si>
    <t>HEALTH INS REIMBURSEMENTS</t>
  </si>
  <si>
    <t>OTHER EMP PENSION/BENEFITS</t>
  </si>
  <si>
    <t>PENSION CONTRIBUTIONS</t>
  </si>
  <si>
    <t>TERM LIFE INS</t>
  </si>
  <si>
    <t>TERM LIFE INS-OPT</t>
  </si>
  <si>
    <t>DEPEND LIFE INS-OPT</t>
  </si>
  <si>
    <t>TUITION</t>
  </si>
  <si>
    <t>INSURANCE-OTHER</t>
  </si>
  <si>
    <t>659/759</t>
  </si>
  <si>
    <t>TRAINING EXPENSE</t>
  </si>
  <si>
    <t>COMPUTER MAINTENANCE</t>
  </si>
  <si>
    <t>COMPUTER SUPPLIES</t>
  </si>
  <si>
    <t>COMPUTER AMORT &amp; PROG COST</t>
  </si>
  <si>
    <t>INTERNET SUPPLIER</t>
  </si>
  <si>
    <t>MICROFILMING</t>
  </si>
  <si>
    <t>ADVERTISING/MARKETING</t>
  </si>
  <si>
    <t>BANK SERVICE CHARGE</t>
  </si>
  <si>
    <t>Contrinutions</t>
  </si>
  <si>
    <t>LETTER OF CREDIT FEE</t>
  </si>
  <si>
    <t>LICENSE FEES</t>
  </si>
  <si>
    <t>MEMBERSHIPS</t>
  </si>
  <si>
    <t>PENALTIES/FINES</t>
  </si>
  <si>
    <t>OTHER MISC EXPENSE</t>
  </si>
  <si>
    <t>ANSWERING SERVICE</t>
  </si>
  <si>
    <t>CLEANING SUPPLIES</t>
  </si>
  <si>
    <t>COPY MACHINE</t>
  </si>
  <si>
    <t>HOLIDAY EVENTS/PICNICS</t>
  </si>
  <si>
    <t>KITCHEN SUPPLIES</t>
  </si>
  <si>
    <t>OFFICE SUPPLY STORES</t>
  </si>
  <si>
    <t>PRINTING/BLUEPRINTS</t>
  </si>
  <si>
    <t>PUBL SUBSCRIPTIONS/TAPES</t>
  </si>
  <si>
    <t>SHIPPING CHARGES</t>
  </si>
  <si>
    <t>SEWER-MAINT SUPPLIES</t>
  </si>
  <si>
    <t>OTHER OFFICE EXPENSES</t>
  </si>
  <si>
    <t>SEWER-MAINT REPAIRS</t>
  </si>
  <si>
    <t>OFFICE ELECTRIC</t>
  </si>
  <si>
    <t>SEWER-ELEC EQUIPT REPAIR</t>
  </si>
  <si>
    <t>OFFICE GAS</t>
  </si>
  <si>
    <t>SEWER-OTHER MAINT EXP</t>
  </si>
  <si>
    <t>OFFICE WATER</t>
  </si>
  <si>
    <t>DEFERRED MAINT EXPENSE</t>
  </si>
  <si>
    <t>OFFICE TELECOM</t>
  </si>
  <si>
    <t>OFFICE GARBAGE REMOVAL</t>
  </si>
  <si>
    <t>OFFICE LANDSCAPE / MOW / PLOW</t>
  </si>
  <si>
    <t>ENGINEERING FEES</t>
  </si>
  <si>
    <t>631/731</t>
  </si>
  <si>
    <t>OFFICE ALARM SYS PHONE EXP</t>
  </si>
  <si>
    <t>OFFICE MAINTENANCE</t>
  </si>
  <si>
    <t>AUDIT FEES</t>
  </si>
  <si>
    <t>632/732</t>
  </si>
  <si>
    <t>OFFICE CLEANING SERVICE</t>
  </si>
  <si>
    <t>TAX RETURN REVIEW</t>
  </si>
  <si>
    <t>OFFICE MACHINE/HEAT&amp;COOL</t>
  </si>
  <si>
    <t>OTHER OFFICE UTILITIES</t>
  </si>
  <si>
    <t>TELEMETERING PHONE EXPENSE</t>
  </si>
  <si>
    <t>LEGAL FEES</t>
  </si>
  <si>
    <t>633/733</t>
  </si>
  <si>
    <t>EMPLOY FINDER FEES</t>
  </si>
  <si>
    <t>PAYROLL SERVICES</t>
  </si>
  <si>
    <t>TEMP EMPLOY - CLERICAL</t>
  </si>
  <si>
    <t>OTHER OUTSIDE SERVICES</t>
  </si>
  <si>
    <t>RATE CASE AMORT EXPENSE</t>
  </si>
  <si>
    <t>666/766</t>
  </si>
  <si>
    <t>MISC REG MATTERS COMM EXP</t>
  </si>
  <si>
    <t>667/767</t>
  </si>
  <si>
    <t>RENT</t>
  </si>
  <si>
    <t>EQUIPMENT RENTALS</t>
  </si>
  <si>
    <t>642/742</t>
  </si>
  <si>
    <t>FUEL</t>
  </si>
  <si>
    <t>650/750</t>
  </si>
  <si>
    <t>AUTO REPAIR/TIRES</t>
  </si>
  <si>
    <t>AUTO LICENSES</t>
  </si>
  <si>
    <t>OTHER TRANS EXPENSES</t>
  </si>
  <si>
    <t>INSURANCE-GEN LIAB</t>
  </si>
  <si>
    <t>TRAVEL LODGING</t>
  </si>
  <si>
    <t>TRAVEL AIRFARE</t>
  </si>
  <si>
    <t>TRAVEL TRANSPORTATION</t>
  </si>
  <si>
    <t>TRAVEL MEALS</t>
  </si>
  <si>
    <t>TRAVEL ENTERTAINMENT</t>
  </si>
  <si>
    <t>TRAVEL OTHER</t>
  </si>
  <si>
    <t>TEST-WATER</t>
  </si>
  <si>
    <t>CONTRIBUTION</t>
  </si>
  <si>
    <t>TEST-EQUIP/CHEMICAL</t>
  </si>
  <si>
    <t>TEST-SEWER</t>
  </si>
  <si>
    <t>SEWER PERMITS</t>
  </si>
  <si>
    <t>COMMUNICATION EXPENSE</t>
  </si>
  <si>
    <t>OPER CONTRACTED WORKERS</t>
  </si>
  <si>
    <t>OUTSIDE LAB FEES-LAB,LAND</t>
  </si>
  <si>
    <t>UNIFORMS</t>
  </si>
  <si>
    <t>WEATHER/HURRICANE COSTS</t>
  </si>
  <si>
    <t>SEWER RODDING</t>
  </si>
  <si>
    <t>SLUDGE HAULING</t>
  </si>
  <si>
    <t>DEPREC-TREAT/DISP EQ RCLM WTP</t>
  </si>
  <si>
    <t>AMORT-TREAT/DISP EQUIP LAGOON</t>
  </si>
  <si>
    <t>Grand Total</t>
  </si>
  <si>
    <t>Object Code</t>
  </si>
  <si>
    <t>12-31-13Plant Acc_BalPerAR Col A R1</t>
  </si>
  <si>
    <t>JS Check cell</t>
  </si>
  <si>
    <t>1020 Organization</t>
  </si>
  <si>
    <t>1025 Franchises</t>
  </si>
  <si>
    <t>1030 Land &amp; Land Rights Pump</t>
  </si>
  <si>
    <t>1050 Struct &amp; Imprv SRC Supply</t>
  </si>
  <si>
    <t>1080 Wells &amp; Springs</t>
  </si>
  <si>
    <t>1085 Infiltration Gallery</t>
  </si>
  <si>
    <t>1090 Supply Mains</t>
  </si>
  <si>
    <t>1095 Power Generation Equip</t>
  </si>
  <si>
    <t>1100 Electric Pump Equip SRC Pump</t>
  </si>
  <si>
    <t>1035 L &amp; L Rights WTR Trt</t>
  </si>
  <si>
    <t>1055 Struct &amp; Imprv Wtr Trt Plt</t>
  </si>
  <si>
    <t>1105 Electric Pumping Equipment WTP</t>
  </si>
  <si>
    <t>1115 Water Treatment Equipment</t>
  </si>
  <si>
    <t>1165 Other Plt&amp;Misc Equip WTP</t>
  </si>
  <si>
    <t>1110 Electric Pump Equip Trans Dist</t>
  </si>
  <si>
    <t>1120 Dist Resv &amp; Standpipes</t>
  </si>
  <si>
    <t>1125 Trans &amp; Distr Mains</t>
  </si>
  <si>
    <t>1130 Service Lines</t>
  </si>
  <si>
    <t>1135 Meters</t>
  </si>
  <si>
    <t>1140 Meter Installations</t>
  </si>
  <si>
    <t>1145 Hydrants</t>
  </si>
  <si>
    <t>1150 Backflow Prevention Devices</t>
  </si>
  <si>
    <t>1170 Oth Plt&amp;Misc Equip Trans Dist</t>
  </si>
  <si>
    <t>1575 Desktop computer WTR</t>
  </si>
  <si>
    <t>1580 Mainframe Computer Wtr</t>
  </si>
  <si>
    <t>1585 Mini Computers WTR</t>
  </si>
  <si>
    <t>1590 Comp Sys Cost WTR</t>
  </si>
  <si>
    <t>1595 Micro Sys Cost Wtr</t>
  </si>
  <si>
    <t>1220 Other Tangible Plt Water</t>
  </si>
  <si>
    <t>1245 Organization</t>
  </si>
  <si>
    <t>1250 Franchises</t>
  </si>
  <si>
    <t>1285 Land &amp; Land Rights</t>
  </si>
  <si>
    <t>1290 Structure &amp; Imp Coll Plant</t>
  </si>
  <si>
    <t>1320 Power Gen Equip Coll Plt</t>
  </si>
  <si>
    <t>1345 Force or Vacuum Mains</t>
  </si>
  <si>
    <t>1350 Sewer Gravity Mains</t>
  </si>
  <si>
    <t>1353 Manholes</t>
  </si>
  <si>
    <t>1360 Services to Customers</t>
  </si>
  <si>
    <t>1365 Flow Measure Devices</t>
  </si>
  <si>
    <t>1430 Other Plt Collection</t>
  </si>
  <si>
    <t>1295 Struct/Imnprv Pump Plt LS</t>
  </si>
  <si>
    <t>1380 Pumping Equipment Pump Plt</t>
  </si>
  <si>
    <t>1435 Other Plt Pump</t>
  </si>
  <si>
    <t>1300 Struct/Imprv Treat Pt</t>
  </si>
  <si>
    <t>1330 Power Gen Equip Treat Plt</t>
  </si>
  <si>
    <t>1400 Sewage Treatment Plant</t>
  </si>
  <si>
    <t>1395 Sewer Lagoons</t>
  </si>
  <si>
    <t>1420 Outfall Lines</t>
  </si>
  <si>
    <t>1440 Other Plt Treatment</t>
  </si>
  <si>
    <t>1275 Land &amp; Land Rights Reclaim WTP</t>
  </si>
  <si>
    <t>1310 Stuct/Imprv Reclaim Wtr Dis</t>
  </si>
  <si>
    <t>1385 Pumping Equipment Reclaim WTP</t>
  </si>
  <si>
    <t>1390 Pumping Equipmnt RCL WTr D</t>
  </si>
  <si>
    <t>1445 Other Plt Reclaim Wtr Tr</t>
  </si>
  <si>
    <t>1540 Reuse transmission &amp; Dist Sys</t>
  </si>
  <si>
    <t>1535 Reuse Dist Reservoirs</t>
  </si>
  <si>
    <t>1525 Reuse Services</t>
  </si>
  <si>
    <t>1530 Reuse MTR/ Installations</t>
  </si>
  <si>
    <t xml:space="preserve">1285 Land &amp; Land Rights </t>
  </si>
  <si>
    <t>1315 Struct/Imprv Gen Plt</t>
  </si>
  <si>
    <t>1465 Stores Equipment</t>
  </si>
  <si>
    <t>1470 Tool Shop &amp; Misc Equip</t>
  </si>
  <si>
    <t>1490 Misc Equip Sewer</t>
  </si>
  <si>
    <t>TOTAL UPIS A-18(a)</t>
  </si>
  <si>
    <t>TOTAL Plant in Progress  A-18 (a)</t>
  </si>
  <si>
    <t>1660 Water Plant in Process</t>
  </si>
  <si>
    <t>1661 Water Plant in Process History</t>
  </si>
  <si>
    <t>1665 WIP Cap Time Water Store Tank</t>
  </si>
  <si>
    <t>1666 WIP Interest During Const</t>
  </si>
  <si>
    <t>1667 WIP Engineering</t>
  </si>
  <si>
    <t>1668 WIP Labor/Installation</t>
  </si>
  <si>
    <t>1669 WIP Equipment</t>
  </si>
  <si>
    <t>1670 WIP Material</t>
  </si>
  <si>
    <t>1671 WIP Electrical</t>
  </si>
  <si>
    <t>1672 WIP Piping</t>
  </si>
  <si>
    <t>1699 WIP Transfer to Fixed Assets</t>
  </si>
  <si>
    <t>1655 Water Plant in Process</t>
  </si>
  <si>
    <t>1741 Other Plant in Process History</t>
  </si>
  <si>
    <t>1745 WIP Cap Time Renovation</t>
  </si>
  <si>
    <t>1746 WIP Interest During Constr</t>
  </si>
  <si>
    <t>1748 WIP Equipment</t>
  </si>
  <si>
    <t>1749 WIP Material</t>
  </si>
  <si>
    <t>1752 WIP Contractor/Labor</t>
  </si>
  <si>
    <t>1769 WIP Transfer to Fixed Assets</t>
  </si>
  <si>
    <t>1770 Deferred Plant In Process</t>
  </si>
  <si>
    <t>1771 Deferred Plant In Process History</t>
  </si>
  <si>
    <t>1775 WIP Cap Time Water Tower Paint</t>
  </si>
  <si>
    <t>1776 WIP Interest During Constr</t>
  </si>
  <si>
    <t>1780 WIP Material</t>
  </si>
  <si>
    <t>1782 WIP Contractor/Labor</t>
  </si>
  <si>
    <t>1784 WIP Jet Cleaning</t>
  </si>
  <si>
    <t>1799 WIP Transfer to Fixed Assets</t>
  </si>
  <si>
    <t>1740 Other Plant in Process</t>
  </si>
  <si>
    <t>Total Construction in Progress - Water</t>
  </si>
  <si>
    <t>1700 Sewer Plant in Process</t>
  </si>
  <si>
    <t>1705 WIP Cap time Expand/Mod WWTP</t>
  </si>
  <si>
    <t>1706 WIP Interest During Constr</t>
  </si>
  <si>
    <t>1707 WIP Engineering</t>
  </si>
  <si>
    <t>1708 WIP Labor/Installation</t>
  </si>
  <si>
    <t>1709 WIP Equipment</t>
  </si>
  <si>
    <t>1710 WIP Material</t>
  </si>
  <si>
    <t>1711 WIP Electrical</t>
  </si>
  <si>
    <t>1713 Site Work</t>
  </si>
  <si>
    <t>1715 WIP Building/Blower Mods</t>
  </si>
  <si>
    <t>1726 WIP Pumps/Equipment</t>
  </si>
  <si>
    <t>1732 WIP Vegitation/Removal</t>
  </si>
  <si>
    <t>1739 WIP Transfer to Fixed Assets</t>
  </si>
  <si>
    <t>Total Construction in Progress - Wastewater</t>
  </si>
  <si>
    <t>Acct #</t>
  </si>
  <si>
    <t>"12-31-15Plant Acc Bal_PerAR" Column R1</t>
  </si>
  <si>
    <t>Other BalSheet Acct_PerAR Column A1</t>
  </si>
  <si>
    <t>"12-31-13 CIAC Bal &amp; Proj_PerAR" Column S R41</t>
  </si>
  <si>
    <t>Other BalSheet Acct_PerAR Column A1 R55</t>
  </si>
  <si>
    <t>O&amp;M Col A R1</t>
  </si>
  <si>
    <t>12-31-13 Dep Exp_PerAR   Col A R91</t>
  </si>
  <si>
    <t>"12-31-13 CIAC Amort  Exp_PerAR" Column A R32</t>
  </si>
  <si>
    <t>Property Taxes Tab but no-where to input</t>
  </si>
  <si>
    <t>Annu</t>
  </si>
  <si>
    <t>Plan</t>
  </si>
  <si>
    <t>Diff</t>
  </si>
  <si>
    <t>Total All Accounts</t>
  </si>
  <si>
    <t>Nonregulated Revenues</t>
  </si>
  <si>
    <t>Total from right</t>
  </si>
  <si>
    <t>1270 Land &amp; Land Rights Trtmnt Plt</t>
  </si>
  <si>
    <t>1375 Receiving Wells</t>
  </si>
  <si>
    <t>1410  Plant Sewers</t>
  </si>
  <si>
    <t>1455 Office Struct &amp; Imprv</t>
  </si>
  <si>
    <t>398 Sewer Plant Allocated</t>
  </si>
  <si>
    <t>1495 Sewer Plant Allocated</t>
  </si>
  <si>
    <t>1717 WIP Construction</t>
  </si>
  <si>
    <t>1720 Installation of Plant</t>
  </si>
  <si>
    <t>1783 WIP - GROUTING/SEALING</t>
  </si>
  <si>
    <t>Combined Total</t>
  </si>
  <si>
    <t>UTILITIES, INC. OF Eagle Ridge</t>
  </si>
  <si>
    <t>Eagle Ridge - WORKING CAPITAL</t>
  </si>
  <si>
    <t>Balances only  see O&amp;M per TB tab for monthly amounts</t>
  </si>
  <si>
    <t>"12-31-13 CIAC Bal &amp; Proj_PerAR" Column A R1</t>
  </si>
  <si>
    <t>Mid-County</t>
  </si>
  <si>
    <t>in twice r48 and r143</t>
  </si>
  <si>
    <t>in twice r53 and r147</t>
  </si>
  <si>
    <t>(deleted r48 &amp; 53)</t>
  </si>
  <si>
    <t>Explanation:  Provide the annual balance of the original cost of plant in service, for water and sewer separately, for all years since either rate base was last established by this Commission, or the date of inception of utility service if rate base has not been established previously by this Commission; and  yearly additions, retirements, and adjustments by dollar amount up to the end of the test year.  Provide an additional page if necessary.  If a projected test year is used, include the projected annual additions  and/or retirements specifically identifying those amounts.</t>
  </si>
  <si>
    <t>Adjustment - Rounding</t>
  </si>
  <si>
    <t xml:space="preserve"> Balance  12/31/2008</t>
  </si>
  <si>
    <t xml:space="preserve"> Balance 12/31/2009</t>
  </si>
  <si>
    <t xml:space="preserve"> Balance 12/31/2010</t>
  </si>
  <si>
    <t xml:space="preserve"> Balance  12/31/2011</t>
  </si>
  <si>
    <t xml:space="preserve"> Balance 12/31/2012</t>
  </si>
  <si>
    <t xml:space="preserve"> Balance 12/31/2013</t>
  </si>
  <si>
    <t xml:space="preserve"> Balance  12/31/2014</t>
  </si>
  <si>
    <t xml:space="preserve"> Balance 12/31/2015</t>
  </si>
  <si>
    <t>Explanation:  Provide the annual balance of accumulated depreciation, for water and sewer separately, for all years since either rate base was last established by this Commission, or the date of inception of utility service if rate base has not been established previously by this Commission; and  yearly additions, retirements, and adjustments by dollar amount up to the end of the test year.  Provide an additional page if necessary.  If a projected test year is used, include the projected annual additions and/or retirements specifically identifying those amounts.</t>
  </si>
  <si>
    <t xml:space="preserve">Explanation:  Provide the annual balance of contributions in aid of construction, for water and sewer separately, for all years since either rate base was last established by this Commission, or the date of inception of utility service if rate base has not been established previously by this Commission; and  yearly additions, retirements, and adjustments by dollar amount up to the end of the test year.  Provide an additional page if necessary.  If a projected test year is used, include the projected annual additions  and/or retirements specifically identifying those amounts. </t>
  </si>
  <si>
    <t>Schedule of Water and Wastewater Accumulated Amortization of CIAC</t>
  </si>
  <si>
    <t>Schedule: A-13</t>
  </si>
  <si>
    <t xml:space="preserve">Explanation:  Provide the annual balance of accumulated amortization of CIAC, for water and sewer separately, for all years since either rate base was last established by this Commission, or the date of inception of utility service if rate base has not been established previously by this Commission; and  yearly additions and adjustments by dollar amount up to the end of the test year.  Provide an additional page if necessary.  If a projected test year is used, include the projected additions and/or retirements specifically identifying those amounts.  </t>
  </si>
  <si>
    <t>O&amp;M Tab</t>
  </si>
  <si>
    <t>Monthly</t>
  </si>
  <si>
    <t>Rev Tab</t>
  </si>
  <si>
    <t>380.6 Treat/Disp Equip RCL WTP</t>
  </si>
  <si>
    <t>1405 TREAT/DISP EQUIP RCL WTP</t>
  </si>
  <si>
    <t>2165 ACC DEPR-TREAT/DISP EQP RWTP'</t>
  </si>
  <si>
    <t>2155 Accum Depr Treat/Disp Equ Lagoon</t>
  </si>
  <si>
    <t>381.6 Plant Sewers Reclaim WTP</t>
  </si>
  <si>
    <t>1415 Plant Sewers Reclaim WTP</t>
  </si>
  <si>
    <t>2175 Plant Sewers Reclaim WTP</t>
  </si>
  <si>
    <t>398 Other Tangible Plt Sewer</t>
  </si>
  <si>
    <t>1500 Other Tangible Plt Sewer</t>
  </si>
  <si>
    <t>2255 Acc Depr - Other Tangible Plt Sewer</t>
  </si>
  <si>
    <t>UTILITIES, INC. OF Mid County</t>
  </si>
  <si>
    <t>2985 RATE CASE ACCUM AMORT</t>
  </si>
  <si>
    <t>3130 DEF CHGS-TANK MAINT&amp;REP SWR</t>
  </si>
  <si>
    <t>3140 AMORT - HURRICANE/STORMS</t>
  </si>
  <si>
    <t>3600 CIAC-TREAT/DISP EQUIP LAGOON</t>
  </si>
  <si>
    <t>4150 ACC AMORT TREAT/DISP EQUIP LAG</t>
  </si>
  <si>
    <t>4417 Accum Def Income Tax - Fed</t>
  </si>
  <si>
    <t>4421 Def St Tax CIAC Pre 1987</t>
  </si>
  <si>
    <t>4437 Def St Tax - NOL</t>
  </si>
  <si>
    <t>391.7 Transportation (6905)</t>
  </si>
  <si>
    <t>390.7 Computer (6920)</t>
  </si>
  <si>
    <t>1781 WIP Site Work</t>
  </si>
  <si>
    <t>CWIP</t>
  </si>
  <si>
    <t>Per TB</t>
  </si>
  <si>
    <t>Per A6a</t>
  </si>
  <si>
    <t>DIFF</t>
  </si>
  <si>
    <t>Per A12a</t>
  </si>
  <si>
    <t>TOTAL LIABILITIES &amp; EQUITY</t>
  </si>
  <si>
    <t>TB</t>
  </si>
  <si>
    <t>Total Assets plus UPIS</t>
  </si>
  <si>
    <t>A18a</t>
  </si>
  <si>
    <t>A19a</t>
  </si>
  <si>
    <t>Earnings</t>
  </si>
  <si>
    <t>Total Liab+CIAC</t>
  </si>
  <si>
    <t xml:space="preserve"> TEST-SAFE DRINKING WATER</t>
  </si>
  <si>
    <t>TEST-SAFE DRINKING WATER</t>
  </si>
  <si>
    <t>354.6 Structures &amp; Improvements</t>
  </si>
  <si>
    <t>interest</t>
  </si>
  <si>
    <t>AFUDC</t>
  </si>
  <si>
    <t>Sale of utility property</t>
  </si>
  <si>
    <t>FICA</t>
  </si>
  <si>
    <t>Fed unempl</t>
  </si>
  <si>
    <t>St Unempl</t>
  </si>
  <si>
    <t>Property tax</t>
  </si>
  <si>
    <t>RE Tax</t>
  </si>
  <si>
    <t>Per prop + ICT</t>
  </si>
  <si>
    <t>Gross rece</t>
  </si>
  <si>
    <t>Franchise tax</t>
  </si>
  <si>
    <t>income taxes</t>
  </si>
  <si>
    <t>Misc. non Utility expense</t>
  </si>
  <si>
    <t>12/31/2007</t>
  </si>
  <si>
    <t>Reconciliation of Annual Report to MFR</t>
  </si>
  <si>
    <t>Account Number - MFR</t>
  </si>
  <si>
    <t>Account Number Annual Report</t>
  </si>
  <si>
    <t>Annual Report Page</t>
  </si>
  <si>
    <t>A-6: 351.1</t>
  </si>
  <si>
    <t>Organization</t>
  </si>
  <si>
    <t>S-4(a)</t>
  </si>
  <si>
    <t>A-6: 352.1</t>
  </si>
  <si>
    <t>A-6: 353.2</t>
  </si>
  <si>
    <t>Land and Land Rights</t>
  </si>
  <si>
    <t>A-6: 353.3</t>
  </si>
  <si>
    <t>A-6: 353.4</t>
  </si>
  <si>
    <t>A-6: 353.5</t>
  </si>
  <si>
    <t>A-6: 353.6</t>
  </si>
  <si>
    <t>A-6: 353.7</t>
  </si>
  <si>
    <t>A-6: 354.2</t>
  </si>
  <si>
    <t>Structures and Improvements</t>
  </si>
  <si>
    <t>A-6: 354.3</t>
  </si>
  <si>
    <t>A-6: 354.4</t>
  </si>
  <si>
    <t>A-6: 354.5</t>
  </si>
  <si>
    <t>A-6: 354.6</t>
  </si>
  <si>
    <t>A-6: 354.7</t>
  </si>
  <si>
    <t>A-6: 390.7</t>
  </si>
  <si>
    <t>Office Furniture and Equipment</t>
  </si>
  <si>
    <t>A-6: 340.5</t>
  </si>
  <si>
    <t>Office Furniture &amp; Equipment</t>
  </si>
  <si>
    <t>A-6: 393.7</t>
  </si>
  <si>
    <t>Tools, Shop and Garage Equipment</t>
  </si>
  <si>
    <t>A-6: 343.5</t>
  </si>
  <si>
    <t xml:space="preserve"> Tools, Shop &amp; Garage Equipment</t>
  </si>
  <si>
    <t>A-6: 396.7</t>
  </si>
  <si>
    <t>Communication Equipment</t>
  </si>
  <si>
    <t>A-6: 346.5</t>
  </si>
  <si>
    <t>A-6: 398.7</t>
  </si>
  <si>
    <t>Other Tangible Plant</t>
  </si>
  <si>
    <t xml:space="preserve">A-6: 348.5  </t>
  </si>
  <si>
    <t>Other  Plant - Allocations</t>
  </si>
  <si>
    <t>A-6: 355.2</t>
  </si>
  <si>
    <t>Power Generation Equipment</t>
  </si>
  <si>
    <t>A-6: 355.4</t>
  </si>
  <si>
    <t>A-6: 360.2</t>
  </si>
  <si>
    <t>Collection Sewers - Force</t>
  </si>
  <si>
    <t>A-6: 363.2</t>
  </si>
  <si>
    <t>Services to Customers</t>
  </si>
  <si>
    <t>A-6: 361.2</t>
  </si>
  <si>
    <t>Collection Sewers - Gravity</t>
  </si>
  <si>
    <t>Manholes</t>
  </si>
  <si>
    <t>A-6: 364.2</t>
  </si>
  <si>
    <t>Flow Measuring Devices</t>
  </si>
  <si>
    <t>A-6: 366.6</t>
  </si>
  <si>
    <t>A-6: 367.6</t>
  </si>
  <si>
    <t>Reuse Mtr Installations</t>
  </si>
  <si>
    <t>A-6: 370.3</t>
  </si>
  <si>
    <t>Receiving Wells</t>
  </si>
  <si>
    <t>A-6: 371.3</t>
  </si>
  <si>
    <t>Pumping Equipment</t>
  </si>
  <si>
    <t>A-6: 371.5</t>
  </si>
  <si>
    <t>A-6: 371.6</t>
  </si>
  <si>
    <t>A-6: 375.6</t>
  </si>
  <si>
    <t>Reuse Transmission and Distribution System</t>
  </si>
  <si>
    <t>A-6: 374.6</t>
  </si>
  <si>
    <t>Reuse Distribution Reservoirs</t>
  </si>
  <si>
    <t>A-6: 380.4</t>
  </si>
  <si>
    <t>Treatment and Disposal Equipment</t>
  </si>
  <si>
    <t>A-6: 381.4</t>
  </si>
  <si>
    <t>Plant Sewers</t>
  </si>
  <si>
    <t>A-6: 381.5</t>
  </si>
  <si>
    <t>A-6: 382.4</t>
  </si>
  <si>
    <t>Outfall Sewer Lines</t>
  </si>
  <si>
    <t>A-6: 391.7</t>
  </si>
  <si>
    <t xml:space="preserve">Transportation Equipment </t>
  </si>
  <si>
    <t>A-6: 394.7</t>
  </si>
  <si>
    <t>Laboratory Equipment</t>
  </si>
  <si>
    <t>A-6: 344.5</t>
  </si>
  <si>
    <t>A-6: 395.7</t>
  </si>
  <si>
    <t>Power Operated Equipment</t>
  </si>
  <si>
    <t>A-6: 345.5</t>
  </si>
  <si>
    <t>A-6: 397.7</t>
  </si>
  <si>
    <t>Miscellaneous Equipment</t>
  </si>
  <si>
    <t xml:space="preserve">A-6: 347.5 </t>
  </si>
  <si>
    <t>A-6: 389.1</t>
  </si>
  <si>
    <t>Other Plant Miscellaneous Equipment</t>
  </si>
  <si>
    <t>A-6: 389.2</t>
  </si>
  <si>
    <t>A-6: 389.3</t>
  </si>
  <si>
    <t>A-6: 389.4</t>
  </si>
  <si>
    <t>A-6: 389.5</t>
  </si>
  <si>
    <t>A-6: 389.6</t>
  </si>
  <si>
    <t>Total Wastewater UPIS A-6(a)</t>
  </si>
  <si>
    <t>Total Wastewater UPIS S-4(a)</t>
  </si>
  <si>
    <t>A-10: 380.4</t>
  </si>
  <si>
    <t>Accum Depr Treatment and Disposal Equipment</t>
  </si>
  <si>
    <t>S-6(b)</t>
  </si>
  <si>
    <t>A-10: 355.2</t>
  </si>
  <si>
    <t>Accum Depr Power Generation Equipment</t>
  </si>
  <si>
    <t>A-10: 355.3</t>
  </si>
  <si>
    <t>A-10: 355.4</t>
  </si>
  <si>
    <t>A-10: 355.5</t>
  </si>
  <si>
    <t>A-10: 355.6</t>
  </si>
  <si>
    <t>A-10: 366.6</t>
  </si>
  <si>
    <t>Accum Depr Reuse Services</t>
  </si>
  <si>
    <t>A-10: 367.6</t>
  </si>
  <si>
    <t>Accum Depr Reuse Meters and Meter Installations</t>
  </si>
  <si>
    <t>A-10: 374.6</t>
  </si>
  <si>
    <t>Accum Depr Reuse Distribution Reservoir</t>
  </si>
  <si>
    <t>A-10: 375.6</t>
  </si>
  <si>
    <t>Accum Depr Reuse T &amp; D  System</t>
  </si>
  <si>
    <t>A-10: 351.1</t>
  </si>
  <si>
    <t>Accum Depr Organization</t>
  </si>
  <si>
    <t>A-10: 352.1</t>
  </si>
  <si>
    <t>Accum Depr Franchises</t>
  </si>
  <si>
    <t>A-10: 354.2</t>
  </si>
  <si>
    <t>Accum Depr Structures and Improvements</t>
  </si>
  <si>
    <t>A-10: 354.3</t>
  </si>
  <si>
    <t>A-10: 354.4</t>
  </si>
  <si>
    <t>A-10: 354.5</t>
  </si>
  <si>
    <t>A-10: 354.6</t>
  </si>
  <si>
    <t>A-10: 354.7</t>
  </si>
  <si>
    <t>A-10: 304.5</t>
  </si>
  <si>
    <t>A-10: 363.2</t>
  </si>
  <si>
    <t>Accum Depr Services to Customers</t>
  </si>
  <si>
    <t>A-10: 360.2</t>
  </si>
  <si>
    <t>Accum Depr Collection Sewers - Force</t>
  </si>
  <si>
    <t>A-10: 361.2</t>
  </si>
  <si>
    <t>Accum Depr Collection Sewers - Gravity</t>
  </si>
  <si>
    <t>A-10: 370.3</t>
  </si>
  <si>
    <t>Accumulated Depreciation Receiving Wells</t>
  </si>
  <si>
    <t>A-10: 371.3</t>
  </si>
  <si>
    <t>Accum Depr Pumping Equipment</t>
  </si>
  <si>
    <t>A-10: 371.5</t>
  </si>
  <si>
    <t>A-10: 371.6</t>
  </si>
  <si>
    <t>A-10: 390.7</t>
  </si>
  <si>
    <t>Accum Depr Office Furniture and Equipment</t>
  </si>
  <si>
    <t>A-10: 340.5</t>
  </si>
  <si>
    <t>A/D Office Furniture &amp; Equipment - Allocation</t>
  </si>
  <si>
    <t>A-10: 391.7</t>
  </si>
  <si>
    <t>Accum Depr Transportation Equipment</t>
  </si>
  <si>
    <t>A-10: 341.5</t>
  </si>
  <si>
    <t>A/D Transportation Equipment - Allocation</t>
  </si>
  <si>
    <t>A-10: 393.7</t>
  </si>
  <si>
    <t>Accum Depr Tools, Shop and Garage Equipment</t>
  </si>
  <si>
    <t>A-10: 343.5</t>
  </si>
  <si>
    <t>A/D Tools, Shop &amp; Garage Equipment</t>
  </si>
  <si>
    <t>A-10: 394.7</t>
  </si>
  <si>
    <t>Accum Depr Laboratory Equipment</t>
  </si>
  <si>
    <t>A-10: 344.5</t>
  </si>
  <si>
    <t>A-10: 395.7</t>
  </si>
  <si>
    <t>Accum Depr Power Operated Equipment</t>
  </si>
  <si>
    <t>A-10: 345.5</t>
  </si>
  <si>
    <t>A/D Power Operated Equipment</t>
  </si>
  <si>
    <t>A-10: 396.7</t>
  </si>
  <si>
    <t>Accum Depr Communication Equipment</t>
  </si>
  <si>
    <t>A-10: 346.5</t>
  </si>
  <si>
    <t>A/D Communication Equipment</t>
  </si>
  <si>
    <t>Accum Depr Other Tangible Plant</t>
  </si>
  <si>
    <t>A-10: 364.2</t>
  </si>
  <si>
    <t>A/D Flow Measuring Devices</t>
  </si>
  <si>
    <t>A-10: 397.7</t>
  </si>
  <si>
    <t>Accum Depr Miscellaneous Equipment</t>
  </si>
  <si>
    <t>A-10: 347.5</t>
  </si>
  <si>
    <t>A/D Miscellaneous Equipment</t>
  </si>
  <si>
    <t>A-10: 381.4</t>
  </si>
  <si>
    <t>Accum Depr Plant Sewers</t>
  </si>
  <si>
    <t>A-10: 381.5</t>
  </si>
  <si>
    <t>A-10: 382.4</t>
  </si>
  <si>
    <t>Accum Depr Outfall Sewer Lines</t>
  </si>
  <si>
    <t>A-10: 389.1</t>
  </si>
  <si>
    <t>Accum Depr Other Plant Miscellaneous Equipment</t>
  </si>
  <si>
    <t>A-10: 389.2</t>
  </si>
  <si>
    <t>A-10: 389.3</t>
  </si>
  <si>
    <t>A-10: 389.4</t>
  </si>
  <si>
    <t>A-10: 389.5</t>
  </si>
  <si>
    <t>A-10: 389.6</t>
  </si>
  <si>
    <t>Total Wastewater A/D A-10(a)</t>
  </si>
  <si>
    <t>Total Wastewater UPIS S-6(b)</t>
  </si>
  <si>
    <t>B-6: 701</t>
  </si>
  <si>
    <t>Salaries &amp; Wages - Employees</t>
  </si>
  <si>
    <t>S-10(a)</t>
  </si>
  <si>
    <t>B-6: 703</t>
  </si>
  <si>
    <t>Salaries &amp; Wages - Officers, Etc.</t>
  </si>
  <si>
    <t>B-6: 704</t>
  </si>
  <si>
    <t>Employee Pensions &amp; Benefits</t>
  </si>
  <si>
    <t>B-6: 710</t>
  </si>
  <si>
    <t>Purchased Sewage Treatment</t>
  </si>
  <si>
    <t>B-6: 711</t>
  </si>
  <si>
    <t>B-6: 715</t>
  </si>
  <si>
    <t>Purchased Power</t>
  </si>
  <si>
    <t>B-6: 716</t>
  </si>
  <si>
    <t>Fuel for Power Purchased</t>
  </si>
  <si>
    <t>B-6: 718</t>
  </si>
  <si>
    <t>Chemicals</t>
  </si>
  <si>
    <t>B-6: 720</t>
  </si>
  <si>
    <t>B-6: 731</t>
  </si>
  <si>
    <t>Contractual Services - Engr.</t>
  </si>
  <si>
    <t>B-6: 732</t>
  </si>
  <si>
    <t>B-6: 733</t>
  </si>
  <si>
    <t>B-6: 734</t>
  </si>
  <si>
    <t>Contractual Services - Mgmt. Fees</t>
  </si>
  <si>
    <t>B-6: 735</t>
  </si>
  <si>
    <t>B-6: 736</t>
  </si>
  <si>
    <t>B-6: 741</t>
  </si>
  <si>
    <t>Rental of Building/Real Prop.</t>
  </si>
  <si>
    <t>B-6: 742</t>
  </si>
  <si>
    <t>Rental of Equipment</t>
  </si>
  <si>
    <t>B-6: 750</t>
  </si>
  <si>
    <t>Transportation Expenses</t>
  </si>
  <si>
    <t>B-6: 756</t>
  </si>
  <si>
    <t>Insurance - Vehicle</t>
  </si>
  <si>
    <t>B-6: 757</t>
  </si>
  <si>
    <t>Insurance - General Liability</t>
  </si>
  <si>
    <t>B-6: 758</t>
  </si>
  <si>
    <t>Insurance - Workman's Comp.</t>
  </si>
  <si>
    <t>B-6: 759</t>
  </si>
  <si>
    <t>B-6: 760</t>
  </si>
  <si>
    <t>Advertising Expense</t>
  </si>
  <si>
    <t>B-: 766</t>
  </si>
  <si>
    <t>Reg. Comm. Exp. - Rate Case Amort.</t>
  </si>
  <si>
    <t>B-6: 767</t>
  </si>
  <si>
    <t>Reg. Comm. Exp. - Other</t>
  </si>
  <si>
    <t>B-6: 770</t>
  </si>
  <si>
    <t>B-6: 775</t>
  </si>
  <si>
    <t>Miscellaneous Expenses</t>
  </si>
  <si>
    <t>Total Wastewater Utility Expenses B-6</t>
  </si>
  <si>
    <t>Total Wastewater Utility Expenses S-10(a)</t>
  </si>
  <si>
    <t>F-2(b)</t>
  </si>
  <si>
    <t xml:space="preserve">Total Wastewater CIAC </t>
  </si>
  <si>
    <t>CIAC Accum Amortization</t>
  </si>
  <si>
    <t>Accum Amort of Contributions in Aid of Construction</t>
  </si>
  <si>
    <t xml:space="preserve">Total Wastewater CIAC Accum Amortization </t>
  </si>
  <si>
    <t>A-18; Line 1</t>
  </si>
  <si>
    <t>101-106</t>
  </si>
  <si>
    <t>Utility Plant</t>
  </si>
  <si>
    <t>F-1(a)</t>
  </si>
  <si>
    <t>A-18; Line 2</t>
  </si>
  <si>
    <t>A-18; Line 3</t>
  </si>
  <si>
    <t>A-18; Line 5</t>
  </si>
  <si>
    <t>108-110</t>
  </si>
  <si>
    <t>A-18; Line 6</t>
  </si>
  <si>
    <t>Total Net Utility Plant</t>
  </si>
  <si>
    <t>A-18; Line 7</t>
  </si>
  <si>
    <t>A-18; Line 8</t>
  </si>
  <si>
    <t>Accounts Rec'b - customers</t>
  </si>
  <si>
    <t>A-18;</t>
  </si>
  <si>
    <t>141-144</t>
  </si>
  <si>
    <t>A-18; Line 10</t>
  </si>
  <si>
    <t>Accounts  Receivable  from  Associated Companies</t>
  </si>
  <si>
    <t>A-18; Line 15</t>
  </si>
  <si>
    <t>151-153</t>
  </si>
  <si>
    <t>Material and Supplies</t>
  </si>
  <si>
    <t>A-18; Line 16</t>
  </si>
  <si>
    <t>Special Deposits</t>
  </si>
  <si>
    <t>Prepayments</t>
  </si>
  <si>
    <t>A-18; Line 17</t>
  </si>
  <si>
    <t>Total Current and Accrued Assets</t>
  </si>
  <si>
    <t>A-18; Line 20</t>
  </si>
  <si>
    <t>Preliminary Survey &amp; Investigation Charges</t>
  </si>
  <si>
    <t>F-1(b)</t>
  </si>
  <si>
    <t>A-18; Line 21</t>
  </si>
  <si>
    <t>A-18; Line 22</t>
  </si>
  <si>
    <t>A-18; Line 23</t>
  </si>
  <si>
    <t>Misc. Deferred Debits</t>
  </si>
  <si>
    <t>See  account 281-283 Accumulated Deferred Income Taxes below.</t>
  </si>
  <si>
    <t>A-18; Line 25</t>
  </si>
  <si>
    <t>TOTAL ASSETS AND OTHER DEBITS</t>
  </si>
  <si>
    <t>See  account 190 and 281-283 Accumulated Deferred Income Taxes above.</t>
  </si>
  <si>
    <t>A-19; Line 1</t>
  </si>
  <si>
    <t>F-2(a)</t>
  </si>
  <si>
    <t>A-19; Line 3</t>
  </si>
  <si>
    <t>A-19; Line 4</t>
  </si>
  <si>
    <t>214-215</t>
  </si>
  <si>
    <t>A-19; Line 6</t>
  </si>
  <si>
    <t>A-19; Line 9</t>
  </si>
  <si>
    <t>Advances from Associated Companies</t>
  </si>
  <si>
    <t>A-19; Line 12</t>
  </si>
  <si>
    <t>A-19; Line 14</t>
  </si>
  <si>
    <t>Notes &amp; Accounts Payable -Assoc Cos.</t>
  </si>
  <si>
    <t>A-19; Line 15</t>
  </si>
  <si>
    <t>A-19; Line 16</t>
  </si>
  <si>
    <t>A-19; Line 18</t>
  </si>
  <si>
    <t>Accrued Interst</t>
  </si>
  <si>
    <t>A-19; Line 20</t>
  </si>
  <si>
    <t>A-19; Line 21</t>
  </si>
  <si>
    <t>A-19; Line 27</t>
  </si>
  <si>
    <t>Contribution in Aid of Construction</t>
  </si>
  <si>
    <t>A-19; Line 28</t>
  </si>
  <si>
    <t>Accum. Amortization of CIAC</t>
  </si>
  <si>
    <t>A-19; Line 29</t>
  </si>
  <si>
    <t>281-283</t>
  </si>
  <si>
    <t>See  account 190 Accumulated Deferred Income Taxes above.</t>
  </si>
  <si>
    <t>A-18; Line 30</t>
  </si>
  <si>
    <t>TOTAL EQUITY CAPITAL AND LIABILITIES</t>
  </si>
  <si>
    <t>B-2; Line 1; Col 2</t>
  </si>
  <si>
    <t>Wastewater Operating Revenues</t>
  </si>
  <si>
    <t>F-3(a)</t>
  </si>
  <si>
    <t>B-2; Line 2; Col 2</t>
  </si>
  <si>
    <t>B-2; Line 3; Col 2</t>
  </si>
  <si>
    <t>B-2; Line 5; Col 2</t>
  </si>
  <si>
    <t>Deferred Federal Income Taxes</t>
  </si>
  <si>
    <t>B-2; Line 6; Col 2</t>
  </si>
  <si>
    <t>Deferred State Income Taxes</t>
  </si>
  <si>
    <t>B - 12</t>
  </si>
  <si>
    <t>Gains (losses) From Disposition of Utility Property</t>
  </si>
  <si>
    <t>C4</t>
  </si>
  <si>
    <t>Allowance for Funds Used During Construction</t>
  </si>
  <si>
    <t>C3</t>
  </si>
  <si>
    <t>Interest Expense</t>
  </si>
  <si>
    <t>F-3(c)</t>
  </si>
  <si>
    <t>Please note that some accounts may have a small difference, which is due to rounding.</t>
  </si>
  <si>
    <t>A-6: 380.6</t>
  </si>
  <si>
    <t>A-10: 380.6</t>
  </si>
  <si>
    <t>A-10: 398.7</t>
  </si>
  <si>
    <t>Accounts &amp; Notes Receivable Less Provision for Uncollectable Accounts</t>
  </si>
  <si>
    <t>114-116</t>
  </si>
  <si>
    <t>See Account 355 Power Generation Equipment above</t>
  </si>
  <si>
    <t>see Account 397 Miscellaneous Equipment below</t>
  </si>
  <si>
    <t>Rounding</t>
  </si>
  <si>
    <t>06/01/2007-</t>
  </si>
  <si>
    <t>General Service (Bi-Monthly)</t>
  </si>
  <si>
    <t>Residential (Bi-Monthly)</t>
  </si>
  <si>
    <t>Account No. 190.1026/2026</t>
  </si>
  <si>
    <t>Account No. 190.1031 /2031</t>
  </si>
  <si>
    <t>Account No. 190</t>
  </si>
  <si>
    <t>Account No. 190.2 Accum Def Income Tax - State NOL</t>
  </si>
  <si>
    <t>Accumu Deferred Income Tax State</t>
  </si>
  <si>
    <t>Accumu Deferred Income Tax Fed</t>
  </si>
  <si>
    <t>Balance  12/31/2007 Per books</t>
  </si>
  <si>
    <t>Balance  12/31/2007 per books</t>
  </si>
  <si>
    <t>Adjustment - Allocations</t>
  </si>
  <si>
    <t>Adjustment - Docket No 120076-SU</t>
  </si>
  <si>
    <t>Adjustment - Allocations / Rounding</t>
  </si>
  <si>
    <t>Company: Utilities, Inc. of Florida - Mid County</t>
  </si>
  <si>
    <t>Docket No.: 160101-WS</t>
  </si>
  <si>
    <t>Note: Variable rate long term debt is actual for UIF's parent company, Utilities, Inc.</t>
  </si>
  <si>
    <t>Note: Long term debt is actual for UIF's parent company, Utilities, Inc.</t>
  </si>
  <si>
    <t>Note: Short term debt is actual for UIF's parent company, Utilities, Inc.</t>
  </si>
  <si>
    <t>Long term debt, short term debt, preferred stock, and common equity are actual for UIF's parent company, Utilities, Inc.</t>
  </si>
  <si>
    <t>Note: Long term debt, short term debt, preferred stock, and common equity are actual for UIF's parent company, Utilities, Inc.</t>
  </si>
  <si>
    <t xml:space="preserve">6.58%, $9,000,000 due in annual </t>
  </si>
  <si>
    <t xml:space="preserve"> installments beginning</t>
  </si>
  <si>
    <t xml:space="preserve"> in 2017 through 2035</t>
  </si>
  <si>
    <t>The AFUDC rate since the last rate case is:</t>
  </si>
  <si>
    <t xml:space="preserve">The utility uses the AFUDC practices described and approved in </t>
  </si>
  <si>
    <t>Order No. PSC-04-0262-PAA-WS.</t>
  </si>
  <si>
    <t>Utilities, Inc. of Florida</t>
  </si>
  <si>
    <t>formerly Mid-County Services</t>
  </si>
  <si>
    <t xml:space="preserve">Schedule of Chemicals </t>
  </si>
  <si>
    <t>Test Year Ended December 31, 2015</t>
  </si>
  <si>
    <t>Docket No. 160101</t>
  </si>
  <si>
    <t>Sodium Hypochlorite</t>
  </si>
  <si>
    <t>Sodium Bisulfite</t>
  </si>
  <si>
    <t xml:space="preserve">Methanol </t>
  </si>
  <si>
    <t>Ferric Sulfate</t>
  </si>
  <si>
    <t>Polymer</t>
  </si>
  <si>
    <t>Hill Odor Control</t>
  </si>
  <si>
    <t>Misc</t>
  </si>
  <si>
    <t>Hand Cleaner</t>
  </si>
  <si>
    <t>Hydrated Lime</t>
  </si>
  <si>
    <t>Shipping</t>
  </si>
  <si>
    <t>Sales Tax</t>
  </si>
  <si>
    <t xml:space="preserve">MONTHLY </t>
  </si>
  <si>
    <t>10% by volume</t>
  </si>
  <si>
    <t>Aqueous Solution 40%</t>
  </si>
  <si>
    <t>12% by weight</t>
  </si>
  <si>
    <t>EK 79X</t>
  </si>
  <si>
    <t>#377-100</t>
  </si>
  <si>
    <t>Items</t>
  </si>
  <si>
    <t>Formula 5764</t>
  </si>
  <si>
    <t>50 LB</t>
  </si>
  <si>
    <t>&amp;</t>
  </si>
  <si>
    <t xml:space="preserve">TOTAL AMOUNTS </t>
  </si>
  <si>
    <t xml:space="preserve">Invoice </t>
  </si>
  <si>
    <t>TOTALS</t>
  </si>
  <si>
    <t>Date of Invoice</t>
  </si>
  <si>
    <t>Gal</t>
  </si>
  <si>
    <t xml:space="preserve">Unit Price </t>
  </si>
  <si>
    <t>Pounds</t>
  </si>
  <si>
    <t>Lb</t>
  </si>
  <si>
    <t>100# Bag</t>
  </si>
  <si>
    <t>Unit Price</t>
  </si>
  <si>
    <t>Each</t>
  </si>
  <si>
    <t>50#</t>
  </si>
  <si>
    <t>Surcharges</t>
  </si>
  <si>
    <t>Order</t>
  </si>
  <si>
    <t>Quantity Purchased</t>
  </si>
  <si>
    <t xml:space="preserve">Unit of Measure </t>
  </si>
  <si>
    <t xml:space="preserve">Gallons </t>
  </si>
  <si>
    <t xml:space="preserve">Average Cost/ Unit </t>
  </si>
  <si>
    <t xml:space="preserve">Water/ Sewer/Both </t>
  </si>
  <si>
    <t xml:space="preserve">Dosage Rate </t>
  </si>
  <si>
    <t>Disinfecting agent</t>
  </si>
  <si>
    <t>Dechlorinating Agent</t>
  </si>
  <si>
    <t>Nitrogen Removal</t>
  </si>
  <si>
    <t>Phosphorus Removal</t>
  </si>
  <si>
    <t>Dewatering Aid</t>
  </si>
  <si>
    <t>Odor Control</t>
  </si>
  <si>
    <t>Lubricants</t>
  </si>
  <si>
    <t>Sewer Spill Disinfecting Agent</t>
  </si>
  <si>
    <t>Water, total item used</t>
  </si>
  <si>
    <t xml:space="preserve">Water, chemical feed rate, ppm </t>
  </si>
  <si>
    <t>Volume treated, million gal.</t>
  </si>
  <si>
    <t>Sewer, total item used</t>
  </si>
  <si>
    <t>Sewer, chemical feed rate, ppm</t>
  </si>
  <si>
    <t>Allocation of Expenses</t>
  </si>
  <si>
    <t>Schedule B-12</t>
  </si>
  <si>
    <t>Page 1 of 13</t>
  </si>
  <si>
    <t>Docket No.: 110257-WS</t>
  </si>
  <si>
    <t xml:space="preserve">Explanation:  Provide a schedule detailing expenses which are subject to allocation between systems (water, sewer &amp; gas, etc.) showing allocation </t>
  </si>
  <si>
    <t>percentages, gross amounts, amounts allocated, and a detailed description. Provide a description of all systems other than water and sewer.</t>
  </si>
  <si>
    <t>Allocation Percentage</t>
  </si>
  <si>
    <t>Historical Month Ending January 31, 2015</t>
  </si>
  <si>
    <t xml:space="preserve">  Allocation Percentages</t>
  </si>
  <si>
    <t xml:space="preserve">    Amounts Allocated </t>
  </si>
  <si>
    <t>G/L</t>
  </si>
  <si>
    <t>Acct.</t>
  </si>
  <si>
    <t>Companies/</t>
  </si>
  <si>
    <t>of Allocation</t>
  </si>
  <si>
    <t>Systems</t>
  </si>
  <si>
    <t>Method</t>
  </si>
  <si>
    <t>Water Service Corp. Allocated Expenses:</t>
  </si>
  <si>
    <t>Gains/Losses from Disposition of Utility</t>
  </si>
  <si>
    <t>Miscellaneous Non-Utility Expenses</t>
  </si>
  <si>
    <t>420</t>
  </si>
  <si>
    <t>601/701/603/703</t>
  </si>
  <si>
    <t>Salaries</t>
  </si>
  <si>
    <t>Employee Benefits</t>
  </si>
  <si>
    <t>Materials and Supplies</t>
  </si>
  <si>
    <t>Contractual Services - Accounting</t>
  </si>
  <si>
    <t>641</t>
  </si>
  <si>
    <t>Rent Expense</t>
  </si>
  <si>
    <t>657</t>
  </si>
  <si>
    <t>Other Insurance</t>
  </si>
  <si>
    <t>Water Service Corp. Allocated State Expenses</t>
  </si>
  <si>
    <t>Depreciation Expenses</t>
  </si>
  <si>
    <t>414</t>
  </si>
  <si>
    <t>Contractual Services - Engineering</t>
  </si>
  <si>
    <t>Testing Expense</t>
  </si>
  <si>
    <t>Reg. Commission Exp. - Other</t>
  </si>
  <si>
    <t>Water Service Corp. Allocated UI Expenses</t>
  </si>
  <si>
    <t>Unallocated Rate Base</t>
  </si>
  <si>
    <t>Note: Some of the accounts listed above will not tie directly to the general ledger because certain accounts have expenses directly booked to the company.</t>
  </si>
  <si>
    <t>Page 2 of 13</t>
  </si>
  <si>
    <t>Historical Month Ending February 28, 2015</t>
  </si>
  <si>
    <t>Page 3 of 13</t>
  </si>
  <si>
    <t>Historical Month Ending March 31, 2015</t>
  </si>
  <si>
    <t>Page 4 of 13</t>
  </si>
  <si>
    <t>Historical Month Ending April 30, 2015</t>
  </si>
  <si>
    <t>Page 5 of 13</t>
  </si>
  <si>
    <t>Historical Month Ending May 31, 2015</t>
  </si>
  <si>
    <t>Page 6 of 13</t>
  </si>
  <si>
    <t>Historical Month Ending June 30, 2015</t>
  </si>
  <si>
    <t>Page 7 of 13</t>
  </si>
  <si>
    <t>Historical Month Ending July 31, 2015</t>
  </si>
  <si>
    <t>Page 8 of 13</t>
  </si>
  <si>
    <t>Historical Month Ending August 31, 2015</t>
  </si>
  <si>
    <t>Page 9 of 13</t>
  </si>
  <si>
    <t>Historical Month Ending September 30, 2015</t>
  </si>
  <si>
    <t>Page 10 of 13</t>
  </si>
  <si>
    <t>Historical Month Ending October 31, 2015</t>
  </si>
  <si>
    <t>Page 11 of 13</t>
  </si>
  <si>
    <t>Historical Month Ending November 30, 2015</t>
  </si>
  <si>
    <t>Page 12 of 13</t>
  </si>
  <si>
    <t>Historical Month Ending December 31, 2015</t>
  </si>
  <si>
    <t>Page 13 of 13</t>
  </si>
  <si>
    <t>Historical Year Ending December 31, 2015</t>
  </si>
  <si>
    <t>Total Customers (ERC's) reported last filing*</t>
  </si>
  <si>
    <t>Total Customers /Meter Equvalents per Annual Report S-11</t>
  </si>
  <si>
    <t>Mid-County and Tierra Verde are both provided water service by Pinellas County.  In past cases, the number</t>
  </si>
  <si>
    <t xml:space="preserve">of wastewater customers was provided by the county and that data was used in determining the change in </t>
  </si>
  <si>
    <t>the utility has had to turn to another means of tracking change, not only from the prior test year to the current</t>
  </si>
  <si>
    <t>test year, but also going forward, so that comparisons can be made in a consistent basis. For these two utilities,</t>
  </si>
  <si>
    <t>has concluded that meter equivalents, as reported on Sheet S-11 of the annual reports is a viable indicator of</t>
  </si>
  <si>
    <t>customers from the prior test year to the current test year. The County no longer provides that breakdown, therefore</t>
  </si>
  <si>
    <t xml:space="preserve">change for this schedule. </t>
  </si>
  <si>
    <t>Account No. 190.1/190.2</t>
  </si>
  <si>
    <t>ADIT - NOLs</t>
  </si>
  <si>
    <t>Adjusted Prior Yr</t>
  </si>
  <si>
    <t>Adjusted Test Yr</t>
  </si>
  <si>
    <t>Accumulated Deferred Income Taxes  (see note)</t>
  </si>
  <si>
    <t>12.3.2013</t>
  </si>
  <si>
    <t>6.24.2016</t>
  </si>
  <si>
    <t>Friedman &amp; Friedman, P.A.</t>
  </si>
  <si>
    <t>Bridget Friedman</t>
  </si>
  <si>
    <t>Assist w/MFRs, Data Requests, Audit, Recommendations Review, Hearing</t>
  </si>
  <si>
    <t>John Swain</t>
  </si>
  <si>
    <t>U&amp;UAnalysis, Assist w/ MFRs, Data Requests, Audit Facilitation, Hearing</t>
  </si>
  <si>
    <t>Guastella Associates</t>
  </si>
  <si>
    <t>John Guastella</t>
  </si>
  <si>
    <t>Consolidated Rates</t>
  </si>
  <si>
    <t>Gary White</t>
  </si>
  <si>
    <t>Other staff</t>
  </si>
  <si>
    <t>Travel &amp; Other</t>
  </si>
  <si>
    <t>Consultants Travel</t>
  </si>
  <si>
    <t>Water Service Corp. / UIF</t>
  </si>
  <si>
    <t>Notices - postage, printing, publication</t>
  </si>
  <si>
    <t>341.5/391.7 Major Truck Upgrade - allocated portion</t>
  </si>
  <si>
    <t>340.5/390.7 GIS Mapping Service - allocated portion</t>
  </si>
  <si>
    <t>(1) Correct depreciation of Project Phoenix (10 yr)</t>
  </si>
  <si>
    <t xml:space="preserve">Adjustments to Accumulated Depreciation - Proforma </t>
  </si>
  <si>
    <t xml:space="preserve">   Balance sheet Method (limited to zero), Schedule A-17</t>
  </si>
  <si>
    <t xml:space="preserve">   Per 1/8th method</t>
  </si>
  <si>
    <t>(1) 618/718 Adj. chemical exp. based on TY usage</t>
  </si>
  <si>
    <t xml:space="preserve"> Total Adjustment required to TY O&amp;M Expenses</t>
  </si>
  <si>
    <t xml:space="preserve"> Total Adjustment required to Final O&amp;M Expenses</t>
  </si>
  <si>
    <t>Total Depr Expense - Pro Forma Plant additions</t>
  </si>
  <si>
    <t>Total Adjustments for Pro Forma Retirements</t>
  </si>
  <si>
    <t>Adjustments to Taxes Other Than Income - TY</t>
  </si>
  <si>
    <t>Total Adjustment Taxes Other Than Income, TY</t>
  </si>
  <si>
    <t xml:space="preserve">(a)Adjust Intangible Tax for Additions to Net Plant </t>
  </si>
  <si>
    <t xml:space="preserve">   Total Net Plant Additions </t>
  </si>
  <si>
    <t xml:space="preserve">   Millage rate 15.1521 mils</t>
  </si>
  <si>
    <t>Total change in ad valorem taxes</t>
  </si>
  <si>
    <t>Total RAF Adjustments due to Requested Increase</t>
  </si>
  <si>
    <t>Total Adjustment Taxes Other Than Income - Proforma</t>
  </si>
  <si>
    <t>Proforma Additions</t>
  </si>
  <si>
    <t>ACCOUNT NUMBERS</t>
  </si>
  <si>
    <t>AMOUNT</t>
  </si>
  <si>
    <t>AMOUNT PER TAX</t>
  </si>
  <si>
    <t>Plant</t>
  </si>
  <si>
    <t>A/D</t>
  </si>
  <si>
    <t>DE</t>
  </si>
  <si>
    <t>LIFE</t>
  </si>
  <si>
    <t>DE DIFF</t>
  </si>
  <si>
    <t>TAX</t>
  </si>
  <si>
    <t>ADIT</t>
  </si>
  <si>
    <t>(years)</t>
  </si>
  <si>
    <t>RATE</t>
  </si>
  <si>
    <t>ADJUST</t>
  </si>
  <si>
    <r>
      <t xml:space="preserve">1.      </t>
    </r>
    <r>
      <rPr>
        <u/>
        <sz val="9"/>
        <color theme="1"/>
        <rFont val="Calibri"/>
        <family val="2"/>
        <scheme val="minor"/>
      </rPr>
      <t>C4500 Kodiak Truck Upgrade:</t>
    </r>
    <r>
      <rPr>
        <sz val="9"/>
        <color theme="1"/>
        <rFont val="Calibri"/>
        <family val="2"/>
        <scheme val="minor"/>
      </rPr>
      <t xml:space="preserve"> Modify an existing 10-year old service truck by removing the existing service body, its Venturo Model 12 crane, pipe rack and welding unit; install a properly sized utility body, Venturo Model 25 crane with 20’ extension and 25,000 ft-lb moment rating, outriggers, work lights, safety strobe lights, rooftop beacon, power inverter, and 120V outlet; reinstall welding unit; $40,000.</t>
    </r>
  </si>
  <si>
    <t>ALL</t>
  </si>
  <si>
    <t>All</t>
  </si>
  <si>
    <r>
      <t xml:space="preserve">4.      </t>
    </r>
    <r>
      <rPr>
        <u/>
        <sz val="9"/>
        <color theme="1"/>
        <rFont val="Calibri"/>
        <family val="2"/>
        <scheme val="minor"/>
      </rPr>
      <t>GIS Mapping Services:</t>
    </r>
    <r>
      <rPr>
        <sz val="9"/>
        <color theme="1"/>
        <rFont val="Calibri"/>
        <family val="2"/>
        <scheme val="minor"/>
      </rPr>
      <t xml:space="preserve"> Develop a standard asset database template and a record drawing specification that will be applied to all Florida systems and asset types; convert all water and sewer facility and system maps to a uniform GIS mapping system format; provide quality control of data throughout the conversion to GIS; $350,000.</t>
    </r>
  </si>
  <si>
    <t>390.7</t>
  </si>
  <si>
    <t>108.3907</t>
  </si>
  <si>
    <t>403.3907</t>
  </si>
  <si>
    <t>Replace</t>
  </si>
  <si>
    <t>Major upgrade -WW</t>
  </si>
  <si>
    <t>New - WW</t>
  </si>
  <si>
    <r>
      <t>13.</t>
    </r>
    <r>
      <rPr>
        <sz val="7"/>
        <color theme="1"/>
        <rFont val="Times New Roman"/>
        <family val="1"/>
      </rPr>
      <t xml:space="preserve">  </t>
    </r>
    <r>
      <rPr>
        <u/>
        <sz val="12"/>
        <color theme="1"/>
        <rFont val="Calibri"/>
        <family val="2"/>
      </rPr>
      <t>Mid-County South Plant Blower Replacement:</t>
    </r>
    <r>
      <rPr>
        <sz val="12"/>
        <color theme="1"/>
        <rFont val="Calibri"/>
        <family val="2"/>
      </rPr>
      <t xml:space="preserve"> Design, purchase and install process air blower equipment to replace existing equipment that has reached the end of its service life, is prone to mechanical failure, is unable to provide adequate oxygen transfer to the aerobic organisms that are integral to the wastewater treatment process, and operate at a high decibel level to the detriment of the nearby customers; $400,000.</t>
    </r>
  </si>
  <si>
    <r>
      <t>14.</t>
    </r>
    <r>
      <rPr>
        <sz val="7"/>
        <color theme="1"/>
        <rFont val="Times New Roman"/>
        <family val="1"/>
      </rPr>
      <t xml:space="preserve">  </t>
    </r>
    <r>
      <rPr>
        <u/>
        <sz val="12"/>
        <color theme="1"/>
        <rFont val="Calibri"/>
        <family val="2"/>
      </rPr>
      <t>Mid-County Electrical Improvements and Generator Replacement:</t>
    </r>
    <r>
      <rPr>
        <sz val="12"/>
        <color theme="1"/>
        <rFont val="Calibri"/>
        <family val="2"/>
      </rPr>
      <t xml:space="preserve"> Replace the main power feeder, transformers, transfer switches, distribution panels, motor control centers and main disconnects at the Mid-County WWTP that are not in conformance with current NEC requirements and at the end of their service life; convert incoming power and all loads to 480VAC; remove and replace a 500-Kw emergency generator, fuel cell and transfer switchgear that is not reliable, requires frequent repairs, and is at the end of its service life; $750,000. </t>
    </r>
  </si>
  <si>
    <r>
      <t>16.</t>
    </r>
    <r>
      <rPr>
        <sz val="7"/>
        <color theme="1"/>
        <rFont val="Times New Roman"/>
        <family val="1"/>
      </rPr>
      <t xml:space="preserve">  </t>
    </r>
    <r>
      <rPr>
        <u/>
        <sz val="12"/>
        <color theme="1"/>
        <rFont val="Calibri"/>
        <family val="2"/>
      </rPr>
      <t>Mid-County Flow Study &amp; Remediation:</t>
    </r>
    <r>
      <rPr>
        <sz val="12"/>
        <color theme="1"/>
        <rFont val="Calibri"/>
        <family val="2"/>
      </rPr>
      <t xml:space="preserve"> Conduct a comprehensive, three-month investigation of raw wastewater flow patterns by collecting data across the collection system using 16 flow meters positioned at key locations. Analyze the data to determine the source/s of excess inflow and infiltration entering the system, $60,000. Address the collection system deficiencies found in the flow study, $600,000, for a total of $660,000.</t>
    </r>
  </si>
  <si>
    <t>I&amp;I</t>
  </si>
  <si>
    <r>
      <t>17.</t>
    </r>
    <r>
      <rPr>
        <sz val="7"/>
        <color theme="1"/>
        <rFont val="Times New Roman"/>
        <family val="1"/>
      </rPr>
      <t xml:space="preserve">  </t>
    </r>
    <r>
      <rPr>
        <sz val="12"/>
        <color theme="1"/>
        <rFont val="Calibri"/>
        <family val="2"/>
      </rPr>
      <t xml:space="preserve"> </t>
    </r>
    <r>
      <rPr>
        <u/>
        <sz val="12"/>
        <color theme="1"/>
        <rFont val="Calibri"/>
        <family val="2"/>
      </rPr>
      <t>Mid-County Methanol Pumps and Continuous Nutrient Analyzers</t>
    </r>
    <r>
      <rPr>
        <sz val="12"/>
        <color theme="1"/>
        <rFont val="Calibri"/>
        <family val="2"/>
      </rPr>
      <t>: Replace two explosion-proof flow paced methanol feed pumps that require frequent repairs, are critical in the performance of the treatment process and are at the end of their service life. Install an in-line nutrient analyzer to monitor TN and TP concentration within the treatment process to optimize the use of ferric sulfide, methanol, chlorine, and sodium bisulfite and to reduce the risk of noncompliance with plant effluent permit limits; $75,000.</t>
    </r>
  </si>
  <si>
    <r>
      <t>18.</t>
    </r>
    <r>
      <rPr>
        <sz val="7"/>
        <color theme="1"/>
        <rFont val="Times New Roman"/>
        <family val="1"/>
      </rPr>
      <t xml:space="preserve">  </t>
    </r>
    <r>
      <rPr>
        <u/>
        <sz val="12"/>
        <color theme="1"/>
        <rFont val="Calibri"/>
        <family val="2"/>
      </rPr>
      <t>Mid-County US Highway 19 Utility Relocation:</t>
    </r>
    <r>
      <rPr>
        <sz val="12"/>
        <color theme="1"/>
        <rFont val="Calibri"/>
        <family val="2"/>
      </rPr>
      <t xml:space="preserve"> Design, obtain permits, replace and/or relocate collection system facilities in conflict with an FDOT highway and drainage improvement project within the US Highway 19 corridor; $250,000.</t>
    </r>
  </si>
  <si>
    <t>380.4</t>
  </si>
  <si>
    <t>403.3804</t>
  </si>
  <si>
    <t>108.3804</t>
  </si>
  <si>
    <t>354.7</t>
  </si>
  <si>
    <t>108.3547</t>
  </si>
  <si>
    <t>403.3547</t>
  </si>
  <si>
    <t>361.2</t>
  </si>
  <si>
    <t>108.3612</t>
  </si>
  <si>
    <t>403.3612</t>
  </si>
  <si>
    <t>RETIREMENTS @ 75% of Replacement Cost</t>
  </si>
  <si>
    <t>South Plant Blower</t>
  </si>
  <si>
    <t>Electrical Improvements &amp; Gen. Replacement</t>
  </si>
  <si>
    <t>Field Office</t>
  </si>
  <si>
    <t>Methanol Pumps &amp; Nutrient Analyzers</t>
  </si>
  <si>
    <t>Highway 19 Line Relocations</t>
  </si>
  <si>
    <t>Total Additions</t>
  </si>
  <si>
    <t>Total Retirements</t>
  </si>
  <si>
    <t>Unamortized Generic Dkt Rate Case Expense</t>
  </si>
  <si>
    <t>MFR PLANNING ESTIMATES</t>
  </si>
  <si>
    <t>PROFORMA DETAIL FOR MFR</t>
  </si>
  <si>
    <t>Electrical Improvements</t>
  </si>
  <si>
    <t>Generator Replacement</t>
  </si>
  <si>
    <t>Field Office Replacement</t>
  </si>
  <si>
    <t>Flow Monitoring &amp; Analysis</t>
  </si>
  <si>
    <t>I&amp;I Deficiencies Corrections</t>
  </si>
  <si>
    <t>South Plant Blower Replacement</t>
  </si>
  <si>
    <t>US 19 FM Relocation</t>
  </si>
  <si>
    <t>Replace Methanol Pumps, add NO2 Analyzer</t>
  </si>
  <si>
    <t>Totals</t>
  </si>
  <si>
    <t>RETIREMENTS</t>
  </si>
  <si>
    <t>Adjustments to Accumulated Depreciation- Pro Forma Additions</t>
  </si>
  <si>
    <t>(4) Plant retired related to Pro Forma</t>
  </si>
  <si>
    <t>Adjustments to Accumulated Depreciation- Plant Retired</t>
  </si>
  <si>
    <t>Adjustments to Revenues - TY</t>
  </si>
  <si>
    <t>Adjustments to Revenues - FINAL</t>
  </si>
  <si>
    <t>(1) Increase in revenue required by the Utility to realize a</t>
  </si>
  <si>
    <t>Adjustments to Operations &amp; Maintenance Expenses - TY</t>
  </si>
  <si>
    <t>Adjustments to Operations &amp; Maintenance Expenses - FINAL</t>
  </si>
  <si>
    <t>Adjustments to Depreciation Expense  - TY</t>
  </si>
  <si>
    <t>Adjustments to Depreciation Expense  - FINAL</t>
  </si>
  <si>
    <t>(1) Depreciation expense related to Pro Forma plant additions</t>
  </si>
  <si>
    <t xml:space="preserve">(2) Adjust depreciation expense for Pro Forma retirements </t>
  </si>
  <si>
    <t>Total Adjustment to Depreciation Exp, Net of Amortization - FINAL</t>
  </si>
  <si>
    <t>(2) To adjust test year RAF's for annualized revenues</t>
  </si>
  <si>
    <t>Adjustments to Taxes Other Than Income - FINAL</t>
  </si>
  <si>
    <t>Adjustments to Provision for Income Taxes - TY</t>
  </si>
  <si>
    <t>(1) Remove book income tax expense</t>
  </si>
  <si>
    <t>Total Adjustments for Income Taxes - TY</t>
  </si>
  <si>
    <t>Adjustments to Provision for Income Taxes - FINAL</t>
  </si>
  <si>
    <t>(1) Adj. to Income taxes for increase per C-2</t>
  </si>
  <si>
    <t>Total Adjustment to Provision for income Taxes - FINAL</t>
  </si>
  <si>
    <t>Total Pro Forma Plant Retirements</t>
  </si>
  <si>
    <t>Interim Rates</t>
  </si>
  <si>
    <t>360.2US 19 FM Relocation</t>
  </si>
  <si>
    <t>371.3Replace Methanol Pumps, add NO2 Analyzer</t>
  </si>
  <si>
    <t>380.4South Plant Blower Replacement</t>
  </si>
  <si>
    <t>380.4 Generator Replacement</t>
  </si>
  <si>
    <t>380.4 Electrical Improvements</t>
  </si>
  <si>
    <t>364.2 Flow Monitoring &amp; Analysis</t>
  </si>
  <si>
    <t>354.7 Field Office Replacement</t>
  </si>
  <si>
    <t>360.2 US 19 FM Relocation</t>
  </si>
  <si>
    <t>360.2 US 19 FM - Eng</t>
  </si>
  <si>
    <t>361.2 I&amp;I Deficiencies Corrections</t>
  </si>
  <si>
    <t>371.3 US 19 Gravity Sewer Main Rehab</t>
  </si>
  <si>
    <t>371.3 Replace Methanol Pumps, add NO2 Analyzer</t>
  </si>
  <si>
    <t>380.4 South Plant Blower Replacement</t>
  </si>
  <si>
    <t>(1) Pro Forma Plant Additions</t>
  </si>
  <si>
    <t>(2) Plant retired related to Pro Forma</t>
  </si>
  <si>
    <t xml:space="preserve">(2) Additions related to Pro Forma </t>
  </si>
  <si>
    <t>380.4  Electrical Improvements</t>
  </si>
  <si>
    <t>Gain on Sale / PAA Amort</t>
  </si>
  <si>
    <t>A Parent debt adjustment is not necessary.  Utilities, Inc. (parent company) imputes interest expense to each subsidiary company,  including  UIF - Mid County based on the capital structure of the consolidated group.  This intercompany interest is shown on Schedule C-3, Line 8.</t>
  </si>
  <si>
    <t>Late Payment Charge</t>
  </si>
  <si>
    <t>NSF</t>
  </si>
  <si>
    <t>* Pursuant to Florida Statute 68.065</t>
  </si>
  <si>
    <t>Actual Cost</t>
  </si>
  <si>
    <t>not applicable</t>
  </si>
  <si>
    <t xml:space="preserve"> UIF - Mid County does not have any outstanding contracts or agreements having rates or conditions different from those on the approved tariffs; therefore this schedule is not applicable.</t>
  </si>
  <si>
    <t xml:space="preserve"> UIF - Mid County does not have any state, municipal, city or county franchise taxes or fees paid (or payable); therefore this schedule is not applicable.</t>
  </si>
  <si>
    <t xml:space="preserve"> UIF - Mid County, is not proposing a change to its present service availability charges; therefore this schedule is not applicable.</t>
  </si>
  <si>
    <t xml:space="preserve"> UIF - Mid County does not have any guaranteed revenue contracts; therefore this schedule is not applicable.</t>
  </si>
  <si>
    <t xml:space="preserve"> UIF - Mid County does not have any industrial customers whose utilization exceeds an average of 350,000 GPD;  therefore this schedule is not applicable</t>
  </si>
  <si>
    <t xml:space="preserve"> UIF - Mid County is not utilizing a projected test year; therefore this schedule is not applicable.</t>
  </si>
  <si>
    <t>Deferred Taxes (debit balance)</t>
  </si>
  <si>
    <t>`</t>
  </si>
  <si>
    <t xml:space="preserve">    Working Capital (1/8th O&amp;M Method) - Interim</t>
  </si>
  <si>
    <t>[ ] PAA</t>
  </si>
  <si>
    <t>[x] Commission Hearing</t>
  </si>
  <si>
    <t>(1) Adjust RAF to reflect TY Revenues</t>
  </si>
  <si>
    <t>Adjust test year RAFs for actual revenues</t>
  </si>
  <si>
    <t>Note: To adjust deferred taxes</t>
  </si>
  <si>
    <t>Preparer:  Frank Seidman</t>
  </si>
  <si>
    <t>Preparer:  Patrick Flynn</t>
  </si>
  <si>
    <t>Preparer:  John Hoy</t>
  </si>
  <si>
    <t>Preparer:  Jared Deason</t>
  </si>
  <si>
    <t>Schedule: B-3</t>
  </si>
  <si>
    <t>Plan Review Fees</t>
  </si>
  <si>
    <t>Inspection Fees</t>
  </si>
  <si>
    <t>Administrative Fees</t>
  </si>
  <si>
    <t>UIF - Mid County</t>
  </si>
  <si>
    <t>Vehicle Replacement Program</t>
  </si>
  <si>
    <t>Vehicle Replacements</t>
  </si>
  <si>
    <t>391.7</t>
  </si>
  <si>
    <t>108.3917</t>
  </si>
  <si>
    <t>403.3917</t>
  </si>
  <si>
    <r>
      <t>18a</t>
    </r>
    <r>
      <rPr>
        <sz val="7"/>
        <color theme="1"/>
        <rFont val="Times New Roman"/>
        <family val="1"/>
      </rPr>
      <t xml:space="preserve">  </t>
    </r>
    <r>
      <rPr>
        <u/>
        <sz val="12"/>
        <color theme="1"/>
        <rFont val="Calibri"/>
        <family val="2"/>
      </rPr>
      <t>Mid-County US Highway 19 Utility Relocation</t>
    </r>
  </si>
  <si>
    <t>403.3602</t>
  </si>
  <si>
    <t>108.3602</t>
  </si>
  <si>
    <t>360.2</t>
  </si>
  <si>
    <t xml:space="preserve">Mid-County Electrical Improvements and Generator Replacement: </t>
  </si>
  <si>
    <t>355.4</t>
  </si>
  <si>
    <t>108.3554</t>
  </si>
  <si>
    <t>403.3554</t>
  </si>
  <si>
    <t>Accrued  Revenues</t>
  </si>
  <si>
    <t>Adjustment to remove accrued revenues per B-3, B-4</t>
  </si>
  <si>
    <t>Total Adjusted Books</t>
  </si>
  <si>
    <t>Total Per Books (*Required Revenue)</t>
  </si>
  <si>
    <t>Gallons treated per AR</t>
  </si>
  <si>
    <t>Gallons sold</t>
  </si>
  <si>
    <t>MF</t>
  </si>
  <si>
    <t>General Service</t>
  </si>
  <si>
    <t>Percent (billed/treated)</t>
  </si>
  <si>
    <t>Adjusted Balance</t>
  </si>
  <si>
    <t>Less:</t>
  </si>
  <si>
    <t>Not subject to Index Benchmarking</t>
  </si>
  <si>
    <t>766  Reg. Comm. Exp. - Rate Case Amort.*</t>
  </si>
  <si>
    <r>
      <t>15.</t>
    </r>
    <r>
      <rPr>
        <sz val="10"/>
        <color theme="1"/>
        <rFont val="Times New Roman"/>
        <family val="1"/>
      </rPr>
      <t xml:space="preserve"> (completed 2016)  </t>
    </r>
    <r>
      <rPr>
        <u/>
        <sz val="10"/>
        <color theme="1"/>
        <rFont val="Calibri"/>
        <family val="2"/>
      </rPr>
      <t>Mid-County Field Office:</t>
    </r>
    <r>
      <rPr>
        <sz val="10"/>
        <color theme="1"/>
        <rFont val="Calibri"/>
        <family val="2"/>
      </rPr>
      <t xml:space="preserve"> Remove and replace the existing field office trailer and furnishings that are at the end of their service life after approximately 30 years of use; $65,000. COMPLETED 2016</t>
    </r>
  </si>
  <si>
    <t xml:space="preserve">19. Flow Monitoring 2015134 added 7-14 spreadsheet </t>
  </si>
  <si>
    <t>New</t>
  </si>
  <si>
    <t>364.2</t>
  </si>
  <si>
    <t>108.3642</t>
  </si>
  <si>
    <t>403.3642</t>
  </si>
  <si>
    <t>341.5/391.7 Vehicle Replacement Program - allocated portion</t>
  </si>
  <si>
    <t>US 19 GM Relocation</t>
  </si>
  <si>
    <t>361.2 US 19 gM Relocation</t>
  </si>
  <si>
    <t>361.2 US 19 GM Relocation</t>
  </si>
  <si>
    <t>Associated with Col. (4)</t>
  </si>
  <si>
    <t>Adjusted test year revenues</t>
  </si>
  <si>
    <t>Adjustment to Remove accrued revenues</t>
  </si>
  <si>
    <t>Annualization adjustment</t>
  </si>
  <si>
    <t>Required Revenues</t>
  </si>
  <si>
    <t>2-3</t>
  </si>
  <si>
    <t>5-6</t>
  </si>
  <si>
    <t>9-10</t>
  </si>
  <si>
    <t>12-13</t>
  </si>
  <si>
    <t>15-16</t>
  </si>
  <si>
    <t>20-21</t>
  </si>
  <si>
    <t>22-23</t>
  </si>
  <si>
    <t>25-26</t>
  </si>
  <si>
    <t>33-45</t>
  </si>
  <si>
    <t>53-55</t>
  </si>
  <si>
    <t>83-84</t>
  </si>
  <si>
    <t xml:space="preserve">                                    i</t>
  </si>
  <si>
    <t xml:space="preserve">                                    iii</t>
  </si>
  <si>
    <t xml:space="preserve">                                    ii</t>
  </si>
  <si>
    <t>(G)</t>
  </si>
  <si>
    <t>(B) Adjustments for Used and Useful</t>
  </si>
  <si>
    <t>(D) Accumulated Depreciation</t>
  </si>
  <si>
    <t>(E) Contribution in Aid of Construction</t>
  </si>
  <si>
    <t>(F) Working Capital per Schedule A-17, Book - Interim</t>
  </si>
  <si>
    <t>(G) Working Capital per Schedule A-17, Final</t>
  </si>
  <si>
    <t>(C) Construction Work in Progress</t>
  </si>
  <si>
    <t>Adjustments for Acquisition Adj. Amortization</t>
  </si>
  <si>
    <t>Net increase in unit cost of power over 8 years netted against kilowatts used.</t>
  </si>
  <si>
    <t>Reflects the removal of grit and sediment from the EQ tank in 2015 plus ongoing repairs.</t>
  </si>
  <si>
    <t>Engineering services required to support the renewal of the WWTP operating permit.</t>
  </si>
  <si>
    <t xml:space="preserve">Reflects a 2007TY negative adjustment and </t>
  </si>
  <si>
    <t>De minimus amount.</t>
  </si>
  <si>
    <t>General liability insurance expense wasn't allocated in this line item in the previous TY. See line 22.</t>
  </si>
  <si>
    <t>Engineering</t>
  </si>
  <si>
    <t xml:space="preserve">Excel Engineering Consultants, Inc.      </t>
  </si>
  <si>
    <t>various engineering services</t>
  </si>
  <si>
    <t xml:space="preserve">Sunshine State One Call of FL, Inc. </t>
  </si>
  <si>
    <t>underground utility location notifications</t>
  </si>
  <si>
    <t>CSC Corporation Service Company</t>
  </si>
  <si>
    <t>corporation agent services</t>
  </si>
  <si>
    <t>Kimbley-Horn and Associates, Inc.</t>
  </si>
  <si>
    <t>Pinellas Tree Service</t>
  </si>
  <si>
    <t>Tree service</t>
  </si>
  <si>
    <t xml:space="preserve">Mid-County Surge Tank Cleanout </t>
  </si>
  <si>
    <t>Q2 2015</t>
  </si>
  <si>
    <t>84 months</t>
  </si>
  <si>
    <t xml:space="preserve">Mid-County 2016 Engineering and Permit Renewal </t>
  </si>
  <si>
    <t>Q3 2016</t>
  </si>
  <si>
    <t>60 months</t>
  </si>
  <si>
    <t>In Thousands of Gallons</t>
  </si>
  <si>
    <t>Schedule F-2</t>
  </si>
  <si>
    <t xml:space="preserve">Explanation:  Provide a schedule of gallons of wastewater treated by individual plant for each month of the </t>
  </si>
  <si>
    <t xml:space="preserve">historical test year.  Flow data should match the  monthly operating reports sent to DEP. </t>
  </si>
  <si>
    <t>_</t>
  </si>
  <si>
    <t xml:space="preserve">   Individual Plant Flows</t>
  </si>
  <si>
    <t>Total Purch.</t>
  </si>
  <si>
    <t>Sewage</t>
  </si>
  <si>
    <t>(Name)</t>
  </si>
  <si>
    <t>Flows</t>
  </si>
  <si>
    <t>Treatment</t>
  </si>
  <si>
    <t>=</t>
  </si>
  <si>
    <t>Schedule F-4</t>
  </si>
  <si>
    <t xml:space="preserve">Explanation:  Provide the following information for each wastewater treatment plant.  All flow data must be obtained </t>
  </si>
  <si>
    <t>from the monthly operating reports (MORs) sent to the Department of Environmental Protection.</t>
  </si>
  <si>
    <t>MONTH</t>
  </si>
  <si>
    <t>GPD</t>
  </si>
  <si>
    <t>Permitted Plant Capacity  (AADF)</t>
  </si>
  <si>
    <t>The hydraulic rated capacity.  If different from that shown</t>
  </si>
  <si>
    <t>on the DEP operating or construction permit, provide an explanation.</t>
  </si>
  <si>
    <t>Average Daily Flow Max Month   (a)</t>
  </si>
  <si>
    <t>An average of the daily flows during the peak usage month</t>
  </si>
  <si>
    <t>during the test year.  Explain, on a separate page, if this</t>
  </si>
  <si>
    <t xml:space="preserve">peak-month was influenced by abnormal infiltration due to </t>
  </si>
  <si>
    <t>rainfall periods.</t>
  </si>
  <si>
    <t>Used and Useful Calculations</t>
  </si>
  <si>
    <t xml:space="preserve">Wastewater Treatment Plant </t>
  </si>
  <si>
    <t>Schedule F-6</t>
  </si>
  <si>
    <t>Explanation:  Provide all calculations, analyses and governmental requirements  used to determine</t>
  </si>
  <si>
    <t>the used and useful percentages for the wastewater treatment plant(s) for the historical test year</t>
  </si>
  <si>
    <t>and the projected test year (if applicable).</t>
  </si>
  <si>
    <t>Used and useful flow, GPD (AADF)</t>
  </si>
  <si>
    <t>Less:  Excess I&amp;I  (No indication of excess I/I - see note))</t>
  </si>
  <si>
    <t xml:space="preserve">       Plus:  Property needed for post test year period ( See F-8)</t>
  </si>
  <si>
    <t xml:space="preserve">Permitted capacity </t>
  </si>
  <si>
    <t>Used and useful percentage</t>
  </si>
  <si>
    <t>See Note                                                               Use</t>
  </si>
  <si>
    <t>Non-used and useful percentage</t>
  </si>
  <si>
    <t>Note: Used &amp; Useful Evaluation</t>
  </si>
  <si>
    <t>In Docket No. 030446, the Commission found the WWTP to be 92% used and useful based on actual flows and</t>
  </si>
  <si>
    <t>growth for the TY 2002. In the cases that followed, Docket Nos. 060254 and 080250, the flows were reduced substantially</t>
  </si>
  <si>
    <t>even though there was growth. This was due to the efforts of the utility to replace poorly maintained mains and manholes in the many</t>
  </si>
  <si>
    <t>mobile homres that make up the service area. As the service was approaching build out, the utility requested the plant be</t>
  </si>
  <si>
    <t xml:space="preserve">found to be 100% U&amp;U. The Commission opted for the 92% U&amp;U found in the previous case, in recognition that there </t>
  </si>
  <si>
    <t>was still some redevelopment going on. The Utility contends that the limits of redevelopment appear to have been reached</t>
  </si>
  <si>
    <t>as evident in the stability of the meter equivalent growth in Schedule F-10 and the plant should now be found to</t>
  </si>
  <si>
    <t>be 100% used and useful.</t>
  </si>
  <si>
    <t>A. Infiltration allowance, excluding service laterals</t>
  </si>
  <si>
    <t>Allowance @  500</t>
  </si>
  <si>
    <t>Main dia.</t>
  </si>
  <si>
    <t>Main length</t>
  </si>
  <si>
    <t>gpd/inch-dia./mile</t>
  </si>
  <si>
    <t>inches</t>
  </si>
  <si>
    <t>feet</t>
  </si>
  <si>
    <t>miles</t>
  </si>
  <si>
    <t>gpd</t>
  </si>
  <si>
    <t>gpy</t>
  </si>
  <si>
    <t>Estimated Inflow @ 10% of gallons sold (L.10)</t>
  </si>
  <si>
    <t>Allowable I&amp;I</t>
  </si>
  <si>
    <t>B. Actual Inflow &amp; Infiltration  (I&amp;I)</t>
  </si>
  <si>
    <t>Wastewater treated</t>
  </si>
  <si>
    <t>Estimated</t>
  </si>
  <si>
    <t>Gallons Billed (not capped) to:</t>
  </si>
  <si>
    <t>returned *</t>
  </si>
  <si>
    <t xml:space="preserve">SFR Residential WW cust. </t>
  </si>
  <si>
    <t>All Other</t>
  </si>
  <si>
    <t xml:space="preserve">Estimated flows returned </t>
  </si>
  <si>
    <t>Estimated I&amp;I (treated less returned) [L.7-L.10]</t>
  </si>
  <si>
    <t>Actual I&amp;I less allowable [L.11-L.6]</t>
  </si>
  <si>
    <t>Excess, if any [L.11-L.6, if positive]</t>
  </si>
  <si>
    <t>Excess as percent of wastewater treated</t>
  </si>
  <si>
    <t xml:space="preserve">Water Distribution and Wastewater Collection Systems </t>
  </si>
  <si>
    <t>Schedule F-7</t>
  </si>
  <si>
    <t>Explanation:  Provide all calculations, analyses and governmental requirements used to determine</t>
  </si>
  <si>
    <t>the used and useful percentages for the water distribution and wastewater collection systems for</t>
  </si>
  <si>
    <t>the historical and the projected test year (if applicable).  The capacity should be in terms of</t>
  </si>
  <si>
    <t>ability to serve a designated number of connections. It should then be related to actual connected</t>
  </si>
  <si>
    <t xml:space="preserve">density for historical year calculations.  Explain all assumptions for projected calculations.  If </t>
  </si>
  <si>
    <t>the distribution and collection systems are entirely contributed or built-out, this schedule is</t>
  </si>
  <si>
    <t>not required.</t>
  </si>
  <si>
    <t>This is a wastwater-only system.</t>
  </si>
  <si>
    <t>Wastewater Collection System</t>
  </si>
  <si>
    <t>The service area consists of many subdivisions as well as master metered areas.  In general,</t>
  </si>
  <si>
    <t xml:space="preserve">the collection systems are built by the various developers and contributed to the utility.  Only </t>
  </si>
  <si>
    <t>master feeders and lift stations that serve the system as a whole are built by the utility.  There are still</t>
  </si>
  <si>
    <t xml:space="preserve">some pockets of undeveloped land, although they are now limited, and additional collection mains must </t>
  </si>
  <si>
    <t>be added before new customers can added. The collection system should be considered 100% used &amp; useful.</t>
  </si>
  <si>
    <t>Margin Reserve Calculations</t>
  </si>
  <si>
    <t>Schedule F-8</t>
  </si>
  <si>
    <t>Explanation:  If a margin reserve is requested, provide all calculations and analyses used to</t>
  </si>
  <si>
    <t xml:space="preserve">determine the amount of margin reserve for each portion of used and useful plant.  </t>
  </si>
  <si>
    <t>Wastewater Treatment &amp; Related Facilities</t>
  </si>
  <si>
    <t>PN = EG x PT x U</t>
  </si>
  <si>
    <t>where:</t>
  </si>
  <si>
    <t xml:space="preserve">EG = </t>
  </si>
  <si>
    <t>Equivalent annual growth in ERCs (see F-10)</t>
  </si>
  <si>
    <t>ERC/yr</t>
  </si>
  <si>
    <t>PT =</t>
  </si>
  <si>
    <t>Post test year period per statute</t>
  </si>
  <si>
    <t>yrs</t>
  </si>
  <si>
    <t>U =</t>
  </si>
  <si>
    <t>Unit of measure utilized in U&amp;U calculations</t>
  </si>
  <si>
    <t>gpd/ERC, AADF *</t>
  </si>
  <si>
    <t>PN =</t>
  </si>
  <si>
    <t>Property needed expressed in U units</t>
  </si>
  <si>
    <t>* Based on 2015 AADF divided by TY equivalent ERCs from Schedule F-10</t>
  </si>
  <si>
    <t>Schedule F-10</t>
  </si>
  <si>
    <t>Explanation:  Provide the following information in order to calculate the average growth in ERCs for the last</t>
  </si>
  <si>
    <t>five years, including the test year.  If the utility does not have single-family residential (SFR) customers,</t>
  </si>
  <si>
    <t>the largest customer class should be used as a substitute.</t>
  </si>
  <si>
    <t>Meter Equivalent ERCs</t>
  </si>
  <si>
    <t>SFR</t>
  </si>
  <si>
    <t>Gallons/</t>
  </si>
  <si>
    <t>ERCs</t>
  </si>
  <si>
    <t>% Incr.</t>
  </si>
  <si>
    <t>Sold</t>
  </si>
  <si>
    <t>(5)/(4)</t>
  </si>
  <si>
    <t>(7)/(6)</t>
  </si>
  <si>
    <t>in ERCs</t>
  </si>
  <si>
    <t>Note A</t>
  </si>
  <si>
    <t>Average Growth Through 5-Year Period (Col. 8)</t>
  </si>
  <si>
    <t>TY per MFR Schedule E 2,  See Note B:</t>
  </si>
  <si>
    <t>Actual TY</t>
  </si>
  <si>
    <t>Regression Analysis per Rule 25-30.431(2)(C)</t>
  </si>
  <si>
    <t>X</t>
  </si>
  <si>
    <t>Y</t>
  </si>
  <si>
    <t>Constant:</t>
  </si>
  <si>
    <t>X Coefficient:</t>
  </si>
  <si>
    <t>R^2:</t>
  </si>
  <si>
    <t>Five year growth</t>
  </si>
  <si>
    <t>Ercs</t>
  </si>
  <si>
    <t>Annual average growth</t>
  </si>
  <si>
    <t>NOTE A:</t>
  </si>
  <si>
    <t>Billing information for this system must be obtained from the Pinellas County water utility. The county  has indicated they do not</t>
  </si>
  <si>
    <t>keep historical consumption information, therefore the information needed to complete this schedule is not available.</t>
  </si>
  <si>
    <t xml:space="preserve">Mid-County has utilized the number of meter equivalents for the water meters as they appear in the annual reports at </t>
  </si>
  <si>
    <t xml:space="preserve"> Schedule S-11. This appears to be the best indicator of growth.</t>
  </si>
  <si>
    <t>NOTE B:</t>
  </si>
  <si>
    <t>TY per MFR Schedule E 2:</t>
  </si>
  <si>
    <t>SFRs</t>
  </si>
  <si>
    <t>Although historical information was not available,information for the test year was, and was used in developing MFR Schedule E 2</t>
  </si>
  <si>
    <t>and is used in analyzing I&amp;I in Schedule F 6, page 2.</t>
  </si>
  <si>
    <t>Utilities Inc. of Florida - Consolidated Rate Case</t>
  </si>
  <si>
    <t>Docket No. 160101-WS</t>
  </si>
  <si>
    <t>TY Ending 12/31/2015</t>
  </si>
  <si>
    <t>Proforma Expenses</t>
  </si>
  <si>
    <t>Line#</t>
  </si>
  <si>
    <t>Co#</t>
  </si>
  <si>
    <t>Company</t>
  </si>
  <si>
    <t>Obj#</t>
  </si>
  <si>
    <t>Annualized amount</t>
  </si>
  <si>
    <t>Longwood</t>
  </si>
  <si>
    <t>Termination of interruptible power tariff by Duke Energy</t>
  </si>
  <si>
    <t>Sanlando</t>
  </si>
  <si>
    <t>LUSI</t>
  </si>
  <si>
    <t>Termination of interruptible power tariff by Seco</t>
  </si>
  <si>
    <t>All companies</t>
  </si>
  <si>
    <t>Salaries &amp; Wages</t>
  </si>
  <si>
    <t>Addition of 1.0 FTE - GIS Technician</t>
  </si>
  <si>
    <t>30% of annualized wages</t>
  </si>
  <si>
    <t>Convert P/T Field Tech to F/T, 0.6 FTE to 1.0 FTE</t>
  </si>
  <si>
    <t>Addition of 1.0 FTE - Maintenance Technician</t>
  </si>
  <si>
    <t>Convert Field Tech FTE to Area Manager - Maintenance Crew</t>
  </si>
  <si>
    <t>Addition of Sr. Financial Analyst</t>
  </si>
  <si>
    <t>Tierra Verde</t>
  </si>
  <si>
    <t>Purchased Sewer</t>
  </si>
  <si>
    <t>1.1% increase by City of St. Petersburg</t>
  </si>
  <si>
    <t>Sandalhaven</t>
  </si>
  <si>
    <t>Annualization adjustment, all flow now goes to EWD</t>
  </si>
  <si>
    <t>2.0% increase by City of Altamonte Springs, Weathersfield &amp; Trailwoods</t>
  </si>
  <si>
    <t>2.0% increase by Pasco County, Summertree &amp; Orangewood</t>
  </si>
  <si>
    <t>1.0% increase by City of Sanford, Ravenna Park</t>
  </si>
  <si>
    <t>Purchased Water</t>
  </si>
  <si>
    <t>2.96% increase by Orange Co. Utilities, Davis Shores</t>
  </si>
  <si>
    <t>Fleet Transportation Expense</t>
  </si>
  <si>
    <t>3% increase reflecting increase of truck fleet by three units</t>
  </si>
  <si>
    <t>Proof</t>
  </si>
  <si>
    <t>Cyp</t>
  </si>
  <si>
    <t>LP</t>
  </si>
  <si>
    <t>Penn</t>
  </si>
  <si>
    <t>Mid</t>
  </si>
  <si>
    <t>ER</t>
  </si>
  <si>
    <t>GROUPED BY NARUC ACCOUNT</t>
  </si>
  <si>
    <t>S</t>
  </si>
  <si>
    <t>NOTE:</t>
  </si>
  <si>
    <t>Part of this employee's salary is already in 2015 expenses, but withour benefits. Benefits are 30% of annualzed salary of $26,600.</t>
  </si>
  <si>
    <t>Payroll Taxes @ 7.65%</t>
  </si>
  <si>
    <t>Allocations by customers</t>
  </si>
  <si>
    <t>(1) 701 Adjust Payroll Tax for Proforma Salary Adjustments</t>
  </si>
  <si>
    <t>(2) Ad Valorem Taxes</t>
  </si>
  <si>
    <t>(3) To adjust RAF's for requested revenues</t>
  </si>
  <si>
    <t>Increase associated with Proforma salaries</t>
  </si>
  <si>
    <t>Under benchmark</t>
  </si>
  <si>
    <t>Reflects large increases in health care costs since the last TY.</t>
  </si>
  <si>
    <t>Reflects the allocation of outside audit expense, which was greater in 2015 over previous TY.</t>
  </si>
  <si>
    <t>(2) 601/701 Adjustment to  annualize salaries</t>
  </si>
  <si>
    <t>(3) 603/703 Adjustment to  annualize salaries</t>
  </si>
  <si>
    <t>(4) 604/704 Adjustment to  annualize salaries</t>
  </si>
  <si>
    <t>(5) 701 Proforma Adjustments for salaries</t>
  </si>
  <si>
    <t>(6) 704 Proforma Adjustments for benefits</t>
  </si>
  <si>
    <t>(7) 750 Proforma Adjustment reflecting increase in trucks</t>
  </si>
  <si>
    <t>(8) Amortization of rate case expense per Schedule B-10</t>
  </si>
  <si>
    <t>(3) To adjust payroll tax for annualized salaries</t>
  </si>
  <si>
    <t>This expense included in Acct 701 in last case; combined 701 &amp; 703 is under benchmark</t>
  </si>
  <si>
    <t>Recap Schedules:  B-1, B-2</t>
  </si>
  <si>
    <t>Recap Schedules:  A-1, A-2, A-11</t>
  </si>
  <si>
    <t>Recap Schedules:  A-1, A-2, A-13</t>
  </si>
  <si>
    <t>Recap Schedules:  A-6, A-10, B-14</t>
  </si>
  <si>
    <t>Recap Schedules:  A-5, A-6, A-9, A-10, B-13, B-14</t>
  </si>
  <si>
    <t>Recap Schedules:  F-5, F-6, F-7</t>
  </si>
  <si>
    <t>Meals &amp; Entertainment (50%)</t>
  </si>
  <si>
    <t>Deferred Taxes - proforma</t>
  </si>
  <si>
    <t>Note:  The cost of equity is based on the leverage formula in effect pursuant to Order No. PSC-16-0254-PAA-WS</t>
  </si>
  <si>
    <t>Company:  Utilities, Inc. of Florida - Mid-County (250-261)</t>
  </si>
  <si>
    <t>Docket No.:  160101-WS</t>
  </si>
  <si>
    <t>Test Year Ended:  December 31, 2015</t>
  </si>
  <si>
    <t>Preparer:  Seidman, F.</t>
  </si>
</sst>
</file>

<file path=xl/styles.xml><?xml version="1.0" encoding="utf-8"?>
<styleSheet xmlns="http://schemas.openxmlformats.org/spreadsheetml/2006/main" xmlns:mc="http://schemas.openxmlformats.org/markup-compatibility/2006" xmlns:x14ac="http://schemas.microsoft.com/office/spreadsheetml/2009/9/ac" mc:Ignorable="x14ac">
  <numFmts count="53">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hh:mm:ss\ AM/PM_)"/>
    <numFmt numFmtId="165" formatCode="hh:mm:ss_)"/>
    <numFmt numFmtId="166" formatCode="#,##0.0000_);\(#,##0.0000\)"/>
    <numFmt numFmtId="167" formatCode="0.0000_)"/>
    <numFmt numFmtId="168" formatCode="_(* #,##0_);_(* \(#,##0\);_(* &quot;-&quot;??_);_(@_)"/>
    <numFmt numFmtId="169" formatCode="_(&quot;$&quot;* #,##0_);_(&quot;$&quot;* \(#,##0\);_(&quot;$&quot;* &quot;-&quot;??_);_(@_)"/>
    <numFmt numFmtId="170" formatCode="mm/dd/yy"/>
    <numFmt numFmtId="171" formatCode="_(* #,##0.00_);_(* \(#,##0.00\);_(* &quot;-&quot;_);_(@_)"/>
    <numFmt numFmtId="172" formatCode="_(* #,##0.000_);_(* \(#,##0.000\);_(* &quot;-&quot;_);_(@_)"/>
    <numFmt numFmtId="173" formatCode="_(* #,##0.0000_);_(* \(#,##0.0000\);_(* &quot;-&quot;_);_(@_)"/>
    <numFmt numFmtId="174" formatCode="#,##0.0_);[Red]\(#,##0.0\)"/>
    <numFmt numFmtId="175" formatCode="0.00_);\(0.00\)"/>
    <numFmt numFmtId="176" formatCode="0_);\(0\)"/>
    <numFmt numFmtId="178" formatCode="0.0%"/>
    <numFmt numFmtId="179" formatCode="0000"/>
    <numFmt numFmtId="180" formatCode="&quot;$&quot;#,##0.0000_);\(&quot;$&quot;#,##0.0000\)"/>
    <numFmt numFmtId="181" formatCode="#########"/>
    <numFmt numFmtId="182" formatCode="&quot;$&quot;#,##0.00"/>
    <numFmt numFmtId="183" formatCode="#,##0.000_);[Red]\(#,##0.000\)"/>
    <numFmt numFmtId="184" formatCode="[$-409]mmm\-yy;@"/>
    <numFmt numFmtId="185" formatCode="0.00000%"/>
    <numFmt numFmtId="186" formatCode="&quot;$&quot;#,##0.000_);\(&quot;$&quot;#,##0.000\)"/>
    <numFmt numFmtId="187" formatCode="&quot;$&quot;#,##0"/>
    <numFmt numFmtId="188" formatCode="[$-409]d\-mmm\-yy;@"/>
    <numFmt numFmtId="189" formatCode="[$-409]mmmm\ d\,\ yyyy;@"/>
    <numFmt numFmtId="190" formatCode="0.0"/>
    <numFmt numFmtId="191" formatCode="[$-409]mmmm\-yy;@"/>
    <numFmt numFmtId="192" formatCode="#,##0.0_);\(#,##0.0\)"/>
    <numFmt numFmtId="193" formatCode="0.000%"/>
    <numFmt numFmtId="194" formatCode="0.0000%"/>
    <numFmt numFmtId="195" formatCode="#,##0.0000"/>
    <numFmt numFmtId="196" formatCode="#,##0.000"/>
    <numFmt numFmtId="197" formatCode="#,##0.000000"/>
    <numFmt numFmtId="198" formatCode="##"/>
    <numFmt numFmtId="199" formatCode="mm/yy"/>
    <numFmt numFmtId="200" formatCode="_([$€-2]* #,##0.00_);_([$€-2]* \(#,##0.00\);_([$€-2]* &quot;-&quot;??_)"/>
    <numFmt numFmtId="201" formatCode="mm/dd/yy;@"/>
    <numFmt numFmtId="202" formatCode="#,##0&quot; &quot;;\(#,##0\)"/>
    <numFmt numFmtId="203" formatCode="0.0000"/>
    <numFmt numFmtId="204" formatCode="#,##0.0"/>
    <numFmt numFmtId="205" formatCode="0.000"/>
    <numFmt numFmtId="206" formatCode="mm/dd/yyyy"/>
    <numFmt numFmtId="207" formatCode="#,##0.000_);\(#,##0.000\)"/>
    <numFmt numFmtId="208" formatCode="#,##0.000_);\(#,##0.00\)"/>
    <numFmt numFmtId="209" formatCode="_(&quot;$&quot;* #,##0.0000_);_(&quot;$&quot;* \(#,##0.0000\);_(&quot;$&quot;* &quot;-&quot;??_);_(@_)"/>
  </numFmts>
  <fonts count="135">
    <font>
      <sz val="10"/>
      <name val="Garmond (W1)"/>
    </font>
    <font>
      <sz val="11"/>
      <color theme="1"/>
      <name val="Calibri"/>
      <family val="2"/>
      <scheme val="minor"/>
    </font>
    <font>
      <sz val="10"/>
      <name val="Arial"/>
      <family val="2"/>
    </font>
    <font>
      <sz val="10"/>
      <name val="Arial"/>
      <family val="2"/>
    </font>
    <font>
      <sz val="10"/>
      <color indexed="12"/>
      <name val="Courier"/>
      <family val="3"/>
    </font>
    <font>
      <b/>
      <sz val="18"/>
      <name val="Garmond (W1)"/>
      <family val="1"/>
    </font>
    <font>
      <b/>
      <sz val="32"/>
      <name val="Garmond (W1)"/>
      <family val="1"/>
    </font>
    <font>
      <b/>
      <sz val="32"/>
      <color indexed="12"/>
      <name val="Garmond (W1)"/>
      <family val="1"/>
    </font>
    <font>
      <sz val="24"/>
      <name val="Garmond (W1)"/>
      <family val="1"/>
    </font>
    <font>
      <sz val="8"/>
      <name val="Garmond (W1)"/>
      <family val="1"/>
    </font>
    <font>
      <b/>
      <sz val="10"/>
      <name val="Garmond (W1)"/>
      <family val="1"/>
    </font>
    <font>
      <u/>
      <sz val="10"/>
      <name val="Garmond (W1)"/>
    </font>
    <font>
      <b/>
      <sz val="10"/>
      <name val="Garmond (W1)"/>
    </font>
    <font>
      <sz val="10"/>
      <name val="Arial"/>
      <family val="2"/>
    </font>
    <font>
      <b/>
      <sz val="9"/>
      <name val="Arial"/>
      <family val="2"/>
    </font>
    <font>
      <sz val="10"/>
      <color indexed="12"/>
      <name val="Arial"/>
      <family val="2"/>
    </font>
    <font>
      <b/>
      <sz val="10"/>
      <name val="Arial"/>
      <family val="2"/>
    </font>
    <font>
      <sz val="9"/>
      <name val="Arial"/>
      <family val="2"/>
    </font>
    <font>
      <b/>
      <u val="singleAccounting"/>
      <sz val="10"/>
      <name val="Arial"/>
      <family val="2"/>
    </font>
    <font>
      <b/>
      <sz val="8"/>
      <name val="Arial"/>
      <family val="2"/>
    </font>
    <font>
      <sz val="8"/>
      <name val="Arial"/>
      <family val="2"/>
    </font>
    <font>
      <b/>
      <u/>
      <sz val="10"/>
      <name val="Arial"/>
      <family val="2"/>
    </font>
    <font>
      <sz val="10"/>
      <name val="Garmond (W1)"/>
    </font>
    <font>
      <b/>
      <sz val="12"/>
      <name val="Garmond (W1)"/>
    </font>
    <font>
      <sz val="12"/>
      <name val="Garmond (W1)"/>
    </font>
    <font>
      <b/>
      <sz val="48"/>
      <name val="Garmond (W1)"/>
    </font>
    <font>
      <u/>
      <sz val="8"/>
      <name val="Arial"/>
      <family val="2"/>
    </font>
    <font>
      <sz val="8"/>
      <name val="Garmond (W1)"/>
    </font>
    <font>
      <b/>
      <u/>
      <sz val="8"/>
      <name val="Arial"/>
      <family val="2"/>
    </font>
    <font>
      <b/>
      <sz val="22"/>
      <name val="Garmond (W1)"/>
    </font>
    <font>
      <sz val="22"/>
      <name val="Garmond (W1)"/>
    </font>
    <font>
      <b/>
      <u/>
      <sz val="20"/>
      <name val="Garmond (W1)"/>
    </font>
    <font>
      <sz val="9"/>
      <name val="Garmond (W1)"/>
    </font>
    <font>
      <sz val="10"/>
      <color indexed="8"/>
      <name val="Arial"/>
      <family val="2"/>
    </font>
    <font>
      <b/>
      <sz val="9"/>
      <color indexed="8"/>
      <name val="Arial"/>
      <family val="2"/>
    </font>
    <font>
      <b/>
      <sz val="10"/>
      <color indexed="81"/>
      <name val="Tahoma"/>
      <family val="2"/>
    </font>
    <font>
      <sz val="10"/>
      <color indexed="81"/>
      <name val="Tahoma"/>
      <family val="2"/>
    </font>
    <font>
      <sz val="11"/>
      <name val="Times New Roman"/>
      <family val="1"/>
    </font>
    <font>
      <sz val="10"/>
      <name val="Bookman Old Style"/>
      <family val="1"/>
    </font>
    <font>
      <sz val="10"/>
      <name val="Geneva"/>
    </font>
    <font>
      <sz val="10"/>
      <name val="Courier"/>
      <family val="3"/>
    </font>
    <font>
      <sz val="8"/>
      <name val="Arial"/>
      <family val="2"/>
    </font>
    <font>
      <b/>
      <sz val="9"/>
      <name val="Calibri"/>
      <family val="2"/>
    </font>
    <font>
      <sz val="9"/>
      <name val="Calibri"/>
      <family val="2"/>
    </font>
    <font>
      <b/>
      <sz val="10"/>
      <name val="Calibri"/>
      <family val="2"/>
    </font>
    <font>
      <b/>
      <sz val="8"/>
      <name val="Calibri"/>
      <family val="2"/>
    </font>
    <font>
      <b/>
      <u val="singleAccounting"/>
      <sz val="9"/>
      <name val="Calibri"/>
      <family val="2"/>
    </font>
    <font>
      <sz val="10"/>
      <name val="Calibri"/>
      <family val="2"/>
    </font>
    <font>
      <u/>
      <sz val="9"/>
      <name val="Calibri"/>
      <family val="2"/>
    </font>
    <font>
      <b/>
      <u/>
      <sz val="9"/>
      <name val="Calibri"/>
      <family val="2"/>
    </font>
    <font>
      <sz val="9"/>
      <color indexed="12"/>
      <name val="Calibri"/>
      <family val="2"/>
    </font>
    <font>
      <sz val="8"/>
      <name val="Calibri"/>
      <family val="2"/>
    </font>
    <font>
      <b/>
      <sz val="9"/>
      <color indexed="12"/>
      <name val="Calibri"/>
      <family val="2"/>
    </font>
    <font>
      <u val="doubleAccounting"/>
      <sz val="9"/>
      <name val="Calibri"/>
      <family val="2"/>
    </font>
    <font>
      <u val="singleAccounting"/>
      <sz val="9"/>
      <name val="Calibri"/>
      <family val="2"/>
    </font>
    <font>
      <b/>
      <sz val="9"/>
      <color indexed="8"/>
      <name val="Calibri"/>
      <family val="2"/>
    </font>
    <font>
      <sz val="9"/>
      <color indexed="8"/>
      <name val="Calibri"/>
      <family val="2"/>
    </font>
    <font>
      <sz val="9"/>
      <color indexed="10"/>
      <name val="Calibri"/>
      <family val="2"/>
    </font>
    <font>
      <sz val="10"/>
      <name val="Courier"/>
      <family val="3"/>
    </font>
    <font>
      <b/>
      <i/>
      <sz val="8"/>
      <name val="Arial"/>
      <family val="2"/>
    </font>
    <font>
      <b/>
      <i/>
      <sz val="10"/>
      <name val="Arial"/>
      <family val="2"/>
    </font>
    <font>
      <b/>
      <sz val="12"/>
      <name val="Calibri"/>
      <family val="2"/>
    </font>
    <font>
      <sz val="8"/>
      <color indexed="12"/>
      <name val="Calibri"/>
      <family val="2"/>
    </font>
    <font>
      <b/>
      <sz val="8"/>
      <color indexed="12"/>
      <name val="Calibri"/>
      <family val="2"/>
    </font>
    <font>
      <u val="singleAccounting"/>
      <sz val="8"/>
      <name val="Calibri"/>
      <family val="2"/>
    </font>
    <font>
      <b/>
      <u val="singleAccounting"/>
      <sz val="10"/>
      <name val="Calibri"/>
      <family val="2"/>
    </font>
    <font>
      <b/>
      <u/>
      <sz val="10"/>
      <name val="Calibri"/>
      <family val="2"/>
    </font>
    <font>
      <u val="doubleAccounting"/>
      <sz val="10"/>
      <name val="Calibri"/>
      <family val="2"/>
    </font>
    <font>
      <sz val="10"/>
      <color indexed="12"/>
      <name val="Calibri"/>
      <family val="2"/>
    </font>
    <font>
      <vertAlign val="superscript"/>
      <sz val="9"/>
      <name val="Calibri"/>
      <family val="2"/>
    </font>
    <font>
      <sz val="11"/>
      <color theme="1"/>
      <name val="Calibri"/>
      <family val="2"/>
      <scheme val="minor"/>
    </font>
    <font>
      <b/>
      <sz val="10"/>
      <name val="Bookman Old Style"/>
      <family val="1"/>
    </font>
    <font>
      <sz val="9"/>
      <name val="Calibri"/>
      <family val="2"/>
      <scheme val="minor"/>
    </font>
    <font>
      <b/>
      <sz val="9"/>
      <name val="Calibri"/>
      <family val="2"/>
      <scheme val="minor"/>
    </font>
    <font>
      <sz val="10"/>
      <name val="Calibri"/>
      <family val="2"/>
      <scheme val="minor"/>
    </font>
    <font>
      <sz val="10"/>
      <color theme="1"/>
      <name val="Calibri"/>
      <family val="2"/>
      <scheme val="minor"/>
    </font>
    <font>
      <sz val="12"/>
      <name val="Arial"/>
      <family val="2"/>
    </font>
    <font>
      <b/>
      <sz val="10"/>
      <name val="Calibri"/>
      <family val="2"/>
      <scheme val="minor"/>
    </font>
    <font>
      <u/>
      <sz val="9"/>
      <name val="Calibri"/>
      <family val="2"/>
      <scheme val="minor"/>
    </font>
    <font>
      <b/>
      <sz val="9"/>
      <color indexed="12"/>
      <name val="Calibri"/>
      <family val="2"/>
      <scheme val="minor"/>
    </font>
    <font>
      <u val="doubleAccounting"/>
      <sz val="9"/>
      <name val="Calibri"/>
      <family val="2"/>
      <scheme val="minor"/>
    </font>
    <font>
      <sz val="9"/>
      <color indexed="12"/>
      <name val="Calibri"/>
      <family val="2"/>
      <scheme val="minor"/>
    </font>
    <font>
      <sz val="9"/>
      <color indexed="8"/>
      <name val="Calibri"/>
      <family val="2"/>
      <scheme val="minor"/>
    </font>
    <font>
      <b/>
      <sz val="9"/>
      <color indexed="8"/>
      <name val="Calibri"/>
      <family val="2"/>
      <scheme val="minor"/>
    </font>
    <font>
      <sz val="9"/>
      <color theme="1"/>
      <name val="Calibri"/>
      <family val="2"/>
      <scheme val="minor"/>
    </font>
    <font>
      <u val="singleAccounting"/>
      <sz val="9"/>
      <name val="Calibri"/>
      <family val="2"/>
      <scheme val="minor"/>
    </font>
    <font>
      <sz val="9"/>
      <color theme="1"/>
      <name val="Calibri"/>
      <family val="2"/>
    </font>
    <font>
      <b/>
      <u/>
      <sz val="10"/>
      <name val="Calibri"/>
      <family val="2"/>
      <scheme val="minor"/>
    </font>
    <font>
      <vertAlign val="superscript"/>
      <sz val="9"/>
      <name val="Calibri"/>
      <family val="2"/>
      <scheme val="minor"/>
    </font>
    <font>
      <b/>
      <u val="singleAccounting"/>
      <sz val="9"/>
      <name val="Arial"/>
      <family val="2"/>
    </font>
    <font>
      <b/>
      <u/>
      <sz val="9"/>
      <name val="Arial"/>
      <family val="2"/>
    </font>
    <font>
      <sz val="10"/>
      <name val="Geneva"/>
      <family val="2"/>
    </font>
    <font>
      <sz val="11"/>
      <color indexed="8"/>
      <name val="Calibri"/>
      <family val="2"/>
    </font>
    <font>
      <sz val="11"/>
      <color theme="1"/>
      <name val="Georgia"/>
      <family val="2"/>
    </font>
    <font>
      <sz val="9"/>
      <color theme="1"/>
      <name val="Georgia"/>
      <family val="2"/>
    </font>
    <font>
      <sz val="10"/>
      <color theme="1"/>
      <name val="Arial"/>
      <family val="2"/>
    </font>
    <font>
      <sz val="9"/>
      <color indexed="81"/>
      <name val="Tahoma"/>
      <family val="2"/>
    </font>
    <font>
      <b/>
      <sz val="9"/>
      <color indexed="81"/>
      <name val="Tahoma"/>
      <family val="2"/>
    </font>
    <font>
      <b/>
      <sz val="9"/>
      <color theme="1"/>
      <name val="Calibri"/>
      <family val="2"/>
      <scheme val="minor"/>
    </font>
    <font>
      <sz val="10"/>
      <color rgb="FF00B050"/>
      <name val="Garmond (W1)"/>
    </font>
    <font>
      <sz val="10"/>
      <color rgb="FFC00000"/>
      <name val="Garmond (W1)"/>
    </font>
    <font>
      <b/>
      <sz val="11"/>
      <color rgb="FF000000"/>
      <name val="Calibri"/>
      <family val="2"/>
    </font>
    <font>
      <b/>
      <sz val="11"/>
      <color rgb="FFFF0000"/>
      <name val="Calibri"/>
      <family val="2"/>
    </font>
    <font>
      <sz val="8"/>
      <color rgb="FFFF0000"/>
      <name val="Arial"/>
      <family val="2"/>
    </font>
    <font>
      <sz val="8"/>
      <color rgb="FFC00000"/>
      <name val="Arial"/>
      <family val="2"/>
    </font>
    <font>
      <sz val="10"/>
      <color rgb="FFC00000"/>
      <name val="Calibri"/>
      <family val="2"/>
      <scheme val="minor"/>
    </font>
    <font>
      <sz val="9"/>
      <color rgb="FFC00000"/>
      <name val="Calibri"/>
      <family val="2"/>
    </font>
    <font>
      <sz val="10"/>
      <color rgb="FFFF0000"/>
      <name val="Calibri"/>
      <family val="2"/>
      <scheme val="minor"/>
    </font>
    <font>
      <sz val="10"/>
      <color rgb="FFFF0000"/>
      <name val="Garmond (W1)"/>
    </font>
    <font>
      <b/>
      <sz val="11"/>
      <color theme="1"/>
      <name val="Calibri"/>
      <family val="2"/>
      <scheme val="minor"/>
    </font>
    <font>
      <sz val="9"/>
      <color rgb="FFFF0000"/>
      <name val="Calibri"/>
      <family val="2"/>
    </font>
    <font>
      <sz val="9"/>
      <color rgb="FFFF0000"/>
      <name val="Calibri"/>
      <family val="2"/>
      <scheme val="minor"/>
    </font>
    <font>
      <sz val="9"/>
      <color rgb="FF7030A0"/>
      <name val="Calibri"/>
      <family val="2"/>
      <scheme val="minor"/>
    </font>
    <font>
      <b/>
      <sz val="12"/>
      <name val="Arial"/>
      <family val="2"/>
    </font>
    <font>
      <u/>
      <sz val="9"/>
      <color theme="1"/>
      <name val="Calibri"/>
      <family val="2"/>
      <scheme val="minor"/>
    </font>
    <font>
      <sz val="12"/>
      <color theme="1"/>
      <name val="Calibri"/>
      <family val="2"/>
    </font>
    <font>
      <sz val="7"/>
      <color theme="1"/>
      <name val="Times New Roman"/>
      <family val="1"/>
    </font>
    <font>
      <u/>
      <sz val="12"/>
      <color theme="1"/>
      <name val="Calibri"/>
      <family val="2"/>
    </font>
    <font>
      <sz val="10"/>
      <color theme="1"/>
      <name val="Calibri"/>
      <family val="2"/>
    </font>
    <font>
      <sz val="10"/>
      <color theme="1"/>
      <name val="Times New Roman"/>
      <family val="1"/>
    </font>
    <font>
      <u/>
      <sz val="10"/>
      <color theme="1"/>
      <name val="Calibri"/>
      <family val="2"/>
    </font>
    <font>
      <u val="double"/>
      <sz val="9"/>
      <name val="Calibri"/>
      <family val="2"/>
    </font>
    <font>
      <b/>
      <u val="singleAccounting"/>
      <sz val="9"/>
      <color indexed="8"/>
      <name val="Calibri"/>
      <family val="2"/>
    </font>
    <font>
      <b/>
      <sz val="11"/>
      <name val="Calibri"/>
      <family val="2"/>
    </font>
    <font>
      <sz val="9"/>
      <color indexed="8"/>
      <name val="Arial"/>
      <family val="2"/>
    </font>
    <font>
      <b/>
      <sz val="10"/>
      <name val="Times New Roman"/>
      <family val="1"/>
    </font>
    <font>
      <sz val="12"/>
      <name val="Times New Roman"/>
      <family val="1"/>
    </font>
    <font>
      <b/>
      <u val="singleAccounting"/>
      <sz val="10"/>
      <name val="Times New Roman"/>
      <family val="1"/>
    </font>
    <font>
      <b/>
      <u val="doubleAccounting"/>
      <sz val="10"/>
      <name val="Times New Roman"/>
      <family val="1"/>
    </font>
    <font>
      <b/>
      <sz val="10"/>
      <color indexed="12"/>
      <name val="Times New Roman"/>
      <family val="1"/>
    </font>
    <font>
      <sz val="10"/>
      <name val="Times New Roman"/>
      <family val="1"/>
    </font>
    <font>
      <b/>
      <sz val="10"/>
      <name val="Courier"/>
      <family val="3"/>
    </font>
    <font>
      <b/>
      <sz val="10"/>
      <name val="Geneva"/>
    </font>
    <font>
      <b/>
      <u/>
      <sz val="10"/>
      <name val="Times New Roman"/>
      <family val="1"/>
    </font>
    <font>
      <u/>
      <sz val="11"/>
      <color theme="1"/>
      <name val="Calibri"/>
      <family val="2"/>
      <scheme val="minor"/>
    </font>
  </fonts>
  <fills count="1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rgb="FFFFFF00"/>
        <bgColor indexed="64"/>
      </patternFill>
    </fill>
    <fill>
      <patternFill patternType="solid">
        <fgColor rgb="FFDEEBF6"/>
        <bgColor rgb="FFDEEBF6"/>
      </patternFill>
    </fill>
    <fill>
      <patternFill patternType="solid">
        <fgColor theme="2" tint="-0.249977111117893"/>
        <bgColor indexed="64"/>
      </patternFill>
    </fill>
    <fill>
      <patternFill patternType="solid">
        <fgColor rgb="FF92D050"/>
        <bgColor indexed="64"/>
      </patternFill>
    </fill>
    <fill>
      <patternFill patternType="solid">
        <fgColor theme="8" tint="0.59999389629810485"/>
        <bgColor indexed="64"/>
      </patternFill>
    </fill>
    <fill>
      <patternFill patternType="solid">
        <fgColor theme="4" tint="0.79998168889431442"/>
        <bgColor theme="4" tint="0.79998168889431442"/>
      </patternFill>
    </fill>
    <fill>
      <patternFill patternType="solid">
        <fgColor theme="9" tint="0.79998168889431442"/>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5"/>
        <bgColor indexed="64"/>
      </patternFill>
    </fill>
  </fills>
  <borders count="75">
    <border>
      <left/>
      <right/>
      <top/>
      <bottom/>
      <diagonal/>
    </border>
    <border>
      <left/>
      <right/>
      <top/>
      <bottom style="medium">
        <color indexed="8"/>
      </bottom>
      <diagonal/>
    </border>
    <border>
      <left/>
      <right/>
      <top/>
      <bottom style="double">
        <color indexed="8"/>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top/>
      <bottom style="thin">
        <color indexed="8"/>
      </bottom>
      <diagonal/>
    </border>
    <border>
      <left/>
      <right style="thin">
        <color indexed="64"/>
      </right>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top style="medium">
        <color indexed="8"/>
      </top>
      <bottom/>
      <diagonal/>
    </border>
    <border>
      <left/>
      <right/>
      <top style="thin">
        <color indexed="8"/>
      </top>
      <bottom style="thin">
        <color indexed="8"/>
      </bottom>
      <diagonal/>
    </border>
    <border>
      <left/>
      <right/>
      <top style="thin">
        <color indexed="8"/>
      </top>
      <bottom style="double">
        <color indexed="8"/>
      </bottom>
      <diagonal/>
    </border>
    <border>
      <left/>
      <right/>
      <top style="medium">
        <color indexed="8"/>
      </top>
      <bottom style="thin">
        <color indexed="8"/>
      </bottom>
      <diagonal/>
    </border>
    <border>
      <left/>
      <right/>
      <top/>
      <bottom style="double">
        <color indexed="64"/>
      </bottom>
      <diagonal/>
    </border>
    <border>
      <left/>
      <right/>
      <top/>
      <bottom style="medium">
        <color indexed="64"/>
      </bottom>
      <diagonal/>
    </border>
    <border>
      <left/>
      <right/>
      <top style="thin">
        <color indexed="64"/>
      </top>
      <bottom style="double">
        <color indexed="64"/>
      </bottom>
      <diagonal/>
    </border>
    <border>
      <left/>
      <right/>
      <top style="thin">
        <color indexed="8"/>
      </top>
      <bottom/>
      <diagonal/>
    </border>
    <border>
      <left/>
      <right/>
      <top style="mediumDashed">
        <color indexed="8"/>
      </top>
      <bottom/>
      <diagonal/>
    </border>
    <border>
      <left style="thin">
        <color indexed="8"/>
      </left>
      <right/>
      <top style="thin">
        <color indexed="8"/>
      </top>
      <bottom/>
      <diagonal/>
    </border>
    <border>
      <left style="thin">
        <color indexed="8"/>
      </left>
      <right/>
      <top/>
      <bottom/>
      <diagonal/>
    </border>
    <border>
      <left style="thin">
        <color indexed="8"/>
      </left>
      <right/>
      <top/>
      <bottom style="thin">
        <color indexed="8"/>
      </bottom>
      <diagonal/>
    </border>
    <border>
      <left/>
      <right style="thin">
        <color indexed="8"/>
      </right>
      <top style="thin">
        <color indexed="8"/>
      </top>
      <bottom/>
      <diagonal/>
    </border>
    <border>
      <left/>
      <right style="thin">
        <color indexed="8"/>
      </right>
      <top/>
      <bottom/>
      <diagonal/>
    </border>
    <border>
      <left/>
      <right style="thin">
        <color indexed="8"/>
      </right>
      <top/>
      <bottom style="thin">
        <color indexed="8"/>
      </bottom>
      <diagonal/>
    </border>
    <border>
      <left/>
      <right/>
      <top style="thin">
        <color indexed="8"/>
      </top>
      <bottom style="thin">
        <color indexed="64"/>
      </bottom>
      <diagonal/>
    </border>
    <border>
      <left style="medium">
        <color indexed="64"/>
      </left>
      <right style="medium">
        <color indexed="64"/>
      </right>
      <top style="medium">
        <color indexed="64"/>
      </top>
      <bottom style="medium">
        <color indexed="64"/>
      </bottom>
      <diagonal/>
    </border>
    <border>
      <left/>
      <right/>
      <top style="thin">
        <color auto="1"/>
      </top>
      <bottom style="thin">
        <color auto="1"/>
      </bottom>
      <diagonal/>
    </border>
    <border>
      <left/>
      <right/>
      <top style="thin">
        <color auto="1"/>
      </top>
      <bottom/>
      <diagonal/>
    </border>
    <border>
      <left/>
      <right/>
      <top/>
      <bottom style="thin">
        <color auto="1"/>
      </bottom>
      <diagonal/>
    </border>
    <border>
      <left/>
      <right/>
      <top/>
      <bottom style="double">
        <color auto="1"/>
      </bottom>
      <diagonal/>
    </border>
    <border>
      <left/>
      <right/>
      <top style="thin">
        <color theme="1"/>
      </top>
      <bottom style="thin">
        <color theme="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right/>
      <top/>
      <bottom style="medium">
        <color auto="1"/>
      </bottom>
      <diagonal/>
    </border>
    <border>
      <left style="medium">
        <color indexed="64"/>
      </left>
      <right/>
      <top style="thin">
        <color indexed="64"/>
      </top>
      <bottom style="double">
        <color indexed="64"/>
      </bottom>
      <diagonal/>
    </border>
    <border>
      <left style="medium">
        <color indexed="64"/>
      </left>
      <right/>
      <top style="thin">
        <color indexed="64"/>
      </top>
      <bottom style="thin">
        <color indexed="64"/>
      </bottom>
      <diagonal/>
    </border>
    <border>
      <left style="medium">
        <color indexed="64"/>
      </left>
      <right/>
      <top/>
      <bottom style="thin">
        <color auto="1"/>
      </bottom>
      <diagonal/>
    </border>
    <border>
      <left/>
      <right/>
      <top style="medium">
        <color auto="1"/>
      </top>
      <bottom/>
      <diagonal/>
    </border>
    <border>
      <left/>
      <right/>
      <top/>
      <bottom style="thin">
        <color indexed="8"/>
      </bottom>
      <diagonal/>
    </border>
    <border>
      <left style="thin">
        <color indexed="64"/>
      </left>
      <right style="thin">
        <color indexed="64"/>
      </right>
      <top/>
      <bottom style="thin">
        <color indexed="64"/>
      </bottom>
      <diagonal/>
    </border>
    <border>
      <left/>
      <right/>
      <top/>
      <bottom style="thin">
        <color indexed="64"/>
      </bottom>
      <diagonal/>
    </border>
    <border>
      <left/>
      <right/>
      <top style="medium">
        <color auto="1"/>
      </top>
      <bottom/>
      <diagonal/>
    </border>
    <border>
      <left/>
      <right/>
      <top style="medium">
        <color indexed="8"/>
      </top>
      <bottom/>
      <diagonal/>
    </border>
    <border>
      <left/>
      <right/>
      <top/>
      <bottom style="thin">
        <color theme="1"/>
      </bottom>
      <diagonal/>
    </border>
    <border>
      <left/>
      <right/>
      <top/>
      <bottom style="double">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style="thin">
        <color indexed="64"/>
      </left>
      <right style="thin">
        <color indexed="64"/>
      </right>
      <top/>
      <bottom style="thin">
        <color indexed="8"/>
      </bottom>
      <diagonal/>
    </border>
    <border>
      <left style="thin">
        <color indexed="64"/>
      </left>
      <right style="thin">
        <color indexed="64"/>
      </right>
      <top/>
      <bottom style="double">
        <color indexed="8"/>
      </bottom>
      <diagonal/>
    </border>
    <border>
      <left/>
      <right/>
      <top style="double">
        <color indexed="8"/>
      </top>
      <bottom/>
      <diagonal/>
    </border>
    <border>
      <left/>
      <right/>
      <top style="thin">
        <color theme="1"/>
      </top>
      <bottom/>
      <diagonal/>
    </border>
    <border>
      <left/>
      <right/>
      <top/>
      <bottom style="medium">
        <color theme="1"/>
      </bottom>
      <diagonal/>
    </border>
    <border>
      <left/>
      <right/>
      <top/>
      <bottom style="double">
        <color theme="1"/>
      </bottom>
      <diagonal/>
    </border>
    <border>
      <left/>
      <right/>
      <top style="medium">
        <color theme="1"/>
      </top>
      <bottom/>
      <diagonal/>
    </border>
    <border>
      <left/>
      <right/>
      <top style="thin">
        <color theme="4" tint="0.39997558519241921"/>
      </top>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s>
  <cellStyleXfs count="188">
    <xf numFmtId="0" fontId="0" fillId="0" borderId="0"/>
    <xf numFmtId="181" fontId="38" fillId="0" borderId="0"/>
    <xf numFmtId="41" fontId="10" fillId="0" borderId="0" applyFont="0" applyAlignment="0">
      <alignment horizontal="centerContinuous"/>
    </xf>
    <xf numFmtId="43" fontId="1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2" fontId="10" fillId="0" borderId="0" applyFont="0" applyAlignment="0">
      <alignment horizontal="centerContinuous"/>
    </xf>
    <xf numFmtId="44" fontId="13" fillId="0" borderId="0" applyFont="0" applyFill="0" applyBorder="0" applyAlignment="0" applyProtection="0"/>
    <xf numFmtId="8" fontId="3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4" fontId="39" fillId="0" borderId="0"/>
    <xf numFmtId="0" fontId="13" fillId="0" borderId="0"/>
    <xf numFmtId="0" fontId="70" fillId="0" borderId="0"/>
    <xf numFmtId="0" fontId="2" fillId="0" borderId="0"/>
    <xf numFmtId="0" fontId="39" fillId="0" borderId="0"/>
    <xf numFmtId="0" fontId="22" fillId="0" borderId="0"/>
    <xf numFmtId="0" fontId="2" fillId="0" borderId="0"/>
    <xf numFmtId="0" fontId="2" fillId="0" borderId="0"/>
    <xf numFmtId="0" fontId="2" fillId="0" borderId="0"/>
    <xf numFmtId="0" fontId="2" fillId="0" borderId="0"/>
    <xf numFmtId="0" fontId="39" fillId="0" borderId="0"/>
    <xf numFmtId="0" fontId="2" fillId="0" borderId="0"/>
    <xf numFmtId="0" fontId="2" fillId="0" borderId="0"/>
    <xf numFmtId="0" fontId="40" fillId="0" borderId="0"/>
    <xf numFmtId="0" fontId="58" fillId="0" borderId="0"/>
    <xf numFmtId="9" fontId="3" fillId="0" borderId="0" applyFont="0" applyFill="0" applyBorder="0" applyAlignment="0" applyProtection="0"/>
    <xf numFmtId="9" fontId="13" fillId="0" borderId="0" applyFont="0" applyFill="0" applyBorder="0" applyAlignment="0" applyProtection="0"/>
    <xf numFmtId="0" fontId="2" fillId="0" borderId="0"/>
    <xf numFmtId="44" fontId="2" fillId="0" borderId="0" applyFont="0" applyFill="0" applyBorder="0" applyAlignment="0" applyProtection="0"/>
    <xf numFmtId="37" fontId="38" fillId="0" borderId="0"/>
    <xf numFmtId="43" fontId="70" fillId="0" borderId="0" applyFont="0" applyFill="0" applyBorder="0" applyAlignment="0" applyProtection="0"/>
    <xf numFmtId="0" fontId="76" fillId="0" borderId="0"/>
    <xf numFmtId="0" fontId="22" fillId="0" borderId="0"/>
    <xf numFmtId="42" fontId="10" fillId="0" borderId="0" applyFont="0" applyAlignment="0">
      <alignment horizontal="centerContinuous"/>
    </xf>
    <xf numFmtId="9" fontId="2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2" fillId="0" borderId="0"/>
    <xf numFmtId="0" fontId="2" fillId="0" borderId="0"/>
    <xf numFmtId="41" fontId="10" fillId="0" borderId="0" applyFont="0" applyAlignment="0">
      <alignment horizontal="centerContinuous"/>
    </xf>
    <xf numFmtId="43" fontId="2" fillId="0" borderId="0" applyFont="0" applyFill="0" applyBorder="0" applyAlignment="0" applyProtection="0"/>
    <xf numFmtId="0" fontId="39" fillId="0" borderId="0"/>
    <xf numFmtId="0" fontId="2" fillId="0" borderId="0"/>
    <xf numFmtId="0" fontId="2" fillId="0" borderId="0"/>
    <xf numFmtId="0" fontId="22" fillId="0" borderId="0"/>
    <xf numFmtId="41" fontId="10" fillId="0" borderId="0" applyFont="0" applyAlignment="0">
      <alignment horizontal="centerContinuous"/>
    </xf>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181" fontId="38" fillId="0" borderId="0"/>
    <xf numFmtId="198" fontId="91" fillId="0" borderId="0" applyFont="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92" fillId="0" borderId="0" applyFont="0" applyFill="0" applyBorder="0" applyAlignment="0" applyProtection="0"/>
    <xf numFmtId="43" fontId="70"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70" fillId="0" borderId="0" applyFont="0" applyFill="0" applyBorder="0" applyAlignment="0" applyProtection="0"/>
    <xf numFmtId="43" fontId="93" fillId="0" borderId="0" applyFont="0" applyFill="0" applyBorder="0" applyAlignment="0" applyProtection="0"/>
    <xf numFmtId="43" fontId="94" fillId="0" borderId="0" applyFont="0" applyFill="0" applyBorder="0" applyAlignment="0" applyProtection="0"/>
    <xf numFmtId="43" fontId="4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0" fillId="0" borderId="0" applyFont="0" applyAlignment="0">
      <alignment horizontal="centerContinuous"/>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7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0" fillId="0" borderId="0" applyFont="0" applyAlignment="0">
      <alignment horizontal="centerContinuous"/>
    </xf>
    <xf numFmtId="40" fontId="39"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8" fontId="3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2" fontId="10" fillId="0" borderId="0" applyFont="0" applyAlignment="0">
      <alignment horizontal="centerContinuous"/>
    </xf>
    <xf numFmtId="44" fontId="33" fillId="0" borderId="0" applyFont="0" applyFill="0" applyBorder="0" applyAlignment="0" applyProtection="0"/>
    <xf numFmtId="44" fontId="3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8" fontId="39" fillId="0" borderId="0" applyFont="0" applyFill="0" applyBorder="0" applyAlignment="0" applyProtection="0"/>
    <xf numFmtId="42" fontId="10" fillId="0" borderId="0" applyFont="0" applyAlignment="0">
      <alignment horizontal="centerContinuous"/>
    </xf>
    <xf numFmtId="44" fontId="2" fillId="0" borderId="0" applyFont="0" applyFill="0" applyBorder="0" applyAlignment="0" applyProtection="0"/>
    <xf numFmtId="44" fontId="95" fillId="0" borderId="0" applyFont="0" applyFill="0" applyBorder="0" applyAlignment="0" applyProtection="0"/>
    <xf numFmtId="8" fontId="39" fillId="0" borderId="0" applyFont="0" applyFill="0" applyBorder="0" applyAlignment="0" applyProtection="0"/>
    <xf numFmtId="199" fontId="38" fillId="0" borderId="0" applyFont="0" applyAlignment="0"/>
    <xf numFmtId="200" fontId="4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95" fillId="0" borderId="0"/>
    <xf numFmtId="0" fontId="70" fillId="0" borderId="0"/>
    <xf numFmtId="0" fontId="70" fillId="0" borderId="0"/>
    <xf numFmtId="0" fontId="70" fillId="0" borderId="0"/>
    <xf numFmtId="0" fontId="95" fillId="0" borderId="0"/>
    <xf numFmtId="0" fontId="39" fillId="0" borderId="0"/>
    <xf numFmtId="0" fontId="39" fillId="0" borderId="0"/>
    <xf numFmtId="0" fontId="95" fillId="0" borderId="0"/>
    <xf numFmtId="0" fontId="22" fillId="0" borderId="0" applyProtection="0"/>
    <xf numFmtId="0" fontId="93" fillId="0" borderId="0"/>
    <xf numFmtId="0" fontId="94" fillId="0" borderId="0"/>
    <xf numFmtId="0" fontId="40" fillId="0" borderId="0"/>
    <xf numFmtId="0" fontId="95" fillId="0" borderId="0"/>
    <xf numFmtId="0" fontId="2" fillId="0" borderId="0"/>
    <xf numFmtId="0" fontId="95" fillId="0" borderId="0"/>
    <xf numFmtId="0" fontId="2" fillId="0" borderId="0"/>
    <xf numFmtId="0" fontId="2" fillId="0" borderId="0"/>
    <xf numFmtId="0" fontId="70" fillId="0" borderId="0"/>
    <xf numFmtId="0" fontId="2" fillId="0" borderId="0"/>
    <xf numFmtId="0" fontId="2" fillId="0" borderId="0"/>
    <xf numFmtId="0" fontId="2" fillId="0" borderId="0"/>
    <xf numFmtId="0" fontId="2" fillId="0" borderId="0"/>
    <xf numFmtId="0" fontId="2" fillId="0" borderId="0"/>
    <xf numFmtId="0" fontId="70" fillId="0" borderId="0"/>
    <xf numFmtId="0" fontId="22" fillId="0" borderId="0"/>
    <xf numFmtId="0" fontId="2" fillId="0" borderId="0"/>
    <xf numFmtId="0" fontId="2" fillId="0" borderId="0"/>
    <xf numFmtId="0" fontId="95" fillId="0" borderId="0"/>
    <xf numFmtId="0" fontId="9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5" fillId="0" borderId="0"/>
    <xf numFmtId="0" fontId="95"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9" fillId="0" borderId="0" applyFont="0" applyFill="0" applyBorder="0" applyAlignment="0" applyProtection="0"/>
    <xf numFmtId="9" fontId="2" fillId="0" borderId="0" applyFont="0" applyFill="0" applyBorder="0" applyAlignment="0" applyProtection="0"/>
    <xf numFmtId="9" fontId="22" fillId="0" borderId="0" applyFont="0" applyFill="0" applyBorder="0" applyAlignment="0" applyProtection="0"/>
    <xf numFmtId="9" fontId="40" fillId="0" borderId="0" applyFont="0" applyFill="0" applyBorder="0" applyAlignment="0" applyProtection="0"/>
    <xf numFmtId="0" fontId="2" fillId="0" borderId="0"/>
    <xf numFmtId="0" fontId="22" fillId="0" borderId="0"/>
    <xf numFmtId="0" fontId="2" fillId="0" borderId="0"/>
    <xf numFmtId="0" fontId="2" fillId="0" borderId="0"/>
    <xf numFmtId="0" fontId="39" fillId="0" borderId="0"/>
    <xf numFmtId="40" fontId="39" fillId="0" borderId="0" applyFont="0" applyFill="0" applyBorder="0" applyAlignment="0" applyProtection="0"/>
    <xf numFmtId="0" fontId="2" fillId="0" borderId="0"/>
    <xf numFmtId="0" fontId="1" fillId="0" borderId="0"/>
    <xf numFmtId="44" fontId="2" fillId="0" borderId="0" applyFont="0" applyFill="0" applyBorder="0" applyAlignment="0" applyProtection="0"/>
  </cellStyleXfs>
  <cellXfs count="2365">
    <xf numFmtId="0" fontId="0" fillId="0" borderId="0" xfId="0"/>
    <xf numFmtId="0" fontId="5" fillId="0" borderId="0" xfId="0" applyFont="1" applyAlignment="1">
      <alignment horizontal="centerContinuous"/>
    </xf>
    <xf numFmtId="164" fontId="5" fillId="0" borderId="0" xfId="0" applyNumberFormat="1" applyFont="1" applyAlignment="1" applyProtection="1">
      <alignment horizontal="centerContinuous"/>
    </xf>
    <xf numFmtId="0" fontId="0" fillId="0" borderId="0" xfId="0" applyAlignment="1">
      <alignment horizontal="centerContinuous"/>
    </xf>
    <xf numFmtId="0" fontId="4" fillId="0" borderId="0" xfId="0" applyFont="1" applyAlignment="1" applyProtection="1">
      <alignment horizontal="centerContinuous"/>
      <protection locked="0"/>
    </xf>
    <xf numFmtId="165" fontId="0" fillId="0" borderId="0" xfId="0" applyNumberFormat="1" applyAlignment="1" applyProtection="1">
      <alignment horizontal="centerContinuous"/>
    </xf>
    <xf numFmtId="0" fontId="6" fillId="0" borderId="0" xfId="0" applyFont="1" applyAlignment="1">
      <alignment horizontal="centerContinuous"/>
    </xf>
    <xf numFmtId="0" fontId="7" fillId="0" borderId="0" xfId="0" applyFont="1" applyAlignment="1" applyProtection="1">
      <alignment horizontal="centerContinuous"/>
      <protection locked="0"/>
    </xf>
    <xf numFmtId="0" fontId="8" fillId="0" borderId="0" xfId="0" applyFont="1" applyAlignment="1">
      <alignment horizontal="centerContinuous"/>
    </xf>
    <xf numFmtId="0" fontId="9" fillId="0" borderId="0" xfId="0" applyFont="1" applyAlignment="1">
      <alignment horizontal="centerContinuous"/>
    </xf>
    <xf numFmtId="0" fontId="9" fillId="0" borderId="0" xfId="0" applyFont="1" applyAlignment="1">
      <alignment horizontal="left"/>
    </xf>
    <xf numFmtId="0" fontId="13" fillId="0" borderId="0" xfId="0" applyFont="1"/>
    <xf numFmtId="0" fontId="13" fillId="0" borderId="0" xfId="0" applyFont="1" applyAlignment="1">
      <alignment horizontal="centerContinuous"/>
    </xf>
    <xf numFmtId="37" fontId="13" fillId="0" borderId="0" xfId="0" applyNumberFormat="1" applyFont="1" applyProtection="1"/>
    <xf numFmtId="0" fontId="15" fillId="0" borderId="0" xfId="0" applyFont="1" applyProtection="1">
      <protection locked="0"/>
    </xf>
    <xf numFmtId="0" fontId="16" fillId="0" borderId="0" xfId="0" applyFont="1"/>
    <xf numFmtId="0" fontId="17" fillId="0" borderId="0" xfId="0" applyFont="1"/>
    <xf numFmtId="0" fontId="13" fillId="0" borderId="0" xfId="0" applyFont="1" applyAlignment="1">
      <alignment horizontal="center"/>
    </xf>
    <xf numFmtId="0" fontId="13" fillId="0" borderId="0" xfId="0" applyFont="1" applyBorder="1"/>
    <xf numFmtId="5" fontId="13" fillId="0" borderId="0" xfId="0" applyNumberFormat="1" applyFont="1" applyProtection="1"/>
    <xf numFmtId="0" fontId="19" fillId="0" borderId="0" xfId="0" applyFont="1"/>
    <xf numFmtId="0" fontId="20" fillId="0" borderId="0" xfId="0" applyFont="1"/>
    <xf numFmtId="165" fontId="13" fillId="0" borderId="0" xfId="0" applyNumberFormat="1" applyFont="1" applyProtection="1"/>
    <xf numFmtId="0" fontId="23" fillId="0" borderId="0" xfId="0" applyFont="1" applyAlignment="1">
      <alignment horizontal="centerContinuous"/>
    </xf>
    <xf numFmtId="0" fontId="24" fillId="0" borderId="0" xfId="0" applyFont="1" applyAlignment="1">
      <alignment horizontal="centerContinuous"/>
    </xf>
    <xf numFmtId="0" fontId="24" fillId="0" borderId="0" xfId="0" applyFont="1"/>
    <xf numFmtId="0" fontId="25" fillId="0" borderId="0" xfId="0" applyFont="1" applyAlignment="1">
      <alignment horizontal="centerContinuous"/>
    </xf>
    <xf numFmtId="0" fontId="20" fillId="0" borderId="0" xfId="0" applyFont="1" applyAlignment="1">
      <alignment horizontal="centerContinuous" vertical="top"/>
    </xf>
    <xf numFmtId="0" fontId="20" fillId="0" borderId="0" xfId="0" applyFont="1" applyAlignment="1">
      <alignment horizontal="centerContinuous"/>
    </xf>
    <xf numFmtId="0" fontId="29" fillId="0" borderId="0" xfId="0" applyFont="1" applyAlignment="1">
      <alignment horizontal="centerContinuous"/>
    </xf>
    <xf numFmtId="0" fontId="30" fillId="0" borderId="0" xfId="0" applyFont="1" applyAlignment="1">
      <alignment horizontal="centerContinuous"/>
    </xf>
    <xf numFmtId="0" fontId="30" fillId="0" borderId="0" xfId="0" applyFont="1"/>
    <xf numFmtId="0" fontId="13" fillId="0" borderId="0" xfId="0" applyFont="1" applyFill="1"/>
    <xf numFmtId="0" fontId="16" fillId="0" borderId="0" xfId="0" applyFont="1" applyFill="1"/>
    <xf numFmtId="0" fontId="20" fillId="0" borderId="0" xfId="0" applyFont="1" applyFill="1"/>
    <xf numFmtId="41" fontId="13" fillId="0" borderId="0" xfId="2" applyFont="1" applyFill="1" applyAlignment="1"/>
    <xf numFmtId="0" fontId="37" fillId="0" borderId="0" xfId="15" applyFont="1"/>
    <xf numFmtId="0" fontId="37" fillId="0" borderId="0" xfId="15" applyFont="1" applyBorder="1"/>
    <xf numFmtId="0" fontId="37" fillId="0" borderId="0" xfId="15" applyFont="1" applyAlignment="1">
      <alignment horizontal="center"/>
    </xf>
    <xf numFmtId="0" fontId="37" fillId="0" borderId="0" xfId="15" applyFont="1" applyFill="1"/>
    <xf numFmtId="176" fontId="37" fillId="0" borderId="0" xfId="15" applyNumberFormat="1" applyFont="1" applyAlignment="1">
      <alignment horizontal="center"/>
    </xf>
    <xf numFmtId="0" fontId="15" fillId="0" borderId="0" xfId="0" applyFont="1" applyFill="1" applyProtection="1">
      <protection locked="0"/>
    </xf>
    <xf numFmtId="0" fontId="20" fillId="0" borderId="0" xfId="0" applyFont="1" applyAlignment="1">
      <alignment vertical="top"/>
    </xf>
    <xf numFmtId="164" fontId="13" fillId="0" borderId="0" xfId="0" applyNumberFormat="1" applyFont="1" applyProtection="1"/>
    <xf numFmtId="0" fontId="15" fillId="0" borderId="0" xfId="0" applyFont="1" applyAlignment="1" applyProtection="1">
      <alignment horizontal="centerContinuous"/>
      <protection locked="0"/>
    </xf>
    <xf numFmtId="41" fontId="20" fillId="0" borderId="0" xfId="0" applyNumberFormat="1" applyFont="1"/>
    <xf numFmtId="0" fontId="17" fillId="0" borderId="0" xfId="0" applyFont="1" applyFill="1"/>
    <xf numFmtId="0" fontId="38" fillId="0" borderId="0" xfId="21" applyFont="1" applyFill="1"/>
    <xf numFmtId="7" fontId="38" fillId="0" borderId="0" xfId="21" applyNumberFormat="1" applyFont="1" applyFill="1" applyAlignment="1">
      <alignment horizontal="center"/>
    </xf>
    <xf numFmtId="44" fontId="38" fillId="0" borderId="0" xfId="10" applyFont="1" applyFill="1" applyAlignment="1">
      <alignment horizontal="center"/>
    </xf>
    <xf numFmtId="7" fontId="38" fillId="0" borderId="0" xfId="21" applyNumberFormat="1" applyFont="1" applyFill="1" applyBorder="1" applyAlignment="1">
      <alignment horizontal="center"/>
    </xf>
    <xf numFmtId="44" fontId="38" fillId="0" borderId="0" xfId="10" applyFont="1" applyFill="1" applyBorder="1" applyAlignment="1">
      <alignment horizontal="center"/>
    </xf>
    <xf numFmtId="0" fontId="38" fillId="0" borderId="0" xfId="21" applyFont="1" applyFill="1" applyBorder="1"/>
    <xf numFmtId="8" fontId="38" fillId="0" borderId="0" xfId="10" applyNumberFormat="1" applyFont="1" applyFill="1" applyAlignment="1">
      <alignment horizontal="center"/>
    </xf>
    <xf numFmtId="8" fontId="38" fillId="0" borderId="0" xfId="10" applyNumberFormat="1" applyFont="1" applyFill="1" applyBorder="1" applyAlignment="1"/>
    <xf numFmtId="8" fontId="38" fillId="0" borderId="0" xfId="10" applyNumberFormat="1" applyFont="1" applyFill="1" applyBorder="1" applyAlignment="1">
      <alignment horizontal="center"/>
    </xf>
    <xf numFmtId="0" fontId="38" fillId="0" borderId="0" xfId="21" applyFont="1" applyFill="1" applyBorder="1" applyAlignment="1"/>
    <xf numFmtId="180" fontId="38" fillId="0" borderId="0" xfId="21" applyNumberFormat="1" applyFont="1" applyFill="1" applyAlignment="1"/>
    <xf numFmtId="8" fontId="38" fillId="0" borderId="0" xfId="10" applyNumberFormat="1" applyFont="1" applyFill="1" applyAlignment="1"/>
    <xf numFmtId="180" fontId="38" fillId="0" borderId="0" xfId="21" applyNumberFormat="1" applyFont="1" applyFill="1"/>
    <xf numFmtId="0" fontId="2" fillId="0" borderId="0" xfId="21"/>
    <xf numFmtId="0" fontId="38" fillId="0" borderId="0" xfId="24" applyFont="1" applyFill="1" applyAlignment="1">
      <alignment horizontal="left"/>
    </xf>
    <xf numFmtId="0" fontId="38" fillId="0" borderId="0" xfId="24" applyFont="1" applyFill="1"/>
    <xf numFmtId="9" fontId="38" fillId="0" borderId="0" xfId="24" applyNumberFormat="1" applyFont="1" applyFill="1"/>
    <xf numFmtId="0" fontId="38" fillId="0" borderId="0" xfId="24" applyFont="1" applyFill="1" applyBorder="1"/>
    <xf numFmtId="37" fontId="38" fillId="0" borderId="0" xfId="11" applyNumberFormat="1" applyFont="1" applyFill="1" applyAlignment="1">
      <alignment horizontal="left"/>
    </xf>
    <xf numFmtId="0" fontId="38" fillId="0" borderId="0" xfId="18" applyFont="1" applyFill="1"/>
    <xf numFmtId="9" fontId="38" fillId="0" borderId="0" xfId="18" applyNumberFormat="1" applyFont="1" applyFill="1"/>
    <xf numFmtId="0" fontId="2" fillId="0" borderId="0" xfId="18"/>
    <xf numFmtId="5" fontId="13" fillId="0" borderId="0" xfId="0" applyNumberFormat="1" applyFont="1" applyFill="1" applyProtection="1"/>
    <xf numFmtId="0" fontId="13" fillId="0" borderId="0" xfId="0" applyFont="1" applyBorder="1" applyAlignment="1">
      <alignment horizontal="center"/>
    </xf>
    <xf numFmtId="0" fontId="16" fillId="0" borderId="0" xfId="0" applyFont="1" applyFill="1" applyAlignment="1">
      <alignment horizontal="center"/>
    </xf>
    <xf numFmtId="41" fontId="18" fillId="0" borderId="0" xfId="2" applyFont="1" applyFill="1" applyAlignment="1">
      <alignment horizontal="center"/>
    </xf>
    <xf numFmtId="0" fontId="13" fillId="0" borderId="0" xfId="0" applyFont="1" applyFill="1" applyAlignment="1">
      <alignment horizontal="centerContinuous"/>
    </xf>
    <xf numFmtId="0" fontId="16" fillId="0" borderId="0" xfId="0" applyFont="1" applyFill="1" applyAlignment="1" applyProtection="1">
      <alignment horizontal="centerContinuous"/>
    </xf>
    <xf numFmtId="41" fontId="18" fillId="0" borderId="0" xfId="2" applyFont="1" applyFill="1" applyAlignment="1"/>
    <xf numFmtId="0" fontId="21" fillId="0" borderId="0" xfId="0" applyFont="1" applyFill="1" applyAlignment="1" applyProtection="1">
      <alignment horizontal="centerContinuous"/>
    </xf>
    <xf numFmtId="0" fontId="16" fillId="0" borderId="0" xfId="0" quotePrefix="1" applyFont="1" applyFill="1" applyAlignment="1">
      <alignment horizontal="center"/>
    </xf>
    <xf numFmtId="0" fontId="16" fillId="0" borderId="0" xfId="0" applyFont="1" applyFill="1" applyAlignment="1" applyProtection="1">
      <alignment horizontal="center"/>
    </xf>
    <xf numFmtId="0" fontId="16" fillId="0" borderId="0" xfId="0" applyFont="1" applyFill="1" applyAlignment="1" applyProtection="1">
      <alignment horizontal="left"/>
    </xf>
    <xf numFmtId="0" fontId="16" fillId="0" borderId="0" xfId="0" quotePrefix="1" applyFont="1" applyFill="1" applyAlignment="1" applyProtection="1">
      <alignment horizontal="left"/>
    </xf>
    <xf numFmtId="0" fontId="13" fillId="0" borderId="0" xfId="0" applyFont="1" applyFill="1" applyAlignment="1">
      <alignment horizontal="center"/>
    </xf>
    <xf numFmtId="0" fontId="16" fillId="0" borderId="0" xfId="0" quotePrefix="1" applyFont="1" applyFill="1" applyAlignment="1" applyProtection="1">
      <alignment horizontal="center"/>
    </xf>
    <xf numFmtId="0" fontId="16" fillId="0" borderId="0" xfId="0" quotePrefix="1" applyFont="1" applyFill="1" applyAlignment="1" applyProtection="1">
      <alignment horizontal="left" indent="2"/>
    </xf>
    <xf numFmtId="0" fontId="2" fillId="0" borderId="0" xfId="19"/>
    <xf numFmtId="0" fontId="19" fillId="0" borderId="0" xfId="19" applyFont="1"/>
    <xf numFmtId="37" fontId="20" fillId="0" borderId="0" xfId="19" applyNumberFormat="1" applyFont="1" applyAlignment="1">
      <alignment horizontal="right"/>
    </xf>
    <xf numFmtId="39" fontId="20" fillId="0" borderId="0" xfId="19" applyNumberFormat="1" applyFont="1" applyBorder="1"/>
    <xf numFmtId="39" fontId="20" fillId="0" borderId="0" xfId="19" applyNumberFormat="1" applyFont="1"/>
    <xf numFmtId="39" fontId="20" fillId="0" borderId="0" xfId="19" applyNumberFormat="1" applyFont="1" applyFill="1" applyBorder="1"/>
    <xf numFmtId="39" fontId="19" fillId="0" borderId="0" xfId="19" applyNumberFormat="1" applyFont="1" applyBorder="1"/>
    <xf numFmtId="39" fontId="19" fillId="0" borderId="0" xfId="19" applyNumberFormat="1" applyFont="1" applyBorder="1" applyAlignment="1">
      <alignment horizontal="center"/>
    </xf>
    <xf numFmtId="37" fontId="20" fillId="0" borderId="0" xfId="19" applyNumberFormat="1" applyFont="1"/>
    <xf numFmtId="0" fontId="20" fillId="0" borderId="0" xfId="19" applyFont="1"/>
    <xf numFmtId="184" fontId="20" fillId="0" borderId="0" xfId="19" applyNumberFormat="1" applyFont="1" applyAlignment="1">
      <alignment horizontal="center"/>
    </xf>
    <xf numFmtId="0" fontId="26" fillId="0" borderId="0" xfId="19" applyFont="1"/>
    <xf numFmtId="0" fontId="28" fillId="0" borderId="0" xfId="19" applyFont="1"/>
    <xf numFmtId="0" fontId="20" fillId="0" borderId="0" xfId="19" applyFont="1" applyAlignment="1">
      <alignment horizontal="left"/>
    </xf>
    <xf numFmtId="0" fontId="20" fillId="0" borderId="0" xfId="19" applyFont="1" applyAlignment="1">
      <alignment horizontal="right"/>
    </xf>
    <xf numFmtId="37" fontId="19" fillId="0" borderId="0" xfId="19" applyNumberFormat="1" applyFont="1" applyAlignment="1">
      <alignment horizontal="right"/>
    </xf>
    <xf numFmtId="0" fontId="26" fillId="0" borderId="0" xfId="19" applyFont="1" applyAlignment="1">
      <alignment horizontal="left"/>
    </xf>
    <xf numFmtId="0" fontId="20" fillId="0" borderId="0" xfId="19" quotePrefix="1" applyFont="1"/>
    <xf numFmtId="37" fontId="20" fillId="0" borderId="0" xfId="19" applyNumberFormat="1" applyFont="1" applyBorder="1" applyAlignment="1">
      <alignment horizontal="right"/>
    </xf>
    <xf numFmtId="0" fontId="19" fillId="0" borderId="0" xfId="19" applyFont="1" applyAlignment="1">
      <alignment horizontal="right"/>
    </xf>
    <xf numFmtId="0" fontId="20" fillId="0" borderId="0" xfId="19" applyFont="1" applyBorder="1" applyAlignment="1">
      <alignment horizontal="right"/>
    </xf>
    <xf numFmtId="0" fontId="19" fillId="0" borderId="0" xfId="19" quotePrefix="1" applyFont="1"/>
    <xf numFmtId="39" fontId="19" fillId="0" borderId="11" xfId="19" applyNumberFormat="1" applyFont="1" applyBorder="1" applyAlignment="1">
      <alignment horizontal="center" wrapText="1"/>
    </xf>
    <xf numFmtId="39" fontId="19" fillId="0" borderId="10" xfId="19" applyNumberFormat="1" applyFont="1" applyBorder="1" applyAlignment="1">
      <alignment horizontal="center" wrapText="1"/>
    </xf>
    <xf numFmtId="39" fontId="20" fillId="0" borderId="0" xfId="19" quotePrefix="1" applyNumberFormat="1" applyFont="1" applyBorder="1"/>
    <xf numFmtId="39" fontId="20" fillId="0" borderId="0" xfId="19" applyNumberFormat="1" applyFont="1" applyFill="1" applyBorder="1" applyAlignment="1">
      <alignment horizontal="right"/>
    </xf>
    <xf numFmtId="39" fontId="20" fillId="0" borderId="0" xfId="19" applyNumberFormat="1" applyFont="1" applyFill="1"/>
    <xf numFmtId="39" fontId="20" fillId="0" borderId="0" xfId="19" applyNumberFormat="1" applyFont="1" applyBorder="1" applyAlignment="1">
      <alignment wrapText="1"/>
    </xf>
    <xf numFmtId="39" fontId="19" fillId="0" borderId="0" xfId="19" applyNumberFormat="1" applyFont="1" applyBorder="1" applyAlignment="1">
      <alignment horizontal="center" wrapText="1"/>
    </xf>
    <xf numFmtId="39" fontId="20" fillId="0" borderId="0" xfId="19" applyNumberFormat="1" applyFont="1" applyFill="1" applyBorder="1" applyAlignment="1">
      <alignment wrapText="1"/>
    </xf>
    <xf numFmtId="39" fontId="20" fillId="0" borderId="0" xfId="19" applyNumberFormat="1" applyFont="1" applyFill="1" applyBorder="1" applyAlignment="1">
      <alignment horizontal="right" wrapText="1"/>
    </xf>
    <xf numFmtId="39" fontId="19" fillId="0" borderId="0" xfId="19" applyNumberFormat="1" applyFont="1" applyBorder="1" applyAlignment="1">
      <alignment wrapText="1"/>
    </xf>
    <xf numFmtId="39" fontId="20" fillId="0" borderId="0" xfId="19" applyNumberFormat="1" applyFont="1" applyAlignment="1">
      <alignment wrapText="1"/>
    </xf>
    <xf numFmtId="0" fontId="42" fillId="0" borderId="0" xfId="0" applyFont="1"/>
    <xf numFmtId="49" fontId="42" fillId="0" borderId="0" xfId="0" applyNumberFormat="1" applyFont="1"/>
    <xf numFmtId="39" fontId="42" fillId="0" borderId="0" xfId="0" applyNumberFormat="1" applyFont="1" applyProtection="1"/>
    <xf numFmtId="0" fontId="43" fillId="0" borderId="0" xfId="0" applyFont="1"/>
    <xf numFmtId="0" fontId="45" fillId="0" borderId="0" xfId="0" quotePrefix="1" applyFont="1" applyFill="1" applyAlignment="1">
      <alignment horizontal="left"/>
    </xf>
    <xf numFmtId="0" fontId="44" fillId="0" borderId="0" xfId="0" applyFont="1"/>
    <xf numFmtId="0" fontId="42" fillId="0" borderId="0" xfId="0" quotePrefix="1" applyFont="1" applyAlignment="1">
      <alignment horizontal="left"/>
    </xf>
    <xf numFmtId="0" fontId="42" fillId="0" borderId="1" xfId="0" applyFont="1" applyBorder="1"/>
    <xf numFmtId="49" fontId="42" fillId="0" borderId="1" xfId="0" applyNumberFormat="1" applyFont="1" applyBorder="1"/>
    <xf numFmtId="49" fontId="42" fillId="0" borderId="0" xfId="0" applyNumberFormat="1" applyFont="1" applyAlignment="1">
      <alignment horizontal="center"/>
    </xf>
    <xf numFmtId="0" fontId="42" fillId="0" borderId="0" xfId="0" applyFont="1" applyAlignment="1">
      <alignment horizontal="center"/>
    </xf>
    <xf numFmtId="41" fontId="46" fillId="0" borderId="0" xfId="2" applyFont="1" applyAlignment="1">
      <alignment horizontal="center"/>
    </xf>
    <xf numFmtId="49" fontId="43" fillId="0" borderId="0" xfId="0" applyNumberFormat="1" applyFont="1"/>
    <xf numFmtId="39" fontId="43" fillId="0" borderId="0" xfId="0" applyNumberFormat="1" applyFont="1" applyProtection="1"/>
    <xf numFmtId="0" fontId="43" fillId="0" borderId="0" xfId="0" applyFont="1" applyAlignment="1">
      <alignment horizontal="center"/>
    </xf>
    <xf numFmtId="0" fontId="43" fillId="0" borderId="0" xfId="0" applyFont="1" applyAlignment="1">
      <alignment horizontal="left" indent="2"/>
    </xf>
    <xf numFmtId="0" fontId="43" fillId="0" borderId="0" xfId="0" quotePrefix="1" applyFont="1" applyAlignment="1">
      <alignment horizontal="left" indent="2"/>
    </xf>
    <xf numFmtId="0" fontId="43" fillId="0" borderId="0" xfId="0" applyFont="1" applyAlignment="1">
      <alignment horizontal="left"/>
    </xf>
    <xf numFmtId="49" fontId="49" fillId="0" borderId="0" xfId="22" applyNumberFormat="1" applyFont="1" applyFill="1" applyAlignment="1">
      <alignment horizontal="left"/>
    </xf>
    <xf numFmtId="0" fontId="47" fillId="0" borderId="0" xfId="0" applyFont="1"/>
    <xf numFmtId="5" fontId="43" fillId="0" borderId="0" xfId="0" applyNumberFormat="1" applyFont="1" applyProtection="1"/>
    <xf numFmtId="0" fontId="50" fillId="0" borderId="0" xfId="0" applyFont="1" applyProtection="1">
      <protection locked="0"/>
    </xf>
    <xf numFmtId="49" fontId="50" fillId="0" borderId="0" xfId="0" applyNumberFormat="1" applyFont="1" applyProtection="1">
      <protection locked="0"/>
    </xf>
    <xf numFmtId="0" fontId="42" fillId="0" borderId="0" xfId="0" quotePrefix="1" applyFont="1" applyFill="1" applyAlignment="1">
      <alignment horizontal="left"/>
    </xf>
    <xf numFmtId="43" fontId="43" fillId="0" borderId="0" xfId="0" applyNumberFormat="1" applyFont="1" applyProtection="1"/>
    <xf numFmtId="43" fontId="43" fillId="0" borderId="0" xfId="0" applyNumberFormat="1" applyFont="1"/>
    <xf numFmtId="164" fontId="42" fillId="0" borderId="0" xfId="0" applyNumberFormat="1" applyFont="1" applyProtection="1"/>
    <xf numFmtId="165" fontId="42" fillId="0" borderId="0" xfId="0" applyNumberFormat="1" applyFont="1" applyProtection="1"/>
    <xf numFmtId="0" fontId="45" fillId="0" borderId="0" xfId="0" applyFont="1"/>
    <xf numFmtId="0" fontId="45" fillId="0" borderId="0" xfId="0" quotePrefix="1" applyFont="1" applyAlignment="1">
      <alignment horizontal="left"/>
    </xf>
    <xf numFmtId="41" fontId="46" fillId="0" borderId="0" xfId="2" applyFont="1" applyAlignment="1">
      <alignment horizontal="centerContinuous"/>
    </xf>
    <xf numFmtId="0" fontId="42" fillId="0" borderId="0" xfId="0" applyFont="1" applyAlignment="1">
      <alignment horizontal="centerContinuous"/>
    </xf>
    <xf numFmtId="41" fontId="43" fillId="0" borderId="0" xfId="0" applyNumberFormat="1" applyFont="1"/>
    <xf numFmtId="41" fontId="43" fillId="0" borderId="0" xfId="2" applyFont="1" applyAlignment="1"/>
    <xf numFmtId="37" fontId="43" fillId="0" borderId="0" xfId="2" applyNumberFormat="1" applyFont="1" applyAlignment="1"/>
    <xf numFmtId="37" fontId="43" fillId="0" borderId="0" xfId="0" applyNumberFormat="1" applyFont="1"/>
    <xf numFmtId="0" fontId="43" fillId="0" borderId="0" xfId="0" applyFont="1" applyAlignment="1">
      <alignment horizontal="centerContinuous"/>
    </xf>
    <xf numFmtId="41" fontId="42" fillId="0" borderId="0" xfId="2" applyFont="1" applyAlignment="1">
      <alignment horizontal="centerContinuous"/>
    </xf>
    <xf numFmtId="41" fontId="42" fillId="0" borderId="0" xfId="2" applyFont="1" applyAlignment="1">
      <alignment horizontal="center"/>
    </xf>
    <xf numFmtId="41" fontId="42" fillId="0" borderId="11" xfId="2" applyFont="1" applyBorder="1" applyAlignment="1">
      <alignment horizontal="center"/>
    </xf>
    <xf numFmtId="41" fontId="42" fillId="0" borderId="0" xfId="2" applyFont="1" applyBorder="1" applyAlignment="1">
      <alignment horizontal="center"/>
    </xf>
    <xf numFmtId="0" fontId="43" fillId="0" borderId="0" xfId="0" applyFont="1" applyBorder="1"/>
    <xf numFmtId="0" fontId="42" fillId="0" borderId="0" xfId="0" applyFont="1" applyBorder="1"/>
    <xf numFmtId="41" fontId="42" fillId="0" borderId="0" xfId="2" applyFont="1" applyBorder="1" applyAlignment="1">
      <alignment horizontal="centerContinuous"/>
    </xf>
    <xf numFmtId="41" fontId="43" fillId="0" borderId="0" xfId="0" applyNumberFormat="1" applyFont="1" applyBorder="1"/>
    <xf numFmtId="0" fontId="42" fillId="0" borderId="0" xfId="0" applyFont="1" applyBorder="1" applyAlignment="1">
      <alignment horizontal="center"/>
    </xf>
    <xf numFmtId="41" fontId="43" fillId="0" borderId="0" xfId="2" applyFont="1" applyBorder="1" applyAlignment="1"/>
    <xf numFmtId="37" fontId="43" fillId="0" borderId="0" xfId="0" applyNumberFormat="1" applyFont="1" applyBorder="1"/>
    <xf numFmtId="0" fontId="47" fillId="0" borderId="0" xfId="0" applyFont="1" applyBorder="1"/>
    <xf numFmtId="0" fontId="43" fillId="0" borderId="0" xfId="0" quotePrefix="1" applyFont="1" applyAlignment="1">
      <alignment horizontal="center"/>
    </xf>
    <xf numFmtId="41" fontId="43" fillId="0" borderId="0" xfId="2" applyFont="1" applyAlignment="1">
      <alignment horizontal="center"/>
    </xf>
    <xf numFmtId="0" fontId="47" fillId="0" borderId="0" xfId="0" applyFont="1" applyAlignment="1">
      <alignment horizontal="center"/>
    </xf>
    <xf numFmtId="0" fontId="42" fillId="0" borderId="11" xfId="0" applyFont="1" applyBorder="1" applyAlignment="1">
      <alignment horizontal="center"/>
    </xf>
    <xf numFmtId="0" fontId="42" fillId="0" borderId="16" xfId="0" applyFont="1" applyBorder="1"/>
    <xf numFmtId="0" fontId="43" fillId="0" borderId="1" xfId="0" applyFont="1" applyBorder="1" applyAlignment="1">
      <alignment horizontal="center"/>
    </xf>
    <xf numFmtId="0" fontId="43" fillId="0" borderId="1" xfId="0" applyFont="1" applyBorder="1"/>
    <xf numFmtId="41" fontId="42" fillId="0" borderId="0" xfId="2" quotePrefix="1" applyFont="1" applyBorder="1" applyAlignment="1">
      <alignment horizontal="centerContinuous"/>
    </xf>
    <xf numFmtId="0" fontId="51" fillId="0" borderId="0" xfId="0" applyFont="1"/>
    <xf numFmtId="0" fontId="45" fillId="0" borderId="0" xfId="0" applyFont="1" applyAlignment="1">
      <alignment horizontal="centerContinuous"/>
    </xf>
    <xf numFmtId="0" fontId="52" fillId="0" borderId="0" xfId="0" applyFont="1" applyProtection="1">
      <protection locked="0"/>
    </xf>
    <xf numFmtId="0" fontId="42" fillId="0" borderId="0" xfId="0" applyFont="1" applyProtection="1"/>
    <xf numFmtId="0" fontId="42" fillId="0" borderId="0" xfId="0" quotePrefix="1" applyFont="1" applyAlignment="1">
      <alignment horizontal="center"/>
    </xf>
    <xf numFmtId="0" fontId="42" fillId="0" borderId="0" xfId="0" applyFont="1" applyAlignment="1" applyProtection="1">
      <alignment horizontal="center"/>
    </xf>
    <xf numFmtId="37" fontId="43" fillId="0" borderId="0" xfId="0" applyNumberFormat="1" applyFont="1" applyProtection="1"/>
    <xf numFmtId="42" fontId="43" fillId="0" borderId="0" xfId="7" applyFont="1" applyAlignment="1"/>
    <xf numFmtId="41" fontId="43" fillId="0" borderId="11" xfId="2" applyFont="1" applyBorder="1" applyAlignment="1"/>
    <xf numFmtId="42" fontId="53" fillId="0" borderId="0" xfId="7" applyFont="1" applyAlignment="1"/>
    <xf numFmtId="37" fontId="42" fillId="0" borderId="0" xfId="0" applyNumberFormat="1" applyFont="1" applyAlignment="1" applyProtection="1">
      <alignment horizontal="centerContinuous"/>
    </xf>
    <xf numFmtId="37" fontId="42" fillId="0" borderId="0" xfId="0" applyNumberFormat="1" applyFont="1" applyProtection="1"/>
    <xf numFmtId="37" fontId="43" fillId="0" borderId="0" xfId="0" applyNumberFormat="1" applyFont="1" applyAlignment="1" applyProtection="1">
      <alignment horizontal="centerContinuous"/>
    </xf>
    <xf numFmtId="42" fontId="43" fillId="0" borderId="2" xfId="7" applyFont="1" applyBorder="1" applyAlignment="1"/>
    <xf numFmtId="41" fontId="54" fillId="0" borderId="0" xfId="2" applyFont="1" applyAlignment="1"/>
    <xf numFmtId="37" fontId="42" fillId="0" borderId="0" xfId="0" applyNumberFormat="1" applyFont="1" applyAlignment="1">
      <alignment horizontal="centerContinuous"/>
    </xf>
    <xf numFmtId="37" fontId="43" fillId="0" borderId="0" xfId="0" applyNumberFormat="1" applyFont="1" applyAlignment="1">
      <alignment horizontal="centerContinuous"/>
    </xf>
    <xf numFmtId="0" fontId="42" fillId="0" borderId="0" xfId="0" applyFont="1" applyAlignment="1" applyProtection="1">
      <alignment horizontal="centerContinuous"/>
    </xf>
    <xf numFmtId="0" fontId="42" fillId="0" borderId="0" xfId="0" quotePrefix="1" applyFont="1" applyAlignment="1">
      <alignment horizontal="centerContinuous"/>
    </xf>
    <xf numFmtId="0" fontId="42" fillId="0" borderId="0" xfId="0" applyFont="1" applyAlignment="1">
      <alignment horizontal="left"/>
    </xf>
    <xf numFmtId="0" fontId="42" fillId="0" borderId="1" xfId="0" applyFont="1" applyBorder="1" applyAlignment="1">
      <alignment horizontal="centerContinuous"/>
    </xf>
    <xf numFmtId="41" fontId="51" fillId="0" borderId="0" xfId="0" applyNumberFormat="1" applyFont="1" applyFill="1"/>
    <xf numFmtId="0" fontId="43" fillId="0" borderId="0" xfId="0" applyFont="1" applyAlignment="1"/>
    <xf numFmtId="176" fontId="42" fillId="0" borderId="0" xfId="0" applyNumberFormat="1" applyFont="1"/>
    <xf numFmtId="176" fontId="42" fillId="0" borderId="0" xfId="0" applyNumberFormat="1" applyFont="1" applyAlignment="1">
      <alignment horizontal="centerContinuous"/>
    </xf>
    <xf numFmtId="176" fontId="42" fillId="0" borderId="0" xfId="0" applyNumberFormat="1" applyFont="1" applyAlignment="1" applyProtection="1">
      <alignment horizontal="center"/>
    </xf>
    <xf numFmtId="41" fontId="42" fillId="0" borderId="11" xfId="2" quotePrefix="1" applyFont="1" applyBorder="1" applyAlignment="1">
      <alignment horizontal="center"/>
    </xf>
    <xf numFmtId="42" fontId="43" fillId="0" borderId="0" xfId="0" applyNumberFormat="1" applyFont="1"/>
    <xf numFmtId="41" fontId="43" fillId="0" borderId="0" xfId="0" applyNumberFormat="1" applyFont="1" applyFill="1"/>
    <xf numFmtId="0" fontId="42" fillId="0" borderId="0" xfId="0" applyFont="1" applyFill="1"/>
    <xf numFmtId="0" fontId="51" fillId="0" borderId="0" xfId="0" applyFont="1" applyFill="1"/>
    <xf numFmtId="41" fontId="51" fillId="0" borderId="0" xfId="2" applyFont="1" applyFill="1" applyAlignment="1"/>
    <xf numFmtId="176" fontId="42" fillId="0" borderId="0" xfId="0" applyNumberFormat="1" applyFont="1" applyAlignment="1">
      <alignment horizontal="center"/>
    </xf>
    <xf numFmtId="184" fontId="42" fillId="0" borderId="11" xfId="5" applyNumberFormat="1" applyFont="1" applyFill="1" applyBorder="1" applyAlignment="1">
      <alignment horizontal="center"/>
    </xf>
    <xf numFmtId="184" fontId="42" fillId="0" borderId="11" xfId="5" applyNumberFormat="1" applyFont="1" applyFill="1" applyBorder="1" applyAlignment="1">
      <alignment horizontal="center" wrapText="1"/>
    </xf>
    <xf numFmtId="43" fontId="42" fillId="0" borderId="11" xfId="5" applyFont="1" applyFill="1" applyBorder="1" applyAlignment="1">
      <alignment horizontal="center" wrapText="1"/>
    </xf>
    <xf numFmtId="0" fontId="42" fillId="0" borderId="0" xfId="0" applyFont="1" applyFill="1" applyAlignment="1">
      <alignment horizontal="centerContinuous"/>
    </xf>
    <xf numFmtId="0" fontId="43" fillId="0" borderId="0" xfId="0" applyFont="1" applyFill="1"/>
    <xf numFmtId="41" fontId="43" fillId="0" borderId="0" xfId="2" applyFont="1" applyFill="1" applyAlignment="1"/>
    <xf numFmtId="10" fontId="43" fillId="0" borderId="0" xfId="0" applyNumberFormat="1" applyFont="1" applyFill="1" applyProtection="1"/>
    <xf numFmtId="41" fontId="43" fillId="0" borderId="0" xfId="0" applyNumberFormat="1" applyFont="1" applyFill="1" applyProtection="1"/>
    <xf numFmtId="41" fontId="43" fillId="0" borderId="0" xfId="7" applyNumberFormat="1" applyFont="1" applyFill="1" applyAlignment="1"/>
    <xf numFmtId="42" fontId="43" fillId="0" borderId="0" xfId="7" applyFont="1" applyFill="1" applyAlignment="1"/>
    <xf numFmtId="41" fontId="43" fillId="0" borderId="0" xfId="7" applyNumberFormat="1" applyFont="1" applyAlignment="1"/>
    <xf numFmtId="0" fontId="42" fillId="0" borderId="0" xfId="0" applyFont="1" applyBorder="1" applyAlignment="1">
      <alignment horizontal="centerContinuous"/>
    </xf>
    <xf numFmtId="41" fontId="43" fillId="0" borderId="0" xfId="7" applyNumberFormat="1" applyFont="1" applyBorder="1" applyAlignment="1"/>
    <xf numFmtId="0" fontId="47" fillId="0" borderId="0" xfId="0" applyFont="1" applyAlignment="1">
      <alignment wrapText="1"/>
    </xf>
    <xf numFmtId="42" fontId="43" fillId="0" borderId="0" xfId="0" applyNumberFormat="1" applyFont="1" applyProtection="1"/>
    <xf numFmtId="41" fontId="43" fillId="0" borderId="0" xfId="2" applyFont="1" applyFill="1" applyBorder="1" applyAlignment="1"/>
    <xf numFmtId="42" fontId="43" fillId="0" borderId="11" xfId="7" applyFont="1" applyFill="1" applyBorder="1" applyAlignment="1"/>
    <xf numFmtId="42" fontId="43" fillId="0" borderId="0" xfId="7" applyFont="1" applyFill="1" applyBorder="1" applyAlignment="1"/>
    <xf numFmtId="41" fontId="43" fillId="0" borderId="0" xfId="7" applyNumberFormat="1" applyFont="1" applyFill="1" applyBorder="1" applyAlignment="1"/>
    <xf numFmtId="0" fontId="43" fillId="0" borderId="0" xfId="0" quotePrefix="1" applyFont="1"/>
    <xf numFmtId="37" fontId="43" fillId="0" borderId="0" xfId="0" applyNumberFormat="1" applyFont="1" applyFill="1" applyProtection="1"/>
    <xf numFmtId="37" fontId="43" fillId="0" borderId="0" xfId="0" applyNumberFormat="1" applyFont="1" applyFill="1" applyBorder="1" applyProtection="1"/>
    <xf numFmtId="41" fontId="43" fillId="0" borderId="0" xfId="0" applyNumberFormat="1" applyFont="1" applyFill="1" applyBorder="1"/>
    <xf numFmtId="0" fontId="43" fillId="0" borderId="1" xfId="0" applyFont="1" applyBorder="1" applyAlignment="1">
      <alignment horizontal="centerContinuous"/>
    </xf>
    <xf numFmtId="0" fontId="42" fillId="0" borderId="0" xfId="0" applyFont="1" applyAlignment="1" applyProtection="1">
      <alignment horizontal="center" vertical="top"/>
    </xf>
    <xf numFmtId="0" fontId="43" fillId="0" borderId="0" xfId="0" applyFont="1" applyFill="1" applyAlignment="1">
      <alignment horizontal="left"/>
    </xf>
    <xf numFmtId="10" fontId="56" fillId="0" borderId="0" xfId="0" applyNumberFormat="1" applyFont="1" applyFill="1" applyAlignment="1">
      <alignment horizontal="center" wrapText="1"/>
    </xf>
    <xf numFmtId="0" fontId="57" fillId="0" borderId="0" xfId="0" applyFont="1" applyFill="1" applyAlignment="1">
      <alignment wrapText="1"/>
    </xf>
    <xf numFmtId="0" fontId="56" fillId="0" borderId="0" xfId="0" applyFont="1" applyFill="1" applyAlignment="1">
      <alignment horizontal="left"/>
    </xf>
    <xf numFmtId="10" fontId="56" fillId="0" borderId="0" xfId="0" applyNumberFormat="1" applyFont="1" applyFill="1" applyAlignment="1">
      <alignment horizontal="center"/>
    </xf>
    <xf numFmtId="0" fontId="43" fillId="0" borderId="0" xfId="0" applyFont="1" applyFill="1" applyAlignment="1"/>
    <xf numFmtId="0" fontId="56" fillId="0" borderId="0" xfId="0" applyFont="1" applyFill="1" applyAlignment="1">
      <alignment horizontal="left" wrapText="1"/>
    </xf>
    <xf numFmtId="0" fontId="43" fillId="0" borderId="0" xfId="0" applyFont="1" applyAlignment="1">
      <alignment horizontal="center" vertical="top" wrapText="1"/>
    </xf>
    <xf numFmtId="0" fontId="42" fillId="0" borderId="16" xfId="0" applyFont="1" applyBorder="1" applyAlignment="1">
      <alignment horizontal="centerContinuous"/>
    </xf>
    <xf numFmtId="42" fontId="43" fillId="0" borderId="0" xfId="7" applyFont="1" applyBorder="1" applyAlignment="1">
      <alignment horizontal="center"/>
    </xf>
    <xf numFmtId="169" fontId="53" fillId="0" borderId="0" xfId="0" applyNumberFormat="1" applyFont="1" applyProtection="1"/>
    <xf numFmtId="37" fontId="43" fillId="0" borderId="0" xfId="0" applyNumberFormat="1" applyFont="1" applyBorder="1" applyProtection="1"/>
    <xf numFmtId="37" fontId="48" fillId="0" borderId="0" xfId="0" applyNumberFormat="1" applyFont="1" applyBorder="1" applyProtection="1"/>
    <xf numFmtId="42" fontId="53" fillId="0" borderId="0" xfId="7" applyFont="1" applyBorder="1" applyAlignment="1">
      <alignment horizontal="center"/>
    </xf>
    <xf numFmtId="0" fontId="49" fillId="0" borderId="0" xfId="0" applyFont="1" applyBorder="1"/>
    <xf numFmtId="41" fontId="46" fillId="0" borderId="0" xfId="2" applyFont="1" applyFill="1" applyAlignment="1">
      <alignment horizontal="center"/>
    </xf>
    <xf numFmtId="0" fontId="48" fillId="0" borderId="0" xfId="0" quotePrefix="1" applyFont="1" applyAlignment="1">
      <alignment horizontal="left"/>
    </xf>
    <xf numFmtId="37" fontId="43" fillId="0" borderId="0" xfId="0" applyNumberFormat="1" applyFont="1" applyFill="1"/>
    <xf numFmtId="42" fontId="43" fillId="0" borderId="0" xfId="0" applyNumberFormat="1" applyFont="1" applyAlignment="1">
      <alignment horizontal="left"/>
    </xf>
    <xf numFmtId="42" fontId="43" fillId="0" borderId="0" xfId="0" quotePrefix="1" applyNumberFormat="1" applyFont="1" applyAlignment="1"/>
    <xf numFmtId="37" fontId="43" fillId="0" borderId="0" xfId="0" applyNumberFormat="1" applyFont="1" applyFill="1" applyBorder="1"/>
    <xf numFmtId="0" fontId="43" fillId="0" borderId="0" xfId="0" applyFont="1" applyBorder="1" applyAlignment="1">
      <alignment horizontal="left"/>
    </xf>
    <xf numFmtId="42" fontId="43" fillId="0" borderId="0" xfId="7" applyFont="1" applyBorder="1" applyAlignment="1">
      <alignment horizontal="right"/>
    </xf>
    <xf numFmtId="0" fontId="43" fillId="0" borderId="0" xfId="0" applyFont="1" applyBorder="1" applyAlignment="1">
      <alignment horizontal="centerContinuous"/>
    </xf>
    <xf numFmtId="37" fontId="42" fillId="0" borderId="0" xfId="0" applyNumberFormat="1" applyFont="1" applyFill="1" applyAlignment="1">
      <alignment horizontal="centerContinuous"/>
    </xf>
    <xf numFmtId="0" fontId="42" fillId="0" borderId="0" xfId="0" quotePrefix="1" applyFont="1" applyBorder="1" applyAlignment="1">
      <alignment horizontal="left"/>
    </xf>
    <xf numFmtId="41" fontId="42" fillId="0" borderId="0" xfId="0" applyNumberFormat="1" applyFont="1"/>
    <xf numFmtId="41" fontId="43" fillId="0" borderId="17" xfId="2" applyFont="1" applyBorder="1" applyAlignment="1"/>
    <xf numFmtId="5" fontId="43" fillId="0" borderId="0" xfId="0" applyNumberFormat="1" applyFont="1" applyBorder="1" applyProtection="1"/>
    <xf numFmtId="41" fontId="43" fillId="0" borderId="11" xfId="0" applyNumberFormat="1" applyFont="1" applyFill="1" applyBorder="1"/>
    <xf numFmtId="0" fontId="42" fillId="0" borderId="0" xfId="0" applyFont="1" applyFill="1" applyAlignment="1">
      <alignment horizontal="center"/>
    </xf>
    <xf numFmtId="0" fontId="42" fillId="0" borderId="0" xfId="0" applyNumberFormat="1" applyFont="1" applyAlignment="1">
      <alignment horizontal="left"/>
    </xf>
    <xf numFmtId="37" fontId="42" fillId="0" borderId="0" xfId="0" applyNumberFormat="1" applyFont="1" applyFill="1" applyAlignment="1" applyProtection="1">
      <alignment vertical="center"/>
    </xf>
    <xf numFmtId="0" fontId="43" fillId="0" borderId="0" xfId="0" applyFont="1" applyFill="1" applyAlignment="1">
      <alignment horizontal="center"/>
    </xf>
    <xf numFmtId="37" fontId="42" fillId="0" borderId="0" xfId="0" applyNumberFormat="1" applyFont="1" applyFill="1" applyProtection="1"/>
    <xf numFmtId="0" fontId="43" fillId="0" borderId="0" xfId="0" quotePrefix="1" applyFont="1" applyFill="1" applyAlignment="1">
      <alignment horizontal="center"/>
    </xf>
    <xf numFmtId="0" fontId="42" fillId="0" borderId="0" xfId="7" applyNumberFormat="1" applyFont="1" applyFill="1" applyAlignment="1">
      <alignment horizontal="left"/>
    </xf>
    <xf numFmtId="37" fontId="42" fillId="0" borderId="0" xfId="0" quotePrefix="1" applyNumberFormat="1" applyFont="1" applyFill="1" applyAlignment="1" applyProtection="1">
      <alignment horizontal="left"/>
    </xf>
    <xf numFmtId="41" fontId="57" fillId="0" borderId="0" xfId="2" applyFont="1" applyFill="1" applyAlignment="1"/>
    <xf numFmtId="41" fontId="43" fillId="0" borderId="11" xfId="2" applyFont="1" applyFill="1" applyBorder="1" applyAlignment="1"/>
    <xf numFmtId="37" fontId="42" fillId="0" borderId="0" xfId="0" quotePrefix="1" applyNumberFormat="1" applyFont="1" applyFill="1" applyAlignment="1" applyProtection="1">
      <alignment horizontal="left" vertical="center"/>
    </xf>
    <xf numFmtId="42" fontId="43" fillId="0" borderId="2" xfId="7" applyFont="1" applyFill="1" applyBorder="1" applyAlignment="1"/>
    <xf numFmtId="42" fontId="42" fillId="0" borderId="0" xfId="7" applyFont="1" applyFill="1" applyAlignment="1">
      <alignment vertical="center"/>
    </xf>
    <xf numFmtId="42" fontId="42" fillId="0" borderId="0" xfId="7" applyFont="1" applyFill="1" applyAlignment="1"/>
    <xf numFmtId="0" fontId="42" fillId="0" borderId="0" xfId="0" applyFont="1" applyFill="1" applyAlignment="1">
      <alignment vertical="center"/>
    </xf>
    <xf numFmtId="171" fontId="43" fillId="0" borderId="2" xfId="2" applyNumberFormat="1" applyFont="1" applyFill="1" applyBorder="1" applyAlignment="1"/>
    <xf numFmtId="0" fontId="43" fillId="0" borderId="0" xfId="2" applyNumberFormat="1" applyFont="1" applyFill="1" applyAlignment="1"/>
    <xf numFmtId="171" fontId="42" fillId="0" borderId="0" xfId="2" applyNumberFormat="1" applyFont="1" applyFill="1" applyAlignment="1">
      <alignment vertical="center"/>
    </xf>
    <xf numFmtId="171" fontId="42" fillId="0" borderId="0" xfId="2" applyNumberFormat="1" applyFont="1" applyFill="1" applyAlignment="1"/>
    <xf numFmtId="0" fontId="43" fillId="0" borderId="0" xfId="0" applyFont="1" applyFill="1" applyAlignment="1">
      <alignment horizontal="centerContinuous"/>
    </xf>
    <xf numFmtId="164" fontId="42" fillId="0" borderId="0" xfId="0" applyNumberFormat="1" applyFont="1" applyFill="1" applyProtection="1"/>
    <xf numFmtId="0" fontId="42" fillId="0" borderId="1" xfId="0" applyFont="1" applyFill="1" applyBorder="1"/>
    <xf numFmtId="171" fontId="43" fillId="0" borderId="0" xfId="2" applyNumberFormat="1" applyFont="1" applyFill="1" applyAlignment="1"/>
    <xf numFmtId="0" fontId="43" fillId="0" borderId="0" xfId="0" quotePrefix="1" applyNumberFormat="1" applyFont="1" applyFill="1" applyAlignment="1">
      <alignment horizontal="left"/>
    </xf>
    <xf numFmtId="0" fontId="50" fillId="0" borderId="0" xfId="0" applyFont="1" applyFill="1" applyProtection="1">
      <protection locked="0"/>
    </xf>
    <xf numFmtId="41" fontId="43" fillId="0" borderId="11" xfId="7" applyNumberFormat="1" applyFont="1" applyFill="1" applyBorder="1" applyAlignment="1"/>
    <xf numFmtId="49" fontId="42" fillId="0" borderId="0" xfId="0" applyNumberFormat="1" applyFont="1" applyFill="1"/>
    <xf numFmtId="0" fontId="42" fillId="0" borderId="0" xfId="0" applyNumberFormat="1" applyFont="1" applyFill="1"/>
    <xf numFmtId="0" fontId="42" fillId="0" borderId="0" xfId="0" quotePrefix="1" applyNumberFormat="1" applyFont="1" applyFill="1" applyAlignment="1">
      <alignment horizontal="left"/>
    </xf>
    <xf numFmtId="0" fontId="42" fillId="0" borderId="0" xfId="0" applyFont="1" applyFill="1" applyAlignment="1">
      <alignment horizontal="left"/>
    </xf>
    <xf numFmtId="0" fontId="42" fillId="0" borderId="1" xfId="0" applyFont="1" applyFill="1" applyBorder="1" applyAlignment="1">
      <alignment horizontal="centerContinuous"/>
    </xf>
    <xf numFmtId="0" fontId="42" fillId="0" borderId="0" xfId="0" applyFont="1" applyFill="1" applyAlignment="1" applyProtection="1">
      <alignment horizontal="center"/>
    </xf>
    <xf numFmtId="49" fontId="46" fillId="0" borderId="0" xfId="2" applyNumberFormat="1" applyFont="1" applyFill="1" applyAlignment="1">
      <alignment horizontal="centerContinuous"/>
    </xf>
    <xf numFmtId="0" fontId="43" fillId="0" borderId="0" xfId="0" applyFont="1" applyFill="1" applyAlignment="1" applyProtection="1">
      <alignment horizontal="centerContinuous"/>
    </xf>
    <xf numFmtId="49" fontId="43" fillId="0" borderId="0" xfId="0" applyNumberFormat="1" applyFont="1" applyFill="1"/>
    <xf numFmtId="0" fontId="43" fillId="0" borderId="0" xfId="0" quotePrefix="1" applyNumberFormat="1" applyFont="1" applyFill="1" applyAlignment="1">
      <alignment horizontal="left" indent="1"/>
    </xf>
    <xf numFmtId="0" fontId="43" fillId="0" borderId="0" xfId="0" applyNumberFormat="1" applyFont="1" applyFill="1" applyAlignment="1">
      <alignment horizontal="left" indent="2"/>
    </xf>
    <xf numFmtId="42" fontId="43" fillId="0" borderId="17" xfId="7" applyFont="1" applyFill="1" applyBorder="1" applyAlignment="1"/>
    <xf numFmtId="49" fontId="43" fillId="0" borderId="0" xfId="0" quotePrefix="1" applyNumberFormat="1" applyFont="1" applyFill="1" applyAlignment="1">
      <alignment horizontal="left"/>
    </xf>
    <xf numFmtId="0" fontId="43" fillId="0" borderId="0" xfId="0" applyNumberFormat="1" applyFont="1" applyFill="1" applyAlignment="1">
      <alignment horizontal="left" indent="1"/>
    </xf>
    <xf numFmtId="0" fontId="43" fillId="0" borderId="0" xfId="0" applyNumberFormat="1" applyFont="1" applyFill="1"/>
    <xf numFmtId="49" fontId="43" fillId="0" borderId="0" xfId="0" applyNumberFormat="1" applyFont="1" applyFill="1" applyAlignment="1">
      <alignment horizontal="left" indent="1"/>
    </xf>
    <xf numFmtId="0" fontId="43" fillId="0" borderId="0" xfId="0" applyFont="1" applyFill="1" applyBorder="1"/>
    <xf numFmtId="0" fontId="43" fillId="0" borderId="0" xfId="0" applyNumberFormat="1" applyFont="1" applyFill="1" applyAlignment="1">
      <alignment horizontal="center"/>
    </xf>
    <xf numFmtId="42" fontId="43" fillId="0" borderId="17" xfId="0" applyNumberFormat="1" applyFont="1" applyFill="1" applyBorder="1"/>
    <xf numFmtId="0" fontId="43" fillId="0" borderId="0" xfId="0" applyNumberFormat="1" applyFont="1" applyFill="1" applyAlignment="1">
      <alignment horizontal="left" indent="3"/>
    </xf>
    <xf numFmtId="49" fontId="43" fillId="0" borderId="0" xfId="0" applyNumberFormat="1" applyFont="1" applyFill="1" applyAlignment="1">
      <alignment horizontal="left"/>
    </xf>
    <xf numFmtId="168" fontId="43" fillId="0" borderId="0" xfId="0" applyNumberFormat="1" applyFont="1" applyFill="1" applyAlignment="1">
      <alignment horizontal="left" indent="4"/>
    </xf>
    <xf numFmtId="42" fontId="43" fillId="0" borderId="0" xfId="0" applyNumberFormat="1" applyFont="1" applyFill="1"/>
    <xf numFmtId="42" fontId="43" fillId="0" borderId="0" xfId="0" applyNumberFormat="1" applyFont="1" applyFill="1" applyBorder="1"/>
    <xf numFmtId="49" fontId="43" fillId="0" borderId="0" xfId="0" applyNumberFormat="1" applyFont="1" applyFill="1" applyBorder="1"/>
    <xf numFmtId="0" fontId="43" fillId="0" borderId="0" xfId="0" quotePrefix="1" applyNumberFormat="1" applyFont="1" applyFill="1" applyBorder="1" applyAlignment="1">
      <alignment horizontal="left"/>
    </xf>
    <xf numFmtId="0" fontId="43" fillId="0" borderId="0" xfId="0" applyFont="1" applyFill="1" applyBorder="1" applyAlignment="1">
      <alignment horizontal="centerContinuous"/>
    </xf>
    <xf numFmtId="0" fontId="55" fillId="0" borderId="0" xfId="0" applyFont="1" applyFill="1"/>
    <xf numFmtId="0" fontId="55" fillId="0" borderId="0" xfId="0" applyFont="1" applyFill="1" applyAlignment="1">
      <alignment horizontal="centerContinuous"/>
    </xf>
    <xf numFmtId="0" fontId="55" fillId="0" borderId="0" xfId="0" applyFont="1" applyFill="1" applyAlignment="1" applyProtection="1">
      <alignment horizontal="center"/>
      <protection locked="0"/>
    </xf>
    <xf numFmtId="0" fontId="55" fillId="0" borderId="0" xfId="0" quotePrefix="1" applyFont="1" applyFill="1" applyAlignment="1" applyProtection="1">
      <alignment horizontal="center"/>
      <protection locked="0"/>
    </xf>
    <xf numFmtId="0" fontId="56" fillId="0" borderId="0" xfId="0" applyFont="1" applyFill="1"/>
    <xf numFmtId="0" fontId="56" fillId="0" borderId="0" xfId="0" applyFont="1" applyFill="1" applyAlignment="1"/>
    <xf numFmtId="174" fontId="53" fillId="0" borderId="0" xfId="2" applyNumberFormat="1" applyFont="1" applyFill="1" applyAlignment="1"/>
    <xf numFmtId="174" fontId="43" fillId="0" borderId="0" xfId="0" applyNumberFormat="1" applyFont="1" applyFill="1" applyProtection="1"/>
    <xf numFmtId="49" fontId="43" fillId="0" borderId="0" xfId="0" applyNumberFormat="1" applyFont="1" applyFill="1" applyAlignment="1">
      <alignment horizontal="right"/>
    </xf>
    <xf numFmtId="0" fontId="43" fillId="0" borderId="0" xfId="0" quotePrefix="1" applyFont="1" applyFill="1" applyAlignment="1">
      <alignment horizontal="left"/>
    </xf>
    <xf numFmtId="166" fontId="43" fillId="0" borderId="0" xfId="0" applyNumberFormat="1" applyFont="1" applyFill="1" applyProtection="1"/>
    <xf numFmtId="173" fontId="43" fillId="0" borderId="0" xfId="0" applyNumberFormat="1" applyFont="1" applyFill="1"/>
    <xf numFmtId="5" fontId="43" fillId="0" borderId="0" xfId="0" applyNumberFormat="1" applyFont="1" applyFill="1" applyProtection="1"/>
    <xf numFmtId="0" fontId="43" fillId="0" borderId="0" xfId="20" applyNumberFormat="1" applyFont="1" applyFill="1" applyBorder="1"/>
    <xf numFmtId="0" fontId="43" fillId="0" borderId="0" xfId="0" applyFont="1" applyFill="1" applyAlignment="1">
      <alignment horizontal="right"/>
    </xf>
    <xf numFmtId="0" fontId="56" fillId="0" borderId="0" xfId="0" applyFont="1" applyFill="1" applyAlignment="1">
      <alignment horizontal="centerContinuous"/>
    </xf>
    <xf numFmtId="0" fontId="43" fillId="0" borderId="1" xfId="0" applyFont="1" applyBorder="1" applyAlignment="1">
      <alignment horizontal="justify" wrapText="1"/>
    </xf>
    <xf numFmtId="0" fontId="55" fillId="0" borderId="0" xfId="0" applyFont="1" applyAlignment="1">
      <alignment horizontal="center"/>
    </xf>
    <xf numFmtId="0" fontId="55" fillId="0" borderId="0" xfId="0" applyFont="1" applyAlignment="1">
      <alignment horizontal="centerContinuous"/>
    </xf>
    <xf numFmtId="0" fontId="55" fillId="0" borderId="0" xfId="0" applyFont="1" applyAlignment="1" applyProtection="1">
      <alignment horizontal="centerContinuous"/>
      <protection locked="0"/>
    </xf>
    <xf numFmtId="0" fontId="55" fillId="0" borderId="0" xfId="0" applyFont="1"/>
    <xf numFmtId="0" fontId="56" fillId="0" borderId="0" xfId="0" applyFont="1"/>
    <xf numFmtId="0" fontId="56" fillId="0" borderId="0" xfId="0" applyFont="1" applyAlignment="1">
      <alignment horizontal="centerContinuous"/>
    </xf>
    <xf numFmtId="37" fontId="56" fillId="0" borderId="0" xfId="0" applyNumberFormat="1" applyFont="1" applyProtection="1"/>
    <xf numFmtId="37" fontId="55" fillId="0" borderId="0" xfId="0" applyNumberFormat="1" applyFont="1" applyAlignment="1">
      <alignment horizontal="centerContinuous"/>
    </xf>
    <xf numFmtId="37" fontId="56" fillId="0" borderId="0" xfId="0" applyNumberFormat="1" applyFont="1" applyAlignment="1" applyProtection="1">
      <alignment horizontal="centerContinuous"/>
    </xf>
    <xf numFmtId="0" fontId="43" fillId="0" borderId="0" xfId="0" applyFont="1" applyBorder="1" applyAlignment="1">
      <alignment horizontal="center"/>
    </xf>
    <xf numFmtId="0" fontId="56" fillId="0" borderId="0" xfId="0" applyFont="1" applyAlignment="1">
      <alignment horizontal="left"/>
    </xf>
    <xf numFmtId="0" fontId="57" fillId="0" borderId="0" xfId="0" applyFont="1"/>
    <xf numFmtId="49" fontId="43" fillId="0" borderId="0" xfId="0" applyNumberFormat="1" applyFont="1" applyAlignment="1">
      <alignment horizontal="centerContinuous"/>
    </xf>
    <xf numFmtId="0" fontId="42" fillId="0" borderId="0" xfId="0" applyFont="1" applyFill="1" applyProtection="1"/>
    <xf numFmtId="42" fontId="43" fillId="0" borderId="0" xfId="7" applyFont="1" applyFill="1" applyAlignment="1">
      <alignment horizontal="centerContinuous"/>
    </xf>
    <xf numFmtId="41" fontId="43" fillId="0" borderId="0" xfId="2" applyFont="1" applyFill="1" applyAlignment="1">
      <alignment horizontal="centerContinuous"/>
    </xf>
    <xf numFmtId="165" fontId="42" fillId="0" borderId="0" xfId="0" applyNumberFormat="1" applyFont="1" applyFill="1" applyProtection="1"/>
    <xf numFmtId="0" fontId="42" fillId="0" borderId="0" xfId="0" quotePrefix="1" applyFont="1" applyFill="1" applyAlignment="1">
      <alignment horizontal="center"/>
    </xf>
    <xf numFmtId="171" fontId="43" fillId="0" borderId="11" xfId="2" applyNumberFormat="1" applyFont="1" applyFill="1" applyBorder="1" applyAlignment="1"/>
    <xf numFmtId="0" fontId="42" fillId="0" borderId="0" xfId="0" applyFont="1" applyBorder="1" applyAlignment="1">
      <alignment horizontal="left"/>
    </xf>
    <xf numFmtId="42" fontId="42" fillId="0" borderId="0" xfId="7" applyFont="1" applyAlignment="1"/>
    <xf numFmtId="41" fontId="54" fillId="0" borderId="0" xfId="2" applyFont="1" applyAlignment="1">
      <alignment horizontal="center"/>
    </xf>
    <xf numFmtId="0" fontId="42" fillId="0" borderId="0" xfId="0" applyFont="1" applyAlignment="1">
      <alignment horizontal="left" indent="7"/>
    </xf>
    <xf numFmtId="172" fontId="43" fillId="0" borderId="0" xfId="2" applyNumberFormat="1" applyFont="1" applyAlignment="1"/>
    <xf numFmtId="171" fontId="43" fillId="0" borderId="11" xfId="2" applyNumberFormat="1" applyFont="1" applyBorder="1" applyAlignment="1"/>
    <xf numFmtId="0" fontId="47" fillId="0" borderId="0" xfId="0" applyFont="1" applyAlignment="1">
      <alignment horizontal="centerContinuous"/>
    </xf>
    <xf numFmtId="0" fontId="42" fillId="0" borderId="0" xfId="0" applyFont="1" applyBorder="1" applyAlignment="1">
      <alignment horizontal="center" wrapText="1"/>
    </xf>
    <xf numFmtId="42" fontId="43" fillId="0" borderId="0" xfId="0" applyNumberFormat="1" applyFont="1" applyBorder="1" applyAlignment="1"/>
    <xf numFmtId="41" fontId="43" fillId="0" borderId="0" xfId="0" applyNumberFormat="1" applyFont="1" applyBorder="1" applyAlignment="1">
      <alignment horizontal="left"/>
    </xf>
    <xf numFmtId="41" fontId="43" fillId="0" borderId="0" xfId="0" applyNumberFormat="1" applyFont="1" applyBorder="1" applyAlignment="1"/>
    <xf numFmtId="41" fontId="43" fillId="0" borderId="0" xfId="0" quotePrefix="1" applyNumberFormat="1" applyFont="1" applyBorder="1" applyAlignment="1"/>
    <xf numFmtId="178" fontId="43" fillId="0" borderId="0" xfId="27" applyNumberFormat="1" applyFont="1" applyBorder="1" applyProtection="1"/>
    <xf numFmtId="3" fontId="43" fillId="0" borderId="0" xfId="0" applyNumberFormat="1" applyFont="1"/>
    <xf numFmtId="178" fontId="43" fillId="0" borderId="0" xfId="27" applyNumberFormat="1" applyFont="1" applyProtection="1"/>
    <xf numFmtId="178" fontId="43" fillId="0" borderId="0" xfId="0" applyNumberFormat="1" applyFont="1" applyBorder="1" applyAlignment="1">
      <alignment horizontal="right"/>
    </xf>
    <xf numFmtId="0" fontId="42" fillId="0" borderId="0" xfId="0" applyFont="1" applyAlignment="1">
      <alignment horizontal="right"/>
    </xf>
    <xf numFmtId="0" fontId="56" fillId="0" borderId="19" xfId="0" applyFont="1" applyBorder="1" applyAlignment="1" applyProtection="1">
      <alignment horizontal="centerContinuous"/>
      <protection locked="0"/>
    </xf>
    <xf numFmtId="0" fontId="43" fillId="0" borderId="19" xfId="0" applyFont="1" applyBorder="1" applyAlignment="1">
      <alignment horizontal="centerContinuous"/>
    </xf>
    <xf numFmtId="41" fontId="42" fillId="0" borderId="0" xfId="2" applyFont="1" applyAlignment="1"/>
    <xf numFmtId="0" fontId="43" fillId="0" borderId="0" xfId="15" applyFont="1"/>
    <xf numFmtId="0" fontId="43" fillId="0" borderId="0" xfId="15" applyFont="1" applyBorder="1"/>
    <xf numFmtId="0" fontId="43" fillId="0" borderId="14" xfId="15" applyFont="1" applyBorder="1"/>
    <xf numFmtId="0" fontId="43" fillId="0" borderId="0" xfId="15" applyFont="1" applyAlignment="1">
      <alignment horizontal="center"/>
    </xf>
    <xf numFmtId="168" fontId="43" fillId="0" borderId="0" xfId="4" applyNumberFormat="1" applyFont="1"/>
    <xf numFmtId="10" fontId="43" fillId="0" borderId="0" xfId="27" applyNumberFormat="1" applyFont="1"/>
    <xf numFmtId="10" fontId="43" fillId="0" borderId="0" xfId="27" applyNumberFormat="1" applyFont="1" applyFill="1"/>
    <xf numFmtId="168" fontId="43" fillId="0" borderId="14" xfId="15" applyNumberFormat="1" applyFont="1" applyBorder="1"/>
    <xf numFmtId="10" fontId="43" fillId="0" borderId="14" xfId="27" applyNumberFormat="1" applyFont="1" applyBorder="1"/>
    <xf numFmtId="10" fontId="43" fillId="0" borderId="0" xfId="27" applyNumberFormat="1" applyFont="1" applyBorder="1"/>
    <xf numFmtId="10" fontId="43" fillId="0" borderId="20" xfId="27" applyNumberFormat="1" applyFont="1" applyBorder="1"/>
    <xf numFmtId="0" fontId="43" fillId="0" borderId="0" xfId="15" applyFont="1" applyFill="1"/>
    <xf numFmtId="0" fontId="43" fillId="0" borderId="0" xfId="15" applyFont="1" applyFill="1" applyAlignment="1">
      <alignment horizontal="left" indent="1"/>
    </xf>
    <xf numFmtId="0" fontId="43" fillId="0" borderId="0" xfId="15" applyNumberFormat="1" applyFont="1" applyAlignment="1"/>
    <xf numFmtId="37" fontId="42" fillId="0" borderId="0" xfId="15" applyNumberFormat="1" applyFont="1" applyAlignment="1">
      <alignment horizontal="centerContinuous"/>
    </xf>
    <xf numFmtId="0" fontId="43" fillId="0" borderId="0" xfId="0" applyFont="1" applyAlignment="1">
      <alignment horizontal="centerContinuous" wrapText="1"/>
    </xf>
    <xf numFmtId="0" fontId="43" fillId="0" borderId="0" xfId="15" applyFont="1" applyAlignment="1">
      <alignment horizontal="left"/>
    </xf>
    <xf numFmtId="0" fontId="43" fillId="0" borderId="0" xfId="15" applyFont="1" applyAlignment="1"/>
    <xf numFmtId="0" fontId="43" fillId="0" borderId="0" xfId="15" applyFont="1" applyFill="1" applyAlignment="1"/>
    <xf numFmtId="176" fontId="43" fillId="0" borderId="0" xfId="15" applyNumberFormat="1" applyFont="1" applyAlignment="1">
      <alignment horizontal="center"/>
    </xf>
    <xf numFmtId="168" fontId="43" fillId="0" borderId="0" xfId="15" applyNumberFormat="1" applyFont="1"/>
    <xf numFmtId="10" fontId="43" fillId="0" borderId="0" xfId="27" applyNumberFormat="1" applyFont="1" applyAlignment="1">
      <alignment horizontal="center"/>
    </xf>
    <xf numFmtId="168" fontId="43" fillId="0" borderId="14" xfId="4" applyNumberFormat="1" applyFont="1" applyBorder="1"/>
    <xf numFmtId="10" fontId="43" fillId="0" borderId="14" xfId="15" applyNumberFormat="1" applyFont="1" applyBorder="1"/>
    <xf numFmtId="168" fontId="43" fillId="0" borderId="20" xfId="4" applyNumberFormat="1" applyFont="1" applyBorder="1"/>
    <xf numFmtId="41" fontId="43" fillId="0" borderId="0" xfId="15" applyNumberFormat="1" applyFont="1" applyFill="1"/>
    <xf numFmtId="41" fontId="43" fillId="0" borderId="0" xfId="15" applyNumberFormat="1" applyFont="1"/>
    <xf numFmtId="0" fontId="43" fillId="0" borderId="0" xfId="15" applyFont="1" applyAlignment="1">
      <alignment horizontal="left" indent="1"/>
    </xf>
    <xf numFmtId="0" fontId="43" fillId="0" borderId="0" xfId="15" applyFont="1" applyAlignment="1">
      <alignment horizontal="centerContinuous"/>
    </xf>
    <xf numFmtId="168" fontId="43" fillId="0" borderId="0" xfId="4" applyNumberFormat="1" applyFont="1" applyFill="1"/>
    <xf numFmtId="0" fontId="43" fillId="0" borderId="0" xfId="15" applyFont="1" applyFill="1" applyBorder="1" applyAlignment="1">
      <alignment horizontal="center"/>
    </xf>
    <xf numFmtId="43" fontId="43" fillId="0" borderId="0" xfId="4" applyFont="1"/>
    <xf numFmtId="168" fontId="43" fillId="0" borderId="0" xfId="4" applyNumberFormat="1" applyFont="1" applyAlignment="1">
      <alignment horizontal="centerContinuous"/>
    </xf>
    <xf numFmtId="37" fontId="43" fillId="0" borderId="0" xfId="15" applyNumberFormat="1" applyFont="1" applyAlignment="1">
      <alignment horizontal="centerContinuous"/>
    </xf>
    <xf numFmtId="164" fontId="42" fillId="0" borderId="0" xfId="0" applyNumberFormat="1" applyFont="1" applyBorder="1" applyProtection="1"/>
    <xf numFmtId="165" fontId="42" fillId="0" borderId="0" xfId="0" applyNumberFormat="1" applyFont="1" applyBorder="1" applyProtection="1"/>
    <xf numFmtId="0" fontId="42" fillId="0" borderId="0" xfId="15" applyFont="1" applyBorder="1"/>
    <xf numFmtId="0" fontId="50" fillId="0" borderId="0" xfId="0" applyFont="1" applyBorder="1" applyProtection="1">
      <protection locked="0"/>
    </xf>
    <xf numFmtId="37" fontId="42" fillId="0" borderId="0" xfId="0" applyNumberFormat="1" applyFont="1" applyBorder="1" applyAlignment="1">
      <alignment horizontal="centerContinuous"/>
    </xf>
    <xf numFmtId="39" fontId="43" fillId="0" borderId="0" xfId="0" applyNumberFormat="1" applyFont="1" applyAlignment="1" applyProtection="1">
      <alignment horizontal="centerContinuous"/>
    </xf>
    <xf numFmtId="0" fontId="43" fillId="0" borderId="0" xfId="24" applyFont="1" applyFill="1" applyAlignment="1">
      <alignment horizontal="left"/>
    </xf>
    <xf numFmtId="0" fontId="43" fillId="0" borderId="0" xfId="24" applyFont="1" applyFill="1"/>
    <xf numFmtId="0" fontId="43" fillId="0" borderId="0" xfId="24" applyFont="1" applyFill="1" applyBorder="1"/>
    <xf numFmtId="0" fontId="43" fillId="0" borderId="0" xfId="24" applyFont="1" applyFill="1" applyBorder="1" applyAlignment="1">
      <alignment horizontal="center"/>
    </xf>
    <xf numFmtId="0" fontId="43" fillId="0" borderId="0" xfId="24" applyFont="1" applyFill="1" applyAlignment="1">
      <alignment horizontal="center"/>
    </xf>
    <xf numFmtId="7" fontId="43" fillId="0" borderId="0" xfId="24" applyNumberFormat="1" applyFont="1" applyFill="1"/>
    <xf numFmtId="44" fontId="43" fillId="0" borderId="0" xfId="11" applyFont="1" applyFill="1"/>
    <xf numFmtId="44" fontId="43" fillId="0" borderId="0" xfId="11" applyFont="1" applyFill="1" applyAlignment="1">
      <alignment horizontal="center"/>
    </xf>
    <xf numFmtId="44" fontId="43" fillId="0" borderId="0" xfId="11" applyFont="1" applyFill="1" applyAlignment="1">
      <alignment horizontal="right"/>
    </xf>
    <xf numFmtId="0" fontId="43" fillId="0" borderId="0" xfId="24" applyFont="1" applyFill="1" applyBorder="1" applyAlignment="1">
      <alignment horizontal="left"/>
    </xf>
    <xf numFmtId="44" fontId="43" fillId="0" borderId="0" xfId="11" applyFont="1" applyFill="1" applyBorder="1" applyAlignment="1">
      <alignment horizontal="right"/>
    </xf>
    <xf numFmtId="0" fontId="43" fillId="0" borderId="0" xfId="24" applyFont="1" applyFill="1" applyBorder="1" applyAlignment="1">
      <alignment horizontal="right"/>
    </xf>
    <xf numFmtId="44" fontId="43" fillId="0" borderId="0" xfId="24" applyNumberFormat="1" applyFont="1" applyFill="1" applyBorder="1" applyAlignment="1">
      <alignment horizontal="right"/>
    </xf>
    <xf numFmtId="0" fontId="43" fillId="0" borderId="0" xfId="24" applyFont="1"/>
    <xf numFmtId="0" fontId="43" fillId="0" borderId="0" xfId="24" applyFont="1" applyFill="1" applyAlignment="1">
      <alignment horizontal="centerContinuous"/>
    </xf>
    <xf numFmtId="179" fontId="42" fillId="0" borderId="0" xfId="24" applyNumberFormat="1" applyFont="1" applyFill="1" applyAlignment="1"/>
    <xf numFmtId="179" fontId="42" fillId="0" borderId="0" xfId="24" applyNumberFormat="1" applyFont="1" applyFill="1"/>
    <xf numFmtId="37" fontId="42" fillId="0" borderId="0" xfId="24" applyNumberFormat="1" applyFont="1" applyFill="1" applyAlignment="1">
      <alignment horizontal="centerContinuous"/>
    </xf>
    <xf numFmtId="0" fontId="43" fillId="0" borderId="0" xfId="18" applyFont="1" applyFill="1"/>
    <xf numFmtId="37" fontId="43" fillId="0" borderId="0" xfId="18" applyNumberFormat="1" applyFont="1" applyFill="1"/>
    <xf numFmtId="37" fontId="43" fillId="0" borderId="0" xfId="18" applyNumberFormat="1" applyFont="1" applyFill="1" applyAlignment="1">
      <alignment horizontal="left"/>
    </xf>
    <xf numFmtId="0" fontId="43" fillId="0" borderId="0" xfId="18" applyFont="1" applyFill="1" applyBorder="1"/>
    <xf numFmtId="0" fontId="43" fillId="0" borderId="0" xfId="18" applyFont="1" applyFill="1" applyAlignment="1">
      <alignment horizontal="center"/>
    </xf>
    <xf numFmtId="43" fontId="43" fillId="0" borderId="0" xfId="18" applyNumberFormat="1" applyFont="1" applyFill="1"/>
    <xf numFmtId="0" fontId="43" fillId="0" borderId="0" xfId="18" applyFont="1"/>
    <xf numFmtId="0" fontId="43" fillId="0" borderId="0" xfId="18" applyFont="1" applyBorder="1"/>
    <xf numFmtId="44" fontId="43" fillId="0" borderId="0" xfId="18" applyNumberFormat="1" applyFont="1" applyBorder="1"/>
    <xf numFmtId="37" fontId="42" fillId="0" borderId="0" xfId="18" applyNumberFormat="1" applyFont="1" applyAlignment="1">
      <alignment horizontal="centerContinuous"/>
    </xf>
    <xf numFmtId="0" fontId="42" fillId="0" borderId="0" xfId="18" applyFont="1" applyAlignment="1">
      <alignment horizontal="centerContinuous"/>
    </xf>
    <xf numFmtId="0" fontId="42" fillId="0" borderId="11" xfId="0" applyFont="1" applyBorder="1" applyAlignment="1">
      <alignment horizontal="centerContinuous"/>
    </xf>
    <xf numFmtId="0" fontId="43" fillId="0" borderId="0" xfId="0" applyFont="1" applyAlignment="1">
      <alignment vertical="top"/>
    </xf>
    <xf numFmtId="0" fontId="43" fillId="0" borderId="0" xfId="21" applyFont="1" applyFill="1" applyAlignment="1">
      <alignment horizontal="left"/>
    </xf>
    <xf numFmtId="0" fontId="43" fillId="0" borderId="0" xfId="21" applyFont="1" applyFill="1"/>
    <xf numFmtId="0" fontId="43" fillId="0" borderId="0" xfId="21" applyFont="1" applyFill="1" applyAlignment="1"/>
    <xf numFmtId="7" fontId="43" fillId="0" borderId="0" xfId="21" applyNumberFormat="1" applyFont="1" applyFill="1" applyAlignment="1">
      <alignment horizontal="center"/>
    </xf>
    <xf numFmtId="44" fontId="43" fillId="0" borderId="0" xfId="10" applyFont="1" applyFill="1" applyAlignment="1">
      <alignment horizontal="left"/>
    </xf>
    <xf numFmtId="44" fontId="43" fillId="0" borderId="0" xfId="10" applyFont="1" applyFill="1" applyAlignment="1">
      <alignment horizontal="center"/>
    </xf>
    <xf numFmtId="44" fontId="43" fillId="0" borderId="0" xfId="10" applyFont="1" applyFill="1" applyBorder="1" applyAlignment="1">
      <alignment horizontal="center"/>
    </xf>
    <xf numFmtId="8" fontId="43" fillId="0" borderId="0" xfId="10" applyNumberFormat="1" applyFont="1" applyFill="1" applyAlignment="1">
      <alignment horizontal="center"/>
    </xf>
    <xf numFmtId="8" fontId="43" fillId="0" borderId="0" xfId="10" applyNumberFormat="1" applyFont="1" applyFill="1" applyBorder="1" applyAlignment="1"/>
    <xf numFmtId="180" fontId="43" fillId="0" borderId="0" xfId="21" applyNumberFormat="1" applyFont="1" applyFill="1" applyAlignment="1"/>
    <xf numFmtId="8" fontId="43" fillId="0" borderId="0" xfId="10" applyNumberFormat="1" applyFont="1" applyFill="1" applyAlignment="1"/>
    <xf numFmtId="180" fontId="43" fillId="0" borderId="0" xfId="21" applyNumberFormat="1" applyFont="1" applyFill="1"/>
    <xf numFmtId="168" fontId="43" fillId="0" borderId="0" xfId="6" applyNumberFormat="1" applyFont="1" applyFill="1"/>
    <xf numFmtId="0" fontId="43" fillId="0" borderId="0" xfId="21" applyFont="1"/>
    <xf numFmtId="0" fontId="42" fillId="0" borderId="0" xfId="21" applyFont="1" applyAlignment="1">
      <alignment horizontal="centerContinuous"/>
    </xf>
    <xf numFmtId="0" fontId="42" fillId="0" borderId="0" xfId="0" quotePrefix="1" applyFont="1" applyAlignment="1">
      <alignment horizontal="fill"/>
    </xf>
    <xf numFmtId="39" fontId="43" fillId="0" borderId="0" xfId="0" applyNumberFormat="1" applyFont="1" applyBorder="1" applyProtection="1"/>
    <xf numFmtId="167" fontId="43" fillId="0" borderId="0" xfId="0" applyNumberFormat="1" applyFont="1" applyBorder="1" applyProtection="1"/>
    <xf numFmtId="167" fontId="43" fillId="0" borderId="0" xfId="0" applyNumberFormat="1" applyFont="1" applyProtection="1"/>
    <xf numFmtId="167" fontId="43" fillId="0" borderId="0" xfId="0" applyNumberFormat="1" applyFont="1" applyAlignment="1" applyProtection="1">
      <alignment horizontal="centerContinuous"/>
    </xf>
    <xf numFmtId="0" fontId="42" fillId="0" borderId="1" xfId="0" applyFont="1" applyBorder="1" applyAlignment="1">
      <alignment horizontal="center"/>
    </xf>
    <xf numFmtId="7" fontId="43" fillId="0" borderId="0" xfId="21" applyNumberFormat="1" applyFont="1" applyFill="1" applyBorder="1" applyAlignment="1">
      <alignment horizontal="center"/>
    </xf>
    <xf numFmtId="0" fontId="43" fillId="0" borderId="0" xfId="0" quotePrefix="1" applyFont="1" applyAlignment="1">
      <alignment horizontal="left"/>
    </xf>
    <xf numFmtId="41" fontId="42" fillId="0" borderId="16" xfId="2" quotePrefix="1" applyFont="1" applyBorder="1" applyAlignment="1">
      <alignment horizontal="centerContinuous"/>
    </xf>
    <xf numFmtId="41" fontId="46" fillId="0" borderId="16" xfId="2" applyFont="1" applyBorder="1" applyAlignment="1">
      <alignment horizontal="centerContinuous"/>
    </xf>
    <xf numFmtId="41" fontId="46" fillId="0" borderId="16" xfId="2" quotePrefix="1" applyFont="1" applyBorder="1" applyAlignment="1">
      <alignment horizontal="centerContinuous"/>
    </xf>
    <xf numFmtId="0" fontId="43" fillId="0" borderId="0" xfId="0" quotePrefix="1" applyFont="1" applyFill="1" applyBorder="1" applyAlignment="1">
      <alignment horizontal="center"/>
    </xf>
    <xf numFmtId="0" fontId="43" fillId="0" borderId="0" xfId="0" applyFont="1" applyFill="1" applyBorder="1" applyAlignment="1">
      <alignment horizontal="center"/>
    </xf>
    <xf numFmtId="0" fontId="43" fillId="0" borderId="0" xfId="0" applyFont="1" applyFill="1" applyBorder="1" applyAlignment="1">
      <alignment horizontal="right"/>
    </xf>
    <xf numFmtId="2" fontId="43" fillId="0" borderId="0" xfId="0" applyNumberFormat="1" applyFont="1" applyBorder="1" applyAlignment="1">
      <alignment horizontal="center"/>
    </xf>
    <xf numFmtId="0" fontId="42" fillId="0" borderId="0" xfId="22" applyFont="1" applyFill="1" applyAlignment="1">
      <alignment horizontal="left"/>
    </xf>
    <xf numFmtId="3" fontId="42" fillId="0" borderId="0" xfId="25" applyNumberFormat="1" applyFont="1" applyFill="1" applyAlignment="1">
      <alignment horizontal="left"/>
    </xf>
    <xf numFmtId="39" fontId="42" fillId="0" borderId="0" xfId="0" applyNumberFormat="1" applyFont="1" applyAlignment="1" applyProtection="1">
      <alignment horizontal="left"/>
    </xf>
    <xf numFmtId="0" fontId="43" fillId="0" borderId="22" xfId="0" applyFont="1" applyBorder="1" applyAlignment="1">
      <alignment horizontal="right"/>
    </xf>
    <xf numFmtId="0" fontId="43" fillId="0" borderId="0" xfId="21" applyFont="1" applyFill="1" applyBorder="1"/>
    <xf numFmtId="0" fontId="2" fillId="0" borderId="0" xfId="19" applyAlignment="1">
      <alignment horizontal="left"/>
    </xf>
    <xf numFmtId="41" fontId="43" fillId="0" borderId="0" xfId="2" applyNumberFormat="1" applyFont="1" applyAlignment="1"/>
    <xf numFmtId="41" fontId="43" fillId="0" borderId="11" xfId="2" applyNumberFormat="1" applyFont="1" applyBorder="1" applyAlignment="1"/>
    <xf numFmtId="41" fontId="43" fillId="0" borderId="0" xfId="0" applyNumberFormat="1" applyFont="1" applyAlignment="1">
      <alignment horizontal="left"/>
    </xf>
    <xf numFmtId="176" fontId="43" fillId="0" borderId="0" xfId="0" quotePrefix="1" applyNumberFormat="1" applyFont="1" applyBorder="1" applyAlignment="1">
      <alignment horizontal="centerContinuous"/>
    </xf>
    <xf numFmtId="0" fontId="43" fillId="0" borderId="11" xfId="0" applyFont="1" applyBorder="1" applyAlignment="1">
      <alignment horizontal="center"/>
    </xf>
    <xf numFmtId="10" fontId="56" fillId="0" borderId="11" xfId="0" applyNumberFormat="1" applyFont="1" applyFill="1" applyBorder="1" applyAlignment="1">
      <alignment horizontal="center" vertical="top" wrapText="1"/>
    </xf>
    <xf numFmtId="42" fontId="43" fillId="0" borderId="18" xfId="0" applyNumberFormat="1" applyFont="1" applyBorder="1" applyAlignment="1">
      <alignment horizontal="left"/>
    </xf>
    <xf numFmtId="44" fontId="43" fillId="0" borderId="0" xfId="0" applyNumberFormat="1" applyFont="1" applyFill="1" applyBorder="1" applyAlignment="1">
      <alignment horizontal="left"/>
    </xf>
    <xf numFmtId="0" fontId="43" fillId="0" borderId="0" xfId="0" applyFont="1" applyAlignment="1">
      <alignment horizontal="center" wrapText="1"/>
    </xf>
    <xf numFmtId="0" fontId="13" fillId="0" borderId="0" xfId="0" applyFont="1" applyAlignment="1">
      <alignment wrapText="1"/>
    </xf>
    <xf numFmtId="0" fontId="13" fillId="0" borderId="0" xfId="0" quotePrefix="1" applyFont="1" applyAlignment="1">
      <alignment horizontal="center" wrapText="1"/>
    </xf>
    <xf numFmtId="0" fontId="13" fillId="0" borderId="0" xfId="0" applyFont="1" applyAlignment="1">
      <alignment horizontal="center" wrapText="1"/>
    </xf>
    <xf numFmtId="0" fontId="13" fillId="0" borderId="0" xfId="0" quotePrefix="1" applyFont="1"/>
    <xf numFmtId="17" fontId="43" fillId="0" borderId="0" xfId="0" quotePrefix="1" applyNumberFormat="1" applyFont="1" applyBorder="1" applyAlignment="1" applyProtection="1">
      <alignment horizontal="left"/>
    </xf>
    <xf numFmtId="188" fontId="43" fillId="0" borderId="0" xfId="0" quotePrefix="1" applyNumberFormat="1" applyFont="1" applyBorder="1" applyAlignment="1" applyProtection="1">
      <alignment horizontal="left"/>
    </xf>
    <xf numFmtId="39" fontId="59" fillId="0" borderId="0" xfId="19" applyNumberFormat="1" applyFont="1" applyBorder="1" applyAlignment="1">
      <alignment wrapText="1"/>
    </xf>
    <xf numFmtId="37" fontId="59" fillId="0" borderId="0" xfId="19" applyNumberFormat="1" applyFont="1" applyAlignment="1">
      <alignment horizontal="right"/>
    </xf>
    <xf numFmtId="0" fontId="59" fillId="0" borderId="0" xfId="19" applyFont="1"/>
    <xf numFmtId="0" fontId="60" fillId="0" borderId="0" xfId="19" applyFont="1"/>
    <xf numFmtId="39" fontId="59" fillId="0" borderId="0" xfId="19" applyNumberFormat="1" applyFont="1" applyBorder="1" applyAlignment="1">
      <alignment horizontal="right" wrapText="1"/>
    </xf>
    <xf numFmtId="41" fontId="59" fillId="0" borderId="0" xfId="19" applyNumberFormat="1" applyFont="1" applyAlignment="1">
      <alignment horizontal="right"/>
    </xf>
    <xf numFmtId="0" fontId="59" fillId="0" borderId="0" xfId="19" applyFont="1" applyAlignment="1">
      <alignment horizontal="right"/>
    </xf>
    <xf numFmtId="0" fontId="59" fillId="0" borderId="0" xfId="19" applyFont="1" applyBorder="1"/>
    <xf numFmtId="39" fontId="59" fillId="0" borderId="0" xfId="19" applyNumberFormat="1" applyFont="1" applyBorder="1"/>
    <xf numFmtId="39" fontId="59" fillId="0" borderId="0" xfId="19" applyNumberFormat="1" applyFont="1" applyFill="1" applyBorder="1"/>
    <xf numFmtId="39" fontId="43" fillId="0" borderId="0" xfId="0" applyNumberFormat="1" applyFont="1" applyBorder="1"/>
    <xf numFmtId="41" fontId="43" fillId="0" borderId="23" xfId="2" applyFont="1" applyBorder="1" applyAlignment="1"/>
    <xf numFmtId="39" fontId="20" fillId="2" borderId="0" xfId="19" applyNumberFormat="1" applyFont="1" applyFill="1"/>
    <xf numFmtId="37" fontId="20" fillId="0" borderId="0" xfId="19" applyNumberFormat="1" applyFont="1" applyFill="1" applyBorder="1"/>
    <xf numFmtId="39" fontId="20" fillId="0" borderId="0" xfId="19" applyNumberFormat="1" applyFont="1" applyBorder="1" applyAlignment="1">
      <alignment horizontal="right"/>
    </xf>
    <xf numFmtId="0" fontId="20" fillId="0" borderId="0" xfId="19" applyFont="1" applyFill="1"/>
    <xf numFmtId="0" fontId="20" fillId="0" borderId="0" xfId="19" applyFont="1" applyFill="1" applyAlignment="1">
      <alignment horizontal="left"/>
    </xf>
    <xf numFmtId="0" fontId="20" fillId="0" borderId="0" xfId="19" applyFont="1" applyBorder="1"/>
    <xf numFmtId="0" fontId="61" fillId="0" borderId="0" xfId="19" applyFont="1" applyAlignment="1">
      <alignment horizontal="centerContinuous"/>
    </xf>
    <xf numFmtId="37" fontId="61" fillId="0" borderId="0" xfId="19" applyNumberFormat="1" applyFont="1" applyAlignment="1">
      <alignment horizontal="centerContinuous"/>
    </xf>
    <xf numFmtId="37" fontId="20" fillId="0" borderId="0" xfId="19" applyNumberFormat="1" applyFont="1" applyAlignment="1">
      <alignment horizontal="centerContinuous"/>
    </xf>
    <xf numFmtId="41" fontId="43" fillId="0" borderId="0" xfId="0" applyNumberFormat="1" applyFont="1" applyFill="1" applyAlignment="1">
      <alignment horizontal="left"/>
    </xf>
    <xf numFmtId="39" fontId="59" fillId="0" borderId="24" xfId="19" applyNumberFormat="1" applyFont="1" applyBorder="1" applyAlignment="1">
      <alignment wrapText="1"/>
    </xf>
    <xf numFmtId="39" fontId="59" fillId="0" borderId="24" xfId="19" applyNumberFormat="1" applyFont="1" applyFill="1" applyBorder="1"/>
    <xf numFmtId="0" fontId="42" fillId="0" borderId="0" xfId="19" applyFont="1"/>
    <xf numFmtId="0" fontId="43" fillId="0" borderId="0" xfId="19" applyFont="1"/>
    <xf numFmtId="0" fontId="43" fillId="0" borderId="0" xfId="19" applyFont="1" applyAlignment="1">
      <alignment horizontal="left"/>
    </xf>
    <xf numFmtId="39" fontId="43" fillId="0" borderId="0" xfId="19" applyNumberFormat="1" applyFont="1"/>
    <xf numFmtId="0" fontId="43" fillId="0" borderId="0" xfId="19" applyFont="1" applyAlignment="1">
      <alignment horizontal="right"/>
    </xf>
    <xf numFmtId="37" fontId="42" fillId="0" borderId="0" xfId="19" applyNumberFormat="1" applyFont="1" applyAlignment="1">
      <alignment horizontal="center"/>
    </xf>
    <xf numFmtId="37" fontId="43" fillId="0" borderId="0" xfId="19" applyNumberFormat="1" applyFont="1" applyAlignment="1">
      <alignment horizontal="center"/>
    </xf>
    <xf numFmtId="0" fontId="43" fillId="0" borderId="0" xfId="19" quotePrefix="1" applyFont="1" applyAlignment="1">
      <alignment horizontal="right"/>
    </xf>
    <xf numFmtId="0" fontId="42" fillId="0" borderId="0" xfId="19" quotePrefix="1" applyFont="1" applyAlignment="1">
      <alignment horizontal="right"/>
    </xf>
    <xf numFmtId="0" fontId="42" fillId="0" borderId="0" xfId="19" applyFont="1" applyAlignment="1">
      <alignment horizontal="left"/>
    </xf>
    <xf numFmtId="0" fontId="42" fillId="0" borderId="0" xfId="19" applyFont="1" applyAlignment="1">
      <alignment horizontal="right"/>
    </xf>
    <xf numFmtId="0" fontId="43" fillId="0" borderId="0" xfId="19" applyFont="1" applyAlignment="1">
      <alignment horizontal="center"/>
    </xf>
    <xf numFmtId="37" fontId="43" fillId="0" borderId="0" xfId="19" applyNumberFormat="1" applyFont="1" applyFill="1" applyAlignment="1">
      <alignment horizontal="center"/>
    </xf>
    <xf numFmtId="41" fontId="43" fillId="0" borderId="0" xfId="19" applyNumberFormat="1" applyFont="1"/>
    <xf numFmtId="37" fontId="43" fillId="0" borderId="0" xfId="19" quotePrefix="1" applyNumberFormat="1" applyFont="1" applyAlignment="1">
      <alignment horizontal="center"/>
    </xf>
    <xf numFmtId="0" fontId="48" fillId="0" borderId="0" xfId="19" applyFont="1"/>
    <xf numFmtId="43" fontId="43" fillId="0" borderId="0" xfId="19" applyNumberFormat="1" applyFont="1" applyAlignment="1">
      <alignment horizontal="center"/>
    </xf>
    <xf numFmtId="41" fontId="43" fillId="0" borderId="10" xfId="19" applyNumberFormat="1" applyFont="1" applyBorder="1"/>
    <xf numFmtId="41" fontId="43" fillId="0" borderId="0" xfId="19" applyNumberFormat="1" applyFont="1" applyFill="1"/>
    <xf numFmtId="0" fontId="43" fillId="0" borderId="0" xfId="19" quotePrefix="1" applyFont="1" applyAlignment="1">
      <alignment horizontal="left"/>
    </xf>
    <xf numFmtId="10" fontId="43" fillId="0" borderId="0" xfId="19" applyNumberFormat="1" applyFont="1"/>
    <xf numFmtId="39" fontId="43" fillId="0" borderId="0" xfId="19" applyNumberFormat="1" applyFont="1" applyBorder="1"/>
    <xf numFmtId="39" fontId="43" fillId="0" borderId="0" xfId="19" applyNumberFormat="1" applyFont="1" applyBorder="1" applyAlignment="1">
      <alignment horizontal="center"/>
    </xf>
    <xf numFmtId="39" fontId="42" fillId="0" borderId="10" xfId="19" applyNumberFormat="1" applyFont="1" applyBorder="1" applyAlignment="1">
      <alignment horizontal="center" wrapText="1"/>
    </xf>
    <xf numFmtId="14" fontId="42" fillId="0" borderId="10" xfId="5" quotePrefix="1" applyNumberFormat="1" applyFont="1" applyFill="1" applyBorder="1" applyAlignment="1">
      <alignment horizontal="center" wrapText="1"/>
    </xf>
    <xf numFmtId="43" fontId="42" fillId="0" borderId="0" xfId="5" applyFont="1" applyFill="1" applyBorder="1" applyAlignment="1">
      <alignment horizontal="center" wrapText="1"/>
    </xf>
    <xf numFmtId="43" fontId="42" fillId="0" borderId="0" xfId="5" quotePrefix="1" applyFont="1" applyFill="1" applyBorder="1" applyAlignment="1">
      <alignment horizontal="center" wrapText="1"/>
    </xf>
    <xf numFmtId="39" fontId="42" fillId="0" borderId="0" xfId="19" applyNumberFormat="1" applyFont="1" applyBorder="1" applyAlignment="1">
      <alignment horizontal="right"/>
    </xf>
    <xf numFmtId="39" fontId="43" fillId="0" borderId="0" xfId="19" applyNumberFormat="1" applyFont="1" applyFill="1" applyBorder="1"/>
    <xf numFmtId="39" fontId="43" fillId="0" borderId="0" xfId="19" quotePrefix="1" applyNumberFormat="1" applyFont="1" applyBorder="1" applyAlignment="1">
      <alignment horizontal="right"/>
    </xf>
    <xf numFmtId="39" fontId="43" fillId="0" borderId="0" xfId="19" applyNumberFormat="1" applyFont="1" applyBorder="1" applyAlignment="1">
      <alignment horizontal="right"/>
    </xf>
    <xf numFmtId="39" fontId="42" fillId="0" borderId="0" xfId="19" applyNumberFormat="1" applyFont="1" applyBorder="1" applyAlignment="1">
      <alignment horizontal="center"/>
    </xf>
    <xf numFmtId="39" fontId="43" fillId="0" borderId="0" xfId="19" quotePrefix="1" applyNumberFormat="1" applyFont="1" applyBorder="1"/>
    <xf numFmtId="39" fontId="42" fillId="0" borderId="0" xfId="19" applyNumberFormat="1" applyFont="1" applyBorder="1" applyAlignment="1">
      <alignment horizontal="left"/>
    </xf>
    <xf numFmtId="39" fontId="43" fillId="0" borderId="0" xfId="19" applyNumberFormat="1" applyFont="1" applyFill="1" applyBorder="1" applyAlignment="1">
      <alignment horizontal="right"/>
    </xf>
    <xf numFmtId="39" fontId="43" fillId="0" borderId="0" xfId="19" applyNumberFormat="1" applyFont="1" applyFill="1" applyBorder="1" applyAlignment="1"/>
    <xf numFmtId="39" fontId="43" fillId="0" borderId="0" xfId="19" applyNumberFormat="1" applyFont="1" applyBorder="1" applyAlignment="1"/>
    <xf numFmtId="39" fontId="43" fillId="0" borderId="0" xfId="19" quotePrefix="1" applyNumberFormat="1" applyFont="1" applyFill="1" applyBorder="1"/>
    <xf numFmtId="39" fontId="43" fillId="0" borderId="0" xfId="19" quotePrefix="1" applyNumberFormat="1" applyFont="1" applyFill="1" applyBorder="1" applyAlignment="1">
      <alignment horizontal="right"/>
    </xf>
    <xf numFmtId="39" fontId="42" fillId="0" borderId="0" xfId="19" applyNumberFormat="1" applyFont="1" applyBorder="1"/>
    <xf numFmtId="39" fontId="43" fillId="0" borderId="0" xfId="19" applyNumberFormat="1" applyFont="1" applyAlignment="1">
      <alignment horizontal="right"/>
    </xf>
    <xf numFmtId="39" fontId="43" fillId="0" borderId="0" xfId="19" applyNumberFormat="1" applyFont="1" applyFill="1"/>
    <xf numFmtId="176" fontId="43" fillId="0" borderId="0" xfId="19" applyNumberFormat="1" applyFont="1"/>
    <xf numFmtId="176" fontId="43" fillId="0" borderId="0" xfId="19" applyNumberFormat="1" applyFont="1" applyBorder="1" applyAlignment="1">
      <alignment horizontal="center"/>
    </xf>
    <xf numFmtId="176" fontId="43" fillId="0" borderId="0" xfId="19" applyNumberFormat="1" applyFont="1" applyBorder="1"/>
    <xf numFmtId="176" fontId="43" fillId="0" borderId="0" xfId="19" applyNumberFormat="1" applyFont="1" applyFill="1" applyBorder="1"/>
    <xf numFmtId="176" fontId="42" fillId="0" borderId="0" xfId="19" applyNumberFormat="1" applyFont="1" applyBorder="1" applyAlignment="1">
      <alignment horizontal="center"/>
    </xf>
    <xf numFmtId="176" fontId="42" fillId="0" borderId="0" xfId="19" applyNumberFormat="1" applyFont="1" applyBorder="1"/>
    <xf numFmtId="41" fontId="43" fillId="0" borderId="0" xfId="19" applyNumberFormat="1" applyFont="1" applyFill="1" applyBorder="1"/>
    <xf numFmtId="41" fontId="43" fillId="0" borderId="0" xfId="19" quotePrefix="1" applyNumberFormat="1" applyFont="1" applyBorder="1" applyAlignment="1">
      <alignment horizontal="right"/>
    </xf>
    <xf numFmtId="38" fontId="43" fillId="0" borderId="14" xfId="19" applyNumberFormat="1" applyFont="1" applyBorder="1"/>
    <xf numFmtId="38" fontId="43" fillId="0" borderId="0" xfId="19" applyNumberFormat="1" applyFont="1" applyFill="1"/>
    <xf numFmtId="38" fontId="43" fillId="0" borderId="0" xfId="19" applyNumberFormat="1" applyFont="1" applyFill="1" applyBorder="1"/>
    <xf numFmtId="0" fontId="42" fillId="0" borderId="5" xfId="19" applyFont="1" applyBorder="1" applyAlignment="1">
      <alignment horizontal="left"/>
    </xf>
    <xf numFmtId="37" fontId="43" fillId="0" borderId="14" xfId="19" applyNumberFormat="1" applyFont="1" applyBorder="1" applyAlignment="1">
      <alignment horizontal="center"/>
    </xf>
    <xf numFmtId="0" fontId="42" fillId="0" borderId="4" xfId="19" applyFont="1" applyBorder="1" applyAlignment="1">
      <alignment horizontal="left"/>
    </xf>
    <xf numFmtId="37" fontId="43" fillId="0" borderId="0" xfId="19" applyNumberFormat="1" applyFont="1" applyBorder="1" applyAlignment="1">
      <alignment horizontal="center"/>
    </xf>
    <xf numFmtId="0" fontId="42" fillId="0" borderId="8" xfId="19" applyFont="1" applyBorder="1" applyAlignment="1">
      <alignment horizontal="left"/>
    </xf>
    <xf numFmtId="37" fontId="43" fillId="0" borderId="10" xfId="19" applyNumberFormat="1" applyFont="1" applyBorder="1" applyAlignment="1">
      <alignment horizontal="center"/>
    </xf>
    <xf numFmtId="0" fontId="42" fillId="0" borderId="0" xfId="19" applyFont="1" applyBorder="1" applyAlignment="1">
      <alignment horizontal="left"/>
    </xf>
    <xf numFmtId="37" fontId="42" fillId="0" borderId="14" xfId="19" applyNumberFormat="1" applyFont="1" applyBorder="1" applyAlignment="1">
      <alignment horizontal="center"/>
    </xf>
    <xf numFmtId="37" fontId="42" fillId="0" borderId="0" xfId="19" applyNumberFormat="1" applyFont="1" applyBorder="1" applyAlignment="1">
      <alignment horizontal="center"/>
    </xf>
    <xf numFmtId="37" fontId="42" fillId="0" borderId="10" xfId="19" applyNumberFormat="1" applyFont="1" applyBorder="1" applyAlignment="1">
      <alignment horizontal="center"/>
    </xf>
    <xf numFmtId="0" fontId="43" fillId="0" borderId="0" xfId="19" applyFont="1" applyBorder="1" applyAlignment="1">
      <alignment horizontal="center"/>
    </xf>
    <xf numFmtId="5" fontId="43" fillId="0" borderId="0" xfId="0" applyNumberFormat="1" applyFont="1" applyAlignment="1" applyProtection="1">
      <alignment horizontal="center"/>
    </xf>
    <xf numFmtId="0" fontId="48" fillId="0" borderId="0" xfId="0" applyFont="1" applyFill="1"/>
    <xf numFmtId="0" fontId="48" fillId="0" borderId="0" xfId="0" quotePrefix="1" applyFont="1" applyAlignment="1">
      <alignment horizontal="center"/>
    </xf>
    <xf numFmtId="41" fontId="47" fillId="0" borderId="0" xfId="0" applyNumberFormat="1" applyFont="1"/>
    <xf numFmtId="0" fontId="42" fillId="0" borderId="11" xfId="0" applyFont="1" applyBorder="1" applyAlignment="1">
      <alignment horizontal="center" wrapText="1"/>
    </xf>
    <xf numFmtId="41" fontId="42" fillId="0" borderId="11" xfId="2" applyFont="1" applyBorder="1" applyAlignment="1">
      <alignment horizontal="center" wrapText="1"/>
    </xf>
    <xf numFmtId="0" fontId="42" fillId="0" borderId="0" xfId="19" applyFont="1" applyFill="1" applyAlignment="1">
      <alignment horizontal="left"/>
    </xf>
    <xf numFmtId="0" fontId="43" fillId="0" borderId="0" xfId="19" applyFont="1" applyBorder="1"/>
    <xf numFmtId="10" fontId="43" fillId="0" borderId="0" xfId="19" applyNumberFormat="1" applyFont="1" applyBorder="1"/>
    <xf numFmtId="39" fontId="42" fillId="0" borderId="0" xfId="19" applyNumberFormat="1" applyFont="1" applyFill="1" applyBorder="1" applyAlignment="1">
      <alignment horizontal="center"/>
    </xf>
    <xf numFmtId="39" fontId="59" fillId="0" borderId="0" xfId="19" applyNumberFormat="1" applyFont="1" applyBorder="1" applyAlignment="1">
      <alignment horizontal="left"/>
    </xf>
    <xf numFmtId="39" fontId="59" fillId="0" borderId="24" xfId="19" applyNumberFormat="1" applyFont="1" applyBorder="1" applyAlignment="1">
      <alignment horizontal="left"/>
    </xf>
    <xf numFmtId="41" fontId="43" fillId="0" borderId="0" xfId="0" applyNumberFormat="1" applyFont="1" applyBorder="1" applyAlignment="1">
      <alignment horizontal="center"/>
    </xf>
    <xf numFmtId="41" fontId="64" fillId="0" borderId="0" xfId="2" applyFont="1" applyFill="1" applyBorder="1" applyAlignment="1"/>
    <xf numFmtId="0" fontId="43" fillId="0" borderId="0" xfId="0" applyFont="1" applyAlignment="1">
      <alignment horizontal="left" indent="1"/>
    </xf>
    <xf numFmtId="43" fontId="42" fillId="0" borderId="10" xfId="19" applyNumberFormat="1" applyFont="1" applyBorder="1" applyAlignment="1">
      <alignment horizontal="center" wrapText="1"/>
    </xf>
    <xf numFmtId="43" fontId="42" fillId="0" borderId="10" xfId="5" applyNumberFormat="1" applyFont="1" applyFill="1" applyBorder="1" applyAlignment="1">
      <alignment horizontal="center" wrapText="1"/>
    </xf>
    <xf numFmtId="43" fontId="42" fillId="0" borderId="0" xfId="19" applyNumberFormat="1" applyFont="1" applyBorder="1" applyAlignment="1">
      <alignment horizontal="right"/>
    </xf>
    <xf numFmtId="43" fontId="43" fillId="0" borderId="0" xfId="19" applyNumberFormat="1" applyFont="1" applyFill="1" applyBorder="1"/>
    <xf numFmtId="43" fontId="43" fillId="0" borderId="0" xfId="19" quotePrefix="1" applyNumberFormat="1" applyFont="1" applyBorder="1" applyAlignment="1">
      <alignment horizontal="right"/>
    </xf>
    <xf numFmtId="43" fontId="43" fillId="0" borderId="0" xfId="19" applyNumberFormat="1" applyFont="1" applyBorder="1" applyAlignment="1">
      <alignment horizontal="right"/>
    </xf>
    <xf numFmtId="43" fontId="42" fillId="0" borderId="14" xfId="19" applyNumberFormat="1" applyFont="1" applyBorder="1" applyAlignment="1">
      <alignment horizontal="right"/>
    </xf>
    <xf numFmtId="43" fontId="43" fillId="0" borderId="22" xfId="19" applyNumberFormat="1" applyFont="1" applyFill="1" applyBorder="1"/>
    <xf numFmtId="43" fontId="43" fillId="0" borderId="0" xfId="19" applyNumberFormat="1" applyFont="1" applyFill="1" applyBorder="1" applyAlignment="1"/>
    <xf numFmtId="43" fontId="43" fillId="0" borderId="0" xfId="19" applyNumberFormat="1" applyFont="1" applyBorder="1" applyAlignment="1"/>
    <xf numFmtId="43" fontId="42" fillId="0" borderId="0" xfId="19" applyNumberFormat="1" applyFont="1" applyBorder="1" applyAlignment="1">
      <alignment horizontal="left"/>
    </xf>
    <xf numFmtId="43" fontId="43" fillId="0" borderId="0" xfId="19" applyNumberFormat="1" applyFont="1" applyFill="1" applyBorder="1" applyAlignment="1">
      <alignment horizontal="right"/>
    </xf>
    <xf numFmtId="43" fontId="43" fillId="0" borderId="0" xfId="19" applyNumberFormat="1" applyFont="1" applyAlignment="1">
      <alignment horizontal="right"/>
    </xf>
    <xf numFmtId="43" fontId="43" fillId="0" borderId="0" xfId="19" applyNumberFormat="1" applyFont="1" applyFill="1"/>
    <xf numFmtId="43" fontId="20" fillId="0" borderId="0" xfId="19" applyNumberFormat="1" applyFont="1" applyAlignment="1">
      <alignment horizontal="right"/>
    </xf>
    <xf numFmtId="43" fontId="20" fillId="0" borderId="10" xfId="19" applyNumberFormat="1" applyFont="1" applyBorder="1" applyAlignment="1">
      <alignment horizontal="right"/>
    </xf>
    <xf numFmtId="43" fontId="19" fillId="0" borderId="0" xfId="19" applyNumberFormat="1" applyFont="1" applyAlignment="1">
      <alignment horizontal="right"/>
    </xf>
    <xf numFmtId="43" fontId="19" fillId="0" borderId="11" xfId="19" applyNumberFormat="1" applyFont="1" applyBorder="1" applyAlignment="1">
      <alignment horizontal="right"/>
    </xf>
    <xf numFmtId="43" fontId="20" fillId="0" borderId="0" xfId="19" applyNumberFormat="1" applyFont="1" applyBorder="1" applyAlignment="1">
      <alignment horizontal="right"/>
    </xf>
    <xf numFmtId="43" fontId="19" fillId="0" borderId="20" xfId="19" applyNumberFormat="1" applyFont="1" applyBorder="1" applyAlignment="1">
      <alignment horizontal="right"/>
    </xf>
    <xf numFmtId="43" fontId="59" fillId="0" borderId="0" xfId="19" applyNumberFormat="1" applyFont="1" applyBorder="1" applyAlignment="1">
      <alignment horizontal="right"/>
    </xf>
    <xf numFmtId="43" fontId="59" fillId="0" borderId="0" xfId="19" applyNumberFormat="1" applyFont="1" applyAlignment="1">
      <alignment horizontal="right"/>
    </xf>
    <xf numFmtId="43" fontId="20" fillId="0" borderId="11" xfId="19" applyNumberFormat="1" applyFont="1" applyBorder="1" applyAlignment="1">
      <alignment horizontal="right"/>
    </xf>
    <xf numFmtId="43" fontId="19" fillId="0" borderId="0" xfId="19" applyNumberFormat="1" applyFont="1" applyBorder="1" applyAlignment="1">
      <alignment horizontal="right"/>
    </xf>
    <xf numFmtId="43" fontId="59" fillId="0" borderId="24" xfId="19" applyNumberFormat="1" applyFont="1" applyBorder="1" applyAlignment="1">
      <alignment horizontal="right"/>
    </xf>
    <xf numFmtId="43" fontId="59" fillId="0" borderId="0" xfId="19" applyNumberFormat="1" applyFont="1"/>
    <xf numFmtId="43" fontId="19" fillId="0" borderId="0" xfId="19" applyNumberFormat="1" applyFont="1"/>
    <xf numFmtId="43" fontId="20" fillId="0" borderId="0" xfId="19" applyNumberFormat="1" applyFont="1"/>
    <xf numFmtId="43" fontId="19" fillId="0" borderId="20" xfId="19" applyNumberFormat="1" applyFont="1" applyBorder="1"/>
    <xf numFmtId="43" fontId="19" fillId="0" borderId="0" xfId="19" applyNumberFormat="1" applyFont="1" applyBorder="1"/>
    <xf numFmtId="43" fontId="59" fillId="0" borderId="0" xfId="19" applyNumberFormat="1" applyFont="1" applyBorder="1"/>
    <xf numFmtId="43" fontId="20" fillId="0" borderId="0" xfId="19" applyNumberFormat="1" applyFont="1" applyFill="1" applyBorder="1"/>
    <xf numFmtId="43" fontId="20" fillId="0" borderId="10" xfId="19" applyNumberFormat="1" applyFont="1" applyFill="1" applyBorder="1"/>
    <xf numFmtId="43" fontId="20" fillId="0" borderId="14" xfId="19" applyNumberFormat="1" applyFont="1" applyFill="1" applyBorder="1"/>
    <xf numFmtId="43" fontId="20" fillId="0" borderId="0" xfId="19" applyNumberFormat="1" applyFont="1" applyBorder="1"/>
    <xf numFmtId="43" fontId="59" fillId="0" borderId="0" xfId="19" applyNumberFormat="1" applyFont="1" applyFill="1" applyBorder="1"/>
    <xf numFmtId="43" fontId="19" fillId="0" borderId="0" xfId="19" applyNumberFormat="1" applyFont="1" applyFill="1" applyBorder="1"/>
    <xf numFmtId="43" fontId="59" fillId="0" borderId="24" xfId="19" applyNumberFormat="1" applyFont="1" applyFill="1" applyBorder="1"/>
    <xf numFmtId="43" fontId="43" fillId="0" borderId="0" xfId="19" applyNumberFormat="1" applyFont="1"/>
    <xf numFmtId="43" fontId="43" fillId="0" borderId="0" xfId="19" applyNumberFormat="1" applyFont="1" applyBorder="1"/>
    <xf numFmtId="43" fontId="42" fillId="0" borderId="14" xfId="19" applyNumberFormat="1" applyFont="1" applyBorder="1"/>
    <xf numFmtId="43" fontId="42" fillId="0" borderId="0" xfId="19" applyNumberFormat="1" applyFont="1" applyBorder="1"/>
    <xf numFmtId="43" fontId="42" fillId="0" borderId="0" xfId="19" applyNumberFormat="1" applyFont="1"/>
    <xf numFmtId="43" fontId="42" fillId="0" borderId="10" xfId="19" applyNumberFormat="1" applyFont="1" applyBorder="1"/>
    <xf numFmtId="43" fontId="43" fillId="0" borderId="0" xfId="19" applyNumberFormat="1" applyFont="1" applyAlignment="1"/>
    <xf numFmtId="43" fontId="43" fillId="0" borderId="0" xfId="19" applyNumberFormat="1" applyFont="1" applyBorder="1" applyAlignment="1">
      <alignment horizontal="center"/>
    </xf>
    <xf numFmtId="43" fontId="43" fillId="0" borderId="10" xfId="19" applyNumberFormat="1" applyFont="1" applyBorder="1"/>
    <xf numFmtId="43" fontId="43" fillId="0" borderId="14" xfId="19" applyNumberFormat="1" applyFont="1" applyBorder="1"/>
    <xf numFmtId="43" fontId="43" fillId="0" borderId="15" xfId="19" applyNumberFormat="1" applyFont="1" applyBorder="1"/>
    <xf numFmtId="37" fontId="43" fillId="0" borderId="0" xfId="2" applyNumberFormat="1" applyFont="1" applyFill="1" applyBorder="1" applyAlignment="1"/>
    <xf numFmtId="43" fontId="20" fillId="0" borderId="23" xfId="19" applyNumberFormat="1" applyFont="1" applyFill="1" applyBorder="1"/>
    <xf numFmtId="176" fontId="20" fillId="0" borderId="0" xfId="19" applyNumberFormat="1" applyFont="1" applyBorder="1" applyAlignment="1">
      <alignment horizontal="left" wrapText="1"/>
    </xf>
    <xf numFmtId="0" fontId="44" fillId="0" borderId="0" xfId="0" applyFont="1" applyBorder="1"/>
    <xf numFmtId="0" fontId="44" fillId="0" borderId="0" xfId="0" applyFont="1" applyBorder="1" applyAlignment="1">
      <alignment horizontal="center"/>
    </xf>
    <xf numFmtId="0" fontId="44" fillId="0" borderId="0" xfId="0" applyFont="1" applyAlignment="1">
      <alignment horizontal="left"/>
    </xf>
    <xf numFmtId="0" fontId="44" fillId="0" borderId="0" xfId="0" applyFont="1" applyAlignment="1">
      <alignment horizontal="center"/>
    </xf>
    <xf numFmtId="176" fontId="44" fillId="0" borderId="0" xfId="0" applyNumberFormat="1" applyFont="1" applyAlignment="1">
      <alignment horizontal="center"/>
    </xf>
    <xf numFmtId="0" fontId="44" fillId="0" borderId="0" xfId="0" quotePrefix="1" applyFont="1" applyAlignment="1">
      <alignment horizontal="center"/>
    </xf>
    <xf numFmtId="41" fontId="65" fillId="0" borderId="0" xfId="2" applyFont="1" applyAlignment="1">
      <alignment horizontal="centerContinuous"/>
    </xf>
    <xf numFmtId="41" fontId="65" fillId="0" borderId="0" xfId="2" applyFont="1" applyAlignment="1">
      <alignment horizontal="center"/>
    </xf>
    <xf numFmtId="41" fontId="47" fillId="0" borderId="11" xfId="2" quotePrefix="1" applyFont="1" applyBorder="1" applyAlignment="1">
      <alignment horizontal="center" wrapText="1"/>
    </xf>
    <xf numFmtId="41" fontId="47" fillId="0" borderId="0" xfId="2" quotePrefix="1" applyFont="1" applyBorder="1" applyAlignment="1">
      <alignment horizontal="center" wrapText="1"/>
    </xf>
    <xf numFmtId="0" fontId="47" fillId="0" borderId="11" xfId="0" applyFont="1" applyBorder="1" applyAlignment="1">
      <alignment horizontal="center"/>
    </xf>
    <xf numFmtId="0" fontId="44" fillId="0" borderId="0" xfId="0" applyFont="1" applyAlignment="1">
      <alignment horizontal="centerContinuous"/>
    </xf>
    <xf numFmtId="0" fontId="66" fillId="0" borderId="0" xfId="0" applyFont="1"/>
    <xf numFmtId="43" fontId="47" fillId="0" borderId="0" xfId="2" applyNumberFormat="1" applyFont="1" applyAlignment="1"/>
    <xf numFmtId="43" fontId="47" fillId="0" borderId="0" xfId="0" applyNumberFormat="1" applyFont="1"/>
    <xf numFmtId="0" fontId="66" fillId="0" borderId="0" xfId="0" applyFont="1" applyBorder="1"/>
    <xf numFmtId="43" fontId="47" fillId="0" borderId="0" xfId="2" applyNumberFormat="1" applyFont="1" applyBorder="1" applyAlignment="1"/>
    <xf numFmtId="43" fontId="47" fillId="0" borderId="0" xfId="7" applyNumberFormat="1" applyFont="1" applyBorder="1" applyAlignment="1"/>
    <xf numFmtId="43" fontId="67" fillId="0" borderId="0" xfId="7" applyNumberFormat="1" applyFont="1" applyBorder="1" applyAlignment="1"/>
    <xf numFmtId="37" fontId="47" fillId="0" borderId="0" xfId="0" applyNumberFormat="1" applyFont="1" applyBorder="1" applyProtection="1"/>
    <xf numFmtId="0" fontId="44" fillId="0" borderId="25" xfId="0" applyFont="1" applyBorder="1"/>
    <xf numFmtId="0" fontId="44" fillId="0" borderId="23" xfId="0" applyFont="1" applyBorder="1" applyAlignment="1">
      <alignment horizontal="center"/>
    </xf>
    <xf numFmtId="37" fontId="47" fillId="0" borderId="23" xfId="0" applyNumberFormat="1" applyFont="1" applyBorder="1" applyProtection="1"/>
    <xf numFmtId="0" fontId="47" fillId="0" borderId="23" xfId="0" applyFont="1" applyBorder="1"/>
    <xf numFmtId="0" fontId="47" fillId="0" borderId="28" xfId="0" applyFont="1" applyBorder="1"/>
    <xf numFmtId="0" fontId="44" fillId="0" borderId="26" xfId="0" applyFont="1" applyBorder="1"/>
    <xf numFmtId="41" fontId="47" fillId="0" borderId="0" xfId="0" applyNumberFormat="1" applyFont="1" applyBorder="1"/>
    <xf numFmtId="41" fontId="47" fillId="0" borderId="29" xfId="0" applyNumberFormat="1" applyFont="1" applyBorder="1"/>
    <xf numFmtId="10" fontId="47" fillId="0" borderId="0" xfId="0" applyNumberFormat="1" applyFont="1" applyBorder="1"/>
    <xf numFmtId="10" fontId="47" fillId="0" borderId="29" xfId="0" applyNumberFormat="1" applyFont="1" applyBorder="1"/>
    <xf numFmtId="0" fontId="44" fillId="0" borderId="27" xfId="0" applyFont="1" applyBorder="1"/>
    <xf numFmtId="0" fontId="44" fillId="0" borderId="11" xfId="0" applyFont="1" applyBorder="1" applyAlignment="1">
      <alignment horizontal="center"/>
    </xf>
    <xf numFmtId="0" fontId="47" fillId="0" borderId="11" xfId="0" applyFont="1" applyBorder="1"/>
    <xf numFmtId="0" fontId="47" fillId="0" borderId="30" xfId="0" applyFont="1" applyBorder="1"/>
    <xf numFmtId="5" fontId="47" fillId="0" borderId="0" xfId="0" applyNumberFormat="1" applyFont="1" applyProtection="1"/>
    <xf numFmtId="5" fontId="47" fillId="0" borderId="0" xfId="0" applyNumberFormat="1" applyFont="1" applyAlignment="1" applyProtection="1">
      <alignment horizontal="center"/>
    </xf>
    <xf numFmtId="0" fontId="68" fillId="0" borderId="0" xfId="0" applyFont="1" applyProtection="1">
      <protection locked="0"/>
    </xf>
    <xf numFmtId="39" fontId="20" fillId="3" borderId="0" xfId="19" applyNumberFormat="1" applyFont="1" applyFill="1" applyBorder="1"/>
    <xf numFmtId="39" fontId="20" fillId="3" borderId="0" xfId="19" applyNumberFormat="1" applyFont="1" applyFill="1" applyBorder="1" applyAlignment="1">
      <alignment wrapText="1"/>
    </xf>
    <xf numFmtId="39" fontId="20" fillId="0" borderId="0" xfId="19" quotePrefix="1" applyNumberFormat="1" applyFont="1" applyBorder="1" applyAlignment="1">
      <alignment horizontal="center"/>
    </xf>
    <xf numFmtId="39" fontId="20" fillId="0" borderId="2" xfId="19" applyNumberFormat="1" applyFont="1" applyFill="1" applyBorder="1"/>
    <xf numFmtId="43" fontId="20" fillId="0" borderId="13" xfId="19" applyNumberFormat="1" applyFont="1" applyFill="1" applyBorder="1"/>
    <xf numFmtId="43" fontId="20" fillId="0" borderId="31" xfId="19" applyNumberFormat="1" applyFont="1" applyFill="1" applyBorder="1"/>
    <xf numFmtId="43" fontId="19" fillId="0" borderId="20" xfId="19" applyNumberFormat="1" applyFont="1" applyFill="1" applyBorder="1"/>
    <xf numFmtId="39" fontId="19" fillId="0" borderId="0" xfId="19" applyNumberFormat="1" applyFont="1" applyFill="1" applyBorder="1"/>
    <xf numFmtId="43" fontId="19" fillId="0" borderId="23" xfId="19" applyNumberFormat="1" applyFont="1" applyFill="1" applyBorder="1"/>
    <xf numFmtId="37" fontId="43" fillId="0" borderId="0" xfId="2" applyNumberFormat="1" applyFont="1" applyFill="1" applyAlignment="1"/>
    <xf numFmtId="0" fontId="42" fillId="0" borderId="23" xfId="0" applyFont="1" applyFill="1" applyBorder="1" applyAlignment="1" applyProtection="1">
      <alignment horizontal="center"/>
    </xf>
    <xf numFmtId="49" fontId="42" fillId="0" borderId="23" xfId="0" applyNumberFormat="1" applyFont="1" applyFill="1" applyBorder="1"/>
    <xf numFmtId="0" fontId="42" fillId="0" borderId="23" xfId="0" applyFont="1" applyFill="1" applyBorder="1"/>
    <xf numFmtId="0" fontId="48" fillId="0" borderId="0" xfId="0" applyFont="1" applyAlignment="1">
      <alignment horizontal="left"/>
    </xf>
    <xf numFmtId="39" fontId="43" fillId="0" borderId="0" xfId="0" applyNumberFormat="1" applyFont="1"/>
    <xf numFmtId="185" fontId="43" fillId="0" borderId="0" xfId="0" applyNumberFormat="1" applyFont="1"/>
    <xf numFmtId="0" fontId="49" fillId="0" borderId="0" xfId="0" applyFont="1" applyAlignment="1">
      <alignment horizontal="left"/>
    </xf>
    <xf numFmtId="39" fontId="42" fillId="0" borderId="22" xfId="0" applyNumberFormat="1" applyFont="1" applyBorder="1"/>
    <xf numFmtId="43" fontId="43" fillId="0" borderId="13" xfId="19" quotePrefix="1" applyNumberFormat="1" applyFont="1" applyBorder="1" applyAlignment="1">
      <alignment horizontal="right"/>
    </xf>
    <xf numFmtId="43" fontId="43" fillId="0" borderId="13" xfId="19" applyNumberFormat="1" applyFont="1" applyBorder="1" applyAlignment="1">
      <alignment horizontal="right"/>
    </xf>
    <xf numFmtId="43" fontId="43" fillId="0" borderId="32" xfId="19" applyNumberFormat="1" applyFont="1" applyBorder="1"/>
    <xf numFmtId="49" fontId="42" fillId="0" borderId="0" xfId="0" quotePrefix="1" applyNumberFormat="1" applyFont="1" applyFill="1" applyAlignment="1">
      <alignment horizontal="left"/>
    </xf>
    <xf numFmtId="174" fontId="43" fillId="0" borderId="0" xfId="0" applyNumberFormat="1" applyFont="1" applyFill="1" applyBorder="1" applyProtection="1"/>
    <xf numFmtId="183" fontId="56" fillId="0" borderId="0" xfId="2" applyNumberFormat="1" applyFont="1" applyFill="1" applyBorder="1" applyAlignment="1"/>
    <xf numFmtId="0" fontId="43" fillId="0" borderId="0" xfId="0" quotePrefix="1" applyFont="1" applyFill="1"/>
    <xf numFmtId="0" fontId="43" fillId="0" borderId="0" xfId="0" applyFont="1" applyAlignment="1">
      <alignment horizontal="left" indent="6"/>
    </xf>
    <xf numFmtId="0" fontId="42" fillId="0" borderId="0" xfId="0" applyFont="1" applyAlignment="1">
      <alignment wrapText="1"/>
    </xf>
    <xf numFmtId="188" fontId="43" fillId="0" borderId="0" xfId="0" applyNumberFormat="1" applyFont="1" applyBorder="1" applyAlignment="1" applyProtection="1">
      <alignment horizontal="left"/>
    </xf>
    <xf numFmtId="189" fontId="43" fillId="0" borderId="0" xfId="0" applyNumberFormat="1" applyFont="1" applyBorder="1" applyAlignment="1" applyProtection="1">
      <alignment horizontal="left"/>
    </xf>
    <xf numFmtId="41" fontId="43" fillId="0" borderId="0" xfId="0" applyNumberFormat="1" applyFont="1" applyBorder="1" applyProtection="1"/>
    <xf numFmtId="42" fontId="43" fillId="0" borderId="0" xfId="0" applyNumberFormat="1" applyFont="1" applyBorder="1" applyProtection="1"/>
    <xf numFmtId="42" fontId="43" fillId="0" borderId="17" xfId="7" applyNumberFormat="1" applyFont="1" applyBorder="1" applyAlignment="1"/>
    <xf numFmtId="41" fontId="43" fillId="0" borderId="0" xfId="4" applyNumberFormat="1" applyFont="1"/>
    <xf numFmtId="5" fontId="43" fillId="0" borderId="0" xfId="4" applyNumberFormat="1" applyFont="1"/>
    <xf numFmtId="5" fontId="43" fillId="0" borderId="20" xfId="15" applyNumberFormat="1" applyFont="1" applyBorder="1"/>
    <xf numFmtId="43" fontId="43" fillId="0" borderId="0" xfId="0" applyNumberFormat="1" applyFont="1" applyFill="1"/>
    <xf numFmtId="49" fontId="43" fillId="0" borderId="0" xfId="0" applyNumberFormat="1" applyFont="1" applyFill="1" applyAlignment="1">
      <alignment horizontal="left" indent="6"/>
    </xf>
    <xf numFmtId="41" fontId="43" fillId="0" borderId="17" xfId="0" applyNumberFormat="1" applyFont="1" applyFill="1" applyBorder="1"/>
    <xf numFmtId="41" fontId="51" fillId="0" borderId="0" xfId="2" applyNumberFormat="1" applyFont="1" applyFill="1" applyAlignment="1"/>
    <xf numFmtId="41" fontId="51" fillId="0" borderId="0" xfId="0" applyNumberFormat="1" applyFont="1" applyFill="1" applyProtection="1"/>
    <xf numFmtId="0" fontId="43" fillId="0" borderId="0" xfId="19" applyFont="1" applyFill="1" applyAlignment="1">
      <alignment horizontal="center"/>
    </xf>
    <xf numFmtId="49" fontId="49" fillId="0" borderId="0" xfId="0" applyNumberFormat="1" applyFont="1"/>
    <xf numFmtId="0" fontId="43" fillId="0" borderId="0" xfId="16" applyFont="1" applyFill="1"/>
    <xf numFmtId="0" fontId="43" fillId="0" borderId="0" xfId="16" applyFont="1" applyFill="1" applyAlignment="1">
      <alignment horizontal="left"/>
    </xf>
    <xf numFmtId="0" fontId="43" fillId="0" borderId="0" xfId="26" applyFont="1" applyFill="1" applyBorder="1"/>
    <xf numFmtId="2" fontId="43" fillId="0" borderId="0" xfId="26" applyNumberFormat="1" applyFont="1" applyFill="1"/>
    <xf numFmtId="0" fontId="43" fillId="0" borderId="0" xfId="16" applyFont="1" applyFill="1" applyAlignment="1"/>
    <xf numFmtId="0" fontId="43" fillId="0" borderId="0" xfId="16" applyFont="1" applyFill="1" applyBorder="1" applyAlignment="1">
      <alignment horizontal="center"/>
    </xf>
    <xf numFmtId="0" fontId="49" fillId="0" borderId="0" xfId="16" applyFont="1" applyFill="1"/>
    <xf numFmtId="186" fontId="42" fillId="0" borderId="0" xfId="16" applyNumberFormat="1" applyFont="1" applyFill="1" applyBorder="1" applyAlignment="1">
      <alignment horizontal="left"/>
    </xf>
    <xf numFmtId="16" fontId="43" fillId="0" borderId="0" xfId="16" applyNumberFormat="1" applyFont="1" applyFill="1" applyAlignment="1">
      <alignment horizontal="left" indent="2"/>
    </xf>
    <xf numFmtId="0" fontId="43" fillId="0" borderId="0" xfId="16" applyFont="1" applyFill="1" applyBorder="1"/>
    <xf numFmtId="16" fontId="43" fillId="0" borderId="0" xfId="16" applyNumberFormat="1" applyFont="1" applyFill="1" applyAlignment="1">
      <alignment horizontal="right" indent="2"/>
    </xf>
    <xf numFmtId="3" fontId="43" fillId="0" borderId="0" xfId="26" applyNumberFormat="1" applyFont="1" applyFill="1"/>
    <xf numFmtId="0" fontId="42" fillId="0" borderId="0" xfId="16" applyFont="1" applyFill="1" applyAlignment="1"/>
    <xf numFmtId="0" fontId="43" fillId="0" borderId="0" xfId="16" applyFont="1" applyFill="1" applyAlignment="1">
      <alignment horizontal="center"/>
    </xf>
    <xf numFmtId="37" fontId="43" fillId="0" borderId="22" xfId="16" applyNumberFormat="1" applyFont="1" applyFill="1" applyBorder="1" applyAlignment="1"/>
    <xf numFmtId="0" fontId="43" fillId="0" borderId="0" xfId="26" applyFont="1" applyFill="1"/>
    <xf numFmtId="0" fontId="43" fillId="0" borderId="0" xfId="16" applyFont="1" applyFill="1" applyBorder="1" applyAlignment="1">
      <alignment horizontal="left" indent="2"/>
    </xf>
    <xf numFmtId="186" fontId="43" fillId="0" borderId="0" xfId="16" applyNumberFormat="1" applyFont="1" applyFill="1" applyBorder="1" applyAlignment="1">
      <alignment horizontal="center"/>
    </xf>
    <xf numFmtId="37" fontId="42" fillId="0" borderId="0" xfId="16" applyNumberFormat="1" applyFont="1" applyFill="1" applyAlignment="1"/>
    <xf numFmtId="8" fontId="43" fillId="0" borderId="0" xfId="16" applyNumberFormat="1" applyFont="1" applyFill="1" applyAlignment="1"/>
    <xf numFmtId="186" fontId="43" fillId="0" borderId="0" xfId="16" applyNumberFormat="1" applyFont="1" applyFill="1" applyBorder="1" applyAlignment="1">
      <alignment horizontal="left"/>
    </xf>
    <xf numFmtId="37" fontId="43" fillId="0" borderId="0" xfId="16" applyNumberFormat="1" applyFont="1" applyFill="1" applyAlignment="1"/>
    <xf numFmtId="37" fontId="43" fillId="0" borderId="0" xfId="16" applyNumberFormat="1" applyFont="1" applyFill="1" applyBorder="1" applyAlignment="1"/>
    <xf numFmtId="7" fontId="43" fillId="0" borderId="0" xfId="9" applyNumberFormat="1" applyFont="1" applyFill="1" applyBorder="1" applyAlignment="1">
      <alignment horizontal="right"/>
    </xf>
    <xf numFmtId="7" fontId="43" fillId="0" borderId="0" xfId="26" applyNumberFormat="1" applyFont="1" applyFill="1" applyAlignment="1">
      <alignment horizontal="right"/>
    </xf>
    <xf numFmtId="0" fontId="43" fillId="0" borderId="0" xfId="0" applyFont="1" applyFill="1" applyAlignment="1">
      <alignment horizontal="centerContinuous" wrapText="1"/>
    </xf>
    <xf numFmtId="0" fontId="48" fillId="0" borderId="0" xfId="0" applyFont="1"/>
    <xf numFmtId="49" fontId="43" fillId="0" borderId="0" xfId="0" quotePrefix="1" applyNumberFormat="1" applyFont="1" applyFill="1" applyAlignment="1">
      <alignment horizontal="left" indent="1"/>
    </xf>
    <xf numFmtId="182" fontId="43" fillId="0" borderId="0" xfId="7" applyNumberFormat="1" applyFont="1" applyAlignment="1"/>
    <xf numFmtId="182" fontId="43" fillId="0" borderId="0" xfId="0" applyNumberFormat="1" applyFont="1" applyAlignment="1"/>
    <xf numFmtId="182" fontId="43" fillId="0" borderId="0" xfId="0" applyNumberFormat="1" applyFont="1" applyAlignment="1" applyProtection="1"/>
    <xf numFmtId="182" fontId="43" fillId="0" borderId="0" xfId="0" quotePrefix="1" applyNumberFormat="1" applyFont="1" applyAlignment="1"/>
    <xf numFmtId="182" fontId="43" fillId="0" borderId="0" xfId="2" quotePrefix="1" applyNumberFormat="1" applyFont="1" applyAlignment="1"/>
    <xf numFmtId="10" fontId="43" fillId="0" borderId="2" xfId="2" applyNumberFormat="1" applyFont="1" applyFill="1" applyBorder="1" applyAlignment="1"/>
    <xf numFmtId="41" fontId="42" fillId="0" borderId="11" xfId="2" applyFont="1" applyFill="1" applyBorder="1" applyAlignment="1">
      <alignment horizontal="center"/>
    </xf>
    <xf numFmtId="41" fontId="42" fillId="0" borderId="11" xfId="2" applyFont="1" applyFill="1" applyBorder="1" applyAlignment="1">
      <alignment horizontal="centerContinuous"/>
    </xf>
    <xf numFmtId="49" fontId="42" fillId="0" borderId="0" xfId="0" applyNumberFormat="1" applyFont="1" applyFill="1" applyAlignment="1">
      <alignment horizontal="right"/>
    </xf>
    <xf numFmtId="42" fontId="42" fillId="0" borderId="2" xfId="7" applyFont="1" applyFill="1" applyBorder="1" applyAlignment="1"/>
    <xf numFmtId="41" fontId="20" fillId="0" borderId="11" xfId="0" applyNumberFormat="1" applyFont="1" applyBorder="1"/>
    <xf numFmtId="41" fontId="20" fillId="0" borderId="0" xfId="0" applyNumberFormat="1" applyFont="1" applyFill="1"/>
    <xf numFmtId="0" fontId="43" fillId="0" borderId="0" xfId="0" applyFont="1" applyBorder="1" applyAlignment="1">
      <alignment horizontal="left" indent="2"/>
    </xf>
    <xf numFmtId="43" fontId="43" fillId="0" borderId="0" xfId="0" applyNumberFormat="1" applyFont="1" applyBorder="1"/>
    <xf numFmtId="49" fontId="42" fillId="0" borderId="0" xfId="0" applyNumberFormat="1" applyFont="1" applyFill="1" applyBorder="1" applyAlignment="1">
      <alignment horizontal="right"/>
    </xf>
    <xf numFmtId="41" fontId="43" fillId="0" borderId="0" xfId="7" applyNumberFormat="1" applyFont="1" applyFill="1" applyAlignment="1">
      <alignment horizontal="centerContinuous"/>
    </xf>
    <xf numFmtId="41" fontId="43" fillId="0" borderId="0" xfId="2" applyNumberFormat="1" applyFont="1" applyFill="1" applyAlignment="1"/>
    <xf numFmtId="9" fontId="43" fillId="0" borderId="0" xfId="27" applyFont="1" applyFill="1"/>
    <xf numFmtId="42" fontId="42" fillId="0" borderId="0" xfId="0" applyNumberFormat="1" applyFont="1" applyFill="1"/>
    <xf numFmtId="42" fontId="42" fillId="0" borderId="0" xfId="0" applyNumberFormat="1" applyFont="1" applyFill="1" applyBorder="1"/>
    <xf numFmtId="0" fontId="43" fillId="0" borderId="0" xfId="0" applyFont="1" applyFill="1" applyAlignment="1">
      <alignment horizontal="left" indent="2"/>
    </xf>
    <xf numFmtId="5" fontId="43" fillId="0" borderId="0" xfId="0" applyNumberFormat="1" applyFont="1" applyFill="1" applyAlignment="1" applyProtection="1"/>
    <xf numFmtId="0" fontId="50" fillId="0" borderId="0" xfId="0" applyFont="1" applyFill="1" applyAlignment="1" applyProtection="1">
      <protection locked="0"/>
    </xf>
    <xf numFmtId="0" fontId="42" fillId="0" borderId="0" xfId="0" applyFont="1" applyFill="1" applyAlignment="1"/>
    <xf numFmtId="49" fontId="48" fillId="0" borderId="0" xfId="0" applyNumberFormat="1" applyFont="1" applyFill="1"/>
    <xf numFmtId="0" fontId="42" fillId="0" borderId="0" xfId="16" applyFont="1" applyFill="1"/>
    <xf numFmtId="0" fontId="42" fillId="0" borderId="0" xfId="24" applyFont="1" applyFill="1" applyAlignment="1">
      <alignment horizontal="left"/>
    </xf>
    <xf numFmtId="0" fontId="42" fillId="0" borderId="0" xfId="24" applyFont="1" applyFill="1"/>
    <xf numFmtId="37" fontId="42" fillId="0" borderId="0" xfId="24" applyNumberFormat="1" applyFont="1" applyFill="1"/>
    <xf numFmtId="0" fontId="42" fillId="0" borderId="0" xfId="24" applyFont="1" applyFill="1" applyAlignment="1">
      <alignment horizontal="right"/>
    </xf>
    <xf numFmtId="0" fontId="42" fillId="0" borderId="0" xfId="24" applyFont="1" applyFill="1" applyAlignment="1"/>
    <xf numFmtId="37" fontId="42" fillId="0" borderId="0" xfId="24" applyNumberFormat="1" applyFont="1" applyFill="1" applyAlignment="1">
      <alignment horizontal="left"/>
    </xf>
    <xf numFmtId="0" fontId="42" fillId="0" borderId="0" xfId="18" applyFont="1" applyFill="1" applyAlignment="1">
      <alignment horizontal="left"/>
    </xf>
    <xf numFmtId="0" fontId="71" fillId="0" borderId="0" xfId="18" applyFont="1" applyFill="1"/>
    <xf numFmtId="0" fontId="42" fillId="0" borderId="0" xfId="18" applyFont="1" applyFill="1"/>
    <xf numFmtId="37" fontId="42" fillId="0" borderId="0" xfId="18" applyNumberFormat="1" applyFont="1" applyFill="1"/>
    <xf numFmtId="37" fontId="42" fillId="0" borderId="0" xfId="18" applyNumberFormat="1" applyFont="1" applyFill="1" applyAlignment="1">
      <alignment horizontal="left"/>
    </xf>
    <xf numFmtId="0" fontId="42" fillId="0" borderId="0" xfId="18" applyFont="1" applyFill="1" applyAlignment="1"/>
    <xf numFmtId="0" fontId="42" fillId="0" borderId="0" xfId="21" applyFont="1" applyFill="1" applyAlignment="1">
      <alignment horizontal="left"/>
    </xf>
    <xf numFmtId="0" fontId="42" fillId="0" borderId="0" xfId="21" applyFont="1" applyFill="1"/>
    <xf numFmtId="0" fontId="71" fillId="0" borderId="0" xfId="21" applyFont="1" applyFill="1"/>
    <xf numFmtId="37" fontId="42" fillId="0" borderId="0" xfId="21" applyNumberFormat="1" applyFont="1" applyFill="1"/>
    <xf numFmtId="9" fontId="42" fillId="0" borderId="0" xfId="21" applyNumberFormat="1" applyFont="1" applyFill="1"/>
    <xf numFmtId="37" fontId="42" fillId="0" borderId="0" xfId="21" applyNumberFormat="1" applyFont="1" applyFill="1" applyAlignment="1">
      <alignment horizontal="left"/>
    </xf>
    <xf numFmtId="0" fontId="42" fillId="0" borderId="0" xfId="21" applyFont="1" applyFill="1" applyAlignment="1">
      <alignment horizontal="right"/>
    </xf>
    <xf numFmtId="0" fontId="42" fillId="0" borderId="0" xfId="21" applyFont="1" applyFill="1" applyAlignment="1"/>
    <xf numFmtId="0" fontId="42" fillId="0" borderId="0" xfId="0" applyFont="1" applyAlignment="1">
      <alignment horizontal="center"/>
    </xf>
    <xf numFmtId="41" fontId="43" fillId="0" borderId="33" xfId="2" applyFont="1" applyBorder="1" applyAlignment="1"/>
    <xf numFmtId="0" fontId="43" fillId="0" borderId="0" xfId="15" applyFont="1" applyAlignment="1">
      <alignment horizontal="center"/>
    </xf>
    <xf numFmtId="42" fontId="43" fillId="0" borderId="0" xfId="0" applyNumberFormat="1" applyFont="1" applyBorder="1" applyAlignment="1">
      <alignment horizontal="left"/>
    </xf>
    <xf numFmtId="41" fontId="42" fillId="0" borderId="10" xfId="2" applyFont="1" applyBorder="1" applyAlignment="1">
      <alignment horizontal="centerContinuous"/>
    </xf>
    <xf numFmtId="41" fontId="42" fillId="0" borderId="10" xfId="2" applyFont="1" applyBorder="1" applyAlignment="1">
      <alignment horizontal="center"/>
    </xf>
    <xf numFmtId="0" fontId="42" fillId="0" borderId="10" xfId="0" applyFont="1" applyBorder="1" applyAlignment="1">
      <alignment horizontal="center"/>
    </xf>
    <xf numFmtId="0" fontId="42" fillId="0" borderId="10" xfId="0" applyFont="1" applyBorder="1" applyAlignment="1">
      <alignment horizontal="centerContinuous"/>
    </xf>
    <xf numFmtId="41" fontId="42" fillId="0" borderId="10" xfId="2" applyFont="1" applyFill="1" applyBorder="1" applyAlignment="1">
      <alignment horizontal="center"/>
    </xf>
    <xf numFmtId="41" fontId="42" fillId="0" borderId="10" xfId="2" applyFont="1" applyFill="1" applyBorder="1" applyAlignment="1">
      <alignment horizontal="centerContinuous"/>
    </xf>
    <xf numFmtId="41" fontId="45" fillId="0" borderId="10" xfId="2" applyFont="1" applyFill="1" applyBorder="1" applyAlignment="1">
      <alignment horizontal="centerContinuous"/>
    </xf>
    <xf numFmtId="41" fontId="42" fillId="0" borderId="10" xfId="2" applyFont="1" applyBorder="1" applyAlignment="1"/>
    <xf numFmtId="41" fontId="42" fillId="0" borderId="10" xfId="2" quotePrefix="1" applyFont="1" applyFill="1" applyBorder="1" applyAlignment="1">
      <alignment horizontal="center"/>
    </xf>
    <xf numFmtId="41" fontId="42" fillId="0" borderId="10" xfId="2" quotePrefix="1" applyFont="1" applyBorder="1" applyAlignment="1">
      <alignment horizontal="center"/>
    </xf>
    <xf numFmtId="41" fontId="43" fillId="0" borderId="10" xfId="2" applyFont="1" applyBorder="1" applyAlignment="1">
      <alignment horizontal="centerContinuous"/>
    </xf>
    <xf numFmtId="41" fontId="43" fillId="0" borderId="10" xfId="2" applyFont="1" applyBorder="1" applyAlignment="1">
      <alignment horizontal="center"/>
    </xf>
    <xf numFmtId="176" fontId="55" fillId="0" borderId="0" xfId="0" applyNumberFormat="1" applyFont="1" applyAlignment="1" applyProtection="1">
      <alignment horizontal="centerContinuous"/>
      <protection locked="0"/>
    </xf>
    <xf numFmtId="39" fontId="20" fillId="0" borderId="10" xfId="19" quotePrefix="1" applyNumberFormat="1" applyFont="1" applyBorder="1" applyAlignment="1">
      <alignment horizontal="center"/>
    </xf>
    <xf numFmtId="39" fontId="20" fillId="0" borderId="0" xfId="19" applyNumberFormat="1" applyFont="1" applyBorder="1" applyAlignment="1">
      <alignment horizontal="left" wrapText="1"/>
    </xf>
    <xf numFmtId="43" fontId="20" fillId="0" borderId="0" xfId="0" applyNumberFormat="1" applyFont="1"/>
    <xf numFmtId="0" fontId="20" fillId="0" borderId="0" xfId="0" applyFont="1" applyAlignment="1">
      <alignment horizontal="left"/>
    </xf>
    <xf numFmtId="39" fontId="20" fillId="0" borderId="0" xfId="19" applyNumberFormat="1" applyFont="1" applyBorder="1" applyAlignment="1">
      <alignment horizontal="right" wrapText="1"/>
    </xf>
    <xf numFmtId="43" fontId="20" fillId="0" borderId="0" xfId="5" applyNumberFormat="1" applyFont="1" applyFill="1" applyBorder="1" applyAlignment="1">
      <alignment horizontal="left"/>
    </xf>
    <xf numFmtId="43" fontId="20" fillId="0" borderId="0" xfId="5" applyNumberFormat="1" applyFont="1" applyFill="1" applyBorder="1" applyAlignment="1">
      <alignment horizontal="left" wrapText="1"/>
    </xf>
    <xf numFmtId="43" fontId="20" fillId="0" borderId="0" xfId="19" quotePrefix="1" applyNumberFormat="1" applyFont="1" applyBorder="1" applyAlignment="1">
      <alignment horizontal="left"/>
    </xf>
    <xf numFmtId="43" fontId="20" fillId="0" borderId="13" xfId="5" applyNumberFormat="1" applyFont="1" applyFill="1" applyBorder="1" applyAlignment="1">
      <alignment horizontal="left"/>
    </xf>
    <xf numFmtId="0" fontId="20" fillId="0" borderId="0" xfId="0" applyFont="1" applyAlignment="1">
      <alignment horizontal="right"/>
    </xf>
    <xf numFmtId="43" fontId="20" fillId="0" borderId="13" xfId="0" applyNumberFormat="1" applyFont="1" applyBorder="1"/>
    <xf numFmtId="184" fontId="19" fillId="0" borderId="0" xfId="5" applyNumberFormat="1" applyFont="1" applyFill="1" applyBorder="1" applyAlignment="1">
      <alignment horizontal="center"/>
    </xf>
    <xf numFmtId="184" fontId="19" fillId="0" borderId="0" xfId="5" applyNumberFormat="1" applyFont="1" applyFill="1" applyBorder="1" applyAlignment="1">
      <alignment horizontal="center" wrapText="1"/>
    </xf>
    <xf numFmtId="0" fontId="43" fillId="0" borderId="0" xfId="19" applyFont="1" applyFill="1" applyBorder="1" applyAlignment="1">
      <alignment horizontal="center"/>
    </xf>
    <xf numFmtId="0" fontId="42" fillId="0" borderId="0" xfId="0" applyFont="1" applyAlignment="1">
      <alignment horizontal="center"/>
    </xf>
    <xf numFmtId="0" fontId="43" fillId="0" borderId="0" xfId="0" applyFont="1" applyBorder="1" applyAlignment="1">
      <alignment horizontal="justify" wrapText="1"/>
    </xf>
    <xf numFmtId="10" fontId="43" fillId="0" borderId="10" xfId="19" applyNumberFormat="1" applyFont="1" applyBorder="1"/>
    <xf numFmtId="0" fontId="55" fillId="0" borderId="10" xfId="0" applyFont="1" applyBorder="1" applyAlignment="1">
      <alignment horizontal="center"/>
    </xf>
    <xf numFmtId="0" fontId="55" fillId="0" borderId="10" xfId="17" applyFont="1" applyFill="1" applyBorder="1" applyAlignment="1">
      <alignment horizontal="center"/>
    </xf>
    <xf numFmtId="37" fontId="43" fillId="0" borderId="11" xfId="0" applyNumberFormat="1" applyFont="1" applyFill="1" applyBorder="1" applyProtection="1"/>
    <xf numFmtId="43" fontId="42" fillId="0" borderId="0" xfId="19" applyNumberFormat="1" applyFont="1" applyFill="1"/>
    <xf numFmtId="41" fontId="37" fillId="0" borderId="0" xfId="15" applyNumberFormat="1" applyFont="1"/>
    <xf numFmtId="39" fontId="42" fillId="0" borderId="0" xfId="19" applyNumberFormat="1" applyFont="1" applyAlignment="1">
      <alignment horizontal="center"/>
    </xf>
    <xf numFmtId="39" fontId="43" fillId="0" borderId="0" xfId="19" applyNumberFormat="1" applyFont="1" applyBorder="1" applyAlignment="1">
      <alignment horizontal="left"/>
    </xf>
    <xf numFmtId="37" fontId="19" fillId="0" borderId="0" xfId="19" applyNumberFormat="1" applyFont="1" applyFill="1" applyBorder="1"/>
    <xf numFmtId="39" fontId="59" fillId="0" borderId="0" xfId="19" applyNumberFormat="1" applyFont="1" applyBorder="1" applyAlignment="1"/>
    <xf numFmtId="43" fontId="20" fillId="0" borderId="34" xfId="19" applyNumberFormat="1" applyFont="1" applyFill="1" applyBorder="1"/>
    <xf numFmtId="39" fontId="20" fillId="0" borderId="34" xfId="19" applyNumberFormat="1" applyFont="1" applyBorder="1" applyAlignment="1">
      <alignment wrapText="1"/>
    </xf>
    <xf numFmtId="41" fontId="42" fillId="0" borderId="11" xfId="2" applyFont="1" applyBorder="1" applyAlignment="1">
      <alignment horizontal="centerContinuous" wrapText="1"/>
    </xf>
    <xf numFmtId="41" fontId="43" fillId="4" borderId="0" xfId="0" applyNumberFormat="1" applyFont="1" applyFill="1"/>
    <xf numFmtId="41" fontId="43" fillId="0" borderId="14" xfId="2" applyFont="1" applyBorder="1" applyAlignment="1"/>
    <xf numFmtId="43" fontId="19" fillId="0" borderId="14" xfId="19" applyNumberFormat="1" applyFont="1" applyBorder="1" applyAlignment="1">
      <alignment horizontal="right"/>
    </xf>
    <xf numFmtId="43" fontId="20" fillId="0" borderId="14" xfId="19" applyNumberFormat="1" applyFont="1" applyBorder="1" applyAlignment="1">
      <alignment horizontal="right"/>
    </xf>
    <xf numFmtId="39" fontId="20" fillId="0" borderId="0" xfId="19" quotePrefix="1" applyNumberFormat="1" applyFont="1" applyFill="1" applyBorder="1" applyAlignment="1">
      <alignment horizontal="center"/>
    </xf>
    <xf numFmtId="39" fontId="19" fillId="0" borderId="0" xfId="19" applyNumberFormat="1" applyFont="1" applyFill="1" applyBorder="1" applyAlignment="1">
      <alignment horizontal="center"/>
    </xf>
    <xf numFmtId="43" fontId="20" fillId="0" borderId="0" xfId="19" applyNumberFormat="1" applyFont="1" applyFill="1" applyAlignment="1">
      <alignment horizontal="right"/>
    </xf>
    <xf numFmtId="43" fontId="20" fillId="0" borderId="11" xfId="19" applyNumberFormat="1" applyFont="1" applyFill="1" applyBorder="1" applyAlignment="1">
      <alignment horizontal="right"/>
    </xf>
    <xf numFmtId="43" fontId="20" fillId="0" borderId="10" xfId="19" applyNumberFormat="1" applyFont="1" applyFill="1" applyBorder="1" applyAlignment="1">
      <alignment horizontal="right"/>
    </xf>
    <xf numFmtId="43" fontId="19" fillId="0" borderId="0" xfId="19" applyNumberFormat="1" applyFont="1" applyFill="1" applyAlignment="1">
      <alignment horizontal="right"/>
    </xf>
    <xf numFmtId="43" fontId="19" fillId="0" borderId="11" xfId="19" applyNumberFormat="1" applyFont="1" applyFill="1" applyBorder="1" applyAlignment="1">
      <alignment horizontal="right"/>
    </xf>
    <xf numFmtId="43" fontId="59" fillId="0" borderId="0" xfId="19" applyNumberFormat="1" applyFont="1" applyFill="1" applyBorder="1" applyAlignment="1">
      <alignment horizontal="right"/>
    </xf>
    <xf numFmtId="43" fontId="59" fillId="0" borderId="0" xfId="19" applyNumberFormat="1" applyFont="1" applyFill="1"/>
    <xf numFmtId="43" fontId="59" fillId="0" borderId="0" xfId="19" applyNumberFormat="1" applyFont="1" applyFill="1" applyAlignment="1">
      <alignment horizontal="right"/>
    </xf>
    <xf numFmtId="43" fontId="19" fillId="0" borderId="0" xfId="19" applyNumberFormat="1" applyFont="1" applyFill="1"/>
    <xf numFmtId="43" fontId="20" fillId="0" borderId="0" xfId="19" applyNumberFormat="1" applyFont="1" applyFill="1"/>
    <xf numFmtId="43" fontId="19" fillId="0" borderId="14" xfId="19" applyNumberFormat="1" applyFont="1" applyFill="1" applyBorder="1" applyAlignment="1">
      <alignment horizontal="right"/>
    </xf>
    <xf numFmtId="43" fontId="20" fillId="0" borderId="14" xfId="19" applyNumberFormat="1" applyFont="1" applyFill="1" applyBorder="1" applyAlignment="1">
      <alignment horizontal="right"/>
    </xf>
    <xf numFmtId="37" fontId="20" fillId="0" borderId="0" xfId="19" applyNumberFormat="1" applyFont="1" applyFill="1" applyAlignment="1">
      <alignment horizontal="right"/>
    </xf>
    <xf numFmtId="37" fontId="20" fillId="0" borderId="0" xfId="19" applyNumberFormat="1" applyFont="1" applyFill="1" applyAlignment="1">
      <alignment horizontal="centerContinuous"/>
    </xf>
    <xf numFmtId="43" fontId="74" fillId="0" borderId="0" xfId="0" applyNumberFormat="1" applyFont="1"/>
    <xf numFmtId="41" fontId="43" fillId="0" borderId="17" xfId="2" applyFont="1" applyFill="1" applyBorder="1" applyAlignment="1"/>
    <xf numFmtId="41" fontId="54" fillId="0" borderId="0" xfId="2" applyFont="1" applyFill="1" applyAlignment="1"/>
    <xf numFmtId="172" fontId="43" fillId="0" borderId="0" xfId="2" applyNumberFormat="1" applyFont="1" applyFill="1" applyAlignment="1"/>
    <xf numFmtId="0" fontId="43" fillId="0" borderId="34" xfId="0" applyFont="1" applyBorder="1"/>
    <xf numFmtId="39" fontId="20" fillId="0" borderId="0" xfId="19" applyNumberFormat="1" applyFont="1" applyFill="1" applyBorder="1" applyAlignment="1">
      <alignment horizontal="left" wrapText="1"/>
    </xf>
    <xf numFmtId="0" fontId="20" fillId="0" borderId="0" xfId="0" applyFont="1" applyFill="1" applyAlignment="1">
      <alignment horizontal="left"/>
    </xf>
    <xf numFmtId="39" fontId="20" fillId="0" borderId="0" xfId="19" applyNumberFormat="1" applyFont="1" applyBorder="1" applyAlignment="1">
      <alignment horizontal="left"/>
    </xf>
    <xf numFmtId="42" fontId="43" fillId="0" borderId="36" xfId="7" applyFont="1" applyBorder="1" applyAlignment="1"/>
    <xf numFmtId="176" fontId="42" fillId="0" borderId="0" xfId="0" quotePrefix="1" applyNumberFormat="1" applyFont="1" applyAlignment="1">
      <alignment horizontal="center"/>
    </xf>
    <xf numFmtId="41" fontId="43" fillId="0" borderId="34" xfId="2" applyFont="1" applyBorder="1" applyAlignment="1"/>
    <xf numFmtId="39" fontId="42" fillId="0" borderId="0" xfId="0" applyNumberFormat="1" applyFont="1" applyBorder="1"/>
    <xf numFmtId="185" fontId="43" fillId="0" borderId="0" xfId="0" applyNumberFormat="1" applyFont="1" applyBorder="1"/>
    <xf numFmtId="0" fontId="43" fillId="0" borderId="0" xfId="19" applyFont="1" applyBorder="1" applyAlignment="1">
      <alignment horizontal="centerContinuous"/>
    </xf>
    <xf numFmtId="0" fontId="43" fillId="0" borderId="35" xfId="19" applyFont="1" applyBorder="1" applyAlignment="1">
      <alignment horizontal="center"/>
    </xf>
    <xf numFmtId="0" fontId="43" fillId="0" borderId="35" xfId="0" applyFont="1" applyBorder="1" applyAlignment="1">
      <alignment horizontal="center" wrapText="1"/>
    </xf>
    <xf numFmtId="0" fontId="43" fillId="0" borderId="0" xfId="19" applyFont="1" applyBorder="1" applyAlignment="1">
      <alignment horizontal="right"/>
    </xf>
    <xf numFmtId="38" fontId="43" fillId="0" borderId="22" xfId="19" applyNumberFormat="1" applyFont="1" applyBorder="1"/>
    <xf numFmtId="0" fontId="43" fillId="0" borderId="35" xfId="19" applyFont="1" applyBorder="1" applyAlignment="1">
      <alignment horizontal="centerContinuous"/>
    </xf>
    <xf numFmtId="0" fontId="43" fillId="0" borderId="35" xfId="0" applyFont="1" applyBorder="1" applyAlignment="1">
      <alignment horizontal="left"/>
    </xf>
    <xf numFmtId="0" fontId="43" fillId="0" borderId="0" xfId="19" quotePrefix="1" applyFont="1" applyBorder="1" applyAlignment="1">
      <alignment horizontal="center"/>
    </xf>
    <xf numFmtId="39" fontId="20" fillId="0" borderId="0" xfId="19" applyNumberFormat="1" applyFont="1" applyFill="1" applyBorder="1" applyAlignment="1">
      <alignment horizontal="left"/>
    </xf>
    <xf numFmtId="39" fontId="20" fillId="0" borderId="0" xfId="19" quotePrefix="1" applyNumberFormat="1" applyFont="1" applyFill="1" applyBorder="1" applyAlignment="1">
      <alignment horizontal="left"/>
    </xf>
    <xf numFmtId="0" fontId="72" fillId="0" borderId="0" xfId="0" applyFont="1" applyFill="1"/>
    <xf numFmtId="3" fontId="43" fillId="0" borderId="0" xfId="25" applyNumberFormat="1" applyFont="1" applyFill="1" applyBorder="1"/>
    <xf numFmtId="0" fontId="43" fillId="0" borderId="0" xfId="25" applyFont="1" applyFill="1" applyBorder="1"/>
    <xf numFmtId="3" fontId="43" fillId="0" borderId="0" xfId="25" applyNumberFormat="1" applyFont="1" applyFill="1"/>
    <xf numFmtId="16" fontId="43" fillId="0" borderId="0" xfId="16" quotePrefix="1" applyNumberFormat="1" applyFont="1" applyFill="1" applyAlignment="1">
      <alignment horizontal="left" indent="2"/>
    </xf>
    <xf numFmtId="37" fontId="43" fillId="0" borderId="22" xfId="2" applyNumberFormat="1" applyFont="1" applyFill="1" applyBorder="1" applyAlignment="1"/>
    <xf numFmtId="186" fontId="42" fillId="0" borderId="0" xfId="16" quotePrefix="1" applyNumberFormat="1" applyFont="1" applyFill="1" applyBorder="1" applyAlignment="1">
      <alignment horizontal="left"/>
    </xf>
    <xf numFmtId="16" fontId="43" fillId="0" borderId="0" xfId="16" quotePrefix="1" applyNumberFormat="1" applyFont="1" applyFill="1" applyAlignment="1">
      <alignment horizontal="right" indent="2"/>
    </xf>
    <xf numFmtId="37" fontId="43" fillId="0" borderId="0" xfId="31" applyNumberFormat="1" applyFont="1" applyFill="1" applyBorder="1"/>
    <xf numFmtId="37" fontId="43" fillId="0" borderId="0" xfId="31" applyNumberFormat="1" applyFont="1" applyFill="1" applyBorder="1" applyAlignment="1">
      <alignment horizontal="center"/>
    </xf>
    <xf numFmtId="16" fontId="43" fillId="0" borderId="0" xfId="0" applyNumberFormat="1" applyFont="1" applyFill="1" applyAlignment="1">
      <alignment horizontal="left" indent="2"/>
    </xf>
    <xf numFmtId="0" fontId="43" fillId="0" borderId="0" xfId="25" applyFont="1" applyFill="1"/>
    <xf numFmtId="37" fontId="43" fillId="0" borderId="0" xfId="31" applyNumberFormat="1" applyFont="1" applyFill="1" applyBorder="1" applyAlignment="1">
      <alignment horizontal="right"/>
    </xf>
    <xf numFmtId="7" fontId="42" fillId="0" borderId="0" xfId="13" applyNumberFormat="1" applyFont="1" applyFill="1" applyAlignment="1">
      <alignment horizontal="right"/>
    </xf>
    <xf numFmtId="37" fontId="43" fillId="0" borderId="34" xfId="2" applyNumberFormat="1" applyFont="1" applyFill="1" applyBorder="1" applyAlignment="1">
      <alignment horizontal="right"/>
    </xf>
    <xf numFmtId="37" fontId="43" fillId="0" borderId="22" xfId="25" applyNumberFormat="1" applyFont="1" applyFill="1" applyBorder="1" applyAlignment="1"/>
    <xf numFmtId="37" fontId="43" fillId="0" borderId="0" xfId="25" applyNumberFormat="1" applyFont="1" applyFill="1" applyBorder="1" applyAlignment="1"/>
    <xf numFmtId="7" fontId="43" fillId="0" borderId="36" xfId="9" applyNumberFormat="1" applyFont="1" applyFill="1" applyBorder="1" applyAlignment="1">
      <alignment horizontal="right"/>
    </xf>
    <xf numFmtId="7" fontId="43" fillId="0" borderId="0" xfId="25" applyNumberFormat="1" applyFont="1" applyFill="1" applyBorder="1" applyAlignment="1">
      <alignment horizontal="right"/>
    </xf>
    <xf numFmtId="7" fontId="43" fillId="0" borderId="0" xfId="31" applyNumberFormat="1" applyFont="1" applyFill="1" applyBorder="1" applyAlignment="1">
      <alignment horizontal="right"/>
    </xf>
    <xf numFmtId="7" fontId="43" fillId="0" borderId="0" xfId="25" applyNumberFormat="1" applyFont="1" applyFill="1" applyAlignment="1">
      <alignment horizontal="right"/>
    </xf>
    <xf numFmtId="7" fontId="43" fillId="0" borderId="0" xfId="2" applyNumberFormat="1" applyFont="1" applyFill="1" applyBorder="1" applyAlignment="1">
      <alignment horizontal="right"/>
    </xf>
    <xf numFmtId="37" fontId="43" fillId="0" borderId="0" xfId="25" applyNumberFormat="1" applyFont="1" applyFill="1" applyBorder="1" applyAlignment="1">
      <alignment horizontal="right"/>
    </xf>
    <xf numFmtId="37" fontId="43" fillId="0" borderId="0" xfId="16" applyNumberFormat="1" applyFont="1" applyFill="1" applyBorder="1" applyAlignment="1">
      <alignment horizontal="right"/>
    </xf>
    <xf numFmtId="37" fontId="43" fillId="0" borderId="0" xfId="9" applyNumberFormat="1" applyFont="1" applyFill="1" applyBorder="1" applyAlignment="1">
      <alignment horizontal="right"/>
    </xf>
    <xf numFmtId="37" fontId="43" fillId="0" borderId="22" xfId="25" applyNumberFormat="1" applyFont="1" applyFill="1" applyBorder="1" applyAlignment="1">
      <alignment horizontal="right"/>
    </xf>
    <xf numFmtId="37" fontId="43" fillId="0" borderId="0" xfId="2" applyNumberFormat="1" applyFont="1" applyFill="1" applyBorder="1" applyAlignment="1">
      <alignment horizontal="right"/>
    </xf>
    <xf numFmtId="16" fontId="43" fillId="0" borderId="0" xfId="16" applyNumberFormat="1" applyFont="1" applyFill="1" applyAlignment="1">
      <alignment horizontal="left" indent="1"/>
    </xf>
    <xf numFmtId="16" fontId="43" fillId="0" borderId="0" xfId="16" quotePrefix="1" applyNumberFormat="1" applyFont="1" applyFill="1" applyAlignment="1">
      <alignment horizontal="left" indent="1"/>
    </xf>
    <xf numFmtId="16" fontId="43" fillId="0" borderId="0" xfId="16" applyNumberFormat="1" applyFont="1" applyFill="1" applyAlignment="1">
      <alignment horizontal="left"/>
    </xf>
    <xf numFmtId="0" fontId="43" fillId="0" borderId="0" xfId="25" applyFont="1" applyFill="1" applyBorder="1" applyAlignment="1">
      <alignment horizontal="left"/>
    </xf>
    <xf numFmtId="0" fontId="74" fillId="0" borderId="0" xfId="0" applyFont="1"/>
    <xf numFmtId="0" fontId="74" fillId="0" borderId="0" xfId="0" applyFont="1" applyAlignment="1">
      <alignment horizontal="center"/>
    </xf>
    <xf numFmtId="168" fontId="74" fillId="0" borderId="0" xfId="2" applyNumberFormat="1" applyFont="1" applyAlignment="1"/>
    <xf numFmtId="168" fontId="74" fillId="0" borderId="0" xfId="2" applyNumberFormat="1" applyFont="1" applyFill="1" applyAlignment="1"/>
    <xf numFmtId="168" fontId="74" fillId="0" borderId="0" xfId="2" applyNumberFormat="1" applyFont="1" applyBorder="1" applyAlignment="1"/>
    <xf numFmtId="168" fontId="74" fillId="0" borderId="35" xfId="2" applyNumberFormat="1" applyFont="1" applyBorder="1" applyAlignment="1"/>
    <xf numFmtId="168" fontId="74" fillId="0" borderId="21" xfId="2" applyNumberFormat="1" applyFont="1" applyBorder="1" applyAlignment="1"/>
    <xf numFmtId="168" fontId="74" fillId="0" borderId="21" xfId="2" applyNumberFormat="1" applyFont="1" applyFill="1" applyBorder="1" applyAlignment="1"/>
    <xf numFmtId="0" fontId="74" fillId="0" borderId="21" xfId="0" applyFont="1" applyBorder="1"/>
    <xf numFmtId="39" fontId="42" fillId="0" borderId="0" xfId="0" applyNumberFormat="1" applyFont="1" applyAlignment="1" applyProtection="1">
      <alignment horizontal="right"/>
    </xf>
    <xf numFmtId="41" fontId="42" fillId="0" borderId="35" xfId="2" applyFont="1" applyBorder="1" applyAlignment="1">
      <alignment horizontal="centerContinuous"/>
    </xf>
    <xf numFmtId="41" fontId="42" fillId="0" borderId="35" xfId="2" applyFont="1" applyBorder="1" applyAlignment="1"/>
    <xf numFmtId="0" fontId="42" fillId="0" borderId="0" xfId="0" applyFont="1" applyAlignment="1">
      <alignment horizontal="center"/>
    </xf>
    <xf numFmtId="41" fontId="42" fillId="0" borderId="11" xfId="2" quotePrefix="1" applyFont="1" applyFill="1" applyBorder="1" applyAlignment="1">
      <alignment horizontal="center"/>
    </xf>
    <xf numFmtId="182" fontId="43" fillId="0" borderId="0" xfId="0" applyNumberFormat="1" applyFont="1" applyFill="1" applyAlignment="1" applyProtection="1"/>
    <xf numFmtId="39" fontId="43" fillId="0" borderId="0" xfId="0" applyNumberFormat="1" applyFont="1" applyFill="1" applyProtection="1"/>
    <xf numFmtId="0" fontId="43" fillId="0" borderId="0" xfId="0" applyFont="1" applyFill="1" applyAlignment="1">
      <alignment horizontal="left" indent="1"/>
    </xf>
    <xf numFmtId="10" fontId="43" fillId="0" borderId="43" xfId="19" applyNumberFormat="1" applyFont="1" applyBorder="1"/>
    <xf numFmtId="10" fontId="43" fillId="0" borderId="45" xfId="19" applyNumberFormat="1" applyFont="1" applyBorder="1"/>
    <xf numFmtId="43" fontId="42" fillId="0" borderId="0" xfId="19" applyNumberFormat="1" applyFont="1" applyAlignment="1">
      <alignment horizontal="center"/>
    </xf>
    <xf numFmtId="43" fontId="43" fillId="0" borderId="38" xfId="19" applyNumberFormat="1" applyFont="1" applyBorder="1" applyAlignment="1">
      <alignment horizontal="center"/>
    </xf>
    <xf numFmtId="43" fontId="43" fillId="0" borderId="39" xfId="19" applyNumberFormat="1" applyFont="1" applyBorder="1"/>
    <xf numFmtId="43" fontId="43" fillId="0" borderId="40" xfId="19" applyNumberFormat="1" applyFont="1" applyBorder="1"/>
    <xf numFmtId="43" fontId="43" fillId="0" borderId="21" xfId="19" applyNumberFormat="1" applyFont="1" applyBorder="1"/>
    <xf numFmtId="43" fontId="43" fillId="0" borderId="0" xfId="19" applyNumberFormat="1" applyFont="1" applyAlignment="1">
      <alignment horizontal="centerContinuous"/>
    </xf>
    <xf numFmtId="43" fontId="43" fillId="0" borderId="11" xfId="19" applyNumberFormat="1" applyFont="1" applyBorder="1" applyAlignment="1">
      <alignment horizontal="center"/>
    </xf>
    <xf numFmtId="43" fontId="43" fillId="0" borderId="18" xfId="19" applyNumberFormat="1" applyFont="1" applyBorder="1"/>
    <xf numFmtId="10" fontId="43" fillId="0" borderId="14" xfId="19" applyNumberFormat="1" applyFont="1" applyBorder="1"/>
    <xf numFmtId="192" fontId="43" fillId="0" borderId="41" xfId="19" applyNumberFormat="1" applyFont="1" applyFill="1" applyBorder="1"/>
    <xf numFmtId="192" fontId="43" fillId="0" borderId="44" xfId="19" applyNumberFormat="1" applyFont="1" applyFill="1" applyBorder="1"/>
    <xf numFmtId="192" fontId="43" fillId="0" borderId="0" xfId="19" applyNumberFormat="1" applyFont="1" applyFill="1"/>
    <xf numFmtId="192" fontId="43" fillId="0" borderId="0" xfId="19" applyNumberFormat="1" applyFont="1" applyFill="1" applyBorder="1"/>
    <xf numFmtId="192" fontId="43" fillId="0" borderId="14" xfId="19" applyNumberFormat="1" applyFont="1" applyFill="1" applyBorder="1"/>
    <xf numFmtId="39" fontId="19" fillId="0" borderId="0" xfId="19" applyNumberFormat="1" applyFont="1" applyBorder="1" applyAlignment="1">
      <alignment horizontal="left" wrapText="1"/>
    </xf>
    <xf numFmtId="39" fontId="28" fillId="0" borderId="0" xfId="19" applyNumberFormat="1" applyFont="1" applyBorder="1" applyAlignment="1">
      <alignment horizontal="left"/>
    </xf>
    <xf numFmtId="39" fontId="28" fillId="0" borderId="0" xfId="19" applyNumberFormat="1" applyFont="1" applyBorder="1" applyAlignment="1">
      <alignment horizontal="center" wrapText="1"/>
    </xf>
    <xf numFmtId="39" fontId="19" fillId="0" borderId="11" xfId="19" applyNumberFormat="1" applyFont="1" applyBorder="1" applyAlignment="1">
      <alignment horizontal="left"/>
    </xf>
    <xf numFmtId="190" fontId="20" fillId="0" borderId="0" xfId="19" applyNumberFormat="1" applyFont="1" applyBorder="1" applyAlignment="1">
      <alignment horizontal="left"/>
    </xf>
    <xf numFmtId="190" fontId="19" fillId="0" borderId="0" xfId="19" applyNumberFormat="1" applyFont="1" applyBorder="1" applyAlignment="1">
      <alignment horizontal="left"/>
    </xf>
    <xf numFmtId="190" fontId="20" fillId="0" borderId="0" xfId="0" applyNumberFormat="1" applyFont="1" applyAlignment="1">
      <alignment horizontal="left"/>
    </xf>
    <xf numFmtId="190" fontId="28" fillId="0" borderId="0" xfId="19" applyNumberFormat="1" applyFont="1" applyBorder="1" applyAlignment="1">
      <alignment horizontal="left"/>
    </xf>
    <xf numFmtId="190" fontId="28" fillId="0" borderId="0" xfId="0" applyNumberFormat="1" applyFont="1" applyAlignment="1">
      <alignment horizontal="left"/>
    </xf>
    <xf numFmtId="0" fontId="19" fillId="0" borderId="0" xfId="0" applyFont="1" applyAlignment="1">
      <alignment horizontal="left"/>
    </xf>
    <xf numFmtId="0" fontId="28" fillId="0" borderId="0" xfId="0" applyFont="1" applyAlignment="1">
      <alignment horizontal="left"/>
    </xf>
    <xf numFmtId="43" fontId="19" fillId="0" borderId="0" xfId="5" applyNumberFormat="1" applyFont="1" applyFill="1" applyBorder="1" applyAlignment="1">
      <alignment horizontal="left"/>
    </xf>
    <xf numFmtId="43" fontId="19" fillId="0" borderId="22" xfId="5" applyNumberFormat="1" applyFont="1" applyFill="1" applyBorder="1" applyAlignment="1">
      <alignment horizontal="left"/>
    </xf>
    <xf numFmtId="43" fontId="20" fillId="0" borderId="0" xfId="0" applyNumberFormat="1" applyFont="1" applyBorder="1"/>
    <xf numFmtId="0" fontId="42" fillId="0" borderId="0" xfId="0" applyFont="1" applyFill="1" applyAlignment="1">
      <alignment horizontal="left" indent="1"/>
    </xf>
    <xf numFmtId="0" fontId="20" fillId="0" borderId="0" xfId="0" quotePrefix="1" applyFont="1" applyAlignment="1">
      <alignment horizontal="center"/>
    </xf>
    <xf numFmtId="0" fontId="77" fillId="0" borderId="0" xfId="0" applyFont="1" applyBorder="1"/>
    <xf numFmtId="0" fontId="73" fillId="0" borderId="0" xfId="0" applyFont="1"/>
    <xf numFmtId="41" fontId="42" fillId="0" borderId="0" xfId="2" applyFont="1" applyFill="1" applyAlignment="1">
      <alignment horizontal="centerContinuous"/>
    </xf>
    <xf numFmtId="41" fontId="72" fillId="0" borderId="35" xfId="0" applyNumberFormat="1" applyFont="1" applyBorder="1"/>
    <xf numFmtId="38" fontId="43" fillId="0" borderId="22" xfId="19" applyNumberFormat="1" applyFont="1" applyFill="1" applyBorder="1"/>
    <xf numFmtId="39" fontId="43" fillId="0" borderId="0" xfId="0" applyNumberFormat="1" applyFont="1" applyFill="1"/>
    <xf numFmtId="49" fontId="43" fillId="0" borderId="0" xfId="0" applyNumberFormat="1" applyFont="1" applyFill="1" applyAlignment="1">
      <alignment horizontal="left" vertical="top" wrapText="1" indent="1"/>
    </xf>
    <xf numFmtId="49" fontId="43" fillId="0" borderId="0" xfId="0" quotePrefix="1" applyNumberFormat="1" applyFont="1" applyFill="1" applyBorder="1" applyAlignment="1">
      <alignment horizontal="left" indent="1"/>
    </xf>
    <xf numFmtId="37" fontId="42" fillId="0" borderId="0" xfId="0" applyNumberFormat="1" applyFont="1" applyFill="1"/>
    <xf numFmtId="0" fontId="42" fillId="0" borderId="0" xfId="0" applyFont="1" applyFill="1" applyAlignment="1">
      <alignment horizontal="centerContinuous" wrapText="1"/>
    </xf>
    <xf numFmtId="37" fontId="42" fillId="0" borderId="23" xfId="0" applyNumberFormat="1" applyFont="1" applyFill="1" applyBorder="1" applyAlignment="1">
      <alignment horizontal="centerContinuous"/>
    </xf>
    <xf numFmtId="0" fontId="43" fillId="0" borderId="0" xfId="0" applyFont="1" applyFill="1" applyAlignment="1" applyProtection="1">
      <alignment horizontal="center"/>
    </xf>
    <xf numFmtId="49" fontId="42" fillId="0" borderId="0" xfId="0" applyNumberFormat="1" applyFont="1" applyFill="1" applyAlignment="1">
      <alignment horizontal="right" vertical="top" wrapText="1"/>
    </xf>
    <xf numFmtId="42" fontId="42" fillId="0" borderId="2" xfId="7" applyNumberFormat="1" applyFont="1" applyFill="1" applyBorder="1" applyAlignment="1"/>
    <xf numFmtId="0" fontId="43" fillId="0" borderId="0" xfId="0" quotePrefix="1" applyFont="1" applyFill="1" applyAlignment="1" applyProtection="1">
      <alignment horizontal="center"/>
    </xf>
    <xf numFmtId="49" fontId="43" fillId="0" borderId="0" xfId="0" applyNumberFormat="1" applyFont="1" applyFill="1" applyAlignment="1">
      <alignment horizontal="left" indent="3"/>
    </xf>
    <xf numFmtId="41" fontId="43" fillId="0" borderId="0" xfId="2" applyNumberFormat="1" applyFont="1" applyFill="1" applyBorder="1" applyAlignment="1"/>
    <xf numFmtId="0" fontId="42" fillId="0" borderId="0" xfId="0" quotePrefix="1" applyFont="1" applyFill="1" applyAlignment="1">
      <alignment horizontal="centerContinuous"/>
    </xf>
    <xf numFmtId="41" fontId="42" fillId="0" borderId="35" xfId="2" applyFont="1" applyFill="1" applyBorder="1" applyAlignment="1">
      <alignment horizontal="center"/>
    </xf>
    <xf numFmtId="49" fontId="42" fillId="0" borderId="35" xfId="2" applyNumberFormat="1" applyFont="1" applyFill="1" applyBorder="1" applyAlignment="1">
      <alignment horizontal="centerContinuous"/>
    </xf>
    <xf numFmtId="37" fontId="42" fillId="0" borderId="35" xfId="2" applyNumberFormat="1" applyFont="1" applyFill="1" applyBorder="1" applyAlignment="1">
      <alignment horizontal="centerContinuous"/>
    </xf>
    <xf numFmtId="0" fontId="72" fillId="0" borderId="0" xfId="0" applyFont="1"/>
    <xf numFmtId="42" fontId="72" fillId="0" borderId="0" xfId="0" applyNumberFormat="1" applyFont="1"/>
    <xf numFmtId="41" fontId="72" fillId="0" borderId="0" xfId="0" applyNumberFormat="1" applyFont="1"/>
    <xf numFmtId="41" fontId="72" fillId="0" borderId="0" xfId="2" applyFont="1" applyAlignment="1"/>
    <xf numFmtId="0" fontId="72" fillId="0" borderId="0" xfId="0" applyFont="1" applyBorder="1"/>
    <xf numFmtId="41" fontId="42" fillId="0" borderId="10" xfId="2" applyFont="1" applyBorder="1" applyAlignment="1">
      <alignment horizontal="center"/>
    </xf>
    <xf numFmtId="0" fontId="42" fillId="0" borderId="0" xfId="16" applyFont="1" applyFill="1" applyAlignment="1"/>
    <xf numFmtId="0" fontId="42" fillId="0" borderId="0" xfId="16" applyFont="1" applyFill="1" applyAlignment="1">
      <alignment horizontal="left"/>
    </xf>
    <xf numFmtId="0" fontId="43" fillId="0" borderId="0" xfId="0" applyFont="1" applyAlignment="1">
      <alignment horizontal="center"/>
    </xf>
    <xf numFmtId="0" fontId="72" fillId="0" borderId="0" xfId="0" applyFont="1" applyAlignment="1">
      <alignment horizontal="center"/>
    </xf>
    <xf numFmtId="10" fontId="72" fillId="0" borderId="0" xfId="0" applyNumberFormat="1" applyFont="1" applyAlignment="1">
      <alignment horizontal="center"/>
    </xf>
    <xf numFmtId="10" fontId="72" fillId="0" borderId="0" xfId="0" applyNumberFormat="1" applyFont="1"/>
    <xf numFmtId="10" fontId="72" fillId="0" borderId="0" xfId="0" applyNumberFormat="1" applyFont="1" applyFill="1"/>
    <xf numFmtId="5" fontId="72" fillId="0" borderId="0" xfId="0" applyNumberFormat="1" applyFont="1"/>
    <xf numFmtId="10" fontId="72" fillId="0" borderId="0" xfId="2" applyNumberFormat="1" applyFont="1" applyFill="1" applyAlignment="1"/>
    <xf numFmtId="42" fontId="72" fillId="0" borderId="0" xfId="0" applyNumberFormat="1" applyFont="1" applyBorder="1"/>
    <xf numFmtId="41" fontId="72" fillId="0" borderId="0" xfId="0" applyNumberFormat="1" applyFont="1" applyBorder="1"/>
    <xf numFmtId="41" fontId="72" fillId="0" borderId="14" xfId="0" applyNumberFormat="1" applyFont="1" applyBorder="1"/>
    <xf numFmtId="10" fontId="72" fillId="0" borderId="14" xfId="0" applyNumberFormat="1" applyFont="1" applyBorder="1"/>
    <xf numFmtId="4" fontId="73" fillId="0" borderId="0" xfId="2" applyNumberFormat="1" applyFont="1" applyBorder="1" applyAlignment="1"/>
    <xf numFmtId="0" fontId="72" fillId="0" borderId="0" xfId="0" applyFont="1" applyAlignment="1">
      <alignment horizontal="right"/>
    </xf>
    <xf numFmtId="42" fontId="72" fillId="0" borderId="20" xfId="0" applyNumberFormat="1" applyFont="1" applyBorder="1"/>
    <xf numFmtId="10" fontId="72" fillId="0" borderId="20" xfId="0" applyNumberFormat="1" applyFont="1" applyBorder="1"/>
    <xf numFmtId="42" fontId="72" fillId="0" borderId="0" xfId="0" applyNumberFormat="1" applyFont="1" applyAlignment="1"/>
    <xf numFmtId="0" fontId="72" fillId="0" borderId="0" xfId="0" applyFont="1" applyAlignment="1"/>
    <xf numFmtId="37" fontId="72" fillId="0" borderId="0" xfId="0" applyNumberFormat="1" applyFont="1"/>
    <xf numFmtId="42" fontId="72" fillId="0" borderId="22" xfId="0" applyNumberFormat="1" applyFont="1" applyBorder="1"/>
    <xf numFmtId="0" fontId="72" fillId="0" borderId="0" xfId="15" applyFont="1"/>
    <xf numFmtId="0" fontId="72" fillId="0" borderId="14" xfId="15" applyFont="1" applyBorder="1"/>
    <xf numFmtId="0" fontId="2" fillId="0" borderId="0" xfId="0" applyFont="1"/>
    <xf numFmtId="0" fontId="43" fillId="0" borderId="0" xfId="0" applyFont="1" applyAlignment="1" applyProtection="1">
      <alignment horizontal="center" vertical="top"/>
    </xf>
    <xf numFmtId="0" fontId="43" fillId="0" borderId="0" xfId="0" applyFont="1" applyAlignment="1">
      <alignment horizontal="center" vertical="top"/>
    </xf>
    <xf numFmtId="0" fontId="51" fillId="0" borderId="0" xfId="0" quotePrefix="1" applyFont="1" applyFill="1" applyAlignment="1">
      <alignment horizontal="left"/>
    </xf>
    <xf numFmtId="176" fontId="55" fillId="0" borderId="0" xfId="0" applyNumberFormat="1" applyFont="1" applyFill="1" applyAlignment="1">
      <alignment horizontal="center"/>
    </xf>
    <xf numFmtId="0" fontId="56" fillId="0" borderId="0" xfId="17" applyFont="1" applyFill="1" applyAlignment="1">
      <alignment horizontal="center" vertical="top"/>
    </xf>
    <xf numFmtId="0" fontId="56" fillId="0" borderId="0" xfId="17" applyFont="1" applyFill="1" applyAlignment="1">
      <alignment horizontal="center" vertical="top" wrapText="1"/>
    </xf>
    <xf numFmtId="41" fontId="2" fillId="0" borderId="0" xfId="0" applyNumberFormat="1" applyFont="1"/>
    <xf numFmtId="0" fontId="0" fillId="0" borderId="0" xfId="0" applyFont="1" applyAlignment="1"/>
    <xf numFmtId="0" fontId="42" fillId="0" borderId="0" xfId="15" applyFont="1"/>
    <xf numFmtId="0" fontId="42" fillId="0" borderId="14" xfId="15" applyFont="1" applyBorder="1"/>
    <xf numFmtId="176" fontId="42" fillId="0" borderId="14" xfId="15" applyNumberFormat="1" applyFont="1" applyBorder="1" applyAlignment="1">
      <alignment horizontal="center"/>
    </xf>
    <xf numFmtId="0" fontId="42" fillId="0" borderId="0" xfId="15" applyFont="1" applyAlignment="1">
      <alignment horizontal="center"/>
    </xf>
    <xf numFmtId="0" fontId="42" fillId="0" borderId="47" xfId="15" applyFont="1" applyBorder="1" applyAlignment="1">
      <alignment horizontal="center"/>
    </xf>
    <xf numFmtId="0" fontId="42" fillId="0" borderId="47" xfId="15" applyFont="1" applyBorder="1"/>
    <xf numFmtId="0" fontId="42" fillId="0" borderId="39" xfId="15" applyFont="1" applyBorder="1"/>
    <xf numFmtId="176" fontId="42" fillId="0" borderId="39" xfId="15" applyNumberFormat="1" applyFont="1" applyBorder="1" applyAlignment="1">
      <alignment horizontal="center"/>
    </xf>
    <xf numFmtId="0" fontId="42" fillId="0" borderId="14" xfId="15" applyFont="1" applyBorder="1" applyAlignment="1">
      <alignment horizontal="center"/>
    </xf>
    <xf numFmtId="0" fontId="42" fillId="0" borderId="10" xfId="15" applyFont="1" applyBorder="1" applyAlignment="1">
      <alignment horizontal="center"/>
    </xf>
    <xf numFmtId="14" fontId="42" fillId="0" borderId="10" xfId="15" applyNumberFormat="1" applyFont="1" applyBorder="1" applyAlignment="1">
      <alignment horizontal="center"/>
    </xf>
    <xf numFmtId="0" fontId="42" fillId="0" borderId="10" xfId="15" applyFont="1" applyBorder="1"/>
    <xf numFmtId="0" fontId="42" fillId="0" borderId="0" xfId="15" applyFont="1" applyAlignment="1"/>
    <xf numFmtId="0" fontId="42" fillId="0" borderId="0" xfId="15" applyFont="1" applyAlignment="1">
      <alignment horizontal="left" indent="2"/>
    </xf>
    <xf numFmtId="0" fontId="42" fillId="0" borderId="0" xfId="15" applyFont="1" applyAlignment="1">
      <alignment horizontal="left" indent="10"/>
    </xf>
    <xf numFmtId="0" fontId="42" fillId="0" borderId="0" xfId="15" applyFont="1" applyAlignment="1">
      <alignment horizontal="left"/>
    </xf>
    <xf numFmtId="3" fontId="42" fillId="0" borderId="0" xfId="26" applyNumberFormat="1" applyFont="1" applyFill="1"/>
    <xf numFmtId="37" fontId="42" fillId="0" borderId="0" xfId="26" applyNumberFormat="1" applyFont="1" applyFill="1"/>
    <xf numFmtId="37" fontId="42" fillId="0" borderId="0" xfId="16" applyNumberFormat="1" applyFont="1" applyFill="1"/>
    <xf numFmtId="37" fontId="42" fillId="0" borderId="0" xfId="16" applyNumberFormat="1" applyFont="1" applyFill="1" applyBorder="1"/>
    <xf numFmtId="0" fontId="42" fillId="0" borderId="0" xfId="16" applyFont="1" applyFill="1" applyBorder="1" applyAlignment="1">
      <alignment horizontal="left"/>
    </xf>
    <xf numFmtId="37" fontId="42" fillId="0" borderId="34" xfId="25" applyNumberFormat="1" applyFont="1" applyFill="1" applyBorder="1" applyAlignment="1">
      <alignment horizontal="center"/>
    </xf>
    <xf numFmtId="3" fontId="42" fillId="0" borderId="0" xfId="25" applyNumberFormat="1" applyFont="1" applyFill="1" applyBorder="1" applyAlignment="1">
      <alignment horizontal="center" wrapText="1"/>
    </xf>
    <xf numFmtId="2" fontId="42" fillId="0" borderId="0" xfId="25" applyNumberFormat="1" applyFont="1" applyFill="1" applyAlignment="1">
      <alignment horizontal="center" wrapText="1"/>
    </xf>
    <xf numFmtId="3" fontId="42" fillId="0" borderId="10" xfId="25" applyNumberFormat="1" applyFont="1" applyFill="1" applyBorder="1" applyAlignment="1">
      <alignment horizontal="center" wrapText="1"/>
    </xf>
    <xf numFmtId="0" fontId="42" fillId="0" borderId="10" xfId="25" applyFont="1" applyFill="1" applyBorder="1" applyAlignment="1">
      <alignment horizontal="center" wrapText="1"/>
    </xf>
    <xf numFmtId="0" fontId="42" fillId="0" borderId="0" xfId="26" applyFont="1" applyFill="1" applyBorder="1"/>
    <xf numFmtId="0" fontId="42" fillId="0" borderId="0" xfId="13" applyFont="1" applyFill="1"/>
    <xf numFmtId="2" fontId="42" fillId="0" borderId="0" xfId="26" applyNumberFormat="1" applyFont="1" applyFill="1"/>
    <xf numFmtId="0" fontId="12" fillId="0" borderId="0" xfId="0" applyFont="1" applyAlignment="1"/>
    <xf numFmtId="0" fontId="42" fillId="0" borderId="0" xfId="16" applyFont="1" applyFill="1" applyBorder="1"/>
    <xf numFmtId="3" fontId="42" fillId="0" borderId="0" xfId="25" applyNumberFormat="1" applyFont="1" applyFill="1" applyBorder="1" applyAlignment="1">
      <alignment horizontal="center"/>
    </xf>
    <xf numFmtId="2" fontId="42" fillId="0" borderId="0" xfId="25" applyNumberFormat="1" applyFont="1" applyFill="1" applyAlignment="1">
      <alignment horizontal="center"/>
    </xf>
    <xf numFmtId="0" fontId="42" fillId="0" borderId="0" xfId="26" applyFont="1" applyFill="1" applyBorder="1" applyAlignment="1">
      <alignment wrapText="1"/>
    </xf>
    <xf numFmtId="3" fontId="42" fillId="0" borderId="35" xfId="25" applyNumberFormat="1" applyFont="1" applyFill="1" applyBorder="1" applyAlignment="1">
      <alignment horizontal="center"/>
    </xf>
    <xf numFmtId="0" fontId="77" fillId="0" borderId="39" xfId="0" applyFont="1" applyBorder="1" applyAlignment="1">
      <alignment horizontal="left"/>
    </xf>
    <xf numFmtId="0" fontId="77" fillId="0" borderId="39" xfId="0" applyFont="1" applyBorder="1"/>
    <xf numFmtId="168" fontId="77" fillId="0" borderId="39" xfId="2" quotePrefix="1" applyNumberFormat="1" applyFont="1" applyBorder="1" applyAlignment="1">
      <alignment horizontal="center"/>
    </xf>
    <xf numFmtId="0" fontId="77" fillId="0" borderId="0" xfId="0" applyFont="1" applyBorder="1" applyAlignment="1">
      <alignment horizontal="center"/>
    </xf>
    <xf numFmtId="0" fontId="77" fillId="0" borderId="10" xfId="0" applyFont="1" applyBorder="1" applyAlignment="1">
      <alignment horizontal="center"/>
    </xf>
    <xf numFmtId="0" fontId="77" fillId="0" borderId="10" xfId="0" applyFont="1" applyBorder="1"/>
    <xf numFmtId="0" fontId="77" fillId="0" borderId="0" xfId="0" applyFont="1" applyFill="1" applyBorder="1" applyAlignment="1">
      <alignment horizontal="center"/>
    </xf>
    <xf numFmtId="0" fontId="77" fillId="0" borderId="10" xfId="0" applyFont="1" applyFill="1" applyBorder="1" applyAlignment="1">
      <alignment horizontal="center"/>
    </xf>
    <xf numFmtId="0" fontId="42" fillId="0" borderId="10" xfId="24" applyFont="1" applyFill="1" applyBorder="1" applyAlignment="1">
      <alignment horizontal="fill"/>
    </xf>
    <xf numFmtId="0" fontId="42" fillId="0" borderId="0" xfId="24" applyFont="1" applyFill="1" applyBorder="1"/>
    <xf numFmtId="0" fontId="71" fillId="0" borderId="0" xfId="24" applyFont="1" applyFill="1" applyBorder="1"/>
    <xf numFmtId="0" fontId="42" fillId="0" borderId="0" xfId="24" applyFont="1" applyFill="1" applyBorder="1" applyAlignment="1">
      <alignment horizontal="center"/>
    </xf>
    <xf numFmtId="0" fontId="42" fillId="0" borderId="10" xfId="24" applyFont="1" applyFill="1" applyBorder="1"/>
    <xf numFmtId="0" fontId="42" fillId="0" borderId="10" xfId="24" applyFont="1" applyFill="1" applyBorder="1" applyAlignment="1">
      <alignment horizontal="center"/>
    </xf>
    <xf numFmtId="0" fontId="71" fillId="0" borderId="10" xfId="24" applyFont="1" applyFill="1" applyBorder="1"/>
    <xf numFmtId="0" fontId="42" fillId="0" borderId="10" xfId="18" applyFont="1" applyFill="1" applyBorder="1" applyAlignment="1">
      <alignment horizontal="fill"/>
    </xf>
    <xf numFmtId="0" fontId="42" fillId="0" borderId="0" xfId="18" applyFont="1" applyFill="1" applyBorder="1"/>
    <xf numFmtId="0" fontId="71" fillId="0" borderId="0" xfId="18" applyFont="1" applyFill="1" applyBorder="1"/>
    <xf numFmtId="0" fontId="42" fillId="0" borderId="10" xfId="18" applyFont="1" applyFill="1" applyBorder="1" applyAlignment="1">
      <alignment horizontal="center"/>
    </xf>
    <xf numFmtId="0" fontId="42" fillId="0" borderId="0" xfId="18" applyFont="1" applyFill="1" applyBorder="1" applyAlignment="1">
      <alignment horizontal="center"/>
    </xf>
    <xf numFmtId="0" fontId="42" fillId="0" borderId="10" xfId="18" applyFont="1" applyFill="1" applyBorder="1"/>
    <xf numFmtId="0" fontId="71" fillId="0" borderId="10" xfId="18" applyFont="1" applyFill="1" applyBorder="1"/>
    <xf numFmtId="0" fontId="42" fillId="0" borderId="0" xfId="0" quotePrefix="1" applyFont="1" applyFill="1" applyBorder="1" applyAlignment="1">
      <alignment horizontal="center"/>
    </xf>
    <xf numFmtId="0" fontId="42" fillId="0" borderId="11" xfId="0" applyFont="1" applyFill="1" applyBorder="1" applyAlignment="1">
      <alignment horizontal="center"/>
    </xf>
    <xf numFmtId="0" fontId="20" fillId="0" borderId="0" xfId="0" applyFont="1" applyAlignment="1">
      <alignment horizontal="center" vertical="top"/>
    </xf>
    <xf numFmtId="7" fontId="42" fillId="0" borderId="0" xfId="21" applyNumberFormat="1" applyFont="1" applyFill="1" applyAlignment="1">
      <alignment horizontal="center"/>
    </xf>
    <xf numFmtId="44" fontId="42" fillId="0" borderId="0" xfId="10" applyFont="1" applyFill="1" applyAlignment="1">
      <alignment horizontal="center"/>
    </xf>
    <xf numFmtId="0" fontId="42" fillId="0" borderId="10" xfId="21" applyFont="1" applyFill="1" applyBorder="1" applyAlignment="1">
      <alignment horizontal="fill"/>
    </xf>
    <xf numFmtId="7" fontId="42" fillId="0" borderId="10" xfId="21" applyNumberFormat="1" applyFont="1" applyFill="1" applyBorder="1" applyAlignment="1">
      <alignment horizontal="center"/>
    </xf>
    <xf numFmtId="44" fontId="42" fillId="0" borderId="10" xfId="10" applyFont="1" applyFill="1" applyBorder="1" applyAlignment="1">
      <alignment horizontal="center"/>
    </xf>
    <xf numFmtId="0" fontId="42" fillId="0" borderId="0" xfId="21" applyFont="1" applyFill="1" applyAlignment="1">
      <alignment horizontal="center"/>
    </xf>
    <xf numFmtId="37" fontId="42" fillId="0" borderId="0" xfId="21" applyNumberFormat="1" applyFont="1" applyFill="1" applyAlignment="1">
      <alignment horizontal="center"/>
    </xf>
    <xf numFmtId="44" fontId="42" fillId="0" borderId="0" xfId="10" applyFont="1" applyFill="1" applyBorder="1" applyAlignment="1">
      <alignment horizontal="center"/>
    </xf>
    <xf numFmtId="7" fontId="71" fillId="0" borderId="0" xfId="21" applyNumberFormat="1" applyFont="1" applyFill="1" applyBorder="1" applyAlignment="1">
      <alignment horizontal="center"/>
    </xf>
    <xf numFmtId="0" fontId="71" fillId="0" borderId="0" xfId="21" applyFont="1" applyFill="1" applyBorder="1" applyAlignment="1">
      <alignment horizontal="center"/>
    </xf>
    <xf numFmtId="44" fontId="71" fillId="0" borderId="0" xfId="10" applyFont="1" applyFill="1" applyBorder="1" applyAlignment="1">
      <alignment horizontal="center"/>
    </xf>
    <xf numFmtId="7" fontId="71" fillId="0" borderId="0" xfId="21" applyNumberFormat="1" applyFont="1" applyFill="1" applyAlignment="1">
      <alignment horizontal="center"/>
    </xf>
    <xf numFmtId="44" fontId="71" fillId="0" borderId="0" xfId="10" applyFont="1" applyFill="1" applyAlignment="1">
      <alignment horizontal="center"/>
    </xf>
    <xf numFmtId="0" fontId="42" fillId="0" borderId="10" xfId="21" applyFont="1" applyFill="1" applyBorder="1" applyAlignment="1">
      <alignment horizontal="center"/>
    </xf>
    <xf numFmtId="0" fontId="42" fillId="0" borderId="10" xfId="21" applyFont="1" applyFill="1" applyBorder="1" applyAlignment="1"/>
    <xf numFmtId="0" fontId="42" fillId="0" borderId="10" xfId="21" applyFont="1" applyFill="1" applyBorder="1"/>
    <xf numFmtId="0" fontId="71" fillId="0" borderId="0" xfId="21" applyFont="1" applyFill="1" applyBorder="1"/>
    <xf numFmtId="0" fontId="72" fillId="0" borderId="0" xfId="0" applyFont="1" applyAlignment="1">
      <alignment horizontal="centerContinuous"/>
    </xf>
    <xf numFmtId="0" fontId="73" fillId="0" borderId="0" xfId="0" applyFont="1" applyAlignment="1">
      <alignment horizontal="centerContinuous"/>
    </xf>
    <xf numFmtId="0" fontId="81" fillId="0" borderId="0" xfId="0" applyFont="1" applyProtection="1">
      <protection locked="0"/>
    </xf>
    <xf numFmtId="0" fontId="42" fillId="0" borderId="0" xfId="0" applyFont="1" applyFill="1" applyAlignment="1">
      <alignment horizontal="justify" wrapText="1"/>
    </xf>
    <xf numFmtId="0" fontId="43" fillId="0" borderId="0" xfId="0" applyFont="1" applyFill="1" applyAlignment="1">
      <alignment wrapText="1"/>
    </xf>
    <xf numFmtId="0" fontId="43" fillId="0" borderId="0" xfId="0" applyFont="1" applyAlignment="1">
      <alignment horizontal="justify" wrapText="1"/>
    </xf>
    <xf numFmtId="0" fontId="42" fillId="0" borderId="0" xfId="0" applyFont="1" applyAlignment="1">
      <alignment horizontal="justify" wrapText="1"/>
    </xf>
    <xf numFmtId="0" fontId="43" fillId="0" borderId="0" xfId="0" applyFont="1" applyAlignment="1">
      <alignment wrapText="1"/>
    </xf>
    <xf numFmtId="0" fontId="42" fillId="0" borderId="0" xfId="0" applyFont="1" applyAlignment="1">
      <alignment horizontal="center"/>
    </xf>
    <xf numFmtId="41" fontId="42" fillId="0" borderId="10" xfId="2" applyFont="1" applyBorder="1" applyAlignment="1">
      <alignment horizontal="center"/>
    </xf>
    <xf numFmtId="0" fontId="43" fillId="0" borderId="0" xfId="0" applyFont="1" applyFill="1" applyAlignment="1">
      <alignment horizontal="left" wrapText="1"/>
    </xf>
    <xf numFmtId="0" fontId="42" fillId="0" borderId="10" xfId="0" applyFont="1" applyBorder="1" applyAlignment="1">
      <alignment horizontal="center"/>
    </xf>
    <xf numFmtId="0" fontId="43" fillId="0" borderId="0" xfId="0" applyFont="1" applyAlignment="1"/>
    <xf numFmtId="0" fontId="43" fillId="0" borderId="0" xfId="0" applyFont="1" applyAlignment="1">
      <alignment horizontal="center"/>
    </xf>
    <xf numFmtId="0" fontId="45" fillId="0" borderId="0" xfId="0" applyFont="1" applyFill="1"/>
    <xf numFmtId="176" fontId="20" fillId="0" borderId="0" xfId="0" applyNumberFormat="1" applyFont="1" applyFill="1"/>
    <xf numFmtId="0" fontId="45" fillId="0" borderId="0" xfId="0" applyFont="1" applyFill="1" applyAlignment="1">
      <alignment horizontal="centerContinuous"/>
    </xf>
    <xf numFmtId="0" fontId="45" fillId="0" borderId="0" xfId="0" applyFont="1" applyFill="1" applyAlignment="1">
      <alignment horizontal="center"/>
    </xf>
    <xf numFmtId="0" fontId="42" fillId="0" borderId="11" xfId="0" quotePrefix="1" applyFont="1" applyFill="1" applyBorder="1" applyAlignment="1">
      <alignment horizontal="centerContinuous"/>
    </xf>
    <xf numFmtId="41" fontId="42" fillId="0" borderId="11" xfId="2" applyFont="1" applyFill="1" applyBorder="1" applyAlignment="1">
      <alignment horizontal="centerContinuous" wrapText="1"/>
    </xf>
    <xf numFmtId="0" fontId="51" fillId="0" borderId="0" xfId="0" applyFont="1" applyFill="1" applyAlignment="1">
      <alignment horizontal="centerContinuous"/>
    </xf>
    <xf numFmtId="0" fontId="51" fillId="0" borderId="0" xfId="0" quotePrefix="1" applyFont="1" applyFill="1"/>
    <xf numFmtId="175" fontId="51" fillId="0" borderId="0" xfId="0" quotePrefix="1" applyNumberFormat="1" applyFont="1" applyFill="1" applyAlignment="1">
      <alignment horizontal="left"/>
    </xf>
    <xf numFmtId="0" fontId="62" fillId="0" borderId="0" xfId="0" applyFont="1" applyFill="1" applyProtection="1">
      <protection locked="0"/>
    </xf>
    <xf numFmtId="0" fontId="42" fillId="0" borderId="0" xfId="0" applyFont="1" applyFill="1" applyAlignment="1">
      <alignment horizontal="left" indent="2"/>
    </xf>
    <xf numFmtId="0" fontId="52" fillId="0" borderId="0" xfId="0" applyFont="1" applyFill="1" applyProtection="1">
      <protection locked="0"/>
    </xf>
    <xf numFmtId="0" fontId="42" fillId="0" borderId="0" xfId="0" quotePrefix="1" applyFont="1" applyFill="1" applyAlignment="1">
      <alignment horizontal="left" indent="2"/>
    </xf>
    <xf numFmtId="0" fontId="42" fillId="0" borderId="0" xfId="0" quotePrefix="1" applyFont="1" applyFill="1" applyAlignment="1"/>
    <xf numFmtId="37" fontId="42" fillId="0" borderId="1" xfId="0" applyNumberFormat="1" applyFont="1" applyFill="1" applyBorder="1" applyProtection="1"/>
    <xf numFmtId="41" fontId="42" fillId="0" borderId="11" xfId="2" quotePrefix="1" applyFont="1" applyFill="1" applyBorder="1" applyAlignment="1">
      <alignment horizontal="centerContinuous"/>
    </xf>
    <xf numFmtId="42" fontId="43" fillId="0" borderId="0" xfId="2" applyNumberFormat="1" applyFont="1" applyFill="1" applyAlignment="1"/>
    <xf numFmtId="42" fontId="43" fillId="0" borderId="0" xfId="7" applyNumberFormat="1" applyFont="1" applyFill="1" applyAlignment="1"/>
    <xf numFmtId="10" fontId="42" fillId="0" borderId="0" xfId="0" applyNumberFormat="1" applyFont="1" applyFill="1"/>
    <xf numFmtId="10" fontId="42" fillId="0" borderId="1" xfId="0" applyNumberFormat="1" applyFont="1" applyFill="1" applyBorder="1"/>
    <xf numFmtId="176" fontId="42" fillId="0" borderId="0" xfId="0" applyNumberFormat="1" applyFont="1" applyFill="1"/>
    <xf numFmtId="176" fontId="42" fillId="0" borderId="0" xfId="0" applyNumberFormat="1" applyFont="1" applyFill="1" applyAlignment="1">
      <alignment horizontal="centerContinuous"/>
    </xf>
    <xf numFmtId="176" fontId="42" fillId="0" borderId="0" xfId="0" applyNumberFormat="1" applyFont="1" applyFill="1" applyAlignment="1" applyProtection="1">
      <alignment horizontal="center"/>
    </xf>
    <xf numFmtId="176" fontId="42" fillId="0" borderId="0" xfId="0" quotePrefix="1" applyNumberFormat="1" applyFont="1" applyFill="1" applyAlignment="1" applyProtection="1">
      <alignment horizontal="center"/>
    </xf>
    <xf numFmtId="176" fontId="43" fillId="0" borderId="0" xfId="0" applyNumberFormat="1" applyFont="1" applyFill="1"/>
    <xf numFmtId="10" fontId="42" fillId="0" borderId="11" xfId="2" applyNumberFormat="1" applyFont="1" applyFill="1" applyBorder="1" applyAlignment="1">
      <alignment horizontal="centerContinuous"/>
    </xf>
    <xf numFmtId="10" fontId="43" fillId="0" borderId="0" xfId="0" applyNumberFormat="1" applyFont="1" applyFill="1"/>
    <xf numFmtId="10" fontId="42" fillId="0" borderId="0" xfId="0" applyNumberFormat="1" applyFont="1" applyFill="1" applyAlignment="1"/>
    <xf numFmtId="0" fontId="42" fillId="0" borderId="0" xfId="0" applyFont="1" applyFill="1" applyBorder="1" applyAlignment="1">
      <alignment horizontal="centerContinuous"/>
    </xf>
    <xf numFmtId="0" fontId="42" fillId="0" borderId="0" xfId="0" applyFont="1" applyFill="1" applyBorder="1" applyAlignment="1">
      <alignment horizontal="center"/>
    </xf>
    <xf numFmtId="10" fontId="42" fillId="0" borderId="0" xfId="0" applyNumberFormat="1" applyFont="1" applyFill="1" applyBorder="1" applyAlignment="1">
      <alignment horizontal="centerContinuous"/>
    </xf>
    <xf numFmtId="0" fontId="43" fillId="0" borderId="0" xfId="0" applyFont="1" applyFill="1" applyAlignment="1">
      <alignment horizontal="centerContinuous" vertical="top"/>
    </xf>
    <xf numFmtId="41" fontId="20" fillId="0" borderId="0" xfId="2" applyFont="1" applyFill="1" applyAlignment="1"/>
    <xf numFmtId="10" fontId="20" fillId="0" borderId="0" xfId="0" applyNumberFormat="1" applyFont="1" applyFill="1" applyProtection="1"/>
    <xf numFmtId="0" fontId="19" fillId="0" borderId="0" xfId="0" applyFont="1" applyFill="1" applyAlignment="1">
      <alignment horizontal="centerContinuous"/>
    </xf>
    <xf numFmtId="0" fontId="19" fillId="0" borderId="0" xfId="0" quotePrefix="1" applyFont="1" applyFill="1" applyAlignment="1">
      <alignment horizontal="left"/>
    </xf>
    <xf numFmtId="0" fontId="42" fillId="0" borderId="1" xfId="0" applyFont="1" applyFill="1" applyBorder="1" applyProtection="1"/>
    <xf numFmtId="176" fontId="42" fillId="0" borderId="0" xfId="0" applyNumberFormat="1" applyFont="1" applyFill="1" applyProtection="1"/>
    <xf numFmtId="176" fontId="17" fillId="0" borderId="0" xfId="0" applyNumberFormat="1" applyFont="1" applyFill="1"/>
    <xf numFmtId="37" fontId="43" fillId="0" borderId="0" xfId="0" applyNumberFormat="1" applyFont="1" applyFill="1" applyAlignment="1" applyProtection="1">
      <alignment horizontal="center"/>
    </xf>
    <xf numFmtId="0" fontId="43" fillId="0" borderId="0" xfId="0" applyFont="1" applyFill="1" applyProtection="1"/>
    <xf numFmtId="42" fontId="43" fillId="0" borderId="0" xfId="0" applyNumberFormat="1" applyFont="1" applyFill="1" applyProtection="1"/>
    <xf numFmtId="42" fontId="43" fillId="0" borderId="18" xfId="7" applyFont="1" applyFill="1" applyBorder="1" applyAlignment="1">
      <alignment horizontal="center"/>
    </xf>
    <xf numFmtId="0" fontId="45" fillId="0" borderId="0" xfId="0" applyFont="1" applyFill="1" applyAlignment="1" applyProtection="1">
      <alignment horizontal="centerContinuous"/>
    </xf>
    <xf numFmtId="0" fontId="42" fillId="0" borderId="0" xfId="0" applyFont="1" applyFill="1" applyAlignment="1" applyProtection="1">
      <alignment horizontal="centerContinuous"/>
    </xf>
    <xf numFmtId="37" fontId="42" fillId="0" borderId="0" xfId="0" applyNumberFormat="1" applyFont="1" applyFill="1" applyAlignment="1" applyProtection="1">
      <alignment horizontal="centerContinuous"/>
    </xf>
    <xf numFmtId="164" fontId="42" fillId="0" borderId="0" xfId="0" quotePrefix="1" applyNumberFormat="1" applyFont="1" applyFill="1" applyAlignment="1" applyProtection="1">
      <alignment horizontal="left"/>
    </xf>
    <xf numFmtId="170" fontId="42" fillId="0" borderId="11" xfId="2" applyNumberFormat="1" applyFont="1" applyFill="1" applyBorder="1" applyAlignment="1">
      <alignment horizontal="center"/>
    </xf>
    <xf numFmtId="41" fontId="43" fillId="0" borderId="23" xfId="2" applyFont="1" applyFill="1" applyBorder="1" applyAlignment="1"/>
    <xf numFmtId="42" fontId="43" fillId="0" borderId="2" xfId="7" applyFont="1" applyFill="1" applyBorder="1" applyAlignment="1">
      <alignment horizontal="center"/>
    </xf>
    <xf numFmtId="37" fontId="43" fillId="0" borderId="23" xfId="0" applyNumberFormat="1" applyFont="1" applyFill="1" applyBorder="1" applyProtection="1"/>
    <xf numFmtId="176" fontId="42" fillId="0" borderId="0" xfId="0" applyNumberFormat="1" applyFont="1" applyFill="1" applyAlignment="1">
      <alignment horizontal="center"/>
    </xf>
    <xf numFmtId="0" fontId="42" fillId="0" borderId="0" xfId="0" applyFont="1" applyFill="1" applyAlignment="1">
      <alignment horizontal="left" indent="9"/>
    </xf>
    <xf numFmtId="0" fontId="42" fillId="0" borderId="0" xfId="0" quotePrefix="1" applyFont="1" applyFill="1" applyAlignment="1">
      <alignment horizontal="left" indent="1"/>
    </xf>
    <xf numFmtId="0" fontId="42" fillId="0" borderId="0" xfId="0" quotePrefix="1" applyFont="1" applyFill="1" applyAlignment="1">
      <alignment horizontal="left" wrapText="1"/>
    </xf>
    <xf numFmtId="0" fontId="42" fillId="0" borderId="0" xfId="0" applyFont="1" applyFill="1" applyAlignment="1">
      <alignment horizontal="left" wrapText="1"/>
    </xf>
    <xf numFmtId="10" fontId="51" fillId="0" borderId="0" xfId="0" applyNumberFormat="1" applyFont="1" applyFill="1" applyProtection="1"/>
    <xf numFmtId="0" fontId="42" fillId="0" borderId="0" xfId="0" quotePrefix="1" applyFont="1" applyFill="1" applyAlignment="1">
      <alignment horizontal="justify" wrapText="1"/>
    </xf>
    <xf numFmtId="39" fontId="43" fillId="0" borderId="0" xfId="0" applyNumberFormat="1" applyFont="1" applyFill="1" applyBorder="1"/>
    <xf numFmtId="0" fontId="42" fillId="0" borderId="0" xfId="0" quotePrefix="1" applyNumberFormat="1" applyFont="1" applyFill="1"/>
    <xf numFmtId="0" fontId="42" fillId="0" borderId="0" xfId="0" applyNumberFormat="1" applyFont="1" applyFill="1" applyAlignment="1">
      <alignment horizontal="left"/>
    </xf>
    <xf numFmtId="0" fontId="42" fillId="0" borderId="0" xfId="0" applyFont="1" applyFill="1" applyAlignment="1">
      <alignment horizontal="right"/>
    </xf>
    <xf numFmtId="0" fontId="45" fillId="0" borderId="0" xfId="0" applyFont="1" applyFill="1" applyProtection="1"/>
    <xf numFmtId="0" fontId="45" fillId="0" borderId="1" xfId="0" applyFont="1" applyFill="1" applyBorder="1" applyProtection="1"/>
    <xf numFmtId="37" fontId="45" fillId="0" borderId="0" xfId="0" applyNumberFormat="1" applyFont="1" applyFill="1" applyAlignment="1" applyProtection="1">
      <alignment horizontal="center"/>
    </xf>
    <xf numFmtId="41" fontId="45" fillId="0" borderId="10" xfId="2" applyFont="1" applyFill="1" applyBorder="1" applyAlignment="1">
      <alignment horizontal="center"/>
    </xf>
    <xf numFmtId="0" fontId="51" fillId="0" borderId="0" xfId="0" applyFont="1" applyFill="1" applyProtection="1"/>
    <xf numFmtId="37" fontId="51" fillId="0" borderId="0" xfId="0" applyNumberFormat="1" applyFont="1" applyFill="1" applyProtection="1"/>
    <xf numFmtId="41" fontId="51" fillId="0" borderId="11" xfId="2" applyNumberFormat="1" applyFont="1" applyFill="1" applyBorder="1" applyAlignment="1"/>
    <xf numFmtId="10" fontId="51" fillId="0" borderId="0" xfId="27" applyNumberFormat="1" applyFont="1" applyFill="1" applyProtection="1"/>
    <xf numFmtId="41" fontId="64" fillId="0" borderId="11" xfId="2" applyFont="1" applyFill="1" applyBorder="1" applyAlignment="1"/>
    <xf numFmtId="41" fontId="51" fillId="0" borderId="0" xfId="2" applyFont="1" applyFill="1" applyAlignment="1">
      <alignment horizontal="center"/>
    </xf>
    <xf numFmtId="41" fontId="51" fillId="0" borderId="11" xfId="2" applyFont="1" applyFill="1" applyBorder="1" applyAlignment="1"/>
    <xf numFmtId="42" fontId="51" fillId="0" borderId="2" xfId="7" applyFont="1" applyFill="1" applyBorder="1" applyAlignment="1"/>
    <xf numFmtId="42" fontId="51" fillId="0" borderId="0" xfId="7" applyFont="1" applyFill="1" applyAlignment="1"/>
    <xf numFmtId="42" fontId="51" fillId="0" borderId="2" xfId="7" applyFont="1" applyFill="1" applyBorder="1" applyAlignment="1">
      <alignment horizontal="center"/>
    </xf>
    <xf numFmtId="49" fontId="45" fillId="0" borderId="0" xfId="0" applyNumberFormat="1" applyFont="1" applyFill="1" applyProtection="1"/>
    <xf numFmtId="49" fontId="63" fillId="0" borderId="0" xfId="0" applyNumberFormat="1" applyFont="1" applyFill="1" applyProtection="1">
      <protection locked="0"/>
    </xf>
    <xf numFmtId="49" fontId="45" fillId="0" borderId="1" xfId="0" applyNumberFormat="1" applyFont="1" applyFill="1" applyBorder="1" applyProtection="1"/>
    <xf numFmtId="49" fontId="45" fillId="0" borderId="0" xfId="0" applyNumberFormat="1" applyFont="1" applyFill="1" applyAlignment="1">
      <alignment horizontal="centerContinuous"/>
    </xf>
    <xf numFmtId="49" fontId="45" fillId="0" borderId="10" xfId="2" applyNumberFormat="1" applyFont="1" applyFill="1" applyBorder="1" applyAlignment="1">
      <alignment horizontal="centerContinuous"/>
    </xf>
    <xf numFmtId="49" fontId="45" fillId="0" borderId="0" xfId="0" applyNumberFormat="1" applyFont="1" applyFill="1"/>
    <xf numFmtId="49" fontId="51" fillId="0" borderId="0" xfId="0" applyNumberFormat="1" applyFont="1" applyFill="1"/>
    <xf numFmtId="49" fontId="51" fillId="0" borderId="0" xfId="0" quotePrefix="1" applyNumberFormat="1" applyFont="1" applyFill="1"/>
    <xf numFmtId="0" fontId="51" fillId="0" borderId="0" xfId="0" applyFont="1" applyFill="1" applyBorder="1"/>
    <xf numFmtId="49" fontId="51" fillId="0" borderId="0" xfId="0" applyNumberFormat="1" applyFont="1" applyFill="1" applyProtection="1"/>
    <xf numFmtId="49" fontId="62" fillId="0" borderId="0" xfId="0" applyNumberFormat="1" applyFont="1" applyFill="1" applyProtection="1">
      <protection locked="0"/>
    </xf>
    <xf numFmtId="41" fontId="74" fillId="0" borderId="0" xfId="0" applyNumberFormat="1" applyFont="1" applyFill="1"/>
    <xf numFmtId="1" fontId="43" fillId="0" borderId="0" xfId="0" applyNumberFormat="1" applyFont="1" applyFill="1"/>
    <xf numFmtId="0" fontId="43" fillId="0" borderId="0" xfId="0" applyFont="1" applyFill="1" applyAlignment="1">
      <alignment horizontal="center" vertical="top"/>
    </xf>
    <xf numFmtId="0" fontId="43" fillId="0" borderId="0" xfId="0" applyFont="1" applyAlignment="1">
      <alignment horizontal="center"/>
    </xf>
    <xf numFmtId="41" fontId="42" fillId="0" borderId="0" xfId="2" applyFont="1" applyFill="1" applyBorder="1" applyAlignment="1">
      <alignment horizontal="center"/>
    </xf>
    <xf numFmtId="37" fontId="42" fillId="0" borderId="0" xfId="2" applyNumberFormat="1" applyFont="1" applyFill="1" applyBorder="1" applyAlignment="1">
      <alignment horizontal="centerContinuous"/>
    </xf>
    <xf numFmtId="175" fontId="43" fillId="0" borderId="0" xfId="0" quotePrefix="1" applyNumberFormat="1" applyFont="1" applyFill="1" applyAlignment="1">
      <alignment horizontal="left"/>
    </xf>
    <xf numFmtId="42" fontId="17" fillId="0" borderId="0" xfId="0" applyNumberFormat="1" applyFont="1"/>
    <xf numFmtId="0" fontId="42" fillId="0" borderId="35" xfId="0" applyFont="1" applyBorder="1" applyAlignment="1">
      <alignment horizontal="center"/>
    </xf>
    <xf numFmtId="0" fontId="43" fillId="0" borderId="35" xfId="0" applyFont="1" applyBorder="1"/>
    <xf numFmtId="41" fontId="43" fillId="0" borderId="35" xfId="0" applyNumberFormat="1" applyFont="1" applyBorder="1"/>
    <xf numFmtId="41" fontId="43" fillId="0" borderId="34" xfId="0" applyNumberFormat="1" applyFont="1" applyBorder="1"/>
    <xf numFmtId="41" fontId="72" fillId="0" borderId="0" xfId="15" applyNumberFormat="1" applyFont="1"/>
    <xf numFmtId="10" fontId="20" fillId="0" borderId="0" xfId="0" applyNumberFormat="1" applyFont="1"/>
    <xf numFmtId="10" fontId="43" fillId="0" borderId="0" xfId="15" applyNumberFormat="1" applyFont="1"/>
    <xf numFmtId="42" fontId="72" fillId="0" borderId="13" xfId="0" applyNumberFormat="1" applyFont="1" applyBorder="1"/>
    <xf numFmtId="192" fontId="43" fillId="0" borderId="13" xfId="19" applyNumberFormat="1" applyFont="1" applyFill="1" applyBorder="1"/>
    <xf numFmtId="174" fontId="56" fillId="0" borderId="0" xfId="0" applyNumberFormat="1" applyFont="1" applyFill="1" applyProtection="1"/>
    <xf numFmtId="41" fontId="43" fillId="0" borderId="13" xfId="0" applyNumberFormat="1" applyFont="1" applyFill="1" applyBorder="1"/>
    <xf numFmtId="0" fontId="43" fillId="0" borderId="41" xfId="0" applyFont="1" applyFill="1" applyBorder="1"/>
    <xf numFmtId="39" fontId="43" fillId="0" borderId="41" xfId="0" applyNumberFormat="1" applyFont="1" applyFill="1" applyBorder="1"/>
    <xf numFmtId="39" fontId="42" fillId="0" borderId="48" xfId="0" applyNumberFormat="1" applyFont="1" applyFill="1" applyBorder="1"/>
    <xf numFmtId="43" fontId="43" fillId="0" borderId="41" xfId="0" applyNumberFormat="1" applyFont="1" applyFill="1" applyBorder="1"/>
    <xf numFmtId="43" fontId="43" fillId="0" borderId="0" xfId="19" applyNumberFormat="1" applyFont="1" applyFill="1" applyAlignment="1">
      <alignment horizontal="right"/>
    </xf>
    <xf numFmtId="43" fontId="43" fillId="0" borderId="0" xfId="0" applyNumberFormat="1" applyFont="1" applyFill="1" applyBorder="1"/>
    <xf numFmtId="39" fontId="43" fillId="0" borderId="49" xfId="0" applyNumberFormat="1" applyFont="1" applyFill="1" applyBorder="1"/>
    <xf numFmtId="39" fontId="43" fillId="0" borderId="41" xfId="0" applyNumberFormat="1" applyFont="1" applyBorder="1"/>
    <xf numFmtId="0" fontId="42" fillId="0" borderId="41" xfId="0" applyFont="1" applyFill="1" applyBorder="1" applyAlignment="1">
      <alignment horizontal="center"/>
    </xf>
    <xf numFmtId="0" fontId="43" fillId="0" borderId="0" xfId="19" applyFont="1" applyFill="1" applyBorder="1" applyAlignment="1">
      <alignment horizontal="centerContinuous"/>
    </xf>
    <xf numFmtId="0" fontId="43" fillId="0" borderId="35" xfId="0" applyFont="1" applyFill="1" applyBorder="1" applyAlignment="1">
      <alignment horizontal="centerContinuous"/>
    </xf>
    <xf numFmtId="0" fontId="43" fillId="0" borderId="35" xfId="19" applyFont="1" applyFill="1" applyBorder="1" applyAlignment="1">
      <alignment horizontal="centerContinuous"/>
    </xf>
    <xf numFmtId="0" fontId="43" fillId="0" borderId="50" xfId="0" applyFont="1" applyFill="1" applyBorder="1" applyAlignment="1">
      <alignment horizontal="center" wrapText="1"/>
    </xf>
    <xf numFmtId="0" fontId="43" fillId="0" borderId="35" xfId="0" applyFont="1" applyFill="1" applyBorder="1" applyAlignment="1">
      <alignment horizontal="center" wrapText="1"/>
    </xf>
    <xf numFmtId="0" fontId="43" fillId="0" borderId="35" xfId="19" applyFont="1" applyFill="1" applyBorder="1" applyAlignment="1">
      <alignment horizontal="center"/>
    </xf>
    <xf numFmtId="37" fontId="20" fillId="0" borderId="0" xfId="0" applyNumberFormat="1" applyFont="1" applyFill="1"/>
    <xf numFmtId="0" fontId="43" fillId="0" borderId="0" xfId="19" quotePrefix="1" applyFont="1" applyFill="1" applyBorder="1" applyAlignment="1">
      <alignment horizontal="centerContinuous"/>
    </xf>
    <xf numFmtId="0" fontId="43" fillId="0" borderId="0" xfId="0" applyFont="1" applyFill="1" applyBorder="1" applyAlignment="1">
      <alignment horizontal="center" wrapText="1"/>
    </xf>
    <xf numFmtId="176" fontId="42" fillId="0" borderId="51" xfId="0" applyNumberFormat="1" applyFont="1" applyFill="1" applyBorder="1" applyAlignment="1" applyProtection="1">
      <alignment horizontal="center"/>
    </xf>
    <xf numFmtId="176" fontId="42" fillId="0" borderId="51" xfId="0" applyNumberFormat="1" applyFont="1" applyFill="1" applyBorder="1"/>
    <xf numFmtId="176" fontId="42" fillId="0" borderId="51" xfId="0" applyNumberFormat="1" applyFont="1" applyFill="1" applyBorder="1" applyAlignment="1">
      <alignment horizontal="centerContinuous"/>
    </xf>
    <xf numFmtId="176" fontId="42" fillId="0" borderId="51" xfId="0" quotePrefix="1" applyNumberFormat="1" applyFont="1" applyFill="1" applyBorder="1" applyAlignment="1" applyProtection="1">
      <alignment horizontal="center"/>
    </xf>
    <xf numFmtId="176" fontId="42" fillId="0" borderId="51" xfId="0" applyNumberFormat="1" applyFont="1" applyFill="1" applyBorder="1" applyAlignment="1">
      <alignment horizontal="center"/>
    </xf>
    <xf numFmtId="42" fontId="43" fillId="0" borderId="0" xfId="30" applyNumberFormat="1" applyFont="1" applyFill="1" applyAlignment="1">
      <alignment horizontal="right"/>
    </xf>
    <xf numFmtId="176" fontId="42" fillId="0" borderId="55" xfId="0" applyNumberFormat="1" applyFont="1" applyFill="1" applyBorder="1" applyAlignment="1">
      <alignment horizontal="center"/>
    </xf>
    <xf numFmtId="176" fontId="42" fillId="0" borderId="55" xfId="0" applyNumberFormat="1" applyFont="1" applyFill="1" applyBorder="1" applyAlignment="1">
      <alignment horizontal="centerContinuous"/>
    </xf>
    <xf numFmtId="176" fontId="42" fillId="0" borderId="55" xfId="0" applyNumberFormat="1" applyFont="1" applyFill="1" applyBorder="1" applyAlignment="1" applyProtection="1">
      <alignment horizontal="center"/>
    </xf>
    <xf numFmtId="0" fontId="42" fillId="0" borderId="56" xfId="0" applyFont="1" applyBorder="1" applyAlignment="1">
      <alignment horizontal="centerContinuous"/>
    </xf>
    <xf numFmtId="42" fontId="20" fillId="0" borderId="0" xfId="0" applyNumberFormat="1" applyFont="1" applyFill="1"/>
    <xf numFmtId="41" fontId="42" fillId="0" borderId="54" xfId="2" applyFont="1" applyFill="1" applyBorder="1" applyAlignment="1">
      <alignment horizontal="centerContinuous"/>
    </xf>
    <xf numFmtId="0" fontId="42" fillId="0" borderId="54" xfId="0" quotePrefix="1" applyFont="1" applyFill="1" applyBorder="1" applyAlignment="1">
      <alignment horizontal="centerContinuous"/>
    </xf>
    <xf numFmtId="41" fontId="55" fillId="0" borderId="54" xfId="2" quotePrefix="1" applyFont="1" applyFill="1" applyBorder="1" applyAlignment="1">
      <alignment horizontal="left"/>
    </xf>
    <xf numFmtId="173" fontId="43" fillId="0" borderId="52" xfId="2" applyNumberFormat="1" applyFont="1" applyFill="1" applyBorder="1" applyAlignment="1"/>
    <xf numFmtId="41" fontId="46" fillId="0" borderId="0" xfId="2" applyFont="1" applyFill="1" applyAlignment="1">
      <alignment horizontal="centerContinuous"/>
    </xf>
    <xf numFmtId="0" fontId="2" fillId="0" borderId="0" xfId="0" applyFont="1" applyFill="1"/>
    <xf numFmtId="41" fontId="42" fillId="0" borderId="54" xfId="2" applyFont="1" applyFill="1" applyBorder="1" applyAlignment="1">
      <alignment horizontal="center"/>
    </xf>
    <xf numFmtId="0" fontId="42" fillId="0" borderId="0" xfId="0" quotePrefix="1" applyFont="1" applyFill="1" applyAlignment="1">
      <alignment horizontal="right"/>
    </xf>
    <xf numFmtId="0" fontId="43" fillId="0" borderId="0" xfId="38" applyFont="1" applyFill="1"/>
    <xf numFmtId="41" fontId="43" fillId="0" borderId="0" xfId="39" applyNumberFormat="1" applyFont="1" applyFill="1" applyAlignment="1">
      <alignment horizontal="center"/>
    </xf>
    <xf numFmtId="0" fontId="43" fillId="0" borderId="0" xfId="38" applyFont="1" applyFill="1" applyAlignment="1">
      <alignment horizontal="left"/>
    </xf>
    <xf numFmtId="0" fontId="43" fillId="0" borderId="0" xfId="38" applyFont="1" applyFill="1" applyAlignment="1">
      <alignment horizontal="center"/>
    </xf>
    <xf numFmtId="43" fontId="43" fillId="0" borderId="0" xfId="38" applyNumberFormat="1" applyFont="1" applyFill="1" applyAlignment="1">
      <alignment horizontal="center"/>
    </xf>
    <xf numFmtId="1" fontId="43" fillId="0" borderId="0" xfId="38" applyNumberFormat="1" applyFont="1" applyFill="1" applyAlignment="1">
      <alignment horizontal="center"/>
    </xf>
    <xf numFmtId="0" fontId="43" fillId="0" borderId="0" xfId="38" quotePrefix="1" applyFont="1" applyFill="1" applyAlignment="1">
      <alignment horizontal="left"/>
    </xf>
    <xf numFmtId="168" fontId="43" fillId="0" borderId="0" xfId="39" applyNumberFormat="1" applyFont="1" applyFill="1" applyAlignment="1">
      <alignment horizontal="center"/>
    </xf>
    <xf numFmtId="0" fontId="43" fillId="0" borderId="0" xfId="40" applyNumberFormat="1" applyFont="1" applyFill="1" applyBorder="1" applyAlignment="1">
      <alignment horizontal="center"/>
    </xf>
    <xf numFmtId="169" fontId="43" fillId="0" borderId="0" xfId="40" applyNumberFormat="1" applyFont="1" applyFill="1" applyBorder="1" applyAlignment="1">
      <alignment horizontal="center"/>
    </xf>
    <xf numFmtId="168" fontId="43" fillId="0" borderId="0" xfId="39" applyNumberFormat="1" applyFont="1" applyFill="1" applyBorder="1" applyAlignment="1"/>
    <xf numFmtId="41" fontId="43" fillId="0" borderId="0" xfId="40" applyNumberFormat="1" applyFont="1" applyFill="1" applyBorder="1" applyAlignment="1"/>
    <xf numFmtId="169" fontId="43" fillId="0" borderId="0" xfId="40" applyNumberFormat="1" applyFont="1" applyFill="1" applyBorder="1" applyAlignment="1"/>
    <xf numFmtId="168" fontId="43" fillId="0" borderId="0" xfId="39" applyNumberFormat="1" applyFont="1" applyFill="1" applyAlignment="1"/>
    <xf numFmtId="0" fontId="43" fillId="0" borderId="0" xfId="0" quotePrefix="1" applyFont="1" applyFill="1" applyBorder="1" applyAlignment="1">
      <alignment horizontal="left" indent="2"/>
    </xf>
    <xf numFmtId="42" fontId="43" fillId="0" borderId="0" xfId="2" applyNumberFormat="1" applyFont="1" applyFill="1" applyBorder="1" applyAlignment="1"/>
    <xf numFmtId="0" fontId="42" fillId="0" borderId="0" xfId="0" applyFont="1" applyAlignment="1">
      <alignment wrapText="1"/>
    </xf>
    <xf numFmtId="0" fontId="42" fillId="0" borderId="0" xfId="0" applyFont="1" applyAlignment="1">
      <alignment horizontal="center"/>
    </xf>
    <xf numFmtId="41" fontId="72" fillId="0" borderId="35" xfId="0" applyNumberFormat="1" applyFont="1" applyFill="1" applyBorder="1"/>
    <xf numFmtId="41" fontId="42" fillId="0" borderId="54" xfId="2" applyFont="1" applyBorder="1" applyAlignment="1">
      <alignment horizontal="center"/>
    </xf>
    <xf numFmtId="43" fontId="42" fillId="0" borderId="20" xfId="19" applyNumberFormat="1" applyFont="1" applyFill="1" applyBorder="1"/>
    <xf numFmtId="43" fontId="42" fillId="0" borderId="14" xfId="19" applyNumberFormat="1" applyFont="1" applyFill="1" applyBorder="1" applyAlignment="1">
      <alignment horizontal="right"/>
    </xf>
    <xf numFmtId="43" fontId="42" fillId="0" borderId="0" xfId="19" applyNumberFormat="1" applyFont="1" applyFill="1" applyBorder="1" applyAlignment="1">
      <alignment horizontal="right"/>
    </xf>
    <xf numFmtId="192" fontId="43" fillId="4" borderId="41" xfId="19" applyNumberFormat="1" applyFont="1" applyFill="1" applyBorder="1"/>
    <xf numFmtId="43" fontId="43" fillId="0" borderId="13" xfId="19" quotePrefix="1" applyNumberFormat="1" applyFont="1" applyFill="1" applyBorder="1" applyAlignment="1">
      <alignment horizontal="right"/>
    </xf>
    <xf numFmtId="43" fontId="43" fillId="4" borderId="0" xfId="19" applyNumberFormat="1" applyFont="1" applyFill="1"/>
    <xf numFmtId="43" fontId="43" fillId="0" borderId="14" xfId="19" applyNumberFormat="1" applyFont="1" applyFill="1" applyBorder="1"/>
    <xf numFmtId="43" fontId="43" fillId="0" borderId="10" xfId="19" applyNumberFormat="1" applyFont="1" applyFill="1" applyBorder="1"/>
    <xf numFmtId="43" fontId="43" fillId="0" borderId="5" xfId="19" applyNumberFormat="1" applyFont="1" applyFill="1" applyBorder="1"/>
    <xf numFmtId="43" fontId="43" fillId="0" borderId="4" xfId="19" applyNumberFormat="1" applyFont="1" applyFill="1" applyBorder="1"/>
    <xf numFmtId="43" fontId="42" fillId="0" borderId="6" xfId="19" applyNumberFormat="1" applyFont="1" applyFill="1" applyBorder="1"/>
    <xf numFmtId="43" fontId="43" fillId="0" borderId="6" xfId="19" applyNumberFormat="1" applyFont="1" applyFill="1" applyBorder="1"/>
    <xf numFmtId="43" fontId="42" fillId="0" borderId="0" xfId="19" applyNumberFormat="1" applyFont="1" applyFill="1" applyBorder="1"/>
    <xf numFmtId="43" fontId="42" fillId="0" borderId="10" xfId="19" applyNumberFormat="1" applyFont="1" applyFill="1" applyBorder="1"/>
    <xf numFmtId="43" fontId="42" fillId="0" borderId="7" xfId="19" applyNumberFormat="1" applyFont="1" applyFill="1" applyBorder="1"/>
    <xf numFmtId="43" fontId="42" fillId="0" borderId="9" xfId="19" applyNumberFormat="1" applyFont="1" applyFill="1" applyBorder="1"/>
    <xf numFmtId="43" fontId="42" fillId="0" borderId="14" xfId="19" applyNumberFormat="1" applyFont="1" applyFill="1" applyBorder="1"/>
    <xf numFmtId="43" fontId="43" fillId="0" borderId="13" xfId="19" applyNumberFormat="1" applyFont="1" applyFill="1" applyBorder="1" applyAlignment="1">
      <alignment horizontal="right"/>
    </xf>
    <xf numFmtId="14" fontId="42" fillId="0" borderId="10" xfId="5" applyNumberFormat="1" applyFont="1" applyFill="1" applyBorder="1" applyAlignment="1">
      <alignment horizontal="center" wrapText="1"/>
    </xf>
    <xf numFmtId="14" fontId="43" fillId="0" borderId="0" xfId="19" applyNumberFormat="1" applyFont="1" applyBorder="1" applyAlignment="1">
      <alignment horizontal="centerContinuous"/>
    </xf>
    <xf numFmtId="14" fontId="43" fillId="0" borderId="54" xfId="19" applyNumberFormat="1" applyFont="1" applyBorder="1" applyAlignment="1">
      <alignment horizontal="center"/>
    </xf>
    <xf numFmtId="43" fontId="43" fillId="4" borderId="0" xfId="19" applyNumberFormat="1" applyFont="1" applyFill="1" applyAlignment="1">
      <alignment horizontal="right"/>
    </xf>
    <xf numFmtId="40" fontId="43" fillId="0" borderId="0" xfId="19" applyNumberFormat="1" applyFont="1" applyFill="1"/>
    <xf numFmtId="194" fontId="43" fillId="0" borderId="0" xfId="0" applyNumberFormat="1" applyFont="1"/>
    <xf numFmtId="39" fontId="43" fillId="4" borderId="0" xfId="0" applyNumberFormat="1" applyFont="1" applyFill="1"/>
    <xf numFmtId="43" fontId="43" fillId="4" borderId="0" xfId="0" applyNumberFormat="1" applyFont="1" applyFill="1"/>
    <xf numFmtId="0" fontId="20" fillId="0" borderId="0" xfId="0" quotePrefix="1" applyFont="1"/>
    <xf numFmtId="41" fontId="43" fillId="0" borderId="22" xfId="19" applyNumberFormat="1" applyFont="1" applyBorder="1"/>
    <xf numFmtId="41" fontId="43" fillId="0" borderId="0" xfId="19" applyNumberFormat="1" applyFont="1" applyBorder="1" applyAlignment="1">
      <alignment horizontal="right"/>
    </xf>
    <xf numFmtId="194" fontId="43" fillId="0" borderId="42" xfId="19" applyNumberFormat="1" applyFont="1" applyBorder="1"/>
    <xf numFmtId="194" fontId="43" fillId="0" borderId="0" xfId="19" applyNumberFormat="1" applyFont="1"/>
    <xf numFmtId="0" fontId="74" fillId="0" borderId="0" xfId="38" applyFont="1" applyFill="1"/>
    <xf numFmtId="0" fontId="72" fillId="0" borderId="0" xfId="38" applyFont="1" applyFill="1"/>
    <xf numFmtId="0" fontId="72" fillId="0" borderId="0" xfId="41" applyFont="1" applyFill="1"/>
    <xf numFmtId="43" fontId="72" fillId="0" borderId="0" xfId="38" applyNumberFormat="1" applyFont="1" applyFill="1" applyAlignment="1">
      <alignment horizontal="center"/>
    </xf>
    <xf numFmtId="41" fontId="72" fillId="0" borderId="0" xfId="39" applyNumberFormat="1" applyFont="1" applyFill="1" applyAlignment="1">
      <alignment horizontal="center"/>
    </xf>
    <xf numFmtId="0" fontId="72" fillId="0" borderId="0" xfId="38" applyFont="1" applyFill="1" applyAlignment="1">
      <alignment horizontal="left"/>
    </xf>
    <xf numFmtId="0" fontId="72" fillId="0" borderId="0" xfId="38" applyFont="1" applyFill="1" applyAlignment="1">
      <alignment horizontal="center"/>
    </xf>
    <xf numFmtId="1" fontId="72" fillId="0" borderId="0" xfId="38" applyNumberFormat="1" applyFont="1" applyFill="1" applyAlignment="1">
      <alignment horizontal="center"/>
    </xf>
    <xf numFmtId="0" fontId="72" fillId="0" borderId="0" xfId="38" applyFont="1" applyFill="1" applyBorder="1" applyAlignment="1">
      <alignment horizontal="center"/>
    </xf>
    <xf numFmtId="0" fontId="72" fillId="0" borderId="0" xfId="38" applyFont="1" applyFill="1" applyBorder="1" applyAlignment="1">
      <alignment horizontal="left"/>
    </xf>
    <xf numFmtId="168" fontId="72" fillId="0" borderId="0" xfId="39" applyNumberFormat="1" applyFont="1" applyFill="1" applyAlignment="1">
      <alignment horizontal="center"/>
    </xf>
    <xf numFmtId="169" fontId="72" fillId="0" borderId="37" xfId="40" applyNumberFormat="1" applyFont="1" applyFill="1" applyBorder="1" applyAlignment="1">
      <alignment horizontal="center"/>
    </xf>
    <xf numFmtId="0" fontId="72" fillId="0" borderId="0" xfId="0" applyFont="1" applyBorder="1" applyAlignment="1">
      <alignment horizontal="right"/>
    </xf>
    <xf numFmtId="168" fontId="74" fillId="0" borderId="34" xfId="2" applyNumberFormat="1" applyFont="1" applyBorder="1" applyAlignment="1"/>
    <xf numFmtId="0" fontId="82" fillId="0" borderId="0" xfId="0" applyFont="1"/>
    <xf numFmtId="37" fontId="82" fillId="0" borderId="0" xfId="0" applyNumberFormat="1" applyFont="1" applyProtection="1"/>
    <xf numFmtId="0" fontId="82" fillId="0" borderId="0" xfId="17" applyFont="1" applyFill="1"/>
    <xf numFmtId="0" fontId="82" fillId="0" borderId="0" xfId="17" quotePrefix="1" applyFont="1" applyFill="1" applyAlignment="1">
      <alignment horizontal="left" wrapText="1"/>
    </xf>
    <xf numFmtId="38" fontId="82" fillId="0" borderId="0" xfId="17" applyNumberFormat="1" applyFont="1" applyFill="1" applyProtection="1"/>
    <xf numFmtId="0" fontId="82" fillId="0" borderId="0" xfId="17" applyFont="1" applyFill="1" applyAlignment="1">
      <alignment wrapText="1"/>
    </xf>
    <xf numFmtId="0" fontId="72" fillId="0" borderId="0" xfId="17" quotePrefix="1" applyFont="1" applyFill="1" applyAlignment="1">
      <alignment horizontal="left" wrapText="1"/>
    </xf>
    <xf numFmtId="0" fontId="82" fillId="0" borderId="0" xfId="17" quotePrefix="1" applyFont="1" applyFill="1" applyAlignment="1">
      <alignment horizontal="left"/>
    </xf>
    <xf numFmtId="0" fontId="82" fillId="0" borderId="0" xfId="17" applyFont="1" applyFill="1" applyAlignment="1">
      <alignment horizontal="left" wrapText="1"/>
    </xf>
    <xf numFmtId="0" fontId="83" fillId="0" borderId="0" xfId="17" applyFont="1" applyFill="1" applyAlignment="1">
      <alignment horizontal="right"/>
    </xf>
    <xf numFmtId="0" fontId="84" fillId="0" borderId="0" xfId="0" applyFont="1" applyFill="1"/>
    <xf numFmtId="5" fontId="43" fillId="0" borderId="0" xfId="9" applyNumberFormat="1" applyFont="1" applyFill="1" applyBorder="1" applyAlignment="1">
      <alignment horizontal="right"/>
    </xf>
    <xf numFmtId="5" fontId="43" fillId="0" borderId="22" xfId="9" applyNumberFormat="1" applyFont="1" applyFill="1" applyBorder="1" applyAlignment="1">
      <alignment horizontal="right"/>
    </xf>
    <xf numFmtId="0" fontId="73" fillId="0" borderId="0" xfId="0" quotePrefix="1" applyFont="1" applyAlignment="1">
      <alignment horizontal="left"/>
    </xf>
    <xf numFmtId="164" fontId="73" fillId="0" borderId="0" xfId="0" applyNumberFormat="1" applyFont="1" applyProtection="1"/>
    <xf numFmtId="165" fontId="73" fillId="0" borderId="0" xfId="0" applyNumberFormat="1" applyFont="1" applyProtection="1"/>
    <xf numFmtId="0" fontId="73" fillId="0" borderId="1" xfId="0" applyFont="1" applyBorder="1"/>
    <xf numFmtId="0" fontId="73" fillId="0" borderId="0" xfId="0" applyFont="1" applyAlignment="1">
      <alignment horizontal="center"/>
    </xf>
    <xf numFmtId="42" fontId="72" fillId="0" borderId="0" xfId="7" applyFont="1" applyFill="1" applyAlignment="1"/>
    <xf numFmtId="42" fontId="72" fillId="0" borderId="0" xfId="7" applyFont="1" applyAlignment="1"/>
    <xf numFmtId="0" fontId="73" fillId="0" borderId="0" xfId="0" applyFont="1" applyAlignment="1">
      <alignment horizontal="left"/>
    </xf>
    <xf numFmtId="0" fontId="73" fillId="0" borderId="0" xfId="0" applyFont="1" applyBorder="1" applyAlignment="1">
      <alignment horizontal="center"/>
    </xf>
    <xf numFmtId="176" fontId="20" fillId="0" borderId="0" xfId="0" applyNumberFormat="1" applyFont="1" applyAlignment="1">
      <alignment horizontal="right"/>
    </xf>
    <xf numFmtId="176" fontId="43" fillId="0" borderId="0" xfId="0" applyNumberFormat="1" applyFont="1" applyFill="1" applyBorder="1" applyAlignment="1">
      <alignment horizontal="right"/>
    </xf>
    <xf numFmtId="0" fontId="72" fillId="0" borderId="0" xfId="46" applyFont="1" applyFill="1" applyAlignment="1">
      <alignment horizontal="center"/>
    </xf>
    <xf numFmtId="0" fontId="72" fillId="0" borderId="0" xfId="46" applyFont="1" applyFill="1" applyAlignment="1">
      <alignment horizontal="left"/>
    </xf>
    <xf numFmtId="0" fontId="72" fillId="0" borderId="0" xfId="46" applyFont="1" applyFill="1" applyBorder="1"/>
    <xf numFmtId="0" fontId="72" fillId="0" borderId="0" xfId="46" applyFont="1" applyBorder="1"/>
    <xf numFmtId="0" fontId="72" fillId="0" borderId="0" xfId="46" applyFont="1"/>
    <xf numFmtId="0" fontId="72" fillId="0" borderId="0" xfId="46" applyFont="1" applyAlignment="1">
      <alignment horizontal="center"/>
    </xf>
    <xf numFmtId="0" fontId="56" fillId="0" borderId="0" xfId="0" quotePrefix="1" applyNumberFormat="1" applyFont="1" applyFill="1" applyAlignment="1">
      <alignment horizontal="left"/>
    </xf>
    <xf numFmtId="0" fontId="42" fillId="0" borderId="0" xfId="16" applyFont="1" applyFill="1" applyAlignment="1"/>
    <xf numFmtId="0" fontId="86" fillId="0" borderId="0" xfId="0" applyFont="1"/>
    <xf numFmtId="0" fontId="86" fillId="0" borderId="0" xfId="0" applyFont="1" applyAlignment="1">
      <alignment horizontal="centerContinuous"/>
    </xf>
    <xf numFmtId="41" fontId="86" fillId="0" borderId="0" xfId="2" applyFont="1" applyAlignment="1"/>
    <xf numFmtId="41" fontId="0" fillId="0" borderId="0" xfId="0" applyNumberFormat="1"/>
    <xf numFmtId="41" fontId="20" fillId="0" borderId="11" xfId="0" applyNumberFormat="1" applyFont="1" applyFill="1" applyBorder="1"/>
    <xf numFmtId="0" fontId="87" fillId="0" borderId="0" xfId="47" applyFont="1" applyAlignment="1">
      <alignment horizontal="center"/>
    </xf>
    <xf numFmtId="0" fontId="74" fillId="0" borderId="0" xfId="47" applyFont="1"/>
    <xf numFmtId="42" fontId="74" fillId="0" borderId="0" xfId="47" applyNumberFormat="1" applyFont="1"/>
    <xf numFmtId="10" fontId="74" fillId="0" borderId="54" xfId="47" applyNumberFormat="1" applyFont="1" applyBorder="1"/>
    <xf numFmtId="41" fontId="74" fillId="0" borderId="0" xfId="47" applyNumberFormat="1" applyFont="1" applyBorder="1"/>
    <xf numFmtId="42" fontId="74" fillId="0" borderId="0" xfId="47" applyNumberFormat="1" applyFont="1" applyBorder="1"/>
    <xf numFmtId="10" fontId="74" fillId="0" borderId="0" xfId="47" applyNumberFormat="1" applyFont="1"/>
    <xf numFmtId="42" fontId="74" fillId="0" borderId="0" xfId="0" applyNumberFormat="1" applyFont="1"/>
    <xf numFmtId="0" fontId="77" fillId="0" borderId="0" xfId="47" applyFont="1"/>
    <xf numFmtId="10" fontId="77" fillId="0" borderId="0" xfId="47" applyNumberFormat="1" applyFont="1"/>
    <xf numFmtId="0" fontId="74" fillId="4" borderId="0" xfId="47" applyFont="1" applyFill="1"/>
    <xf numFmtId="41" fontId="74" fillId="0" borderId="54" xfId="47" applyNumberFormat="1" applyFont="1" applyBorder="1"/>
    <xf numFmtId="5" fontId="75" fillId="0" borderId="0" xfId="47" applyNumberFormat="1" applyFont="1"/>
    <xf numFmtId="0" fontId="74" fillId="0" borderId="5" xfId="0" applyFont="1" applyBorder="1"/>
    <xf numFmtId="6" fontId="74" fillId="0" borderId="15" xfId="0" applyNumberFormat="1" applyFont="1" applyBorder="1"/>
    <xf numFmtId="0" fontId="74" fillId="0" borderId="4" xfId="0" applyFont="1" applyBorder="1"/>
    <xf numFmtId="10" fontId="74" fillId="0" borderId="12" xfId="0" applyNumberFormat="1" applyFont="1" applyBorder="1"/>
    <xf numFmtId="0" fontId="74" fillId="0" borderId="59" xfId="0" applyFont="1" applyBorder="1"/>
    <xf numFmtId="6" fontId="74" fillId="0" borderId="60" xfId="0" applyNumberFormat="1" applyFont="1" applyBorder="1"/>
    <xf numFmtId="176" fontId="42" fillId="0" borderId="0" xfId="0" quotePrefix="1" applyNumberFormat="1" applyFont="1" applyFill="1" applyBorder="1" applyAlignment="1">
      <alignment horizontal="center"/>
    </xf>
    <xf numFmtId="176" fontId="42" fillId="0" borderId="16" xfId="0" quotePrefix="1" applyNumberFormat="1" applyFont="1" applyFill="1" applyBorder="1" applyAlignment="1">
      <alignment horizontal="center"/>
    </xf>
    <xf numFmtId="0" fontId="74" fillId="0" borderId="0" xfId="0" applyFont="1" applyBorder="1"/>
    <xf numFmtId="39" fontId="72" fillId="0" borderId="0" xfId="0" applyNumberFormat="1" applyFont="1"/>
    <xf numFmtId="41" fontId="43" fillId="0" borderId="54" xfId="2" applyFont="1" applyBorder="1" applyAlignment="1"/>
    <xf numFmtId="5" fontId="43" fillId="0" borderId="0" xfId="7" applyNumberFormat="1" applyFont="1" applyFill="1" applyBorder="1" applyAlignment="1"/>
    <xf numFmtId="42" fontId="74" fillId="0" borderId="3" xfId="0" applyNumberFormat="1" applyFont="1" applyBorder="1"/>
    <xf numFmtId="0" fontId="74" fillId="0" borderId="0" xfId="0" applyFont="1" applyBorder="1" applyAlignment="1">
      <alignment horizontal="center"/>
    </xf>
    <xf numFmtId="42" fontId="74" fillId="0" borderId="0" xfId="0" applyNumberFormat="1" applyFont="1" applyBorder="1"/>
    <xf numFmtId="5" fontId="43" fillId="0" borderId="34" xfId="2" applyNumberFormat="1" applyFont="1" applyFill="1" applyBorder="1" applyAlignment="1">
      <alignment horizontal="right"/>
    </xf>
    <xf numFmtId="5" fontId="43" fillId="0" borderId="0" xfId="25" applyNumberFormat="1" applyFont="1" applyFill="1" applyBorder="1" applyAlignment="1">
      <alignment horizontal="right"/>
    </xf>
    <xf numFmtId="5" fontId="43" fillId="0" borderId="22" xfId="25" applyNumberFormat="1" applyFont="1" applyFill="1" applyBorder="1" applyAlignment="1">
      <alignment horizontal="right"/>
    </xf>
    <xf numFmtId="5" fontId="43" fillId="0" borderId="0" xfId="25" quotePrefix="1" applyNumberFormat="1" applyFont="1" applyFill="1" applyBorder="1" applyAlignment="1">
      <alignment horizontal="right"/>
    </xf>
    <xf numFmtId="5" fontId="43" fillId="0" borderId="14" xfId="25" applyNumberFormat="1" applyFont="1" applyFill="1" applyBorder="1" applyAlignment="1">
      <alignment horizontal="right"/>
    </xf>
    <xf numFmtId="41" fontId="42" fillId="0" borderId="0" xfId="18" applyNumberFormat="1" applyFont="1" applyFill="1" applyBorder="1" applyAlignment="1"/>
    <xf numFmtId="37" fontId="42" fillId="0" borderId="0" xfId="18" applyNumberFormat="1" applyFont="1" applyFill="1" applyBorder="1" applyAlignment="1">
      <alignment horizontal="center"/>
    </xf>
    <xf numFmtId="37" fontId="42" fillId="0" borderId="0" xfId="18" quotePrefix="1" applyNumberFormat="1" applyFont="1" applyFill="1" applyBorder="1" applyAlignment="1">
      <alignment horizontal="center"/>
    </xf>
    <xf numFmtId="0" fontId="43" fillId="0" borderId="0" xfId="15" applyFont="1" applyFill="1" applyAlignment="1">
      <alignment horizontal="left"/>
    </xf>
    <xf numFmtId="42" fontId="42" fillId="0" borderId="58" xfId="7" applyNumberFormat="1" applyFont="1" applyFill="1" applyBorder="1" applyAlignment="1"/>
    <xf numFmtId="0" fontId="88" fillId="0" borderId="0" xfId="0" quotePrefix="1" applyFont="1" applyFill="1"/>
    <xf numFmtId="0" fontId="69" fillId="0" borderId="0" xfId="0" quotePrefix="1" applyNumberFormat="1" applyFont="1" applyFill="1" applyAlignment="1">
      <alignment horizontal="left"/>
    </xf>
    <xf numFmtId="42" fontId="42" fillId="0" borderId="22" xfId="0" applyNumberFormat="1" applyFont="1" applyFill="1" applyBorder="1"/>
    <xf numFmtId="0" fontId="2" fillId="0" borderId="0" xfId="42" applyFill="1"/>
    <xf numFmtId="0" fontId="2" fillId="0" borderId="0" xfId="42"/>
    <xf numFmtId="0" fontId="17" fillId="0" borderId="0" xfId="42" applyFont="1"/>
    <xf numFmtId="0" fontId="76" fillId="0" borderId="0" xfId="42" applyFont="1"/>
    <xf numFmtId="0" fontId="14" fillId="0" borderId="0" xfId="42" applyFont="1"/>
    <xf numFmtId="164" fontId="14" fillId="0" borderId="0" xfId="42" applyNumberFormat="1" applyFont="1" applyProtection="1"/>
    <xf numFmtId="4" fontId="14" fillId="0" borderId="0" xfId="42" applyNumberFormat="1" applyFont="1"/>
    <xf numFmtId="0" fontId="14" fillId="0" borderId="0" xfId="42" applyFont="1" applyAlignment="1">
      <alignment horizontal="centerContinuous"/>
    </xf>
    <xf numFmtId="4" fontId="14" fillId="0" borderId="0" xfId="42" applyNumberFormat="1" applyFont="1" applyAlignment="1">
      <alignment horizontal="centerContinuous"/>
    </xf>
    <xf numFmtId="0" fontId="14" fillId="0" borderId="0" xfId="42" applyFont="1" applyAlignment="1">
      <alignment horizontal="center"/>
    </xf>
    <xf numFmtId="43" fontId="89" fillId="0" borderId="0" xfId="52" applyFont="1" applyAlignment="1">
      <alignment horizontal="center"/>
    </xf>
    <xf numFmtId="43" fontId="89" fillId="0" borderId="0" xfId="52" applyFont="1" applyAlignment="1">
      <alignment horizontal="centerContinuous"/>
    </xf>
    <xf numFmtId="43" fontId="89" fillId="0" borderId="0" xfId="52" applyFont="1"/>
    <xf numFmtId="4" fontId="89" fillId="0" borderId="0" xfId="52" applyNumberFormat="1" applyFont="1" applyAlignment="1">
      <alignment horizontal="center"/>
    </xf>
    <xf numFmtId="0" fontId="17" fillId="0" borderId="0" xfId="42" applyFont="1" applyAlignment="1">
      <alignment horizontal="centerContinuous"/>
    </xf>
    <xf numFmtId="4" fontId="17" fillId="0" borderId="0" xfId="42" applyNumberFormat="1" applyFont="1"/>
    <xf numFmtId="41" fontId="17" fillId="0" borderId="0" xfId="52" applyNumberFormat="1" applyFont="1"/>
    <xf numFmtId="10" fontId="37" fillId="0" borderId="0" xfId="51" applyNumberFormat="1" applyFont="1"/>
    <xf numFmtId="0" fontId="17" fillId="0" borderId="0" xfId="42" applyFont="1" applyFill="1"/>
    <xf numFmtId="10" fontId="17" fillId="0" borderId="0" xfId="51" applyNumberFormat="1" applyFont="1"/>
    <xf numFmtId="195" fontId="17" fillId="0" borderId="0" xfId="42" applyNumberFormat="1" applyFont="1" applyFill="1"/>
    <xf numFmtId="10" fontId="17" fillId="0" borderId="0" xfId="51" applyNumberFormat="1" applyFont="1" applyFill="1"/>
    <xf numFmtId="195" fontId="17" fillId="0" borderId="0" xfId="52" applyNumberFormat="1" applyFont="1" applyFill="1"/>
    <xf numFmtId="41" fontId="17" fillId="0" borderId="0" xfId="52" applyNumberFormat="1" applyFont="1" applyFill="1"/>
    <xf numFmtId="171" fontId="17" fillId="0" borderId="0" xfId="52" applyNumberFormat="1" applyFont="1" applyFill="1"/>
    <xf numFmtId="4" fontId="17" fillId="0" borderId="0" xfId="52" applyNumberFormat="1" applyFont="1" applyFill="1"/>
    <xf numFmtId="41" fontId="17" fillId="0" borderId="52" xfId="52" applyNumberFormat="1" applyFont="1" applyBorder="1"/>
    <xf numFmtId="171" fontId="17" fillId="0" borderId="52" xfId="52" applyNumberFormat="1" applyFont="1" applyFill="1" applyBorder="1"/>
    <xf numFmtId="41" fontId="17" fillId="0" borderId="2" xfId="52" applyNumberFormat="1" applyFont="1" applyBorder="1"/>
    <xf numFmtId="10" fontId="14" fillId="0" borderId="2" xfId="51" applyNumberFormat="1" applyFont="1" applyBorder="1"/>
    <xf numFmtId="10" fontId="17" fillId="0" borderId="2" xfId="51" applyNumberFormat="1" applyFont="1" applyFill="1" applyBorder="1"/>
    <xf numFmtId="41" fontId="17" fillId="0" borderId="0" xfId="42" applyNumberFormat="1" applyFont="1"/>
    <xf numFmtId="4" fontId="17" fillId="0" borderId="0" xfId="42" applyNumberFormat="1" applyFont="1" applyFill="1"/>
    <xf numFmtId="171" fontId="2" fillId="0" borderId="0" xfId="42" applyNumberFormat="1"/>
    <xf numFmtId="4" fontId="2" fillId="0" borderId="0" xfId="42" applyNumberFormat="1"/>
    <xf numFmtId="0" fontId="2" fillId="0" borderId="0" xfId="42" applyFont="1"/>
    <xf numFmtId="0" fontId="16" fillId="0" borderId="46" xfId="42" applyFont="1" applyBorder="1" applyAlignment="1">
      <alignment horizontal="center"/>
    </xf>
    <xf numFmtId="0" fontId="2" fillId="0" borderId="15" xfId="42" applyFont="1" applyBorder="1"/>
    <xf numFmtId="0" fontId="16" fillId="0" borderId="7" xfId="42" applyFont="1" applyBorder="1" applyAlignment="1">
      <alignment horizontal="center"/>
    </xf>
    <xf numFmtId="168" fontId="2" fillId="0" borderId="7" xfId="52" applyNumberFormat="1" applyFont="1" applyBorder="1"/>
    <xf numFmtId="0" fontId="2" fillId="0" borderId="12" xfId="42" applyFont="1" applyBorder="1"/>
    <xf numFmtId="4" fontId="90" fillId="0" borderId="53" xfId="52" applyNumberFormat="1" applyFont="1" applyBorder="1" applyAlignment="1">
      <alignment horizontal="center"/>
    </xf>
    <xf numFmtId="10" fontId="2" fillId="0" borderId="53" xfId="51" applyNumberFormat="1" applyFont="1" applyBorder="1"/>
    <xf numFmtId="0" fontId="2" fillId="0" borderId="60" xfId="42" applyFont="1" applyBorder="1"/>
    <xf numFmtId="0" fontId="2" fillId="0" borderId="7" xfId="42" applyFont="1" applyBorder="1"/>
    <xf numFmtId="10" fontId="14" fillId="0" borderId="0" xfId="51" applyNumberFormat="1" applyFont="1"/>
    <xf numFmtId="0" fontId="14" fillId="0" borderId="0" xfId="42" applyFont="1" applyFill="1"/>
    <xf numFmtId="168" fontId="2" fillId="0" borderId="7" xfId="42" applyNumberFormat="1" applyFont="1" applyBorder="1"/>
    <xf numFmtId="171" fontId="14" fillId="0" borderId="0" xfId="52" applyNumberFormat="1" applyFont="1"/>
    <xf numFmtId="4" fontId="17" fillId="0" borderId="0" xfId="52" applyNumberFormat="1" applyFont="1"/>
    <xf numFmtId="10" fontId="34" fillId="0" borderId="0" xfId="51" applyNumberFormat="1" applyFont="1" applyFill="1"/>
    <xf numFmtId="4" fontId="14" fillId="0" borderId="0" xfId="52" applyNumberFormat="1" applyFont="1"/>
    <xf numFmtId="43" fontId="14" fillId="0" borderId="0" xfId="52" applyFont="1"/>
    <xf numFmtId="43" fontId="14" fillId="0" borderId="52" xfId="52" applyFont="1" applyBorder="1"/>
    <xf numFmtId="171" fontId="14" fillId="0" borderId="52" xfId="52" applyNumberFormat="1" applyFont="1" applyBorder="1"/>
    <xf numFmtId="168" fontId="17" fillId="0" borderId="64" xfId="52" applyNumberFormat="1" applyFont="1" applyBorder="1"/>
    <xf numFmtId="196" fontId="14" fillId="0" borderId="0" xfId="52" applyNumberFormat="1" applyFont="1"/>
    <xf numFmtId="10" fontId="14" fillId="0" borderId="2" xfId="51" applyNumberFormat="1" applyFont="1" applyFill="1" applyBorder="1"/>
    <xf numFmtId="168" fontId="17" fillId="0" borderId="65" xfId="52" applyNumberFormat="1" applyFont="1" applyBorder="1"/>
    <xf numFmtId="0" fontId="2" fillId="0" borderId="66" xfId="42" applyFont="1" applyBorder="1"/>
    <xf numFmtId="197" fontId="2" fillId="0" borderId="0" xfId="42" applyNumberFormat="1" applyFill="1"/>
    <xf numFmtId="0" fontId="44" fillId="4" borderId="26" xfId="0" applyFont="1" applyFill="1" applyBorder="1"/>
    <xf numFmtId="0" fontId="44" fillId="4" borderId="0" xfId="0" applyFont="1" applyFill="1" applyBorder="1" applyAlignment="1">
      <alignment horizontal="center"/>
    </xf>
    <xf numFmtId="41" fontId="47" fillId="4" borderId="0" xfId="0" applyNumberFormat="1" applyFont="1" applyFill="1" applyBorder="1"/>
    <xf numFmtId="41" fontId="47" fillId="4" borderId="29" xfId="0" applyNumberFormat="1" applyFont="1" applyFill="1" applyBorder="1"/>
    <xf numFmtId="0" fontId="42" fillId="0" borderId="10" xfId="0" applyFont="1" applyBorder="1" applyAlignment="1">
      <alignment horizontal="center"/>
    </xf>
    <xf numFmtId="41" fontId="43" fillId="0" borderId="52" xfId="2" applyFont="1" applyFill="1" applyBorder="1" applyAlignment="1"/>
    <xf numFmtId="0" fontId="42" fillId="0" borderId="0" xfId="0" applyFont="1" applyAlignment="1">
      <alignment horizontal="center"/>
    </xf>
    <xf numFmtId="0" fontId="12" fillId="0" borderId="54" xfId="0" applyFont="1" applyBorder="1" applyAlignment="1">
      <alignment wrapText="1"/>
    </xf>
    <xf numFmtId="0" fontId="12" fillId="0" borderId="0" xfId="0" applyFont="1" applyAlignment="1">
      <alignment wrapText="1"/>
    </xf>
    <xf numFmtId="0" fontId="42" fillId="0" borderId="0" xfId="0" applyFont="1" applyAlignment="1">
      <alignment horizontal="center"/>
    </xf>
    <xf numFmtId="41" fontId="42" fillId="0" borderId="10" xfId="2" applyFont="1" applyBorder="1" applyAlignment="1">
      <alignment horizontal="center"/>
    </xf>
    <xf numFmtId="16" fontId="43" fillId="0" borderId="0" xfId="0" quotePrefix="1" applyNumberFormat="1" applyFont="1" applyFill="1" applyAlignment="1">
      <alignment horizontal="left" indent="2"/>
    </xf>
    <xf numFmtId="0" fontId="72" fillId="0" borderId="0" xfId="0" quotePrefix="1" applyFont="1" applyAlignment="1">
      <alignment horizontal="left"/>
    </xf>
    <xf numFmtId="41" fontId="72" fillId="0" borderId="0" xfId="0" applyNumberFormat="1" applyFont="1" applyProtection="1"/>
    <xf numFmtId="37" fontId="72" fillId="0" borderId="0" xfId="0" applyNumberFormat="1" applyFont="1" applyProtection="1"/>
    <xf numFmtId="169" fontId="80" fillId="0" borderId="0" xfId="0" applyNumberFormat="1" applyFont="1" applyProtection="1"/>
    <xf numFmtId="0" fontId="73" fillId="0" borderId="0" xfId="0" applyFont="1" applyBorder="1"/>
    <xf numFmtId="37" fontId="72" fillId="0" borderId="0" xfId="0" applyNumberFormat="1" applyFont="1" applyBorder="1" applyProtection="1"/>
    <xf numFmtId="0" fontId="73" fillId="0" borderId="0" xfId="0" applyFont="1" applyBorder="1" applyAlignment="1">
      <alignment horizontal="centerContinuous"/>
    </xf>
    <xf numFmtId="41" fontId="73" fillId="0" borderId="68" xfId="2" applyFont="1" applyBorder="1" applyAlignment="1">
      <alignment horizontal="center"/>
    </xf>
    <xf numFmtId="41" fontId="73" fillId="0" borderId="68" xfId="2" applyFont="1" applyBorder="1" applyAlignment="1">
      <alignment horizontal="centerContinuous"/>
    </xf>
    <xf numFmtId="0" fontId="42" fillId="0" borderId="54" xfId="0" quotePrefix="1" applyFont="1" applyFill="1" applyBorder="1" applyAlignment="1">
      <alignment horizontal="center" wrapText="1"/>
    </xf>
    <xf numFmtId="41" fontId="42" fillId="0" borderId="54" xfId="2" quotePrefix="1" applyFont="1" applyFill="1" applyBorder="1" applyAlignment="1">
      <alignment horizontal="centerContinuous"/>
    </xf>
    <xf numFmtId="191" fontId="56" fillId="0" borderId="0" xfId="0" applyNumberFormat="1" applyFont="1" applyFill="1" applyAlignment="1">
      <alignment wrapText="1"/>
    </xf>
    <xf numFmtId="191" fontId="43" fillId="0" borderId="0" xfId="0" applyNumberFormat="1" applyFont="1" applyFill="1" applyAlignment="1">
      <alignment wrapText="1"/>
    </xf>
    <xf numFmtId="37" fontId="43" fillId="0" borderId="67" xfId="0" applyNumberFormat="1" applyFont="1" applyFill="1" applyBorder="1" applyProtection="1"/>
    <xf numFmtId="43" fontId="43" fillId="0" borderId="2" xfId="2" applyNumberFormat="1" applyFont="1" applyFill="1" applyBorder="1" applyAlignment="1"/>
    <xf numFmtId="173" fontId="43" fillId="0" borderId="2" xfId="2" applyNumberFormat="1" applyFont="1" applyFill="1" applyBorder="1" applyAlignment="1"/>
    <xf numFmtId="42" fontId="43" fillId="0" borderId="0" xfId="0" applyNumberFormat="1" applyFont="1" applyFill="1" applyAlignment="1"/>
    <xf numFmtId="5" fontId="72" fillId="0" borderId="0" xfId="0" applyNumberFormat="1" applyFont="1" applyProtection="1"/>
    <xf numFmtId="0" fontId="72" fillId="0" borderId="0" xfId="0" applyFont="1" applyAlignment="1">
      <alignment horizontal="centerContinuous" vertical="top"/>
    </xf>
    <xf numFmtId="42" fontId="73" fillId="0" borderId="69" xfId="7" applyFont="1" applyBorder="1" applyAlignment="1"/>
    <xf numFmtId="37" fontId="72" fillId="0" borderId="67" xfId="0" applyNumberFormat="1" applyFont="1" applyBorder="1" applyAlignment="1" applyProtection="1">
      <alignment horizontal="right"/>
    </xf>
    <xf numFmtId="37" fontId="72" fillId="0" borderId="67" xfId="0" applyNumberFormat="1" applyFont="1" applyBorder="1" applyProtection="1"/>
    <xf numFmtId="41" fontId="72" fillId="0" borderId="0" xfId="2" applyFont="1" applyAlignment="1">
      <alignment horizontal="right"/>
    </xf>
    <xf numFmtId="41" fontId="72" fillId="0" borderId="0" xfId="7" applyNumberFormat="1" applyFont="1" applyAlignment="1"/>
    <xf numFmtId="0" fontId="72" fillId="0" borderId="0" xfId="0" quotePrefix="1" applyFont="1"/>
    <xf numFmtId="0" fontId="73" fillId="0" borderId="68" xfId="0" applyFont="1" applyBorder="1" applyAlignment="1">
      <alignment horizontal="center"/>
    </xf>
    <xf numFmtId="41" fontId="73" fillId="0" borderId="68" xfId="2" quotePrefix="1" applyFont="1" applyBorder="1" applyAlignment="1">
      <alignment horizontal="center"/>
    </xf>
    <xf numFmtId="176" fontId="73" fillId="0" borderId="70" xfId="0" applyNumberFormat="1" applyFont="1" applyBorder="1" applyAlignment="1">
      <alignment horizontal="center"/>
    </xf>
    <xf numFmtId="0" fontId="79" fillId="0" borderId="0" xfId="0" applyFont="1" applyProtection="1">
      <protection locked="0"/>
    </xf>
    <xf numFmtId="41" fontId="73" fillId="0" borderId="0" xfId="2" applyFont="1" applyBorder="1" applyAlignment="1">
      <alignment horizontal="center"/>
    </xf>
    <xf numFmtId="42" fontId="72" fillId="0" borderId="69" xfId="7" applyFont="1" applyBorder="1" applyAlignment="1"/>
    <xf numFmtId="41" fontId="42" fillId="0" borderId="68" xfId="2" applyFont="1" applyBorder="1" applyAlignment="1">
      <alignment horizontal="center"/>
    </xf>
    <xf numFmtId="41" fontId="42" fillId="0" borderId="68" xfId="2" applyFont="1" applyBorder="1" applyAlignment="1">
      <alignment horizontal="centerContinuous"/>
    </xf>
    <xf numFmtId="0" fontId="43" fillId="0" borderId="0" xfId="0" quotePrefix="1" applyFont="1" applyAlignment="1">
      <alignment horizontal="left" indent="1"/>
    </xf>
    <xf numFmtId="41" fontId="73" fillId="0" borderId="0" xfId="2" applyFont="1" applyBorder="1" applyAlignment="1">
      <alignment horizontal="centerContinuous"/>
    </xf>
    <xf numFmtId="41" fontId="73" fillId="0" borderId="0" xfId="2" quotePrefix="1" applyFont="1" applyBorder="1" applyAlignment="1">
      <alignment horizontal="center"/>
    </xf>
    <xf numFmtId="0" fontId="73" fillId="0" borderId="52" xfId="0" applyFont="1" applyBorder="1" applyAlignment="1">
      <alignment horizontal="centerContinuous"/>
    </xf>
    <xf numFmtId="0" fontId="73" fillId="0" borderId="52" xfId="0" applyFont="1" applyBorder="1" applyAlignment="1">
      <alignment horizontal="center"/>
    </xf>
    <xf numFmtId="41" fontId="72" fillId="0" borderId="52" xfId="0" applyNumberFormat="1" applyFont="1" applyBorder="1" applyProtection="1"/>
    <xf numFmtId="37" fontId="72" fillId="0" borderId="52" xfId="0" applyNumberFormat="1" applyFont="1" applyBorder="1" applyProtection="1"/>
    <xf numFmtId="41" fontId="72" fillId="0" borderId="69" xfId="7" applyNumberFormat="1" applyFont="1" applyBorder="1" applyAlignment="1"/>
    <xf numFmtId="49" fontId="74" fillId="0" borderId="0" xfId="0" applyNumberFormat="1" applyFont="1" applyAlignment="1">
      <alignment horizontal="center"/>
    </xf>
    <xf numFmtId="0" fontId="74" fillId="4" borderId="0" xfId="0" applyFont="1" applyFill="1" applyAlignment="1">
      <alignment horizontal="center"/>
    </xf>
    <xf numFmtId="0" fontId="74" fillId="0" borderId="0" xfId="0" applyFont="1" applyFill="1" applyAlignment="1">
      <alignment horizontal="center"/>
    </xf>
    <xf numFmtId="164" fontId="73" fillId="0" borderId="0" xfId="0" applyNumberFormat="1" applyFont="1" applyAlignment="1" applyProtection="1">
      <alignment horizontal="right"/>
    </xf>
    <xf numFmtId="17" fontId="0" fillId="0" borderId="0" xfId="0" applyNumberFormat="1" applyAlignment="1">
      <alignment horizontal="center"/>
    </xf>
    <xf numFmtId="0" fontId="0" fillId="0" borderId="0" xfId="0" applyAlignment="1">
      <alignment horizontal="center"/>
    </xf>
    <xf numFmtId="43" fontId="0" fillId="0" borderId="0" xfId="0" applyNumberFormat="1"/>
    <xf numFmtId="39" fontId="19" fillId="0" borderId="52" xfId="19" applyNumberFormat="1" applyFont="1" applyBorder="1" applyAlignment="1">
      <alignment horizontal="center" wrapText="1"/>
    </xf>
    <xf numFmtId="0" fontId="19" fillId="0" borderId="0" xfId="19" applyNumberFormat="1" applyFont="1" applyBorder="1" applyAlignment="1">
      <alignment horizontal="center" wrapText="1"/>
    </xf>
    <xf numFmtId="0" fontId="19" fillId="0" borderId="11" xfId="19" applyNumberFormat="1" applyFont="1" applyBorder="1" applyAlignment="1">
      <alignment horizontal="center" wrapText="1"/>
    </xf>
    <xf numFmtId="0" fontId="19" fillId="0" borderId="10" xfId="19" applyNumberFormat="1" applyFont="1" applyBorder="1" applyAlignment="1">
      <alignment horizontal="center" wrapText="1"/>
    </xf>
    <xf numFmtId="0" fontId="20" fillId="0" borderId="0" xfId="19" applyNumberFormat="1" applyFont="1" applyBorder="1" applyAlignment="1">
      <alignment horizontal="center" wrapText="1"/>
    </xf>
    <xf numFmtId="0" fontId="20" fillId="0" borderId="0" xfId="19" applyNumberFormat="1" applyFont="1" applyFill="1" applyBorder="1" applyAlignment="1">
      <alignment horizontal="center" wrapText="1"/>
    </xf>
    <xf numFmtId="0" fontId="20" fillId="3" borderId="0" xfId="19" applyNumberFormat="1" applyFont="1" applyFill="1" applyBorder="1" applyAlignment="1">
      <alignment horizontal="center" wrapText="1"/>
    </xf>
    <xf numFmtId="0" fontId="20" fillId="0" borderId="0" xfId="19" applyNumberFormat="1" applyFont="1" applyAlignment="1">
      <alignment horizontal="center" wrapText="1"/>
    </xf>
    <xf numFmtId="0" fontId="59" fillId="0" borderId="0" xfId="19" applyNumberFormat="1" applyFont="1" applyBorder="1" applyAlignment="1">
      <alignment horizontal="center"/>
    </xf>
    <xf numFmtId="0" fontId="20" fillId="0" borderId="0" xfId="19" applyNumberFormat="1" applyFont="1" applyBorder="1" applyAlignment="1">
      <alignment horizontal="center"/>
    </xf>
    <xf numFmtId="0" fontId="59" fillId="0" borderId="24" xfId="19" applyNumberFormat="1" applyFont="1" applyFill="1" applyBorder="1" applyAlignment="1">
      <alignment horizontal="center"/>
    </xf>
    <xf numFmtId="0" fontId="99" fillId="0" borderId="0" xfId="0" applyFont="1" applyAlignment="1">
      <alignment horizontal="center"/>
    </xf>
    <xf numFmtId="0" fontId="0" fillId="0" borderId="0" xfId="0" applyAlignment="1">
      <alignment horizontal="left"/>
    </xf>
    <xf numFmtId="39" fontId="19" fillId="0" borderId="0" xfId="19" applyNumberFormat="1" applyFont="1" applyBorder="1" applyAlignment="1">
      <alignment horizontal="right"/>
    </xf>
    <xf numFmtId="43" fontId="19" fillId="0" borderId="34" xfId="19" applyNumberFormat="1" applyFont="1" applyFill="1" applyBorder="1"/>
    <xf numFmtId="43" fontId="19" fillId="0" borderId="14" xfId="19" applyNumberFormat="1" applyFont="1" applyFill="1" applyBorder="1"/>
    <xf numFmtId="39" fontId="19" fillId="3" borderId="0" xfId="19" applyNumberFormat="1" applyFont="1" applyFill="1" applyBorder="1"/>
    <xf numFmtId="43" fontId="19" fillId="3" borderId="34" xfId="19" applyNumberFormat="1" applyFont="1" applyFill="1" applyBorder="1"/>
    <xf numFmtId="17" fontId="12" fillId="0" borderId="0" xfId="0" applyNumberFormat="1" applyFont="1" applyAlignment="1">
      <alignment horizontal="center"/>
    </xf>
    <xf numFmtId="0" fontId="12" fillId="0" borderId="0" xfId="0" applyFont="1"/>
    <xf numFmtId="39" fontId="19" fillId="0" borderId="54" xfId="19" applyNumberFormat="1" applyFont="1" applyBorder="1" applyAlignment="1">
      <alignment horizontal="center" wrapText="1"/>
    </xf>
    <xf numFmtId="0" fontId="101" fillId="5" borderId="0" xfId="0" applyFont="1" applyFill="1" applyBorder="1"/>
    <xf numFmtId="0" fontId="101" fillId="0" borderId="0" xfId="0" applyFont="1" applyBorder="1" applyAlignment="1">
      <alignment horizontal="left"/>
    </xf>
    <xf numFmtId="0" fontId="19" fillId="0" borderId="0" xfId="19" applyNumberFormat="1" applyFont="1" applyBorder="1" applyAlignment="1">
      <alignment horizontal="center"/>
    </xf>
    <xf numFmtId="0" fontId="19" fillId="0" borderId="0" xfId="19" applyNumberFormat="1" applyFont="1" applyFill="1" applyBorder="1" applyAlignment="1">
      <alignment horizontal="center"/>
    </xf>
    <xf numFmtId="0" fontId="20" fillId="0" borderId="0" xfId="19" applyNumberFormat="1" applyFont="1" applyFill="1" applyBorder="1" applyAlignment="1">
      <alignment horizontal="center"/>
    </xf>
    <xf numFmtId="0" fontId="20" fillId="3" borderId="0" xfId="19" applyNumberFormat="1" applyFont="1" applyFill="1" applyBorder="1" applyAlignment="1">
      <alignment horizontal="center"/>
    </xf>
    <xf numFmtId="0" fontId="59" fillId="0" borderId="0" xfId="19" applyNumberFormat="1" applyFont="1" applyBorder="1" applyAlignment="1">
      <alignment horizontal="center" wrapText="1"/>
    </xf>
    <xf numFmtId="0" fontId="20" fillId="0" borderId="0" xfId="19" quotePrefix="1" applyNumberFormat="1" applyFont="1" applyFill="1" applyBorder="1" applyAlignment="1">
      <alignment horizontal="center"/>
    </xf>
    <xf numFmtId="0" fontId="20" fillId="0" borderId="0" xfId="19" applyNumberFormat="1" applyFont="1" applyAlignment="1">
      <alignment horizontal="center"/>
    </xf>
    <xf numFmtId="0" fontId="20" fillId="0" borderId="0" xfId="19" applyNumberFormat="1" applyFont="1" applyFill="1" applyAlignment="1">
      <alignment horizontal="center"/>
    </xf>
    <xf numFmtId="168" fontId="103" fillId="0" borderId="0" xfId="19" applyNumberFormat="1" applyFont="1" applyFill="1" applyBorder="1"/>
    <xf numFmtId="168" fontId="103" fillId="0" borderId="0" xfId="19" applyNumberFormat="1" applyFont="1" applyBorder="1" applyAlignment="1">
      <alignment horizontal="center" vertical="center" wrapText="1"/>
    </xf>
    <xf numFmtId="0" fontId="28" fillId="0" borderId="0" xfId="19" applyNumberFormat="1" applyFont="1" applyBorder="1" applyAlignment="1">
      <alignment horizontal="center" wrapText="1"/>
    </xf>
    <xf numFmtId="0" fontId="20" fillId="0" borderId="0" xfId="0" applyNumberFormat="1" applyFont="1" applyAlignment="1">
      <alignment horizontal="center"/>
    </xf>
    <xf numFmtId="0" fontId="20" fillId="0" borderId="0" xfId="0" quotePrefix="1" applyNumberFormat="1" applyFont="1" applyAlignment="1">
      <alignment horizontal="center"/>
    </xf>
    <xf numFmtId="0" fontId="104" fillId="0" borderId="0" xfId="5" applyNumberFormat="1" applyFont="1" applyFill="1" applyBorder="1" applyAlignment="1">
      <alignment horizontal="center"/>
    </xf>
    <xf numFmtId="0" fontId="104" fillId="0" borderId="0" xfId="5" applyNumberFormat="1" applyFont="1" applyFill="1" applyBorder="1" applyAlignment="1">
      <alignment horizontal="center" wrapText="1"/>
    </xf>
    <xf numFmtId="0" fontId="100" fillId="0" borderId="0" xfId="0" applyFont="1" applyAlignment="1">
      <alignment horizontal="center"/>
    </xf>
    <xf numFmtId="0" fontId="105" fillId="0" borderId="0" xfId="0" applyFont="1"/>
    <xf numFmtId="0" fontId="106" fillId="0" borderId="0" xfId="19" applyNumberFormat="1" applyFont="1" applyAlignment="1">
      <alignment horizontal="center"/>
    </xf>
    <xf numFmtId="0" fontId="106" fillId="0" borderId="0" xfId="19" applyNumberFormat="1" applyFont="1" applyFill="1" applyBorder="1"/>
    <xf numFmtId="0" fontId="106" fillId="0" borderId="0" xfId="19" applyNumberFormat="1" applyFont="1" applyBorder="1" applyAlignment="1">
      <alignment horizontal="right"/>
    </xf>
    <xf numFmtId="0" fontId="107" fillId="0" borderId="0" xfId="0" applyFont="1"/>
    <xf numFmtId="0" fontId="12" fillId="0" borderId="0" xfId="0" applyFont="1" applyAlignment="1">
      <alignment horizontal="center"/>
    </xf>
    <xf numFmtId="43" fontId="102" fillId="0" borderId="0" xfId="0" applyNumberFormat="1" applyFont="1" applyBorder="1" applyAlignment="1">
      <alignment horizontal="left"/>
    </xf>
    <xf numFmtId="39" fontId="104" fillId="0" borderId="0" xfId="19" applyNumberFormat="1" applyFont="1" applyBorder="1" applyAlignment="1">
      <alignment wrapText="1"/>
    </xf>
    <xf numFmtId="39" fontId="104" fillId="0" borderId="0" xfId="19" applyNumberFormat="1" applyFont="1" applyFill="1" applyBorder="1" applyAlignment="1">
      <alignment wrapText="1"/>
    </xf>
    <xf numFmtId="43" fontId="77" fillId="0" borderId="34" xfId="0" applyNumberFormat="1" applyFont="1" applyBorder="1"/>
    <xf numFmtId="0" fontId="77" fillId="0" borderId="0" xfId="0" applyFont="1"/>
    <xf numFmtId="43" fontId="43" fillId="6" borderId="0" xfId="19" applyNumberFormat="1" applyFont="1" applyFill="1"/>
    <xf numFmtId="43" fontId="43" fillId="6" borderId="54" xfId="19" applyNumberFormat="1" applyFont="1" applyFill="1" applyBorder="1"/>
    <xf numFmtId="43" fontId="43" fillId="0" borderId="54" xfId="19" applyNumberFormat="1" applyFont="1" applyBorder="1"/>
    <xf numFmtId="43" fontId="43" fillId="0" borderId="61" xfId="19" applyNumberFormat="1" applyFont="1" applyBorder="1"/>
    <xf numFmtId="10" fontId="43" fillId="0" borderId="54" xfId="19" applyNumberFormat="1" applyFont="1" applyBorder="1"/>
    <xf numFmtId="10" fontId="43" fillId="0" borderId="62" xfId="19" applyNumberFormat="1" applyFont="1" applyBorder="1"/>
    <xf numFmtId="192" fontId="43" fillId="0" borderId="34" xfId="19" applyNumberFormat="1" applyFont="1" applyFill="1" applyBorder="1"/>
    <xf numFmtId="43" fontId="43" fillId="0" borderId="47" xfId="19" applyNumberFormat="1" applyFont="1" applyBorder="1"/>
    <xf numFmtId="43" fontId="43" fillId="0" borderId="34" xfId="19" applyNumberFormat="1" applyFont="1" applyBorder="1"/>
    <xf numFmtId="10" fontId="43" fillId="0" borderId="34" xfId="19" applyNumberFormat="1" applyFont="1" applyBorder="1"/>
    <xf numFmtId="43" fontId="43" fillId="0" borderId="52" xfId="19" applyNumberFormat="1" applyFont="1" applyBorder="1" applyAlignment="1">
      <alignment horizontal="center"/>
    </xf>
    <xf numFmtId="43" fontId="42" fillId="0" borderId="46" xfId="19" applyNumberFormat="1" applyFont="1" applyFill="1" applyBorder="1"/>
    <xf numFmtId="0" fontId="42" fillId="0" borderId="59" xfId="19" applyFont="1" applyBorder="1" applyAlignment="1">
      <alignment horizontal="left"/>
    </xf>
    <xf numFmtId="37" fontId="43" fillId="0" borderId="54" xfId="19" applyNumberFormat="1" applyFont="1" applyBorder="1" applyAlignment="1">
      <alignment horizontal="center"/>
    </xf>
    <xf numFmtId="43" fontId="42" fillId="0" borderId="54" xfId="19" applyNumberFormat="1" applyFont="1" applyBorder="1"/>
    <xf numFmtId="43" fontId="42" fillId="0" borderId="53" xfId="19" applyNumberFormat="1" applyFont="1" applyFill="1" applyBorder="1"/>
    <xf numFmtId="43" fontId="43" fillId="0" borderId="46" xfId="19" applyNumberFormat="1" applyFont="1" applyFill="1" applyBorder="1"/>
    <xf numFmtId="37" fontId="42" fillId="0" borderId="54" xfId="19" applyNumberFormat="1" applyFont="1" applyBorder="1" applyAlignment="1">
      <alignment horizontal="center"/>
    </xf>
    <xf numFmtId="43" fontId="43" fillId="0" borderId="54" xfId="19" applyNumberFormat="1" applyFont="1" applyFill="1" applyBorder="1"/>
    <xf numFmtId="41" fontId="43" fillId="0" borderId="54" xfId="19" applyNumberFormat="1" applyFont="1" applyBorder="1"/>
    <xf numFmtId="43" fontId="42" fillId="0" borderId="54" xfId="19" applyNumberFormat="1" applyFont="1" applyFill="1" applyBorder="1"/>
    <xf numFmtId="43" fontId="42" fillId="0" borderId="58" xfId="19" applyNumberFormat="1" applyFont="1" applyFill="1" applyBorder="1"/>
    <xf numFmtId="42" fontId="47" fillId="0" borderId="29" xfId="0" applyNumberFormat="1" applyFont="1" applyBorder="1"/>
    <xf numFmtId="37" fontId="42" fillId="0" borderId="0" xfId="0" applyNumberFormat="1" applyFont="1" applyFill="1" applyAlignment="1">
      <alignment horizontal="center"/>
    </xf>
    <xf numFmtId="41" fontId="72" fillId="0" borderId="54" xfId="7" applyNumberFormat="1" applyFont="1" applyBorder="1" applyAlignment="1"/>
    <xf numFmtId="43" fontId="74" fillId="8" borderId="13" xfId="0" applyNumberFormat="1" applyFont="1" applyFill="1" applyBorder="1"/>
    <xf numFmtId="43" fontId="74" fillId="8" borderId="22" xfId="0" applyNumberFormat="1" applyFont="1" applyFill="1" applyBorder="1"/>
    <xf numFmtId="43" fontId="74" fillId="0" borderId="0" xfId="0" applyNumberFormat="1" applyFont="1" applyFill="1"/>
    <xf numFmtId="0" fontId="108" fillId="0" borderId="0" xfId="0" applyFont="1"/>
    <xf numFmtId="0" fontId="0" fillId="0" borderId="0" xfId="0" applyBorder="1"/>
    <xf numFmtId="0" fontId="2" fillId="0" borderId="0" xfId="19" applyAlignment="1">
      <alignment horizontal="center"/>
    </xf>
    <xf numFmtId="0" fontId="19" fillId="0" borderId="0" xfId="19" applyFont="1" applyAlignment="1">
      <alignment horizontal="center"/>
    </xf>
    <xf numFmtId="0" fontId="26" fillId="0" borderId="0" xfId="19" applyFont="1" applyAlignment="1">
      <alignment horizontal="center"/>
    </xf>
    <xf numFmtId="0" fontId="20" fillId="0" borderId="0" xfId="19" applyFont="1" applyAlignment="1">
      <alignment horizontal="center"/>
    </xf>
    <xf numFmtId="0" fontId="20" fillId="0" borderId="0" xfId="19" quotePrefix="1" applyFont="1" applyAlignment="1">
      <alignment horizontal="center"/>
    </xf>
    <xf numFmtId="39" fontId="59" fillId="0" borderId="0" xfId="19" applyNumberFormat="1" applyFont="1" applyBorder="1" applyAlignment="1">
      <alignment horizontal="center" wrapText="1"/>
    </xf>
    <xf numFmtId="0" fontId="20" fillId="0" borderId="0" xfId="19" applyFont="1" applyFill="1" applyAlignment="1">
      <alignment horizontal="center"/>
    </xf>
    <xf numFmtId="39" fontId="59" fillId="0" borderId="24" xfId="19" applyNumberFormat="1" applyFont="1" applyBorder="1" applyAlignment="1">
      <alignment horizontal="center" wrapText="1"/>
    </xf>
    <xf numFmtId="0" fontId="61" fillId="0" borderId="0" xfId="19" applyFont="1" applyAlignment="1">
      <alignment horizontal="center"/>
    </xf>
    <xf numFmtId="0" fontId="19" fillId="0" borderId="0" xfId="19" quotePrefix="1" applyFont="1" applyAlignment="1">
      <alignment horizontal="center"/>
    </xf>
    <xf numFmtId="0" fontId="104" fillId="0" borderId="0" xfId="19" applyNumberFormat="1" applyFont="1" applyAlignment="1">
      <alignment horizontal="right"/>
    </xf>
    <xf numFmtId="0" fontId="28" fillId="0" borderId="0" xfId="19" applyNumberFormat="1" applyFont="1" applyAlignment="1">
      <alignment horizontal="center"/>
    </xf>
    <xf numFmtId="0" fontId="2" fillId="0" borderId="0" xfId="19" applyNumberFormat="1" applyAlignment="1">
      <alignment horizontal="center"/>
    </xf>
    <xf numFmtId="0" fontId="20" fillId="0" borderId="0" xfId="19" quotePrefix="1" applyNumberFormat="1" applyFont="1" applyAlignment="1">
      <alignment horizontal="center"/>
    </xf>
    <xf numFmtId="0" fontId="19" fillId="0" borderId="0" xfId="19" applyNumberFormat="1" applyFont="1" applyAlignment="1">
      <alignment horizontal="center"/>
    </xf>
    <xf numFmtId="0" fontId="61" fillId="0" borderId="0" xfId="19" applyNumberFormat="1" applyFont="1" applyAlignment="1">
      <alignment horizontal="center"/>
    </xf>
    <xf numFmtId="0" fontId="42" fillId="0" borderId="0" xfId="0" applyFont="1" applyAlignment="1">
      <alignment horizontal="center"/>
    </xf>
    <xf numFmtId="0" fontId="109" fillId="9" borderId="71" xfId="0" applyFont="1" applyFill="1" applyBorder="1" applyAlignment="1">
      <alignment horizontal="center"/>
    </xf>
    <xf numFmtId="43" fontId="109" fillId="9" borderId="71" xfId="0" applyNumberFormat="1" applyFont="1" applyFill="1" applyBorder="1"/>
    <xf numFmtId="176" fontId="110" fillId="0" borderId="0" xfId="19" applyNumberFormat="1" applyFont="1" applyBorder="1"/>
    <xf numFmtId="39" fontId="110" fillId="0" borderId="0" xfId="19" applyNumberFormat="1" applyFont="1" applyFill="1" applyBorder="1"/>
    <xf numFmtId="0" fontId="108" fillId="0" borderId="46" xfId="0" applyFont="1" applyBorder="1"/>
    <xf numFmtId="0" fontId="108" fillId="0" borderId="7" xfId="0" applyFont="1" applyBorder="1"/>
    <xf numFmtId="0" fontId="108" fillId="0" borderId="9" xfId="0" applyFont="1" applyBorder="1"/>
    <xf numFmtId="49" fontId="42" fillId="0" borderId="0" xfId="0" applyNumberFormat="1" applyFont="1" applyBorder="1"/>
    <xf numFmtId="49" fontId="42" fillId="0" borderId="1" xfId="0" applyNumberFormat="1" applyFont="1" applyBorder="1" applyAlignment="1">
      <alignment horizontal="centerContinuous"/>
    </xf>
    <xf numFmtId="49" fontId="42" fillId="0" borderId="10" xfId="2" applyNumberFormat="1" applyFont="1" applyBorder="1" applyAlignment="1">
      <alignment horizontal="centerContinuous"/>
    </xf>
    <xf numFmtId="49" fontId="43" fillId="0" borderId="0" xfId="0" applyNumberFormat="1" applyFont="1" applyAlignment="1">
      <alignment horizontal="left" vertical="top"/>
    </xf>
    <xf numFmtId="42" fontId="43" fillId="0" borderId="0" xfId="7" applyFont="1" applyAlignment="1">
      <alignment vertical="top"/>
    </xf>
    <xf numFmtId="41" fontId="43" fillId="0" borderId="0" xfId="7" applyNumberFormat="1" applyFont="1" applyFill="1" applyBorder="1" applyAlignment="1">
      <alignment vertical="top"/>
    </xf>
    <xf numFmtId="49" fontId="43" fillId="0" borderId="0" xfId="0" applyNumberFormat="1" applyFont="1" applyAlignment="1">
      <alignment horizontal="left" vertical="top" indent="3"/>
    </xf>
    <xf numFmtId="42" fontId="43" fillId="0" borderId="34" xfId="7" applyFont="1" applyBorder="1" applyAlignment="1">
      <alignment vertical="top"/>
    </xf>
    <xf numFmtId="41" fontId="43" fillId="0" borderId="0" xfId="2" applyNumberFormat="1" applyFont="1" applyFill="1" applyAlignment="1">
      <alignment vertical="top"/>
    </xf>
    <xf numFmtId="41" fontId="43" fillId="0" borderId="34" xfId="2" applyFont="1" applyFill="1" applyBorder="1" applyAlignment="1">
      <alignment vertical="top"/>
    </xf>
    <xf numFmtId="0" fontId="42" fillId="0" borderId="0" xfId="0" applyFont="1" applyAlignment="1">
      <alignment horizontal="center" vertical="top"/>
    </xf>
    <xf numFmtId="41" fontId="43" fillId="0" borderId="0" xfId="2" applyFont="1" applyAlignment="1">
      <alignment vertical="top"/>
    </xf>
    <xf numFmtId="49" fontId="69" fillId="0" borderId="0" xfId="0" quotePrefix="1" applyNumberFormat="1" applyFont="1" applyAlignment="1">
      <alignment horizontal="left" vertical="top"/>
    </xf>
    <xf numFmtId="49" fontId="69" fillId="0" borderId="0" xfId="0" quotePrefix="1" applyNumberFormat="1" applyFont="1" applyBorder="1" applyAlignment="1">
      <alignment horizontal="left" vertical="top"/>
    </xf>
    <xf numFmtId="41" fontId="43" fillId="0" borderId="0" xfId="2" applyFont="1" applyBorder="1" applyAlignment="1">
      <alignment vertical="top"/>
    </xf>
    <xf numFmtId="42" fontId="43" fillId="0" borderId="0" xfId="7" applyFont="1" applyBorder="1" applyAlignment="1">
      <alignment vertical="top"/>
    </xf>
    <xf numFmtId="49" fontId="43" fillId="0" borderId="0" xfId="0" applyNumberFormat="1" applyFont="1" applyBorder="1" applyAlignment="1">
      <alignment horizontal="left" vertical="top"/>
    </xf>
    <xf numFmtId="0" fontId="42" fillId="0" borderId="0" xfId="0" applyFont="1" applyBorder="1" applyAlignment="1">
      <alignment vertical="top"/>
    </xf>
    <xf numFmtId="49" fontId="42" fillId="0" borderId="0" xfId="0" applyNumberFormat="1" applyFont="1" applyBorder="1" applyAlignment="1">
      <alignment horizontal="left" vertical="top"/>
    </xf>
    <xf numFmtId="0" fontId="42" fillId="0" borderId="1" xfId="0" applyFont="1" applyBorder="1" applyAlignment="1">
      <alignment horizontal="left"/>
    </xf>
    <xf numFmtId="164" fontId="42" fillId="0" borderId="0" xfId="0" quotePrefix="1" applyNumberFormat="1" applyFont="1" applyAlignment="1" applyProtection="1">
      <alignment horizontal="left"/>
    </xf>
    <xf numFmtId="49" fontId="43" fillId="0" borderId="0" xfId="0" applyNumberFormat="1" applyFont="1" applyAlignment="1">
      <alignment horizontal="centerContinuous" vertical="top"/>
    </xf>
    <xf numFmtId="0" fontId="100" fillId="4" borderId="0" xfId="0" applyFont="1" applyFill="1" applyAlignment="1">
      <alignment horizontal="center"/>
    </xf>
    <xf numFmtId="0" fontId="43" fillId="0" borderId="14" xfId="19" applyNumberFormat="1" applyFont="1" applyBorder="1"/>
    <xf numFmtId="39" fontId="20" fillId="7" borderId="0" xfId="19" applyNumberFormat="1" applyFont="1" applyFill="1" applyBorder="1"/>
    <xf numFmtId="0" fontId="100" fillId="7" borderId="0" xfId="0" applyFont="1" applyFill="1" applyAlignment="1">
      <alignment horizontal="center"/>
    </xf>
    <xf numFmtId="39" fontId="20" fillId="7" borderId="0" xfId="19" applyNumberFormat="1" applyFont="1" applyFill="1" applyBorder="1" applyAlignment="1">
      <alignment wrapText="1"/>
    </xf>
    <xf numFmtId="43" fontId="20" fillId="0" borderId="54" xfId="19" applyNumberFormat="1" applyFont="1" applyFill="1" applyBorder="1"/>
    <xf numFmtId="0" fontId="20" fillId="7" borderId="0" xfId="0" applyNumberFormat="1" applyFont="1" applyFill="1" applyAlignment="1">
      <alignment horizontal="center"/>
    </xf>
    <xf numFmtId="0" fontId="20" fillId="7" borderId="0" xfId="0" applyFont="1" applyFill="1"/>
    <xf numFmtId="0" fontId="20" fillId="7" borderId="0" xfId="19" applyNumberFormat="1" applyFont="1" applyFill="1" applyAlignment="1">
      <alignment horizontal="center"/>
    </xf>
    <xf numFmtId="0" fontId="20" fillId="7" borderId="0" xfId="19" applyFont="1" applyFill="1"/>
    <xf numFmtId="0" fontId="0" fillId="7" borderId="0" xfId="0" applyFill="1" applyAlignment="1">
      <alignment horizontal="center"/>
    </xf>
    <xf numFmtId="0" fontId="99" fillId="7" borderId="0" xfId="0" applyFont="1" applyFill="1" applyAlignment="1">
      <alignment horizontal="center"/>
    </xf>
    <xf numFmtId="0" fontId="108" fillId="7" borderId="0" xfId="0" applyFont="1" applyFill="1" applyAlignment="1">
      <alignment horizontal="center"/>
    </xf>
    <xf numFmtId="39" fontId="20" fillId="0" borderId="54" xfId="19" applyNumberFormat="1" applyFont="1" applyBorder="1"/>
    <xf numFmtId="43" fontId="19" fillId="0" borderId="0" xfId="19" applyNumberFormat="1" applyFont="1" applyFill="1" applyBorder="1" applyAlignment="1">
      <alignment horizontal="right"/>
    </xf>
    <xf numFmtId="43" fontId="20" fillId="0" borderId="54" xfId="19" applyNumberFormat="1" applyFont="1" applyBorder="1" applyAlignment="1">
      <alignment horizontal="right"/>
    </xf>
    <xf numFmtId="43" fontId="19" fillId="0" borderId="54" xfId="19" applyNumberFormat="1" applyFont="1" applyFill="1" applyBorder="1" applyAlignment="1">
      <alignment horizontal="right"/>
    </xf>
    <xf numFmtId="43" fontId="20" fillId="10" borderId="0" xfId="19" applyNumberFormat="1" applyFont="1" applyFill="1" applyBorder="1"/>
    <xf numFmtId="43" fontId="20" fillId="10" borderId="34" xfId="19" applyNumberFormat="1" applyFont="1" applyFill="1" applyBorder="1"/>
    <xf numFmtId="43" fontId="59" fillId="10" borderId="0" xfId="19" applyNumberFormat="1" applyFont="1" applyFill="1" applyBorder="1"/>
    <xf numFmtId="43" fontId="19" fillId="10" borderId="0" xfId="19" applyNumberFormat="1" applyFont="1" applyFill="1" applyBorder="1"/>
    <xf numFmtId="43" fontId="20" fillId="10" borderId="13" xfId="5" applyNumberFormat="1" applyFont="1" applyFill="1" applyBorder="1" applyAlignment="1">
      <alignment horizontal="left"/>
    </xf>
    <xf numFmtId="43" fontId="19" fillId="10" borderId="22" xfId="5" applyNumberFormat="1" applyFont="1" applyFill="1" applyBorder="1" applyAlignment="1">
      <alignment horizontal="left"/>
    </xf>
    <xf numFmtId="43" fontId="20" fillId="10" borderId="13" xfId="0" applyNumberFormat="1" applyFont="1" applyFill="1" applyBorder="1"/>
    <xf numFmtId="43" fontId="20" fillId="10" borderId="0" xfId="0" applyNumberFormat="1" applyFont="1" applyFill="1" applyBorder="1"/>
    <xf numFmtId="43" fontId="19" fillId="10" borderId="0" xfId="19" applyNumberFormat="1" applyFont="1" applyFill="1" applyBorder="1" applyAlignment="1">
      <alignment horizontal="right"/>
    </xf>
    <xf numFmtId="0" fontId="19" fillId="0" borderId="0" xfId="0" applyFont="1" applyAlignment="1">
      <alignment horizontal="right"/>
    </xf>
    <xf numFmtId="43" fontId="19" fillId="10" borderId="0" xfId="0" applyNumberFormat="1" applyFont="1" applyFill="1" applyBorder="1"/>
    <xf numFmtId="0" fontId="74" fillId="11" borderId="0" xfId="0" applyFont="1" applyFill="1"/>
    <xf numFmtId="0" fontId="99" fillId="11" borderId="0" xfId="0" applyFont="1" applyFill="1" applyAlignment="1">
      <alignment horizontal="center"/>
    </xf>
    <xf numFmtId="0" fontId="100" fillId="11" borderId="0" xfId="0" applyFont="1" applyFill="1" applyAlignment="1">
      <alignment horizontal="center"/>
    </xf>
    <xf numFmtId="0" fontId="108" fillId="11" borderId="0" xfId="0" applyFont="1" applyFill="1" applyAlignment="1">
      <alignment horizontal="center"/>
    </xf>
    <xf numFmtId="43" fontId="43" fillId="11" borderId="0" xfId="19" applyNumberFormat="1" applyFont="1" applyFill="1" applyBorder="1"/>
    <xf numFmtId="43" fontId="42" fillId="11" borderId="14" xfId="19" applyNumberFormat="1" applyFont="1" applyFill="1" applyBorder="1" applyAlignment="1">
      <alignment horizontal="right"/>
    </xf>
    <xf numFmtId="43" fontId="43" fillId="4" borderId="0" xfId="19" applyNumberFormat="1" applyFont="1" applyFill="1" applyBorder="1"/>
    <xf numFmtId="0" fontId="99" fillId="0" borderId="0" xfId="0" applyFont="1" applyFill="1" applyAlignment="1">
      <alignment horizontal="center"/>
    </xf>
    <xf numFmtId="0" fontId="73" fillId="0" borderId="0" xfId="181" applyFont="1" applyFill="1" applyAlignment="1">
      <alignment horizontal="left"/>
    </xf>
    <xf numFmtId="0" fontId="73" fillId="0" borderId="0" xfId="181" applyFont="1" applyFill="1" applyAlignment="1"/>
    <xf numFmtId="0" fontId="72" fillId="0" borderId="0" xfId="181" applyFont="1" applyFill="1" applyAlignment="1"/>
    <xf numFmtId="168" fontId="72" fillId="0" borderId="0" xfId="52" applyNumberFormat="1" applyFont="1" applyFill="1" applyAlignment="1"/>
    <xf numFmtId="0" fontId="72" fillId="0" borderId="0" xfId="181" applyFont="1" applyFill="1" applyAlignment="1">
      <alignment horizontal="center"/>
    </xf>
    <xf numFmtId="0" fontId="72" fillId="0" borderId="0" xfId="181" applyFont="1" applyFill="1" applyAlignment="1">
      <alignment horizontal="left"/>
    </xf>
    <xf numFmtId="0" fontId="73" fillId="0" borderId="0" xfId="181" quotePrefix="1" applyFont="1" applyFill="1" applyAlignment="1">
      <alignment horizontal="left"/>
    </xf>
    <xf numFmtId="0" fontId="72" fillId="0" borderId="0" xfId="181" applyFont="1" applyFill="1" applyBorder="1" applyAlignment="1">
      <alignment horizontal="center" wrapText="1"/>
    </xf>
    <xf numFmtId="0" fontId="72" fillId="0" borderId="0" xfId="181" applyFont="1" applyFill="1" applyAlignment="1">
      <alignment horizontal="center" wrapText="1"/>
    </xf>
    <xf numFmtId="0" fontId="72" fillId="0" borderId="0" xfId="181" applyFont="1" applyFill="1" applyAlignment="1">
      <alignment wrapText="1"/>
    </xf>
    <xf numFmtId="168" fontId="72" fillId="0" borderId="0" xfId="52" applyNumberFormat="1" applyFont="1" applyFill="1" applyAlignment="1">
      <alignment horizontal="center" wrapText="1"/>
    </xf>
    <xf numFmtId="0" fontId="72" fillId="0" borderId="54" xfId="181" applyFont="1" applyFill="1" applyBorder="1" applyAlignment="1">
      <alignment horizontal="center" wrapText="1"/>
    </xf>
    <xf numFmtId="0" fontId="72" fillId="0" borderId="0" xfId="181" applyFont="1" applyFill="1" applyBorder="1" applyAlignment="1">
      <alignment horizontal="center"/>
    </xf>
    <xf numFmtId="168" fontId="72" fillId="0" borderId="0" xfId="52" applyNumberFormat="1" applyFont="1" applyFill="1" applyBorder="1" applyAlignment="1">
      <alignment horizontal="center"/>
    </xf>
    <xf numFmtId="0" fontId="72" fillId="0" borderId="0" xfId="181" applyFont="1" applyFill="1"/>
    <xf numFmtId="0" fontId="72" fillId="0" borderId="0" xfId="181" applyFont="1" applyFill="1" applyBorder="1"/>
    <xf numFmtId="168" fontId="72" fillId="0" borderId="0" xfId="52" applyNumberFormat="1" applyFont="1" applyFill="1" applyBorder="1"/>
    <xf numFmtId="168" fontId="72" fillId="0" borderId="0" xfId="52" applyNumberFormat="1" applyFont="1" applyFill="1"/>
    <xf numFmtId="0" fontId="72" fillId="0" borderId="0" xfId="181" quotePrefix="1" applyFont="1" applyFill="1" applyAlignment="1">
      <alignment horizontal="left"/>
    </xf>
    <xf numFmtId="168" fontId="72" fillId="0" borderId="22" xfId="52" applyNumberFormat="1" applyFont="1" applyFill="1" applyBorder="1"/>
    <xf numFmtId="168" fontId="72" fillId="0" borderId="0" xfId="181" applyNumberFormat="1" applyFont="1" applyFill="1" applyAlignment="1">
      <alignment horizontal="left"/>
    </xf>
    <xf numFmtId="168" fontId="72" fillId="0" borderId="0" xfId="181" applyNumberFormat="1" applyFont="1" applyFill="1" applyAlignment="1">
      <alignment horizontal="center"/>
    </xf>
    <xf numFmtId="41" fontId="72" fillId="0" borderId="0" xfId="181" applyNumberFormat="1" applyFont="1" applyFill="1" applyBorder="1"/>
    <xf numFmtId="0" fontId="72" fillId="0" borderId="0" xfId="181" quotePrefix="1" applyFont="1" applyFill="1" applyAlignment="1">
      <alignment horizontal="center"/>
    </xf>
    <xf numFmtId="0" fontId="72" fillId="0" borderId="0" xfId="181" quotePrefix="1" applyFont="1" applyFill="1" applyBorder="1" applyAlignment="1">
      <alignment horizontal="left"/>
    </xf>
    <xf numFmtId="168" fontId="72" fillId="0" borderId="0" xfId="181" applyNumberFormat="1" applyFont="1" applyFill="1" applyBorder="1"/>
    <xf numFmtId="168" fontId="72" fillId="0" borderId="0" xfId="52" applyNumberFormat="1" applyFont="1" applyFill="1" applyAlignment="1">
      <alignment horizontal="left"/>
    </xf>
    <xf numFmtId="0" fontId="73" fillId="0" borderId="0" xfId="181" quotePrefix="1" applyFont="1" applyFill="1" applyBorder="1" applyAlignment="1">
      <alignment horizontal="left"/>
    </xf>
    <xf numFmtId="0" fontId="73" fillId="0" borderId="0" xfId="181" applyFont="1" applyFill="1" applyBorder="1"/>
    <xf numFmtId="168" fontId="73" fillId="0" borderId="0" xfId="52" applyNumberFormat="1" applyFont="1" applyFill="1" applyBorder="1"/>
    <xf numFmtId="0" fontId="73" fillId="0" borderId="0" xfId="181" applyFont="1" applyFill="1"/>
    <xf numFmtId="0" fontId="73" fillId="0" borderId="0" xfId="181" applyFont="1" applyFill="1" applyAlignment="1">
      <alignment horizontal="center"/>
    </xf>
    <xf numFmtId="0" fontId="72" fillId="0" borderId="0" xfId="181" applyFont="1" applyFill="1" applyBorder="1" applyAlignment="1">
      <alignment horizontal="left"/>
    </xf>
    <xf numFmtId="0" fontId="72" fillId="0" borderId="0" xfId="181" quotePrefix="1" applyFont="1" applyFill="1" applyBorder="1" applyAlignment="1">
      <alignment horizontal="center"/>
    </xf>
    <xf numFmtId="168" fontId="72" fillId="0" borderId="0" xfId="181" applyNumberFormat="1" applyFont="1" applyFill="1"/>
    <xf numFmtId="168" fontId="72" fillId="0" borderId="72" xfId="52" applyNumberFormat="1" applyFont="1" applyFill="1" applyBorder="1"/>
    <xf numFmtId="168" fontId="72" fillId="0" borderId="0" xfId="181" applyNumberFormat="1" applyFont="1" applyFill="1" applyBorder="1" applyAlignment="1">
      <alignment horizontal="left"/>
    </xf>
    <xf numFmtId="0" fontId="72" fillId="0" borderId="0" xfId="20" applyNumberFormat="1" applyFont="1" applyFill="1" applyBorder="1"/>
    <xf numFmtId="0" fontId="73" fillId="0" borderId="0" xfId="181" applyFont="1" applyFill="1" applyBorder="1" applyAlignment="1">
      <alignment horizontal="center"/>
    </xf>
    <xf numFmtId="168" fontId="72" fillId="0" borderId="0" xfId="52" applyNumberFormat="1" applyFont="1" applyFill="1" applyBorder="1" applyAlignment="1"/>
    <xf numFmtId="0" fontId="72" fillId="0" borderId="0" xfId="181" applyNumberFormat="1" applyFont="1" applyFill="1" applyBorder="1" applyAlignment="1"/>
    <xf numFmtId="168" fontId="72" fillId="0" borderId="0" xfId="52" applyNumberFormat="1" applyFont="1" applyFill="1" applyBorder="1" applyAlignment="1">
      <alignment horizontal="left" wrapText="1"/>
    </xf>
    <xf numFmtId="168" fontId="73" fillId="0" borderId="22" xfId="52" applyNumberFormat="1" applyFont="1" applyFill="1" applyBorder="1"/>
    <xf numFmtId="0" fontId="73" fillId="0" borderId="0" xfId="181" applyNumberFormat="1" applyFont="1" applyFill="1" applyBorder="1" applyAlignment="1"/>
    <xf numFmtId="0" fontId="73" fillId="0" borderId="0" xfId="181" applyNumberFormat="1" applyFont="1" applyFill="1" applyBorder="1" applyAlignment="1">
      <alignment horizontal="left"/>
    </xf>
    <xf numFmtId="0" fontId="72" fillId="0" borderId="0" xfId="181" applyFont="1" applyFill="1" applyAlignment="1">
      <alignment horizontal="centerContinuous"/>
    </xf>
    <xf numFmtId="0" fontId="111" fillId="0" borderId="0" xfId="181" applyFont="1" applyFill="1" applyBorder="1"/>
    <xf numFmtId="0" fontId="72" fillId="0" borderId="0" xfId="182" applyFont="1" applyFill="1"/>
    <xf numFmtId="0" fontId="111" fillId="0" borderId="0" xfId="181" applyFont="1" applyFill="1"/>
    <xf numFmtId="0" fontId="111" fillId="0" borderId="0" xfId="181" applyFont="1" applyFill="1" applyBorder="1" applyAlignment="1">
      <alignment horizontal="center"/>
    </xf>
    <xf numFmtId="0" fontId="84" fillId="0" borderId="0" xfId="181" applyFont="1" applyFill="1" applyBorder="1" applyAlignment="1">
      <alignment horizontal="center"/>
    </xf>
    <xf numFmtId="0" fontId="84" fillId="0" borderId="0" xfId="181" applyFont="1" applyFill="1" applyBorder="1"/>
    <xf numFmtId="0" fontId="84" fillId="0" borderId="0" xfId="181" applyFont="1" applyFill="1"/>
    <xf numFmtId="168" fontId="84" fillId="0" borderId="0" xfId="52" applyNumberFormat="1" applyFont="1" applyFill="1" applyBorder="1"/>
    <xf numFmtId="0" fontId="84" fillId="0" borderId="0" xfId="181" applyFont="1" applyFill="1" applyAlignment="1">
      <alignment horizontal="center"/>
    </xf>
    <xf numFmtId="168" fontId="84" fillId="0" borderId="0" xfId="181" applyNumberFormat="1" applyFont="1" applyFill="1" applyAlignment="1">
      <alignment horizontal="left"/>
    </xf>
    <xf numFmtId="168" fontId="84" fillId="0" borderId="0" xfId="52" applyNumberFormat="1" applyFont="1" applyFill="1"/>
    <xf numFmtId="0" fontId="84" fillId="0" borderId="0" xfId="181" applyFont="1" applyFill="1" applyAlignment="1">
      <alignment horizontal="left"/>
    </xf>
    <xf numFmtId="0" fontId="98" fillId="0" borderId="0" xfId="181" applyFont="1" applyFill="1" applyBorder="1" applyAlignment="1">
      <alignment horizontal="center"/>
    </xf>
    <xf numFmtId="0" fontId="98" fillId="0" borderId="0" xfId="181" applyFont="1" applyFill="1" applyBorder="1"/>
    <xf numFmtId="0" fontId="98" fillId="0" borderId="0" xfId="181" applyFont="1" applyFill="1"/>
    <xf numFmtId="168" fontId="98" fillId="0" borderId="0" xfId="52" applyNumberFormat="1" applyFont="1" applyFill="1" applyBorder="1"/>
    <xf numFmtId="168" fontId="98" fillId="0" borderId="0" xfId="52" applyNumberFormat="1" applyFont="1" applyFill="1"/>
    <xf numFmtId="0" fontId="98" fillId="0" borderId="0" xfId="181" applyFont="1" applyFill="1" applyAlignment="1">
      <alignment horizontal="center"/>
    </xf>
    <xf numFmtId="168" fontId="98" fillId="0" borderId="0" xfId="181" applyNumberFormat="1" applyFont="1" applyFill="1" applyAlignment="1">
      <alignment horizontal="left"/>
    </xf>
    <xf numFmtId="0" fontId="84" fillId="0" borderId="0" xfId="181" applyFont="1" applyFill="1" applyAlignment="1">
      <alignment horizontal="center" wrapText="1"/>
    </xf>
    <xf numFmtId="168" fontId="73" fillId="0" borderId="0" xfId="181" applyNumberFormat="1" applyFont="1" applyFill="1" applyAlignment="1">
      <alignment horizontal="center"/>
    </xf>
    <xf numFmtId="168" fontId="72" fillId="0" borderId="0" xfId="181" applyNumberFormat="1" applyFont="1" applyFill="1" applyBorder="1" applyAlignment="1">
      <alignment horizontal="center"/>
    </xf>
    <xf numFmtId="0" fontId="43" fillId="0" borderId="0" xfId="0" applyFont="1" applyAlignment="1">
      <alignment wrapText="1"/>
    </xf>
    <xf numFmtId="168" fontId="112" fillId="0" borderId="0" xfId="52" applyNumberFormat="1" applyFont="1" applyFill="1" applyBorder="1"/>
    <xf numFmtId="0" fontId="112" fillId="0" borderId="0" xfId="181" applyFont="1" applyFill="1"/>
    <xf numFmtId="168" fontId="73" fillId="0" borderId="0" xfId="181" applyNumberFormat="1" applyFont="1" applyFill="1" applyAlignment="1">
      <alignment horizontal="left"/>
    </xf>
    <xf numFmtId="0" fontId="111" fillId="0" borderId="0" xfId="181" applyFont="1" applyFill="1" applyAlignment="1">
      <alignment wrapText="1"/>
    </xf>
    <xf numFmtId="0" fontId="72" fillId="0" borderId="0" xfId="181" applyFont="1" applyFill="1" applyBorder="1" applyAlignment="1">
      <alignment wrapText="1"/>
    </xf>
    <xf numFmtId="0" fontId="112" fillId="0" borderId="0" xfId="181" applyFont="1" applyFill="1" applyAlignment="1">
      <alignment wrapText="1"/>
    </xf>
    <xf numFmtId="41" fontId="112" fillId="0" borderId="0" xfId="2" applyFont="1" applyAlignment="1">
      <alignment wrapText="1"/>
    </xf>
    <xf numFmtId="0" fontId="73" fillId="0" borderId="0" xfId="181" applyFont="1" applyFill="1" applyAlignment="1">
      <alignment wrapText="1"/>
    </xf>
    <xf numFmtId="0" fontId="84" fillId="0" borderId="0" xfId="181" applyFont="1" applyFill="1" applyAlignment="1">
      <alignment wrapText="1"/>
    </xf>
    <xf numFmtId="0" fontId="98" fillId="0" borderId="0" xfId="181" applyFont="1" applyFill="1" applyAlignment="1">
      <alignment wrapText="1"/>
    </xf>
    <xf numFmtId="10" fontId="43" fillId="0" borderId="0" xfId="37" applyNumberFormat="1" applyFont="1"/>
    <xf numFmtId="0" fontId="2" fillId="0" borderId="0" xfId="0" applyFont="1" applyBorder="1"/>
    <xf numFmtId="0" fontId="42" fillId="0" borderId="52" xfId="0" applyFont="1" applyBorder="1"/>
    <xf numFmtId="0" fontId="42" fillId="0" borderId="52" xfId="0" applyFont="1" applyBorder="1" applyAlignment="1">
      <alignment horizontal="center"/>
    </xf>
    <xf numFmtId="41" fontId="42" fillId="0" borderId="52" xfId="2" applyFont="1" applyBorder="1" applyAlignment="1">
      <alignment horizontal="center"/>
    </xf>
    <xf numFmtId="41" fontId="17" fillId="0" borderId="0" xfId="0" applyNumberFormat="1" applyFont="1"/>
    <xf numFmtId="0" fontId="42" fillId="0" borderId="61" xfId="0" applyFont="1" applyBorder="1"/>
    <xf numFmtId="0" fontId="42" fillId="0" borderId="61" xfId="0" applyFont="1" applyBorder="1" applyAlignment="1">
      <alignment horizontal="center"/>
    </xf>
    <xf numFmtId="41" fontId="42" fillId="0" borderId="61" xfId="2" applyFont="1" applyFill="1" applyBorder="1" applyAlignment="1">
      <alignment horizontal="centerContinuous"/>
    </xf>
    <xf numFmtId="41" fontId="42" fillId="0" borderId="61" xfId="2" applyFont="1" applyBorder="1" applyAlignment="1">
      <alignment horizontal="centerContinuous"/>
    </xf>
    <xf numFmtId="0" fontId="42" fillId="0" borderId="0" xfId="0" applyFont="1" applyFill="1" applyBorder="1"/>
    <xf numFmtId="41" fontId="42" fillId="0" borderId="52" xfId="2" applyFont="1" applyFill="1" applyBorder="1" applyAlignment="1">
      <alignment horizontal="center"/>
    </xf>
    <xf numFmtId="171" fontId="43" fillId="0" borderId="0" xfId="2" applyNumberFormat="1" applyFont="1" applyAlignment="1"/>
    <xf numFmtId="41" fontId="42" fillId="0" borderId="0" xfId="2" applyFont="1" applyFill="1" applyBorder="1" applyAlignment="1">
      <alignment horizontal="centerContinuous"/>
    </xf>
    <xf numFmtId="171" fontId="43" fillId="0" borderId="0" xfId="2" applyNumberFormat="1" applyFont="1" applyFill="1" applyBorder="1" applyAlignment="1"/>
    <xf numFmtId="43" fontId="20" fillId="8" borderId="32" xfId="19" applyNumberFormat="1" applyFont="1" applyFill="1" applyBorder="1"/>
    <xf numFmtId="43" fontId="20" fillId="10" borderId="54" xfId="19" applyNumberFormat="1" applyFont="1" applyFill="1" applyBorder="1"/>
    <xf numFmtId="202" fontId="72" fillId="0" borderId="0" xfId="0" applyNumberFormat="1" applyFont="1" applyFill="1" applyAlignment="1" applyProtection="1">
      <alignment horizontal="left"/>
      <protection locked="0"/>
    </xf>
    <xf numFmtId="0" fontId="72" fillId="0" borderId="0" xfId="0" applyFont="1" applyFill="1" applyAlignment="1">
      <alignment horizontal="right"/>
    </xf>
    <xf numFmtId="201" fontId="72" fillId="0" borderId="0" xfId="0" applyNumberFormat="1" applyFont="1" applyFill="1"/>
    <xf numFmtId="168" fontId="43" fillId="0" borderId="34" xfId="4" applyNumberFormat="1" applyFont="1" applyBorder="1"/>
    <xf numFmtId="0" fontId="43" fillId="0" borderId="34" xfId="15" applyFont="1" applyBorder="1"/>
    <xf numFmtId="168" fontId="43" fillId="0" borderId="58" xfId="4" applyNumberFormat="1" applyFont="1" applyBorder="1"/>
    <xf numFmtId="10" fontId="43" fillId="0" borderId="58" xfId="37" applyNumberFormat="1" applyFont="1" applyBorder="1"/>
    <xf numFmtId="187" fontId="43" fillId="0" borderId="34" xfId="15" applyNumberFormat="1" applyFont="1" applyBorder="1"/>
    <xf numFmtId="187" fontId="43" fillId="0" borderId="58" xfId="15" applyNumberFormat="1" applyFont="1" applyBorder="1"/>
    <xf numFmtId="10" fontId="43" fillId="0" borderId="58" xfId="27" applyNumberFormat="1" applyFont="1" applyBorder="1"/>
    <xf numFmtId="0" fontId="0" fillId="0" borderId="0" xfId="0" applyFill="1"/>
    <xf numFmtId="3" fontId="0" fillId="0" borderId="0" xfId="0" applyNumberFormat="1" applyFill="1"/>
    <xf numFmtId="203" fontId="0" fillId="0" borderId="0" xfId="0" applyNumberFormat="1" applyFill="1"/>
    <xf numFmtId="1" fontId="0" fillId="0" borderId="0" xfId="0" applyNumberFormat="1" applyFill="1"/>
    <xf numFmtId="2" fontId="0" fillId="0" borderId="0" xfId="0" applyNumberFormat="1" applyFill="1"/>
    <xf numFmtId="4" fontId="0" fillId="0" borderId="0" xfId="0" applyNumberFormat="1" applyFill="1"/>
    <xf numFmtId="40" fontId="0" fillId="0" borderId="0" xfId="0" applyNumberFormat="1" applyFill="1"/>
    <xf numFmtId="0" fontId="2" fillId="0" borderId="0" xfId="0" applyFont="1" applyFill="1" applyAlignment="1">
      <alignment horizontal="center"/>
    </xf>
    <xf numFmtId="4" fontId="2" fillId="0" borderId="0" xfId="0" applyNumberFormat="1" applyFont="1" applyFill="1" applyAlignment="1">
      <alignment horizontal="center"/>
    </xf>
    <xf numFmtId="0" fontId="16" fillId="0" borderId="0" xfId="0" applyFont="1" applyAlignment="1">
      <alignment horizontal="center"/>
    </xf>
    <xf numFmtId="0" fontId="0" fillId="0" borderId="0" xfId="0" applyFill="1" applyAlignment="1">
      <alignment horizontal="center"/>
    </xf>
    <xf numFmtId="40" fontId="113" fillId="0" borderId="0" xfId="0" applyNumberFormat="1" applyFont="1" applyFill="1"/>
    <xf numFmtId="0" fontId="0" fillId="0" borderId="47" xfId="0" applyBorder="1" applyAlignment="1">
      <alignment horizontal="center"/>
    </xf>
    <xf numFmtId="0" fontId="0" fillId="0" borderId="47" xfId="0" applyFill="1" applyBorder="1" applyAlignment="1">
      <alignment horizontal="center"/>
    </xf>
    <xf numFmtId="3" fontId="2" fillId="0" borderId="47" xfId="0" applyNumberFormat="1" applyFont="1" applyFill="1" applyBorder="1" applyAlignment="1">
      <alignment horizontal="center"/>
    </xf>
    <xf numFmtId="3" fontId="0" fillId="0" borderId="47" xfId="0" applyNumberFormat="1" applyFill="1" applyBorder="1" applyAlignment="1">
      <alignment horizontal="center"/>
    </xf>
    <xf numFmtId="203" fontId="0" fillId="0" borderId="47" xfId="0" applyNumberFormat="1" applyFill="1" applyBorder="1" applyAlignment="1">
      <alignment horizontal="center"/>
    </xf>
    <xf numFmtId="0" fontId="2" fillId="0" borderId="47" xfId="0" applyFont="1" applyFill="1" applyBorder="1" applyAlignment="1">
      <alignment horizontal="center"/>
    </xf>
    <xf numFmtId="1" fontId="2" fillId="0" borderId="47" xfId="0" applyNumberFormat="1" applyFont="1" applyFill="1" applyBorder="1" applyAlignment="1">
      <alignment horizontal="center"/>
    </xf>
    <xf numFmtId="2" fontId="2" fillId="0" borderId="47" xfId="0" applyNumberFormat="1" applyFont="1" applyFill="1" applyBorder="1" applyAlignment="1">
      <alignment horizontal="center"/>
    </xf>
    <xf numFmtId="0" fontId="2" fillId="0" borderId="47" xfId="0" applyFont="1" applyBorder="1" applyAlignment="1">
      <alignment horizontal="center"/>
    </xf>
    <xf numFmtId="2" fontId="0" fillId="0" borderId="47" xfId="0" applyNumberFormat="1" applyFill="1" applyBorder="1" applyAlignment="1">
      <alignment horizontal="center"/>
    </xf>
    <xf numFmtId="4" fontId="2" fillId="0" borderId="47" xfId="0" applyNumberFormat="1" applyFont="1" applyFill="1" applyBorder="1" applyAlignment="1">
      <alignment horizontal="center"/>
    </xf>
    <xf numFmtId="40" fontId="0" fillId="0" borderId="47" xfId="0" applyNumberFormat="1" applyFill="1" applyBorder="1" applyAlignment="1">
      <alignment horizontal="center"/>
    </xf>
    <xf numFmtId="0" fontId="16" fillId="0" borderId="47" xfId="0" applyFont="1" applyBorder="1" applyAlignment="1">
      <alignment horizontal="center"/>
    </xf>
    <xf numFmtId="14" fontId="0" fillId="4" borderId="0" xfId="0" applyNumberFormat="1" applyFill="1"/>
    <xf numFmtId="168" fontId="2" fillId="4" borderId="0" xfId="39" applyNumberFormat="1" applyFill="1"/>
    <xf numFmtId="0" fontId="0" fillId="4" borderId="0" xfId="0" applyFill="1"/>
    <xf numFmtId="3" fontId="0" fillId="4" borderId="0" xfId="0" applyNumberFormat="1" applyFill="1"/>
    <xf numFmtId="203" fontId="0" fillId="4" borderId="0" xfId="0" applyNumberFormat="1" applyFill="1"/>
    <xf numFmtId="1" fontId="0" fillId="4" borderId="0" xfId="0" applyNumberFormat="1" applyFill="1"/>
    <xf numFmtId="2" fontId="0" fillId="4" borderId="0" xfId="0" applyNumberFormat="1" applyFill="1"/>
    <xf numFmtId="4" fontId="0" fillId="4" borderId="0" xfId="0" applyNumberFormat="1" applyFill="1"/>
    <xf numFmtId="40" fontId="0" fillId="4" borderId="0" xfId="0" applyNumberFormat="1" applyFill="1"/>
    <xf numFmtId="168" fontId="2" fillId="4" borderId="0" xfId="39" applyNumberFormat="1" applyFont="1" applyFill="1"/>
    <xf numFmtId="2" fontId="2" fillId="4" borderId="0" xfId="0" applyNumberFormat="1" applyFont="1" applyFill="1"/>
    <xf numFmtId="0" fontId="2" fillId="4" borderId="0" xfId="0" applyFont="1" applyFill="1"/>
    <xf numFmtId="3" fontId="2" fillId="4" borderId="0" xfId="0" applyNumberFormat="1" applyFont="1" applyFill="1"/>
    <xf numFmtId="203" fontId="2" fillId="4" borderId="0" xfId="0" applyNumberFormat="1" applyFont="1" applyFill="1"/>
    <xf numFmtId="1" fontId="2" fillId="4" borderId="0" xfId="0" applyNumberFormat="1" applyFont="1" applyFill="1"/>
    <xf numFmtId="4" fontId="2" fillId="4" borderId="0" xfId="0" applyNumberFormat="1" applyFont="1" applyFill="1"/>
    <xf numFmtId="14" fontId="0" fillId="4" borderId="54" xfId="0" applyNumberFormat="1" applyFill="1" applyBorder="1"/>
    <xf numFmtId="168" fontId="2" fillId="4" borderId="54" xfId="39" applyNumberFormat="1" applyFont="1" applyFill="1" applyBorder="1"/>
    <xf numFmtId="2" fontId="2" fillId="4" borderId="54" xfId="0" applyNumberFormat="1" applyFont="1" applyFill="1" applyBorder="1"/>
    <xf numFmtId="0" fontId="0" fillId="4" borderId="54" xfId="0" applyFill="1" applyBorder="1"/>
    <xf numFmtId="3" fontId="2" fillId="4" borderId="54" xfId="0" applyNumberFormat="1" applyFont="1" applyFill="1" applyBorder="1"/>
    <xf numFmtId="0" fontId="2" fillId="4" borderId="54" xfId="0" applyFont="1" applyFill="1" applyBorder="1"/>
    <xf numFmtId="203" fontId="2" fillId="4" borderId="54" xfId="0" applyNumberFormat="1" applyFont="1" applyFill="1" applyBorder="1"/>
    <xf numFmtId="1" fontId="2" fillId="4" borderId="54" xfId="0" applyNumberFormat="1" applyFont="1" applyFill="1" applyBorder="1"/>
    <xf numFmtId="4" fontId="2" fillId="4" borderId="54" xfId="0" applyNumberFormat="1" applyFont="1" applyFill="1" applyBorder="1"/>
    <xf numFmtId="40" fontId="0" fillId="4" borderId="54" xfId="0" applyNumberFormat="1" applyFill="1" applyBorder="1"/>
    <xf numFmtId="40" fontId="2" fillId="0" borderId="0" xfId="0" applyNumberFormat="1" applyFont="1"/>
    <xf numFmtId="14" fontId="0" fillId="0" borderId="0" xfId="0" applyNumberFormat="1"/>
    <xf numFmtId="168" fontId="2" fillId="0" borderId="0" xfId="39" applyNumberFormat="1"/>
    <xf numFmtId="168" fontId="2" fillId="0" borderId="0" xfId="39" applyNumberFormat="1" applyFont="1"/>
    <xf numFmtId="2" fontId="2" fillId="0" borderId="0" xfId="0" applyNumberFormat="1" applyFont="1"/>
    <xf numFmtId="3" fontId="2" fillId="0" borderId="0" xfId="0" applyNumberFormat="1" applyFont="1" applyFill="1"/>
    <xf numFmtId="203" fontId="2" fillId="0" borderId="0" xfId="0" applyNumberFormat="1" applyFont="1" applyFill="1"/>
    <xf numFmtId="1" fontId="2" fillId="0" borderId="0" xfId="0" applyNumberFormat="1" applyFont="1" applyFill="1"/>
    <xf numFmtId="2" fontId="2" fillId="0" borderId="0" xfId="0" applyNumberFormat="1" applyFont="1" applyFill="1"/>
    <xf numFmtId="4" fontId="2" fillId="0" borderId="0" xfId="0" applyNumberFormat="1" applyFont="1" applyFill="1"/>
    <xf numFmtId="14" fontId="0" fillId="0" borderId="54" xfId="0" applyNumberFormat="1" applyBorder="1"/>
    <xf numFmtId="168" fontId="2" fillId="0" borderId="54" xfId="39" applyNumberFormat="1" applyFont="1" applyBorder="1"/>
    <xf numFmtId="2" fontId="2" fillId="0" borderId="54" xfId="0" applyNumberFormat="1" applyFont="1" applyBorder="1"/>
    <xf numFmtId="0" fontId="0" fillId="0" borderId="54" xfId="0" applyFill="1" applyBorder="1"/>
    <xf numFmtId="3" fontId="2" fillId="0" borderId="54" xfId="0" applyNumberFormat="1" applyFont="1" applyFill="1" applyBorder="1"/>
    <xf numFmtId="0" fontId="2" fillId="0" borderId="54" xfId="0" applyFont="1" applyFill="1" applyBorder="1"/>
    <xf numFmtId="203" fontId="2" fillId="0" borderId="54" xfId="0" applyNumberFormat="1" applyFont="1" applyFill="1" applyBorder="1"/>
    <xf numFmtId="0" fontId="2" fillId="0" borderId="54" xfId="0" applyFont="1" applyBorder="1"/>
    <xf numFmtId="1" fontId="2" fillId="0" borderId="54" xfId="0" applyNumberFormat="1" applyFont="1" applyFill="1" applyBorder="1"/>
    <xf numFmtId="2" fontId="2" fillId="0" borderId="54" xfId="0" applyNumberFormat="1" applyFont="1" applyFill="1" applyBorder="1"/>
    <xf numFmtId="168" fontId="2" fillId="0" borderId="54" xfId="39" applyNumberFormat="1" applyFont="1" applyFill="1" applyBorder="1"/>
    <xf numFmtId="4" fontId="2" fillId="0" borderId="54" xfId="0" applyNumberFormat="1" applyFont="1" applyFill="1" applyBorder="1"/>
    <xf numFmtId="40" fontId="0" fillId="0" borderId="54" xfId="0" applyNumberFormat="1" applyFill="1" applyBorder="1"/>
    <xf numFmtId="40" fontId="0" fillId="0" borderId="0" xfId="0" applyNumberFormat="1"/>
    <xf numFmtId="0" fontId="16" fillId="0" borderId="13" xfId="0" applyFont="1" applyBorder="1" applyAlignment="1">
      <alignment horizontal="right"/>
    </xf>
    <xf numFmtId="168" fontId="2" fillId="0" borderId="13" xfId="39" applyNumberFormat="1" applyFill="1" applyBorder="1"/>
    <xf numFmtId="0" fontId="0" fillId="0" borderId="13" xfId="0" applyBorder="1"/>
    <xf numFmtId="0" fontId="0" fillId="0" borderId="13" xfId="0" applyFill="1" applyBorder="1"/>
    <xf numFmtId="3" fontId="2" fillId="0" borderId="13" xfId="39" applyNumberFormat="1" applyFill="1" applyBorder="1"/>
    <xf numFmtId="203" fontId="0" fillId="0" borderId="13" xfId="0" applyNumberFormat="1" applyFill="1" applyBorder="1"/>
    <xf numFmtId="2" fontId="0" fillId="0" borderId="13" xfId="0" applyNumberFormat="1" applyFill="1" applyBorder="1"/>
    <xf numFmtId="4" fontId="0" fillId="0" borderId="13" xfId="0" applyNumberFormat="1" applyFill="1" applyBorder="1"/>
    <xf numFmtId="43" fontId="2" fillId="0" borderId="13" xfId="39" applyNumberFormat="1" applyFill="1" applyBorder="1"/>
    <xf numFmtId="0" fontId="0" fillId="0" borderId="0" xfId="0" applyFill="1" applyBorder="1"/>
    <xf numFmtId="3" fontId="0" fillId="0" borderId="0" xfId="0" applyNumberFormat="1" applyFill="1" applyBorder="1"/>
    <xf numFmtId="203" fontId="0" fillId="0" borderId="0" xfId="0" applyNumberFormat="1" applyFill="1" applyBorder="1"/>
    <xf numFmtId="1" fontId="0" fillId="0" borderId="0" xfId="0" applyNumberFormat="1" applyFill="1" applyBorder="1"/>
    <xf numFmtId="2" fontId="0" fillId="0" borderId="0" xfId="0" applyNumberFormat="1" applyFill="1" applyBorder="1"/>
    <xf numFmtId="4" fontId="0" fillId="0" borderId="0" xfId="0" applyNumberFormat="1" applyFill="1" applyBorder="1"/>
    <xf numFmtId="40" fontId="2" fillId="0" borderId="0" xfId="39" applyNumberFormat="1" applyFill="1" applyBorder="1"/>
    <xf numFmtId="168" fontId="0" fillId="0" borderId="0" xfId="39" applyNumberFormat="1" applyFont="1" applyFill="1" applyAlignment="1">
      <alignment horizontal="right" wrapText="1"/>
    </xf>
    <xf numFmtId="168" fontId="2" fillId="0" borderId="0" xfId="39" applyNumberFormat="1" applyFill="1"/>
    <xf numFmtId="168" fontId="0" fillId="0" borderId="0" xfId="39" applyNumberFormat="1" applyFont="1" applyFill="1"/>
    <xf numFmtId="3" fontId="0" fillId="0" borderId="0" xfId="39" applyNumberFormat="1" applyFont="1" applyFill="1"/>
    <xf numFmtId="203" fontId="0" fillId="0" borderId="0" xfId="39" applyNumberFormat="1" applyFont="1" applyFill="1"/>
    <xf numFmtId="1" fontId="0" fillId="0" borderId="0" xfId="39" applyNumberFormat="1" applyFont="1" applyFill="1"/>
    <xf numFmtId="2" fontId="0" fillId="0" borderId="0" xfId="39" applyNumberFormat="1" applyFont="1" applyFill="1"/>
    <xf numFmtId="0" fontId="0" fillId="0" borderId="0" xfId="0" applyFill="1" applyAlignment="1">
      <alignment horizontal="right"/>
    </xf>
    <xf numFmtId="4" fontId="0" fillId="0" borderId="0" xfId="39" applyNumberFormat="1" applyFont="1" applyFill="1"/>
    <xf numFmtId="168" fontId="2" fillId="0" borderId="0" xfId="39" applyNumberFormat="1" applyFont="1" applyFill="1"/>
    <xf numFmtId="3" fontId="0" fillId="0" borderId="0" xfId="0" applyNumberFormat="1" applyFill="1" applyAlignment="1">
      <alignment horizontal="right"/>
    </xf>
    <xf numFmtId="3" fontId="2" fillId="0" borderId="0" xfId="0" applyNumberFormat="1" applyFont="1" applyFill="1" applyAlignment="1">
      <alignment horizontal="right"/>
    </xf>
    <xf numFmtId="203" fontId="0" fillId="0" borderId="0" xfId="0" applyNumberFormat="1" applyFill="1" applyAlignment="1">
      <alignment horizontal="right"/>
    </xf>
    <xf numFmtId="0" fontId="2" fillId="0" borderId="0" xfId="0" applyFont="1" applyFill="1" applyAlignment="1">
      <alignment horizontal="right"/>
    </xf>
    <xf numFmtId="1" fontId="0" fillId="0" borderId="0" xfId="0" applyNumberFormat="1" applyFill="1" applyAlignment="1">
      <alignment horizontal="right"/>
    </xf>
    <xf numFmtId="2" fontId="0" fillId="0" borderId="0" xfId="0" applyNumberFormat="1" applyFill="1" applyAlignment="1">
      <alignment horizontal="right"/>
    </xf>
    <xf numFmtId="4" fontId="0" fillId="0" borderId="0" xfId="0" applyNumberFormat="1" applyFill="1" applyAlignment="1">
      <alignment horizontal="right"/>
    </xf>
    <xf numFmtId="2" fontId="2" fillId="0" borderId="54" xfId="39" applyNumberFormat="1" applyFill="1" applyBorder="1"/>
    <xf numFmtId="203" fontId="2" fillId="0" borderId="54" xfId="39" applyNumberFormat="1" applyFill="1" applyBorder="1"/>
    <xf numFmtId="2" fontId="0" fillId="0" borderId="54" xfId="0" applyNumberFormat="1" applyFill="1" applyBorder="1"/>
    <xf numFmtId="4" fontId="0" fillId="0" borderId="54" xfId="0" applyNumberFormat="1" applyFill="1" applyBorder="1"/>
    <xf numFmtId="1" fontId="0" fillId="0" borderId="34" xfId="0" applyNumberFormat="1" applyFill="1" applyBorder="1" applyAlignment="1">
      <alignment horizontal="center"/>
    </xf>
    <xf numFmtId="0" fontId="0" fillId="0" borderId="34" xfId="0" applyFill="1" applyBorder="1" applyAlignment="1">
      <alignment horizontal="center"/>
    </xf>
    <xf numFmtId="0" fontId="0" fillId="0" borderId="0" xfId="0" applyFill="1" applyBorder="1" applyAlignment="1">
      <alignment horizontal="center"/>
    </xf>
    <xf numFmtId="4" fontId="0" fillId="0" borderId="0" xfId="0" applyNumberFormat="1" applyFill="1" applyBorder="1" applyAlignment="1">
      <alignment horizontal="center"/>
    </xf>
    <xf numFmtId="4" fontId="0" fillId="0" borderId="0" xfId="0" applyNumberFormat="1" applyFill="1" applyAlignment="1">
      <alignment horizontal="center"/>
    </xf>
    <xf numFmtId="3" fontId="0" fillId="0" borderId="0" xfId="0" applyNumberFormat="1" applyFill="1" applyAlignment="1">
      <alignment horizontal="center"/>
    </xf>
    <xf numFmtId="203" fontId="0" fillId="0" borderId="0" xfId="0" applyNumberFormat="1" applyFill="1" applyAlignment="1">
      <alignment horizontal="center"/>
    </xf>
    <xf numFmtId="1" fontId="0" fillId="0" borderId="0" xfId="0" applyNumberFormat="1" applyFill="1" applyAlignment="1">
      <alignment horizontal="center"/>
    </xf>
    <xf numFmtId="2" fontId="0" fillId="0" borderId="0" xfId="0" applyNumberFormat="1" applyFill="1" applyAlignment="1">
      <alignment horizontal="center"/>
    </xf>
    <xf numFmtId="0" fontId="16" fillId="0" borderId="0" xfId="0" applyFont="1" applyFill="1" applyAlignment="1">
      <alignment horizontal="right"/>
    </xf>
    <xf numFmtId="3" fontId="16" fillId="0" borderId="54" xfId="0" applyNumberFormat="1" applyFont="1" applyFill="1" applyBorder="1" applyAlignment="1">
      <alignment horizontal="center"/>
    </xf>
    <xf numFmtId="3" fontId="16" fillId="0" borderId="0" xfId="0" applyNumberFormat="1" applyFont="1" applyFill="1" applyAlignment="1">
      <alignment horizontal="center"/>
    </xf>
    <xf numFmtId="203" fontId="16" fillId="0" borderId="0" xfId="0" applyNumberFormat="1" applyFont="1" applyFill="1" applyAlignment="1">
      <alignment horizontal="center"/>
    </xf>
    <xf numFmtId="1" fontId="16" fillId="0" borderId="0" xfId="0" applyNumberFormat="1" applyFont="1" applyFill="1" applyAlignment="1">
      <alignment horizontal="center"/>
    </xf>
    <xf numFmtId="2" fontId="16" fillId="0" borderId="0" xfId="0" applyNumberFormat="1" applyFont="1" applyFill="1" applyAlignment="1">
      <alignment horizontal="center"/>
    </xf>
    <xf numFmtId="4" fontId="16" fillId="0" borderId="0" xfId="0" applyNumberFormat="1" applyFont="1" applyFill="1" applyAlignment="1">
      <alignment horizontal="center"/>
    </xf>
    <xf numFmtId="40" fontId="16" fillId="0" borderId="0" xfId="0" applyNumberFormat="1" applyFont="1" applyFill="1"/>
    <xf numFmtId="0" fontId="16" fillId="0" borderId="13" xfId="0" applyFont="1" applyFill="1" applyBorder="1" applyAlignment="1">
      <alignment horizontal="center"/>
    </xf>
    <xf numFmtId="4" fontId="16" fillId="0" borderId="13" xfId="0" applyNumberFormat="1" applyFont="1" applyFill="1" applyBorder="1" applyAlignment="1">
      <alignment horizontal="center"/>
    </xf>
    <xf numFmtId="40" fontId="16" fillId="0" borderId="13" xfId="0" applyNumberFormat="1" applyFont="1" applyFill="1" applyBorder="1"/>
    <xf numFmtId="204" fontId="16" fillId="0" borderId="34" xfId="0" applyNumberFormat="1" applyFont="1" applyFill="1" applyBorder="1" applyAlignment="1">
      <alignment horizontal="center"/>
    </xf>
    <xf numFmtId="0" fontId="16" fillId="0" borderId="0" xfId="0" applyFont="1" applyFill="1" applyBorder="1" applyAlignment="1">
      <alignment horizontal="center"/>
    </xf>
    <xf numFmtId="3" fontId="16" fillId="0" borderId="0" xfId="0" applyNumberFormat="1" applyFont="1" applyFill="1" applyBorder="1" applyAlignment="1">
      <alignment horizontal="center"/>
    </xf>
    <xf numFmtId="203" fontId="16" fillId="0" borderId="0" xfId="0" applyNumberFormat="1" applyFont="1" applyFill="1" applyBorder="1" applyAlignment="1">
      <alignment horizontal="center"/>
    </xf>
    <xf numFmtId="1" fontId="16" fillId="0" borderId="0" xfId="0" applyNumberFormat="1" applyFont="1" applyFill="1" applyBorder="1" applyAlignment="1">
      <alignment horizontal="center"/>
    </xf>
    <xf numFmtId="2" fontId="16" fillId="0" borderId="0" xfId="0" applyNumberFormat="1" applyFont="1" applyFill="1" applyBorder="1" applyAlignment="1">
      <alignment horizontal="center"/>
    </xf>
    <xf numFmtId="4" fontId="16" fillId="0" borderId="0" xfId="0" applyNumberFormat="1" applyFont="1" applyFill="1" applyBorder="1" applyAlignment="1">
      <alignment horizontal="center"/>
    </xf>
    <xf numFmtId="3" fontId="0" fillId="0" borderId="0" xfId="0" applyNumberFormat="1" applyFill="1" applyBorder="1" applyAlignment="1">
      <alignment horizontal="center"/>
    </xf>
    <xf numFmtId="203" fontId="0" fillId="0" borderId="0" xfId="0" applyNumberFormat="1" applyFill="1" applyBorder="1" applyAlignment="1">
      <alignment horizontal="center"/>
    </xf>
    <xf numFmtId="1" fontId="0" fillId="0" borderId="0" xfId="0" applyNumberFormat="1" applyFill="1" applyBorder="1" applyAlignment="1">
      <alignment horizontal="center"/>
    </xf>
    <xf numFmtId="2" fontId="0" fillId="0" borderId="0" xfId="0" applyNumberFormat="1" applyFill="1" applyBorder="1" applyAlignment="1">
      <alignment horizontal="center"/>
    </xf>
    <xf numFmtId="1" fontId="16" fillId="0" borderId="0" xfId="0" applyNumberFormat="1" applyFont="1" applyFill="1"/>
    <xf numFmtId="2" fontId="16" fillId="0" borderId="0" xfId="0" applyNumberFormat="1" applyFont="1" applyFill="1"/>
    <xf numFmtId="203" fontId="16" fillId="0" borderId="0" xfId="0" applyNumberFormat="1" applyFont="1" applyFill="1"/>
    <xf numFmtId="4" fontId="16" fillId="0" borderId="0" xfId="0" applyNumberFormat="1" applyFont="1" applyFill="1"/>
    <xf numFmtId="205" fontId="0" fillId="0" borderId="0" xfId="0" applyNumberFormat="1" applyFill="1"/>
    <xf numFmtId="183" fontId="55" fillId="0" borderId="2" xfId="2" applyNumberFormat="1" applyFont="1" applyFill="1" applyBorder="1" applyAlignment="1"/>
    <xf numFmtId="0" fontId="42" fillId="0" borderId="0" xfId="0" applyFont="1" applyAlignment="1">
      <alignment horizontal="center"/>
    </xf>
    <xf numFmtId="192" fontId="55" fillId="0" borderId="2" xfId="2" applyNumberFormat="1" applyFont="1" applyFill="1" applyBorder="1" applyAlignment="1"/>
    <xf numFmtId="168" fontId="42" fillId="0" borderId="0" xfId="2" applyNumberFormat="1" applyFont="1" applyFill="1" applyBorder="1" applyAlignment="1">
      <alignment horizontal="center"/>
    </xf>
    <xf numFmtId="168" fontId="43" fillId="0" borderId="0" xfId="2" applyNumberFormat="1" applyFont="1" applyFill="1" applyAlignment="1"/>
    <xf numFmtId="168" fontId="0" fillId="0" borderId="0" xfId="2" applyNumberFormat="1" applyFont="1" applyAlignment="1"/>
    <xf numFmtId="174" fontId="55" fillId="0" borderId="2" xfId="2" applyNumberFormat="1" applyFont="1" applyFill="1" applyBorder="1" applyAlignment="1"/>
    <xf numFmtId="174" fontId="56" fillId="0" borderId="0" xfId="2" quotePrefix="1" applyNumberFormat="1" applyFont="1" applyFill="1" applyBorder="1" applyAlignment="1">
      <alignment horizontal="center"/>
    </xf>
    <xf numFmtId="192" fontId="42" fillId="0" borderId="58" xfId="0" applyNumberFormat="1" applyFont="1" applyFill="1" applyBorder="1" applyProtection="1"/>
    <xf numFmtId="169" fontId="43" fillId="0" borderId="10" xfId="18" applyNumberFormat="1" applyFont="1" applyFill="1" applyBorder="1" applyAlignment="1">
      <alignment horizontal="center"/>
    </xf>
    <xf numFmtId="169" fontId="43" fillId="0" borderId="0" xfId="18" applyNumberFormat="1" applyFont="1" applyFill="1" applyAlignment="1">
      <alignment horizontal="center"/>
    </xf>
    <xf numFmtId="169" fontId="43" fillId="0" borderId="10" xfId="18" applyNumberFormat="1" applyFont="1" applyFill="1" applyBorder="1"/>
    <xf numFmtId="169" fontId="43" fillId="0" borderId="0" xfId="18" applyNumberFormat="1" applyFont="1" applyFill="1"/>
    <xf numFmtId="0" fontId="42" fillId="0" borderId="0" xfId="0" applyFont="1" applyAlignment="1">
      <alignment horizontal="center"/>
    </xf>
    <xf numFmtId="0" fontId="42" fillId="0" borderId="10" xfId="0" applyFont="1" applyBorder="1" applyAlignment="1">
      <alignment horizontal="center"/>
    </xf>
    <xf numFmtId="41" fontId="43" fillId="0" borderId="52" xfId="2" applyFont="1" applyBorder="1" applyAlignment="1"/>
    <xf numFmtId="49" fontId="42" fillId="0" borderId="52" xfId="2" applyNumberFormat="1" applyFont="1" applyBorder="1" applyAlignment="1">
      <alignment horizontal="center"/>
    </xf>
    <xf numFmtId="41" fontId="42" fillId="0" borderId="52" xfId="2" applyNumberFormat="1" applyFont="1" applyFill="1" applyBorder="1" applyAlignment="1">
      <alignment horizontal="center"/>
    </xf>
    <xf numFmtId="39" fontId="72" fillId="0" borderId="0" xfId="38" applyNumberFormat="1" applyFont="1" applyFill="1" applyAlignment="1">
      <alignment horizontal="center"/>
    </xf>
    <xf numFmtId="0" fontId="72" fillId="0" borderId="0" xfId="38" applyFont="1" applyFill="1" applyAlignment="1">
      <alignment horizontal="left" indent="1"/>
    </xf>
    <xf numFmtId="0" fontId="72" fillId="0" borderId="0" xfId="38" applyFont="1" applyFill="1" applyBorder="1" applyAlignment="1">
      <alignment horizontal="left" indent="1"/>
    </xf>
    <xf numFmtId="0" fontId="72" fillId="0" borderId="0" xfId="185" applyFont="1" applyFill="1"/>
    <xf numFmtId="0" fontId="72" fillId="0" borderId="0" xfId="38" applyFont="1" applyFill="1" applyAlignment="1">
      <alignment horizontal="left" wrapText="1"/>
    </xf>
    <xf numFmtId="49" fontId="42" fillId="0" borderId="0" xfId="0" applyNumberFormat="1" applyFont="1" applyFill="1" applyAlignment="1">
      <alignment horizontal="left"/>
    </xf>
    <xf numFmtId="49" fontId="43" fillId="0" borderId="0" xfId="0" applyNumberFormat="1" applyFont="1" applyFill="1" applyAlignment="1">
      <alignment horizontal="centerContinuous"/>
    </xf>
    <xf numFmtId="0" fontId="43" fillId="0" borderId="0" xfId="0" quotePrefix="1" applyNumberFormat="1" applyFont="1" applyFill="1"/>
    <xf numFmtId="41" fontId="46" fillId="0" borderId="0" xfId="2" applyFont="1" applyFill="1" applyBorder="1" applyAlignment="1">
      <alignment horizontal="center"/>
    </xf>
    <xf numFmtId="49" fontId="43" fillId="0" borderId="0" xfId="34" applyNumberFormat="1" applyFont="1" applyAlignment="1">
      <alignment horizontal="left" vertical="top" wrapText="1"/>
    </xf>
    <xf numFmtId="41" fontId="43" fillId="0" borderId="0" xfId="34" applyNumberFormat="1" applyFont="1"/>
    <xf numFmtId="41" fontId="43" fillId="0" borderId="0" xfId="2" applyFont="1" applyFill="1" applyAlignment="1">
      <alignment horizontal="center"/>
    </xf>
    <xf numFmtId="0" fontId="43" fillId="0" borderId="52" xfId="0" applyFont="1" applyFill="1" applyBorder="1"/>
    <xf numFmtId="42" fontId="42" fillId="0" borderId="0" xfId="7" applyFont="1" applyFill="1" applyBorder="1" applyAlignment="1"/>
    <xf numFmtId="49" fontId="43" fillId="0" borderId="0" xfId="0" quotePrefix="1" applyNumberFormat="1" applyFont="1" applyFill="1" applyBorder="1" applyAlignment="1">
      <alignment horizontal="left"/>
    </xf>
    <xf numFmtId="0" fontId="84" fillId="0" borderId="73" xfId="0" applyFont="1" applyBorder="1" applyAlignment="1">
      <alignment horizontal="justify"/>
    </xf>
    <xf numFmtId="0" fontId="72" fillId="0" borderId="74" xfId="0" applyFont="1" applyBorder="1" applyAlignment="1">
      <alignment horizontal="center"/>
    </xf>
    <xf numFmtId="0" fontId="72" fillId="0" borderId="74" xfId="0" applyFont="1" applyBorder="1" applyAlignment="1">
      <alignment horizontal="center" wrapText="1"/>
    </xf>
    <xf numFmtId="0" fontId="72" fillId="0" borderId="0" xfId="0" applyFont="1" applyAlignment="1">
      <alignment horizontal="center" wrapText="1"/>
    </xf>
    <xf numFmtId="10" fontId="72" fillId="0" borderId="0" xfId="37" applyNumberFormat="1" applyFont="1"/>
    <xf numFmtId="0" fontId="72" fillId="0" borderId="0" xfId="0" quotePrefix="1" applyFont="1" applyAlignment="1">
      <alignment horizontal="center"/>
    </xf>
    <xf numFmtId="0" fontId="115" fillId="0" borderId="38" xfId="0" applyFont="1" applyBorder="1" applyAlignment="1">
      <alignment horizontal="justify"/>
    </xf>
    <xf numFmtId="0" fontId="0" fillId="0" borderId="61" xfId="0" applyBorder="1" applyAlignment="1">
      <alignment horizontal="center"/>
    </xf>
    <xf numFmtId="0" fontId="0" fillId="0" borderId="61" xfId="0" applyBorder="1" applyAlignment="1">
      <alignment horizontal="center" wrapText="1"/>
    </xf>
    <xf numFmtId="0" fontId="115" fillId="0" borderId="41" xfId="0" applyFont="1" applyBorder="1" applyAlignment="1">
      <alignment horizontal="justify"/>
    </xf>
    <xf numFmtId="0" fontId="0" fillId="0" borderId="0" xfId="0" applyBorder="1" applyAlignment="1">
      <alignment horizontal="center"/>
    </xf>
    <xf numFmtId="0" fontId="0" fillId="0" borderId="0" xfId="0" applyBorder="1" applyAlignment="1">
      <alignment horizontal="center" wrapText="1"/>
    </xf>
    <xf numFmtId="0" fontId="115" fillId="0" borderId="63" xfId="0" applyFont="1" applyBorder="1" applyAlignment="1">
      <alignment horizontal="justify"/>
    </xf>
    <xf numFmtId="0" fontId="0" fillId="0" borderId="47" xfId="0" applyBorder="1" applyAlignment="1">
      <alignment horizontal="center" wrapText="1"/>
    </xf>
    <xf numFmtId="0" fontId="115" fillId="0" borderId="0" xfId="0" applyFont="1" applyFill="1" applyBorder="1" applyAlignment="1">
      <alignment horizontal="justify"/>
    </xf>
    <xf numFmtId="0" fontId="115" fillId="0" borderId="0" xfId="0" applyFont="1" applyBorder="1" applyAlignment="1">
      <alignment horizontal="justify"/>
    </xf>
    <xf numFmtId="0" fontId="115" fillId="0" borderId="47" xfId="0" applyFont="1" applyFill="1" applyBorder="1" applyAlignment="1">
      <alignment horizontal="justify"/>
    </xf>
    <xf numFmtId="0" fontId="0" fillId="0" borderId="47" xfId="0" applyBorder="1"/>
    <xf numFmtId="0" fontId="72" fillId="0" borderId="47" xfId="0" quotePrefix="1" applyFont="1" applyBorder="1"/>
    <xf numFmtId="0" fontId="72" fillId="0" borderId="47" xfId="0" quotePrefix="1" applyFont="1" applyBorder="1" applyAlignment="1">
      <alignment horizontal="center"/>
    </xf>
    <xf numFmtId="0" fontId="72" fillId="0" borderId="47" xfId="0" applyFont="1" applyBorder="1" applyAlignment="1">
      <alignment horizontal="center" wrapText="1"/>
    </xf>
    <xf numFmtId="42" fontId="72" fillId="0" borderId="47" xfId="7" applyFont="1" applyBorder="1" applyAlignment="1"/>
    <xf numFmtId="0" fontId="72" fillId="0" borderId="47" xfId="0" applyFont="1" applyBorder="1"/>
    <xf numFmtId="42" fontId="72" fillId="0" borderId="47" xfId="0" applyNumberFormat="1" applyFont="1" applyBorder="1"/>
    <xf numFmtId="10" fontId="72" fillId="0" borderId="47" xfId="37" applyNumberFormat="1" applyFont="1" applyBorder="1"/>
    <xf numFmtId="42" fontId="0" fillId="0" borderId="0" xfId="0" applyNumberFormat="1"/>
    <xf numFmtId="0" fontId="72" fillId="0" borderId="0" xfId="38" applyFont="1" applyFill="1" applyBorder="1"/>
    <xf numFmtId="0" fontId="43" fillId="0" borderId="0" xfId="38" applyFont="1" applyFill="1" applyBorder="1"/>
    <xf numFmtId="41" fontId="43" fillId="0" borderId="57" xfId="39" applyNumberFormat="1" applyFont="1" applyFill="1" applyBorder="1" applyAlignment="1"/>
    <xf numFmtId="173" fontId="43" fillId="0" borderId="0" xfId="2" applyNumberFormat="1" applyFont="1" applyFill="1" applyBorder="1" applyAlignment="1"/>
    <xf numFmtId="0" fontId="43" fillId="0" borderId="0" xfId="0" applyFont="1" applyAlignment="1"/>
    <xf numFmtId="41" fontId="43" fillId="0" borderId="0" xfId="0" applyNumberFormat="1" applyFont="1" applyProtection="1"/>
    <xf numFmtId="168" fontId="43" fillId="0" borderId="0" xfId="0" applyNumberFormat="1" applyFont="1" applyBorder="1" applyAlignment="1">
      <alignment horizontal="left"/>
    </xf>
    <xf numFmtId="168" fontId="72" fillId="0" borderId="0" xfId="7" applyNumberFormat="1" applyFont="1" applyAlignment="1"/>
    <xf numFmtId="0" fontId="42" fillId="0" borderId="0" xfId="0" applyFont="1" applyAlignment="1">
      <alignment horizontal="center"/>
    </xf>
    <xf numFmtId="0" fontId="42" fillId="0" borderId="0" xfId="15" applyFont="1" applyAlignment="1">
      <alignment horizontal="center"/>
    </xf>
    <xf numFmtId="42" fontId="43" fillId="0" borderId="52" xfId="7" applyFont="1" applyFill="1" applyBorder="1" applyAlignment="1"/>
    <xf numFmtId="41" fontId="43" fillId="0" borderId="0" xfId="2" applyFont="1" applyFill="1" applyBorder="1" applyAlignment="1">
      <alignment horizontal="centerContinuous"/>
    </xf>
    <xf numFmtId="0" fontId="86" fillId="0" borderId="0" xfId="0" quotePrefix="1" applyFont="1" applyFill="1" applyBorder="1" applyAlignment="1">
      <alignment horizontal="left" indent="1"/>
    </xf>
    <xf numFmtId="0" fontId="32" fillId="0" borderId="0" xfId="0" quotePrefix="1" applyFont="1" applyAlignment="1">
      <alignment horizontal="left" indent="1"/>
    </xf>
    <xf numFmtId="0" fontId="72" fillId="0" borderId="0" xfId="0" quotePrefix="1" applyFont="1" applyAlignment="1">
      <alignment horizontal="left" indent="1"/>
    </xf>
    <xf numFmtId="42" fontId="43" fillId="0" borderId="22" xfId="0" applyNumberFormat="1" applyFont="1" applyBorder="1"/>
    <xf numFmtId="42" fontId="43" fillId="0" borderId="22" xfId="7" applyFont="1" applyBorder="1" applyAlignment="1"/>
    <xf numFmtId="176" fontId="42" fillId="0" borderId="34" xfId="15" applyNumberFormat="1" applyFont="1" applyBorder="1" applyAlignment="1">
      <alignment horizontal="center"/>
    </xf>
    <xf numFmtId="168" fontId="43" fillId="0" borderId="0" xfId="4" applyNumberFormat="1" applyFont="1" applyBorder="1"/>
    <xf numFmtId="0" fontId="42" fillId="0" borderId="54" xfId="15" applyFont="1" applyBorder="1" applyAlignment="1">
      <alignment horizontal="center"/>
    </xf>
    <xf numFmtId="168" fontId="43" fillId="0" borderId="54" xfId="4" applyNumberFormat="1" applyFont="1" applyBorder="1"/>
    <xf numFmtId="0" fontId="72" fillId="0" borderId="61" xfId="0" applyFont="1" applyBorder="1" applyAlignment="1">
      <alignment horizontal="center" wrapText="1"/>
    </xf>
    <xf numFmtId="42" fontId="72" fillId="0" borderId="61" xfId="7" applyFont="1" applyBorder="1" applyAlignment="1"/>
    <xf numFmtId="0" fontId="72" fillId="0" borderId="61" xfId="0" applyFont="1" applyBorder="1"/>
    <xf numFmtId="42" fontId="72" fillId="0" borderId="61" xfId="0" applyNumberFormat="1" applyFont="1" applyBorder="1"/>
    <xf numFmtId="10" fontId="72" fillId="0" borderId="61" xfId="37" applyNumberFormat="1" applyFont="1" applyBorder="1"/>
    <xf numFmtId="0" fontId="72" fillId="0" borderId="40" xfId="0" applyFont="1" applyBorder="1"/>
    <xf numFmtId="0" fontId="72" fillId="0" borderId="45" xfId="0" applyFont="1" applyBorder="1"/>
    <xf numFmtId="0" fontId="74" fillId="0" borderId="0" xfId="23" applyFont="1"/>
    <xf numFmtId="168" fontId="72" fillId="0" borderId="0" xfId="44" applyNumberFormat="1" applyFont="1" applyFill="1"/>
    <xf numFmtId="168" fontId="72" fillId="0" borderId="0" xfId="44" applyNumberFormat="1" applyFont="1" applyFill="1" applyBorder="1"/>
    <xf numFmtId="168" fontId="74" fillId="0" borderId="0" xfId="44" applyNumberFormat="1" applyFont="1" applyFill="1"/>
    <xf numFmtId="168" fontId="74" fillId="0" borderId="0" xfId="44" applyNumberFormat="1" applyFont="1" applyFill="1" applyBorder="1"/>
    <xf numFmtId="0" fontId="77" fillId="0" borderId="0" xfId="23" applyFont="1"/>
    <xf numFmtId="0" fontId="77" fillId="0" borderId="0" xfId="23" applyFont="1" applyAlignment="1">
      <alignment horizontal="right"/>
    </xf>
    <xf numFmtId="0" fontId="74" fillId="0" borderId="0" xfId="23" applyFont="1" applyAlignment="1">
      <alignment horizontal="right"/>
    </xf>
    <xf numFmtId="39" fontId="77" fillId="0" borderId="0" xfId="0" applyNumberFormat="1" applyFont="1" applyAlignment="1" applyProtection="1">
      <alignment horizontal="right"/>
    </xf>
    <xf numFmtId="0" fontId="74" fillId="0" borderId="21" xfId="23" applyFont="1" applyBorder="1"/>
    <xf numFmtId="0" fontId="74" fillId="0" borderId="0" xfId="23" applyFont="1" applyBorder="1"/>
    <xf numFmtId="0" fontId="77" fillId="0" borderId="39" xfId="23" applyFont="1" applyBorder="1" applyAlignment="1">
      <alignment horizontal="left"/>
    </xf>
    <xf numFmtId="168" fontId="74" fillId="0" borderId="54" xfId="44" applyNumberFormat="1" applyFont="1" applyFill="1" applyBorder="1"/>
    <xf numFmtId="0" fontId="43" fillId="0" borderId="0" xfId="24" quotePrefix="1" applyFont="1" applyFill="1" applyBorder="1"/>
    <xf numFmtId="0" fontId="43" fillId="0" borderId="0" xfId="24" quotePrefix="1" applyFont="1" applyFill="1" applyAlignment="1">
      <alignment horizontal="center"/>
    </xf>
    <xf numFmtId="37" fontId="48" fillId="0" borderId="0" xfId="0" applyNumberFormat="1" applyFont="1" applyFill="1" applyBorder="1"/>
    <xf numFmtId="0" fontId="48" fillId="0" borderId="0" xfId="0" applyFont="1" applyFill="1" applyBorder="1"/>
    <xf numFmtId="41" fontId="43" fillId="0" borderId="0" xfId="34" applyNumberFormat="1" applyFont="1" applyBorder="1"/>
    <xf numFmtId="41" fontId="43" fillId="0" borderId="0" xfId="2" applyFont="1" applyFill="1" applyBorder="1" applyAlignment="1">
      <alignment horizontal="center"/>
    </xf>
    <xf numFmtId="169" fontId="43" fillId="0" borderId="0" xfId="0" applyNumberFormat="1" applyFont="1" applyFill="1" applyBorder="1"/>
    <xf numFmtId="168" fontId="43" fillId="0" borderId="0" xfId="0" applyNumberFormat="1" applyFont="1" applyFill="1" applyBorder="1" applyAlignment="1">
      <alignment horizontal="left" indent="4"/>
    </xf>
    <xf numFmtId="168" fontId="111" fillId="0" borderId="0" xfId="44" applyNumberFormat="1" applyFont="1" applyFill="1"/>
    <xf numFmtId="168" fontId="111" fillId="0" borderId="0" xfId="44" applyNumberFormat="1" applyFont="1" applyFill="1" applyBorder="1"/>
    <xf numFmtId="168" fontId="72" fillId="0" borderId="35" xfId="44" applyNumberFormat="1" applyFont="1" applyFill="1" applyBorder="1"/>
    <xf numFmtId="168" fontId="111" fillId="0" borderId="35" xfId="44" applyNumberFormat="1" applyFont="1" applyFill="1" applyBorder="1"/>
    <xf numFmtId="168" fontId="72" fillId="0" borderId="47" xfId="44" applyNumberFormat="1" applyFont="1" applyFill="1" applyBorder="1"/>
    <xf numFmtId="42" fontId="43" fillId="0" borderId="22" xfId="40" applyNumberFormat="1" applyFont="1" applyFill="1" applyBorder="1" applyAlignment="1"/>
    <xf numFmtId="42" fontId="43" fillId="0" borderId="0" xfId="7" applyFont="1" applyAlignment="1">
      <alignment horizontal="center"/>
    </xf>
    <xf numFmtId="5" fontId="17" fillId="0" borderId="0" xfId="52" applyNumberFormat="1" applyFont="1"/>
    <xf numFmtId="176" fontId="42" fillId="0" borderId="0" xfId="0" applyNumberFormat="1" applyFont="1" applyFill="1" applyBorder="1" applyAlignment="1" applyProtection="1">
      <alignment horizontal="center"/>
    </xf>
    <xf numFmtId="0" fontId="43" fillId="0" borderId="47" xfId="0" applyFont="1" applyFill="1" applyBorder="1" applyAlignment="1">
      <alignment horizontal="left" wrapText="1"/>
    </xf>
    <xf numFmtId="0" fontId="42" fillId="0" borderId="47" xfId="0" applyFont="1" applyFill="1" applyBorder="1" applyAlignment="1">
      <alignment horizontal="left" wrapText="1"/>
    </xf>
    <xf numFmtId="0" fontId="43" fillId="0" borderId="47" xfId="0" applyFont="1" applyFill="1" applyBorder="1"/>
    <xf numFmtId="0" fontId="42" fillId="0" borderId="0" xfId="0" applyFont="1" applyFill="1" applyAlignment="1" applyProtection="1">
      <alignment horizontal="right"/>
    </xf>
    <xf numFmtId="0" fontId="42" fillId="0" borderId="0" xfId="0" applyFont="1" applyFill="1" applyAlignment="1" applyProtection="1">
      <alignment horizontal="left"/>
    </xf>
    <xf numFmtId="0" fontId="72" fillId="0" borderId="0" xfId="0" applyFont="1" applyBorder="1" applyAlignment="1">
      <alignment horizontal="center" wrapText="1"/>
    </xf>
    <xf numFmtId="43" fontId="43" fillId="0" borderId="0" xfId="18" applyNumberFormat="1" applyFont="1" applyFill="1" applyBorder="1"/>
    <xf numFmtId="43" fontId="43" fillId="0" borderId="0" xfId="18" applyNumberFormat="1" applyFont="1" applyBorder="1"/>
    <xf numFmtId="0" fontId="2" fillId="0" borderId="0" xfId="18" applyBorder="1"/>
    <xf numFmtId="168" fontId="43" fillId="0" borderId="0" xfId="18" applyNumberFormat="1" applyFont="1" applyBorder="1"/>
    <xf numFmtId="168" fontId="43" fillId="0" borderId="13" xfId="18" applyNumberFormat="1" applyFont="1" applyBorder="1"/>
    <xf numFmtId="168" fontId="43" fillId="0" borderId="0" xfId="18" applyNumberFormat="1" applyFont="1"/>
    <xf numFmtId="41" fontId="72" fillId="0" borderId="0" xfId="7" applyNumberFormat="1" applyFont="1" applyFill="1" applyAlignment="1"/>
    <xf numFmtId="41" fontId="42" fillId="0" borderId="52" xfId="2" quotePrefix="1" applyNumberFormat="1" applyFont="1" applyFill="1" applyBorder="1" applyAlignment="1">
      <alignment horizontal="center"/>
    </xf>
    <xf numFmtId="182" fontId="43" fillId="0" borderId="0" xfId="0" applyNumberFormat="1" applyFont="1" applyFill="1" applyAlignment="1"/>
    <xf numFmtId="182" fontId="43" fillId="0" borderId="0" xfId="0" quotePrefix="1" applyNumberFormat="1" applyFont="1" applyFill="1" applyAlignment="1"/>
    <xf numFmtId="182" fontId="43" fillId="0" borderId="0" xfId="2" quotePrefix="1" applyNumberFormat="1" applyFont="1" applyFill="1" applyAlignment="1"/>
    <xf numFmtId="182" fontId="43" fillId="0" borderId="0" xfId="7" applyNumberFormat="1" applyFont="1" applyFill="1" applyAlignment="1"/>
    <xf numFmtId="0" fontId="72" fillId="0" borderId="0" xfId="183" applyFont="1" applyFill="1" applyAlignment="1">
      <alignment horizontal="right"/>
    </xf>
    <xf numFmtId="0" fontId="72" fillId="0" borderId="0" xfId="183" applyFont="1" applyFill="1"/>
    <xf numFmtId="0" fontId="72" fillId="0" borderId="0" xfId="183" applyFont="1" applyFill="1" applyAlignment="1">
      <alignment horizontal="left"/>
    </xf>
    <xf numFmtId="0" fontId="72" fillId="0" borderId="0" xfId="183" applyFont="1" applyFill="1" applyBorder="1" applyAlignment="1">
      <alignment horizontal="fill"/>
    </xf>
    <xf numFmtId="176" fontId="72" fillId="0" borderId="0" xfId="183" applyNumberFormat="1" applyFont="1" applyFill="1"/>
    <xf numFmtId="176" fontId="72" fillId="0" borderId="0" xfId="183" applyNumberFormat="1" applyFont="1" applyFill="1" applyAlignment="1">
      <alignment horizontal="right"/>
    </xf>
    <xf numFmtId="176" fontId="72" fillId="0" borderId="0" xfId="183" applyNumberFormat="1" applyFont="1" applyFill="1" applyAlignment="1">
      <alignment horizontal="center"/>
    </xf>
    <xf numFmtId="0" fontId="72" fillId="0" borderId="0" xfId="183" applyFont="1" applyFill="1" applyBorder="1"/>
    <xf numFmtId="0" fontId="72" fillId="0" borderId="0" xfId="183" applyFont="1" applyFill="1" applyBorder="1" applyAlignment="1">
      <alignment horizontal="center"/>
    </xf>
    <xf numFmtId="10" fontId="72" fillId="0" borderId="0" xfId="37" applyNumberFormat="1" applyFont="1" applyFill="1" applyBorder="1" applyAlignment="1">
      <alignment horizontal="center"/>
    </xf>
    <xf numFmtId="0" fontId="78" fillId="0" borderId="0" xfId="183" applyFont="1" applyFill="1"/>
    <xf numFmtId="41" fontId="72" fillId="0" borderId="0" xfId="183" applyNumberFormat="1" applyFont="1" applyFill="1"/>
    <xf numFmtId="10" fontId="72" fillId="0" borderId="0" xfId="183" applyNumberFormat="1" applyFont="1" applyFill="1" applyAlignment="1">
      <alignment horizontal="center"/>
    </xf>
    <xf numFmtId="38" fontId="72" fillId="0" borderId="0" xfId="184" applyNumberFormat="1" applyFont="1" applyFill="1"/>
    <xf numFmtId="5" fontId="72" fillId="0" borderId="0" xfId="183" applyNumberFormat="1" applyFont="1" applyFill="1"/>
    <xf numFmtId="5" fontId="72" fillId="0" borderId="22" xfId="183" applyNumberFormat="1" applyFont="1" applyFill="1" applyBorder="1"/>
    <xf numFmtId="41" fontId="72" fillId="0" borderId="22" xfId="183" applyNumberFormat="1" applyFont="1" applyFill="1" applyBorder="1"/>
    <xf numFmtId="42" fontId="72" fillId="0" borderId="0" xfId="7" applyFont="1" applyBorder="1" applyAlignment="1"/>
    <xf numFmtId="10" fontId="72" fillId="0" borderId="0" xfId="37" applyNumberFormat="1" applyFont="1" applyBorder="1"/>
    <xf numFmtId="0" fontId="72" fillId="0" borderId="0" xfId="0" quotePrefix="1" applyFont="1" applyBorder="1"/>
    <xf numFmtId="0" fontId="72" fillId="0" borderId="0" xfId="0" quotePrefix="1" applyFont="1" applyBorder="1" applyAlignment="1">
      <alignment horizontal="center"/>
    </xf>
    <xf numFmtId="0" fontId="73" fillId="0" borderId="0" xfId="138" applyFont="1"/>
    <xf numFmtId="41" fontId="43" fillId="0" borderId="0" xfId="25" quotePrefix="1" applyNumberFormat="1" applyFont="1" applyFill="1" applyBorder="1" applyAlignment="1">
      <alignment horizontal="right"/>
    </xf>
    <xf numFmtId="42" fontId="43" fillId="0" borderId="34" xfId="187" applyNumberFormat="1" applyFont="1" applyFill="1" applyBorder="1" applyAlignment="1">
      <alignment horizontal="right"/>
    </xf>
    <xf numFmtId="10" fontId="121" fillId="0" borderId="0" xfId="37" applyNumberFormat="1" applyFont="1" applyFill="1"/>
    <xf numFmtId="0" fontId="43" fillId="0" borderId="0" xfId="25" applyFont="1" applyFill="1" applyBorder="1" applyAlignment="1">
      <alignment horizontal="right"/>
    </xf>
    <xf numFmtId="0" fontId="43" fillId="0" borderId="0" xfId="25" applyFont="1" applyFill="1" applyAlignment="1">
      <alignment horizontal="right" wrapText="1"/>
    </xf>
    <xf numFmtId="7" fontId="43" fillId="0" borderId="0" xfId="25" quotePrefix="1" applyNumberFormat="1" applyFont="1" applyFill="1" applyBorder="1" applyAlignment="1">
      <alignment horizontal="right" wrapText="1"/>
    </xf>
    <xf numFmtId="42" fontId="43" fillId="0" borderId="0" xfId="187" applyNumberFormat="1" applyFont="1" applyFill="1" applyBorder="1" applyAlignment="1">
      <alignment horizontal="right"/>
    </xf>
    <xf numFmtId="178" fontId="43" fillId="0" borderId="0" xfId="37" applyNumberFormat="1" applyFont="1" applyFill="1"/>
    <xf numFmtId="0" fontId="42" fillId="0" borderId="52" xfId="0" applyFont="1" applyBorder="1" applyAlignment="1">
      <alignment horizontal="center" wrapText="1"/>
    </xf>
    <xf numFmtId="0" fontId="72" fillId="0" borderId="0" xfId="0" applyFont="1" applyBorder="1" applyAlignment="1">
      <alignment horizontal="center" wrapText="1"/>
    </xf>
    <xf numFmtId="0" fontId="72" fillId="0" borderId="0" xfId="183" applyFont="1" applyFill="1" applyAlignment="1">
      <alignment horizontal="center"/>
    </xf>
    <xf numFmtId="0" fontId="42" fillId="0" borderId="0" xfId="15" applyFont="1" applyAlignment="1">
      <alignment horizontal="center"/>
    </xf>
    <xf numFmtId="49" fontId="42" fillId="0" borderId="0" xfId="2" applyNumberFormat="1" applyFont="1" applyAlignment="1">
      <alignment horizontal="center"/>
    </xf>
    <xf numFmtId="49" fontId="42" fillId="0" borderId="0" xfId="2" quotePrefix="1" applyNumberFormat="1" applyFont="1" applyAlignment="1">
      <alignment horizontal="center"/>
    </xf>
    <xf numFmtId="42" fontId="42" fillId="0" borderId="0" xfId="7" quotePrefix="1" applyFont="1" applyAlignment="1">
      <alignment horizontal="center"/>
    </xf>
    <xf numFmtId="41" fontId="42" fillId="0" borderId="0" xfId="2" quotePrefix="1" applyFont="1" applyAlignment="1">
      <alignment horizontal="center"/>
    </xf>
    <xf numFmtId="37" fontId="42" fillId="0" borderId="0" xfId="0" applyNumberFormat="1" applyFont="1" applyAlignment="1" applyProtection="1">
      <alignment horizontal="center"/>
    </xf>
    <xf numFmtId="42" fontId="42" fillId="0" borderId="54" xfId="7" applyFont="1" applyFill="1" applyBorder="1" applyAlignment="1"/>
    <xf numFmtId="42" fontId="42" fillId="0" borderId="54" xfId="7" applyFont="1" applyFill="1" applyBorder="1" applyAlignment="1">
      <alignment horizontal="center"/>
    </xf>
    <xf numFmtId="171" fontId="42" fillId="0" borderId="54" xfId="2" applyNumberFormat="1" applyFont="1" applyFill="1" applyBorder="1" applyAlignment="1">
      <alignment horizontal="center"/>
    </xf>
    <xf numFmtId="171" fontId="42" fillId="0" borderId="58" xfId="2" applyNumberFormat="1" applyFont="1" applyFill="1" applyBorder="1" applyAlignment="1"/>
    <xf numFmtId="0" fontId="43" fillId="0" borderId="0" xfId="48" quotePrefix="1" applyFont="1" applyFill="1"/>
    <xf numFmtId="0" fontId="118" fillId="0" borderId="41" xfId="0" applyFont="1" applyFill="1" applyBorder="1" applyAlignment="1">
      <alignment horizontal="justify"/>
    </xf>
    <xf numFmtId="42" fontId="72" fillId="0" borderId="61" xfId="7" applyFont="1" applyFill="1" applyBorder="1" applyAlignment="1"/>
    <xf numFmtId="42" fontId="72" fillId="0" borderId="47" xfId="7" applyFont="1" applyFill="1" applyBorder="1" applyAlignment="1"/>
    <xf numFmtId="42" fontId="72" fillId="0" borderId="0" xfId="7" applyFont="1" applyFill="1" applyBorder="1" applyAlignment="1"/>
    <xf numFmtId="41" fontId="72" fillId="12" borderId="0" xfId="0" applyNumberFormat="1" applyFont="1" applyFill="1"/>
    <xf numFmtId="0" fontId="72" fillId="0" borderId="0" xfId="0" applyFont="1" applyFill="1" applyAlignment="1">
      <alignment horizontal="center" wrapText="1"/>
    </xf>
    <xf numFmtId="171" fontId="43" fillId="0" borderId="54" xfId="2" applyNumberFormat="1" applyFont="1" applyFill="1" applyBorder="1" applyAlignment="1"/>
    <xf numFmtId="0" fontId="42" fillId="0" borderId="1" xfId="0" applyFont="1" applyFill="1" applyBorder="1" applyAlignment="1">
      <alignment wrapText="1"/>
    </xf>
    <xf numFmtId="41" fontId="122" fillId="0" borderId="0" xfId="2" quotePrefix="1" applyFont="1" applyFill="1" applyAlignment="1">
      <alignment horizontal="left"/>
    </xf>
    <xf numFmtId="0" fontId="56" fillId="0" borderId="0" xfId="0" quotePrefix="1" applyFont="1" applyFill="1" applyAlignment="1">
      <alignment horizontal="left" wrapText="1"/>
    </xf>
    <xf numFmtId="0" fontId="56" fillId="0" borderId="0" xfId="0" quotePrefix="1" applyFont="1" applyFill="1" applyAlignment="1">
      <alignment horizontal="left"/>
    </xf>
    <xf numFmtId="41" fontId="42" fillId="0" borderId="0" xfId="7" applyNumberFormat="1" applyFont="1" applyFill="1" applyBorder="1" applyAlignment="1"/>
    <xf numFmtId="171" fontId="42" fillId="0" borderId="0" xfId="2" applyNumberFormat="1" applyFont="1" applyFill="1" applyBorder="1" applyAlignment="1"/>
    <xf numFmtId="41" fontId="56" fillId="0" borderId="0" xfId="0" applyNumberFormat="1" applyFont="1" applyFill="1" applyBorder="1"/>
    <xf numFmtId="41" fontId="56" fillId="0" borderId="0" xfId="0" applyNumberFormat="1" applyFont="1" applyFill="1"/>
    <xf numFmtId="37" fontId="72" fillId="0" borderId="0" xfId="183" applyNumberFormat="1" applyFont="1" applyFill="1" applyAlignment="1">
      <alignment horizontal="center"/>
    </xf>
    <xf numFmtId="9" fontId="72" fillId="0" borderId="0" xfId="183" applyNumberFormat="1" applyFont="1" applyFill="1"/>
    <xf numFmtId="206" fontId="72" fillId="0" borderId="0" xfId="183" applyNumberFormat="1" applyFont="1" applyFill="1" applyAlignment="1">
      <alignment horizontal="left"/>
    </xf>
    <xf numFmtId="0" fontId="72" fillId="0" borderId="54" xfId="183" applyFont="1" applyFill="1" applyBorder="1" applyAlignment="1">
      <alignment horizontal="fill"/>
    </xf>
    <xf numFmtId="0" fontId="72" fillId="0" borderId="54" xfId="183" applyFont="1" applyFill="1" applyBorder="1" applyAlignment="1">
      <alignment horizontal="right"/>
    </xf>
    <xf numFmtId="0" fontId="72" fillId="0" borderId="54" xfId="183" applyFont="1" applyFill="1" applyBorder="1" applyAlignment="1">
      <alignment horizontal="center"/>
    </xf>
    <xf numFmtId="0" fontId="72" fillId="0" borderId="54" xfId="183" applyFont="1" applyFill="1" applyBorder="1"/>
    <xf numFmtId="0" fontId="72" fillId="0" borderId="54" xfId="183" applyFont="1" applyFill="1" applyBorder="1" applyAlignment="1">
      <alignment horizontal="center" wrapText="1"/>
    </xf>
    <xf numFmtId="42" fontId="72" fillId="0" borderId="22" xfId="7" applyFont="1" applyBorder="1" applyAlignment="1"/>
    <xf numFmtId="5" fontId="72" fillId="0" borderId="22" xfId="7" applyNumberFormat="1" applyFont="1" applyBorder="1" applyAlignment="1"/>
    <xf numFmtId="41" fontId="72" fillId="0" borderId="22" xfId="7" applyNumberFormat="1" applyFont="1" applyBorder="1" applyAlignment="1"/>
    <xf numFmtId="0" fontId="42" fillId="0" borderId="34" xfId="15" applyFont="1" applyBorder="1"/>
    <xf numFmtId="3" fontId="43" fillId="0" borderId="0" xfId="15" applyNumberFormat="1" applyFont="1"/>
    <xf numFmtId="0" fontId="43" fillId="0" borderId="0" xfId="0" applyNumberFormat="1" applyFont="1" applyFill="1" applyAlignment="1">
      <alignment horizontal="left"/>
    </xf>
    <xf numFmtId="37" fontId="72" fillId="0" borderId="54" xfId="0" applyNumberFormat="1" applyFont="1" applyBorder="1" applyProtection="1"/>
    <xf numFmtId="41" fontId="42" fillId="0" borderId="54" xfId="2" applyFont="1" applyFill="1" applyBorder="1" applyAlignment="1"/>
    <xf numFmtId="41" fontId="42" fillId="0" borderId="13" xfId="2" applyFont="1" applyFill="1" applyBorder="1" applyAlignment="1"/>
    <xf numFmtId="42" fontId="43" fillId="0" borderId="22" xfId="25" applyNumberFormat="1" applyFont="1" applyFill="1" applyBorder="1" applyAlignment="1">
      <alignment horizontal="right"/>
    </xf>
    <xf numFmtId="0" fontId="123" fillId="0" borderId="0" xfId="0" applyFont="1"/>
    <xf numFmtId="187" fontId="43" fillId="0" borderId="0" xfId="4" applyNumberFormat="1" applyFont="1" applyFill="1"/>
    <xf numFmtId="0" fontId="16" fillId="0" borderId="0" xfId="0" quotePrefix="1" applyFont="1" applyFill="1" applyAlignment="1" applyProtection="1">
      <alignment horizontal="right"/>
    </xf>
    <xf numFmtId="0" fontId="16" fillId="0" borderId="0" xfId="0" quotePrefix="1" applyFont="1" applyFill="1" applyAlignment="1">
      <alignment horizontal="left"/>
    </xf>
    <xf numFmtId="0" fontId="31" fillId="0" borderId="0" xfId="0" applyFont="1" applyBorder="1" applyAlignment="1">
      <alignment horizontal="left"/>
    </xf>
    <xf numFmtId="0" fontId="42" fillId="0" borderId="0" xfId="0" quotePrefix="1" applyFont="1" applyAlignment="1">
      <alignment horizontal="left"/>
    </xf>
    <xf numFmtId="49" fontId="42" fillId="0" borderId="0" xfId="0" applyNumberFormat="1" applyFont="1" applyFill="1" applyBorder="1" applyAlignment="1">
      <alignment horizontal="left" wrapText="1" indent="1"/>
    </xf>
    <xf numFmtId="0" fontId="43" fillId="0" borderId="0" xfId="24" quotePrefix="1" applyFont="1" applyFill="1" applyBorder="1" applyAlignment="1">
      <alignment horizontal="center"/>
    </xf>
    <xf numFmtId="0" fontId="124" fillId="0" borderId="0" xfId="180" applyFont="1" applyFill="1"/>
    <xf numFmtId="0" fontId="72" fillId="0" borderId="0" xfId="179" applyNumberFormat="1" applyFont="1" applyFill="1" applyAlignment="1">
      <alignment wrapText="1"/>
    </xf>
    <xf numFmtId="0" fontId="17" fillId="0" borderId="0" xfId="0" applyFont="1" applyFill="1" applyAlignment="1">
      <alignment wrapText="1"/>
    </xf>
    <xf numFmtId="0" fontId="124" fillId="0" borderId="0" xfId="0" applyFont="1" applyFill="1"/>
    <xf numFmtId="0" fontId="82" fillId="0" borderId="0" xfId="180" applyNumberFormat="1" applyFont="1" applyFill="1" applyAlignment="1">
      <alignment wrapText="1"/>
    </xf>
    <xf numFmtId="0" fontId="124" fillId="0" borderId="0" xfId="180" applyFont="1" applyFill="1" applyAlignment="1">
      <alignment wrapText="1"/>
    </xf>
    <xf numFmtId="0" fontId="72" fillId="0" borderId="0" xfId="0" applyFont="1" applyAlignment="1">
      <alignment horizontal="center"/>
    </xf>
    <xf numFmtId="0" fontId="43" fillId="0" borderId="0" xfId="17" applyFont="1" applyFill="1" applyAlignment="1">
      <alignment horizontal="center"/>
    </xf>
    <xf numFmtId="0" fontId="43" fillId="0" borderId="0" xfId="17" applyFont="1" applyFill="1"/>
    <xf numFmtId="0" fontId="43" fillId="0" borderId="0" xfId="17" applyFont="1" applyFill="1" applyAlignment="1">
      <alignment horizontal="left" wrapText="1"/>
    </xf>
    <xf numFmtId="0" fontId="43" fillId="0" borderId="0" xfId="17" quotePrefix="1" applyFont="1" applyFill="1" applyAlignment="1">
      <alignment horizontal="left"/>
    </xf>
    <xf numFmtId="0" fontId="43" fillId="0" borderId="0" xfId="17" quotePrefix="1" applyFont="1" applyFill="1" applyAlignment="1">
      <alignment horizontal="left" wrapText="1"/>
    </xf>
    <xf numFmtId="0" fontId="43" fillId="0" borderId="0" xfId="17" applyFont="1" applyFill="1" applyAlignment="1">
      <alignment wrapText="1"/>
    </xf>
    <xf numFmtId="42" fontId="43" fillId="0" borderId="0" xfId="17" applyNumberFormat="1" applyFont="1" applyFill="1" applyBorder="1" applyProtection="1"/>
    <xf numFmtId="42" fontId="82" fillId="0" borderId="22" xfId="17" applyNumberFormat="1" applyFont="1" applyFill="1" applyBorder="1" applyProtection="1"/>
    <xf numFmtId="42" fontId="72" fillId="0" borderId="0" xfId="7" applyFont="1" applyAlignment="1">
      <alignment horizontal="center"/>
    </xf>
    <xf numFmtId="42" fontId="85" fillId="0" borderId="0" xfId="7" applyFont="1" applyAlignment="1">
      <alignment horizontal="center"/>
    </xf>
    <xf numFmtId="42" fontId="86" fillId="0" borderId="0" xfId="7" applyFont="1" applyAlignment="1"/>
    <xf numFmtId="0" fontId="125" fillId="0" borderId="0" xfId="0" applyFont="1" applyAlignment="1">
      <alignment horizontal="left"/>
    </xf>
    <xf numFmtId="0" fontId="125" fillId="0" borderId="0" xfId="0" applyFont="1"/>
    <xf numFmtId="207" fontId="125" fillId="0" borderId="0" xfId="0" applyNumberFormat="1" applyFont="1"/>
    <xf numFmtId="14" fontId="125" fillId="0" borderId="0" xfId="0" applyNumberFormat="1" applyFont="1"/>
    <xf numFmtId="0" fontId="125" fillId="0" borderId="0" xfId="0" applyFont="1" applyAlignment="1">
      <alignment horizontal="fill"/>
    </xf>
    <xf numFmtId="207" fontId="125" fillId="0" borderId="0" xfId="0" applyNumberFormat="1" applyFont="1" applyAlignment="1">
      <alignment horizontal="fill"/>
    </xf>
    <xf numFmtId="0" fontId="125" fillId="0" borderId="0" xfId="0" applyFont="1" applyAlignment="1">
      <alignment horizontal="center"/>
    </xf>
    <xf numFmtId="207" fontId="125" fillId="0" borderId="0" xfId="0" applyNumberFormat="1" applyFont="1" applyAlignment="1">
      <alignment horizontal="center"/>
    </xf>
    <xf numFmtId="0" fontId="125" fillId="0" borderId="0" xfId="0" applyFont="1" applyAlignment="1">
      <alignment horizontal="centerContinuous"/>
    </xf>
    <xf numFmtId="0" fontId="125" fillId="0" borderId="54" xfId="0" applyFont="1" applyBorder="1" applyAlignment="1">
      <alignment horizontal="center"/>
    </xf>
    <xf numFmtId="17" fontId="125" fillId="0" borderId="0" xfId="0" applyNumberFormat="1" applyFont="1"/>
    <xf numFmtId="205" fontId="125" fillId="0" borderId="0" xfId="0" applyNumberFormat="1" applyFont="1"/>
    <xf numFmtId="3" fontId="125" fillId="0" borderId="0" xfId="0" applyNumberFormat="1" applyFont="1" applyAlignment="1">
      <alignment horizontal="fill"/>
    </xf>
    <xf numFmtId="208" fontId="125" fillId="0" borderId="0" xfId="0" applyNumberFormat="1" applyFont="1"/>
    <xf numFmtId="208" fontId="125" fillId="0" borderId="0" xfId="0" applyNumberFormat="1" applyFont="1" applyAlignment="1">
      <alignment horizontal="fill"/>
    </xf>
    <xf numFmtId="208" fontId="125" fillId="0" borderId="0" xfId="0" applyNumberFormat="1" applyFont="1" applyAlignment="1">
      <alignment horizontal="center"/>
    </xf>
    <xf numFmtId="17" fontId="125" fillId="0" borderId="54" xfId="0" applyNumberFormat="1" applyFont="1" applyBorder="1"/>
    <xf numFmtId="3" fontId="125" fillId="0" borderId="54" xfId="0" applyNumberFormat="1" applyFont="1" applyBorder="1" applyAlignment="1">
      <alignment horizontal="right"/>
    </xf>
    <xf numFmtId="17" fontId="125" fillId="0" borderId="54" xfId="0" applyNumberFormat="1" applyFont="1" applyBorder="1" applyAlignment="1">
      <alignment horizontal="center"/>
    </xf>
    <xf numFmtId="0" fontId="126" fillId="0" borderId="0" xfId="0" applyFont="1"/>
    <xf numFmtId="208" fontId="126" fillId="0" borderId="0" xfId="0" applyNumberFormat="1" applyFont="1"/>
    <xf numFmtId="0" fontId="125" fillId="0" borderId="54" xfId="0" applyFont="1" applyBorder="1"/>
    <xf numFmtId="40" fontId="127" fillId="0" borderId="0" xfId="85" applyFont="1" applyAlignment="1">
      <alignment horizontal="center"/>
    </xf>
    <xf numFmtId="1" fontId="125" fillId="0" borderId="0" xfId="0" applyNumberFormat="1" applyFont="1" applyAlignment="1">
      <alignment horizontal="center"/>
    </xf>
    <xf numFmtId="0" fontId="125" fillId="0" borderId="0" xfId="0" quotePrefix="1" applyFont="1" applyAlignment="1">
      <alignment horizontal="left"/>
    </xf>
    <xf numFmtId="38" fontId="128" fillId="0" borderId="0" xfId="85" applyNumberFormat="1" applyFont="1" applyAlignment="1"/>
    <xf numFmtId="0" fontId="125" fillId="0" borderId="0" xfId="0" applyFont="1" applyAlignment="1">
      <alignment horizontal="left" indent="2"/>
    </xf>
    <xf numFmtId="40" fontId="128" fillId="0" borderId="0" xfId="85" applyNumberFormat="1" applyFont="1" applyAlignment="1"/>
    <xf numFmtId="41" fontId="125" fillId="0" borderId="0" xfId="85" applyNumberFormat="1" applyFont="1" applyAlignment="1"/>
    <xf numFmtId="40" fontId="125" fillId="0" borderId="0" xfId="85" applyNumberFormat="1" applyFont="1" applyAlignment="1"/>
    <xf numFmtId="41" fontId="127" fillId="0" borderId="0" xfId="85" applyNumberFormat="1" applyFont="1" applyAlignment="1"/>
    <xf numFmtId="0" fontId="125" fillId="0" borderId="0" xfId="0" quotePrefix="1" applyFont="1" applyAlignment="1">
      <alignment horizontal="center"/>
    </xf>
    <xf numFmtId="10" fontId="128" fillId="0" borderId="0" xfId="85" applyNumberFormat="1" applyFont="1" applyAlignment="1"/>
    <xf numFmtId="10" fontId="128" fillId="0" borderId="0" xfId="0" applyNumberFormat="1" applyFont="1"/>
    <xf numFmtId="1" fontId="125" fillId="0" borderId="0" xfId="0" applyNumberFormat="1" applyFont="1"/>
    <xf numFmtId="0" fontId="129" fillId="0" borderId="0" xfId="0" applyFont="1" applyProtection="1">
      <protection locked="0"/>
    </xf>
    <xf numFmtId="43" fontId="125" fillId="0" borderId="0" xfId="0" applyNumberFormat="1" applyFont="1"/>
    <xf numFmtId="43" fontId="125" fillId="0" borderId="0" xfId="0" applyNumberFormat="1" applyFont="1" applyAlignment="1"/>
    <xf numFmtId="0" fontId="130" fillId="0" borderId="0" xfId="0" applyFont="1"/>
    <xf numFmtId="3" fontId="125" fillId="0" borderId="0" xfId="0" applyNumberFormat="1" applyFont="1"/>
    <xf numFmtId="196" fontId="125" fillId="0" borderId="0" xfId="0" applyNumberFormat="1" applyFont="1"/>
    <xf numFmtId="9" fontId="125" fillId="0" borderId="0" xfId="0" applyNumberFormat="1" applyFont="1"/>
    <xf numFmtId="10" fontId="125" fillId="0" borderId="0" xfId="0" applyNumberFormat="1" applyFont="1"/>
    <xf numFmtId="0" fontId="0" fillId="0" borderId="0" xfId="0" applyFont="1"/>
    <xf numFmtId="0" fontId="125" fillId="0" borderId="0" xfId="0" applyFont="1" applyBorder="1" applyAlignment="1">
      <alignment horizontal="center"/>
    </xf>
    <xf numFmtId="0" fontId="12" fillId="0" borderId="0" xfId="0" applyFont="1" applyFill="1" applyAlignment="1"/>
    <xf numFmtId="0" fontId="21" fillId="0" borderId="0" xfId="0" applyFont="1" applyFill="1" applyAlignment="1">
      <alignment horizontal="left"/>
    </xf>
    <xf numFmtId="0" fontId="16" fillId="0" borderId="0" xfId="0" applyFont="1" applyAlignment="1"/>
    <xf numFmtId="0" fontId="16" fillId="0" borderId="0" xfId="0" applyFont="1" applyAlignment="1">
      <alignment horizontal="left"/>
    </xf>
    <xf numFmtId="0" fontId="131" fillId="0" borderId="0" xfId="0" applyFont="1"/>
    <xf numFmtId="0" fontId="21" fillId="0" borderId="0" xfId="0" applyFont="1"/>
    <xf numFmtId="0" fontId="132" fillId="0" borderId="0" xfId="0" applyFont="1"/>
    <xf numFmtId="37" fontId="16" fillId="0" borderId="0" xfId="0" applyNumberFormat="1" applyFont="1"/>
    <xf numFmtId="0" fontId="16" fillId="0" borderId="0" xfId="0" quotePrefix="1" applyFont="1"/>
    <xf numFmtId="37" fontId="125" fillId="0" borderId="0" xfId="0" applyNumberFormat="1" applyFont="1" applyAlignment="1">
      <alignment horizontal="center"/>
    </xf>
    <xf numFmtId="37" fontId="125" fillId="0" borderId="0" xfId="0" applyNumberFormat="1" applyFont="1"/>
    <xf numFmtId="10" fontId="125" fillId="0" borderId="0" xfId="0" applyNumberFormat="1" applyFont="1" applyAlignment="1">
      <alignment horizontal="center"/>
    </xf>
    <xf numFmtId="37" fontId="125" fillId="0" borderId="0" xfId="0" applyNumberFormat="1" applyFont="1" applyAlignment="1">
      <alignment horizontal="left"/>
    </xf>
    <xf numFmtId="0" fontId="125" fillId="0" borderId="0" xfId="0" applyFont="1" applyAlignment="1">
      <alignment horizontal="right"/>
    </xf>
    <xf numFmtId="10" fontId="125" fillId="0" borderId="22" xfId="0" applyNumberFormat="1" applyFont="1" applyBorder="1" applyAlignment="1">
      <alignment horizontal="center"/>
    </xf>
    <xf numFmtId="10" fontId="125" fillId="0" borderId="0" xfId="0" applyNumberFormat="1" applyFont="1" applyBorder="1" applyAlignment="1">
      <alignment horizontal="center"/>
    </xf>
    <xf numFmtId="38" fontId="125" fillId="0" borderId="0" xfId="85" applyNumberFormat="1" applyFont="1" applyAlignment="1">
      <alignment horizontal="center"/>
    </xf>
    <xf numFmtId="0" fontId="133" fillId="0" borderId="0" xfId="0" applyFont="1"/>
    <xf numFmtId="0" fontId="133" fillId="0" borderId="0" xfId="0" applyFont="1" applyAlignment="1">
      <alignment horizontal="center"/>
    </xf>
    <xf numFmtId="176" fontId="125" fillId="0" borderId="0" xfId="0" applyNumberFormat="1" applyFont="1" applyAlignment="1">
      <alignment horizontal="center"/>
    </xf>
    <xf numFmtId="176" fontId="125" fillId="0" borderId="0" xfId="0" applyNumberFormat="1" applyFont="1"/>
    <xf numFmtId="2" fontId="125" fillId="0" borderId="0" xfId="0" applyNumberFormat="1" applyFont="1"/>
    <xf numFmtId="0" fontId="126" fillId="0" borderId="0" xfId="0" applyFont="1" applyAlignment="1">
      <alignment horizontal="left"/>
    </xf>
    <xf numFmtId="0" fontId="130" fillId="0" borderId="0" xfId="0" applyFont="1" applyAlignment="1">
      <alignment horizontal="left"/>
    </xf>
    <xf numFmtId="0" fontId="40" fillId="0" borderId="0" xfId="0" applyFont="1" applyAlignment="1">
      <alignment horizontal="left"/>
    </xf>
    <xf numFmtId="0" fontId="40" fillId="0" borderId="0" xfId="0" applyFont="1"/>
    <xf numFmtId="0" fontId="0" fillId="0" borderId="0" xfId="0" applyAlignment="1">
      <alignment wrapText="1"/>
    </xf>
    <xf numFmtId="0" fontId="0" fillId="0" borderId="0" xfId="0" applyAlignment="1">
      <alignment horizontal="center"/>
    </xf>
    <xf numFmtId="40" fontId="0" fillId="0" borderId="0" xfId="0" applyNumberFormat="1" applyAlignment="1">
      <alignment horizontal="left"/>
    </xf>
    <xf numFmtId="40" fontId="0" fillId="0" borderId="0" xfId="0" applyNumberFormat="1" applyAlignment="1"/>
    <xf numFmtId="0" fontId="0" fillId="0" borderId="0" xfId="0" applyBorder="1" applyAlignment="1">
      <alignment wrapText="1"/>
    </xf>
    <xf numFmtId="40" fontId="0" fillId="0" borderId="0" xfId="0" applyNumberFormat="1" applyBorder="1" applyAlignment="1">
      <alignment horizontal="center" wrapText="1"/>
    </xf>
    <xf numFmtId="0" fontId="0" fillId="0" borderId="3" xfId="0" applyBorder="1" applyAlignment="1">
      <alignment horizontal="center"/>
    </xf>
    <xf numFmtId="0" fontId="0" fillId="0" borderId="3" xfId="0" applyBorder="1"/>
    <xf numFmtId="40" fontId="0" fillId="0" borderId="3" xfId="0" applyNumberFormat="1" applyBorder="1" applyAlignment="1"/>
    <xf numFmtId="0" fontId="0" fillId="4" borderId="3" xfId="0" applyFill="1" applyBorder="1" applyAlignment="1">
      <alignment horizontal="center"/>
    </xf>
    <xf numFmtId="0" fontId="0" fillId="4" borderId="3" xfId="0" applyFill="1" applyBorder="1"/>
    <xf numFmtId="40" fontId="0" fillId="4" borderId="3" xfId="0" applyNumberFormat="1" applyFill="1" applyBorder="1" applyAlignment="1"/>
    <xf numFmtId="0" fontId="0" fillId="7" borderId="3" xfId="0" applyFill="1" applyBorder="1" applyAlignment="1">
      <alignment horizontal="center"/>
    </xf>
    <xf numFmtId="0" fontId="0" fillId="7" borderId="3" xfId="0" applyFill="1" applyBorder="1"/>
    <xf numFmtId="40" fontId="0" fillId="7" borderId="3" xfId="0" applyNumberFormat="1" applyFill="1" applyBorder="1" applyAlignment="1"/>
    <xf numFmtId="0" fontId="0" fillId="4" borderId="3" xfId="0" quotePrefix="1" applyFill="1" applyBorder="1" applyAlignment="1">
      <alignment horizontal="center"/>
    </xf>
    <xf numFmtId="2" fontId="0" fillId="0" borderId="0" xfId="0" applyNumberFormat="1"/>
    <xf numFmtId="2" fontId="134" fillId="0" borderId="0" xfId="0" applyNumberFormat="1" applyFont="1"/>
    <xf numFmtId="193" fontId="0" fillId="0" borderId="0" xfId="27" applyNumberFormat="1" applyFont="1"/>
    <xf numFmtId="0" fontId="0" fillId="13" borderId="3" xfId="0" applyFill="1" applyBorder="1" applyAlignment="1">
      <alignment horizontal="center"/>
    </xf>
    <xf numFmtId="0" fontId="0" fillId="13" borderId="3" xfId="0" applyFill="1" applyBorder="1"/>
    <xf numFmtId="40" fontId="0" fillId="13" borderId="3" xfId="0" applyNumberFormat="1" applyFill="1" applyBorder="1" applyAlignment="1"/>
    <xf numFmtId="0" fontId="0" fillId="13" borderId="3" xfId="0" quotePrefix="1" applyFill="1" applyBorder="1" applyAlignment="1">
      <alignment horizontal="center"/>
    </xf>
    <xf numFmtId="0" fontId="0" fillId="13" borderId="0" xfId="0" applyFill="1" applyAlignment="1">
      <alignment horizontal="center"/>
    </xf>
    <xf numFmtId="0" fontId="124" fillId="0" borderId="0" xfId="0" applyFont="1" applyFill="1" applyAlignment="1">
      <alignment wrapText="1"/>
    </xf>
    <xf numFmtId="0" fontId="43" fillId="0" borderId="0" xfId="0" applyFont="1" applyFill="1" applyAlignment="1">
      <alignment wrapText="1"/>
    </xf>
    <xf numFmtId="209" fontId="43" fillId="0" borderId="0" xfId="0" applyNumberFormat="1" applyFont="1" applyFill="1"/>
    <xf numFmtId="0" fontId="43" fillId="0" borderId="0" xfId="0" applyFont="1" applyAlignment="1">
      <alignment vertical="top" wrapText="1"/>
    </xf>
    <xf numFmtId="0" fontId="43" fillId="0" borderId="0" xfId="0" applyFont="1" applyAlignment="1">
      <alignment horizontal="center" vertical="top" wrapText="1"/>
    </xf>
    <xf numFmtId="42" fontId="43" fillId="0" borderId="22" xfId="7" applyFont="1" applyFill="1" applyBorder="1" applyAlignment="1"/>
    <xf numFmtId="41" fontId="43" fillId="0" borderId="22" xfId="0" applyNumberFormat="1" applyFont="1" applyBorder="1"/>
    <xf numFmtId="169" fontId="42" fillId="0" borderId="31" xfId="7" applyNumberFormat="1" applyFont="1" applyFill="1" applyBorder="1" applyAlignment="1"/>
    <xf numFmtId="42" fontId="42" fillId="0" borderId="58" xfId="7" applyFont="1" applyBorder="1" applyAlignment="1"/>
    <xf numFmtId="42" fontId="46" fillId="0" borderId="58" xfId="7" applyFont="1" applyBorder="1" applyAlignment="1">
      <alignment horizontal="center"/>
    </xf>
    <xf numFmtId="42" fontId="43" fillId="0" borderId="54" xfId="0" applyNumberFormat="1" applyFont="1" applyFill="1" applyBorder="1"/>
    <xf numFmtId="0" fontId="20" fillId="0" borderId="0" xfId="0" applyFont="1" applyAlignment="1">
      <alignment horizontal="center"/>
    </xf>
    <xf numFmtId="0" fontId="49" fillId="0" borderId="0" xfId="15" applyFont="1" applyAlignment="1">
      <alignment horizontal="left"/>
    </xf>
    <xf numFmtId="0" fontId="11" fillId="0" borderId="0" xfId="0" applyFont="1" applyBorder="1" applyAlignment="1"/>
    <xf numFmtId="0" fontId="31" fillId="0" borderId="0" xfId="0" applyFont="1" applyBorder="1" applyAlignment="1">
      <alignment horizontal="center"/>
    </xf>
    <xf numFmtId="0" fontId="11" fillId="0" borderId="0" xfId="0" applyFont="1" applyBorder="1" applyAlignment="1">
      <alignment horizontal="center"/>
    </xf>
    <xf numFmtId="0" fontId="42" fillId="0" borderId="0" xfId="0" quotePrefix="1" applyFont="1" applyAlignment="1">
      <alignment horizontal="justify" wrapText="1"/>
    </xf>
    <xf numFmtId="0" fontId="43" fillId="0" borderId="0" xfId="0" applyFont="1" applyAlignment="1">
      <alignment horizontal="justify" wrapText="1"/>
    </xf>
    <xf numFmtId="0" fontId="42" fillId="0" borderId="0" xfId="0" applyFont="1" applyAlignment="1">
      <alignment horizontal="left" wrapText="1"/>
    </xf>
    <xf numFmtId="0" fontId="42" fillId="0" borderId="0" xfId="0" quotePrefix="1" applyFont="1" applyFill="1" applyAlignment="1" applyProtection="1">
      <alignment horizontal="left" wrapText="1"/>
    </xf>
    <xf numFmtId="0" fontId="42" fillId="0" borderId="0" xfId="0" applyFont="1" applyFill="1" applyAlignment="1" applyProtection="1">
      <alignment horizontal="justify" wrapText="1"/>
    </xf>
    <xf numFmtId="0" fontId="43" fillId="0" borderId="0" xfId="0" applyFont="1" applyAlignment="1">
      <alignment wrapText="1"/>
    </xf>
    <xf numFmtId="0" fontId="42" fillId="0" borderId="0" xfId="0" quotePrefix="1" applyFont="1" applyFill="1" applyAlignment="1">
      <alignment horizontal="justify" wrapText="1"/>
    </xf>
    <xf numFmtId="0" fontId="0" fillId="0" borderId="0" xfId="0" applyAlignment="1">
      <alignment wrapText="1"/>
    </xf>
    <xf numFmtId="0" fontId="0" fillId="0" borderId="47" xfId="0" applyBorder="1" applyAlignment="1">
      <alignment wrapText="1"/>
    </xf>
    <xf numFmtId="0" fontId="42" fillId="0" borderId="0" xfId="0" quotePrefix="1" applyFont="1" applyFill="1" applyAlignment="1">
      <alignment horizontal="left" wrapText="1"/>
    </xf>
    <xf numFmtId="0" fontId="43" fillId="0" borderId="0" xfId="0" applyFont="1" applyFill="1" applyAlignment="1">
      <alignment horizontal="left" wrapText="1"/>
    </xf>
    <xf numFmtId="0" fontId="43" fillId="0" borderId="0" xfId="0" applyFont="1" applyFill="1" applyAlignment="1">
      <alignment horizontal="justify" wrapText="1"/>
    </xf>
    <xf numFmtId="0" fontId="42" fillId="0" borderId="0" xfId="0" applyFont="1" applyFill="1" applyAlignment="1">
      <alignment wrapText="1"/>
    </xf>
    <xf numFmtId="0" fontId="43" fillId="0" borderId="0" xfId="0" applyFont="1" applyFill="1" applyAlignment="1">
      <alignment wrapText="1"/>
    </xf>
    <xf numFmtId="0" fontId="42" fillId="0" borderId="0" xfId="0" applyFont="1" applyAlignment="1">
      <alignment horizontal="justify" wrapText="1"/>
    </xf>
    <xf numFmtId="0" fontId="42" fillId="0" borderId="0" xfId="0" quotePrefix="1" applyFont="1" applyAlignment="1">
      <alignment horizontal="left" wrapText="1"/>
    </xf>
    <xf numFmtId="0" fontId="42" fillId="0" borderId="0" xfId="0" applyFont="1" applyAlignment="1">
      <alignment wrapText="1"/>
    </xf>
    <xf numFmtId="0" fontId="42" fillId="0" borderId="0" xfId="0" applyFont="1" applyAlignment="1">
      <alignment horizontal="center"/>
    </xf>
    <xf numFmtId="41" fontId="42" fillId="0" borderId="54" xfId="2" applyFont="1" applyBorder="1" applyAlignment="1">
      <alignment horizontal="center"/>
    </xf>
    <xf numFmtId="0" fontId="73" fillId="0" borderId="0" xfId="0" applyFont="1" applyAlignment="1">
      <alignment wrapText="1"/>
    </xf>
    <xf numFmtId="0" fontId="72" fillId="0" borderId="0" xfId="0" applyFont="1" applyAlignment="1">
      <alignment wrapText="1"/>
    </xf>
    <xf numFmtId="0" fontId="56" fillId="0" borderId="0" xfId="0" applyFont="1" applyFill="1" applyAlignment="1">
      <alignment wrapText="1"/>
    </xf>
    <xf numFmtId="0" fontId="42" fillId="0" borderId="0" xfId="0" quotePrefix="1" applyFont="1" applyBorder="1" applyAlignment="1">
      <alignment horizontal="left" wrapText="1"/>
    </xf>
    <xf numFmtId="0" fontId="42" fillId="0" borderId="10" xfId="0" applyFont="1" applyBorder="1" applyAlignment="1">
      <alignment horizontal="center"/>
    </xf>
    <xf numFmtId="0" fontId="72" fillId="0" borderId="0" xfId="0" applyFont="1" applyAlignment="1"/>
    <xf numFmtId="0" fontId="72" fillId="0" borderId="54" xfId="183" applyFont="1" applyFill="1" applyBorder="1" applyAlignment="1">
      <alignment horizontal="center"/>
    </xf>
    <xf numFmtId="0" fontId="72" fillId="0" borderId="0" xfId="183" applyFont="1" applyFill="1" applyAlignment="1">
      <alignment horizontal="center"/>
    </xf>
    <xf numFmtId="10" fontId="72" fillId="0" borderId="54" xfId="37" applyNumberFormat="1" applyFont="1" applyFill="1" applyBorder="1" applyAlignment="1">
      <alignment horizontal="center"/>
    </xf>
    <xf numFmtId="176" fontId="72" fillId="0" borderId="34" xfId="183" applyNumberFormat="1" applyFont="1" applyFill="1" applyBorder="1" applyAlignment="1">
      <alignment horizontal="center"/>
    </xf>
    <xf numFmtId="176" fontId="72" fillId="0" borderId="54" xfId="183" applyNumberFormat="1" applyFont="1" applyFill="1" applyBorder="1" applyAlignment="1">
      <alignment horizontal="center"/>
    </xf>
    <xf numFmtId="0" fontId="43" fillId="0" borderId="0" xfId="0" applyFont="1" applyFill="1" applyAlignment="1">
      <alignment horizontal="left" wrapText="1" indent="1"/>
    </xf>
    <xf numFmtId="0" fontId="69" fillId="0" borderId="0" xfId="0" quotePrefix="1" applyFont="1" applyFill="1" applyAlignment="1">
      <alignment wrapText="1"/>
    </xf>
    <xf numFmtId="0" fontId="0" fillId="0" borderId="0" xfId="0" applyFont="1" applyAlignment="1">
      <alignment wrapText="1"/>
    </xf>
    <xf numFmtId="0" fontId="69" fillId="0" borderId="0" xfId="0" quotePrefix="1" applyFont="1" applyAlignment="1">
      <alignment wrapText="1"/>
    </xf>
    <xf numFmtId="0" fontId="42" fillId="0" borderId="0" xfId="0" quotePrefix="1" applyFont="1" applyAlignment="1">
      <alignment wrapText="1"/>
    </xf>
    <xf numFmtId="0" fontId="43" fillId="0" borderId="0" xfId="0" applyFont="1" applyAlignment="1"/>
    <xf numFmtId="0" fontId="43" fillId="0" borderId="0" xfId="0" applyFont="1" applyAlignment="1">
      <alignment horizontal="left" vertical="top" wrapText="1"/>
    </xf>
    <xf numFmtId="0" fontId="42" fillId="0" borderId="0" xfId="15" applyFont="1" applyAlignment="1">
      <alignment wrapText="1"/>
    </xf>
    <xf numFmtId="0" fontId="42" fillId="0" borderId="0" xfId="15" applyFont="1" applyAlignment="1">
      <alignment horizontal="left" wrapText="1"/>
    </xf>
    <xf numFmtId="0" fontId="42" fillId="0" borderId="0" xfId="15" applyFont="1" applyAlignment="1">
      <alignment horizontal="center"/>
    </xf>
    <xf numFmtId="0" fontId="42" fillId="0" borderId="0" xfId="15" applyFont="1" applyAlignment="1">
      <alignment horizontal="center" wrapText="1"/>
    </xf>
    <xf numFmtId="41" fontId="43" fillId="0" borderId="0" xfId="0" applyNumberFormat="1" applyFont="1" applyBorder="1" applyAlignment="1" applyProtection="1">
      <alignment horizontal="right"/>
    </xf>
    <xf numFmtId="0" fontId="42" fillId="0" borderId="0" xfId="16" applyFont="1" applyFill="1" applyAlignment="1">
      <alignment horizontal="left" wrapText="1"/>
    </xf>
    <xf numFmtId="0" fontId="0" fillId="0" borderId="35" xfId="0" applyBorder="1" applyAlignment="1">
      <alignment wrapText="1"/>
    </xf>
    <xf numFmtId="0" fontId="42" fillId="0" borderId="0" xfId="24" applyFont="1" applyFill="1" applyAlignment="1">
      <alignment horizontal="left" wrapText="1"/>
    </xf>
    <xf numFmtId="0" fontId="73" fillId="0" borderId="0" xfId="18" applyFont="1" applyFill="1" applyAlignment="1">
      <alignment horizontal="left" wrapText="1"/>
    </xf>
    <xf numFmtId="7" fontId="42" fillId="0" borderId="0" xfId="21" applyNumberFormat="1" applyFont="1" applyFill="1" applyBorder="1" applyAlignment="1">
      <alignment horizontal="center"/>
    </xf>
    <xf numFmtId="0" fontId="42" fillId="0" borderId="0" xfId="21" applyFont="1" applyFill="1" applyAlignment="1">
      <alignment horizontal="left" wrapText="1"/>
    </xf>
    <xf numFmtId="0" fontId="72" fillId="0" borderId="0" xfId="46" applyFont="1" applyFill="1" applyAlignment="1">
      <alignment horizontal="left" wrapText="1"/>
    </xf>
    <xf numFmtId="0" fontId="43" fillId="0" borderId="0" xfId="0" applyFont="1" applyBorder="1" applyAlignment="1">
      <alignment horizontal="left" vertical="top" wrapText="1"/>
    </xf>
    <xf numFmtId="0" fontId="43" fillId="0" borderId="0" xfId="0" applyFont="1" applyBorder="1" applyAlignment="1">
      <alignment horizontal="left" wrapText="1"/>
    </xf>
    <xf numFmtId="0" fontId="125" fillId="0" borderId="0" xfId="0" applyFont="1" applyAlignment="1">
      <alignment horizontal="center"/>
    </xf>
    <xf numFmtId="39" fontId="42" fillId="0" borderId="0" xfId="19" applyNumberFormat="1" applyFont="1" applyAlignment="1">
      <alignment horizontal="center"/>
    </xf>
    <xf numFmtId="0" fontId="16" fillId="0" borderId="54" xfId="42" applyFont="1" applyBorder="1" applyAlignment="1">
      <alignment horizontal="center"/>
    </xf>
    <xf numFmtId="0" fontId="16" fillId="0" borderId="0" xfId="42" applyFont="1" applyAlignment="1">
      <alignment horizontal="center"/>
    </xf>
    <xf numFmtId="0" fontId="16" fillId="0" borderId="0" xfId="42" quotePrefix="1" applyFont="1" applyAlignment="1">
      <alignment horizontal="center"/>
    </xf>
    <xf numFmtId="0" fontId="14" fillId="0" borderId="0" xfId="42" applyFont="1" applyAlignment="1">
      <alignment horizontal="center"/>
    </xf>
    <xf numFmtId="0" fontId="2" fillId="0" borderId="0" xfId="0" applyFont="1" applyAlignment="1">
      <alignment horizontal="center"/>
    </xf>
    <xf numFmtId="0" fontId="0" fillId="0" borderId="0" xfId="0" applyAlignment="1">
      <alignment horizontal="center"/>
    </xf>
    <xf numFmtId="0" fontId="2" fillId="0" borderId="0" xfId="0" applyFont="1" applyFill="1" applyAlignment="1">
      <alignment horizontal="center"/>
    </xf>
    <xf numFmtId="0" fontId="0" fillId="0" borderId="0" xfId="0" applyFill="1" applyAlignment="1">
      <alignment horizontal="center"/>
    </xf>
    <xf numFmtId="0" fontId="0" fillId="0" borderId="0" xfId="0" applyFill="1" applyBorder="1" applyAlignment="1">
      <alignment horizontal="center"/>
    </xf>
    <xf numFmtId="0" fontId="2" fillId="0" borderId="0" xfId="0" applyFont="1" applyFill="1" applyBorder="1" applyAlignment="1">
      <alignment horizontal="center"/>
    </xf>
    <xf numFmtId="0" fontId="0" fillId="0" borderId="34" xfId="0" applyFill="1" applyBorder="1" applyAlignment="1">
      <alignment horizontal="center"/>
    </xf>
    <xf numFmtId="0" fontId="0" fillId="0" borderId="0" xfId="0" applyFill="1" applyAlignment="1">
      <alignment horizontal="center" wrapText="1"/>
    </xf>
    <xf numFmtId="0" fontId="16" fillId="0" borderId="13" xfId="0" applyFont="1" applyFill="1" applyBorder="1" applyAlignment="1">
      <alignment horizontal="center"/>
    </xf>
    <xf numFmtId="1" fontId="2" fillId="0" borderId="0" xfId="0" applyNumberFormat="1" applyFont="1" applyFill="1" applyAlignment="1">
      <alignment horizontal="center" wrapText="1"/>
    </xf>
    <xf numFmtId="3" fontId="16" fillId="0" borderId="54" xfId="0" applyNumberFormat="1" applyFont="1" applyFill="1" applyBorder="1" applyAlignment="1">
      <alignment horizontal="center"/>
    </xf>
    <xf numFmtId="196" fontId="16" fillId="0" borderId="34" xfId="0" applyNumberFormat="1" applyFont="1" applyFill="1" applyBorder="1" applyAlignment="1">
      <alignment horizontal="center"/>
    </xf>
    <xf numFmtId="0" fontId="16" fillId="0" borderId="34" xfId="0" applyFont="1" applyFill="1" applyBorder="1" applyAlignment="1">
      <alignment horizontal="center"/>
    </xf>
    <xf numFmtId="1" fontId="16" fillId="0" borderId="13" xfId="0" applyNumberFormat="1" applyFont="1" applyFill="1" applyBorder="1" applyAlignment="1">
      <alignment horizontal="center"/>
    </xf>
    <xf numFmtId="0" fontId="72" fillId="0" borderId="0" xfId="0" applyFont="1" applyAlignment="1">
      <alignment horizontal="center"/>
    </xf>
    <xf numFmtId="0" fontId="42" fillId="0" borderId="0" xfId="0" applyFont="1" applyFill="1" applyAlignment="1">
      <alignment horizontal="left" wrapText="1"/>
    </xf>
  </cellXfs>
  <cellStyles count="188">
    <cellStyle name="########" xfId="1"/>
    <cellStyle name="######## 2" xfId="53"/>
    <cellStyle name="Co #" xfId="54"/>
    <cellStyle name="Comma" xfId="2" builtinId="3"/>
    <cellStyle name="Comma 10" xfId="55"/>
    <cellStyle name="Comma 10 2" xfId="56"/>
    <cellStyle name="Comma 10 3" xfId="57"/>
    <cellStyle name="Comma 10 4" xfId="58"/>
    <cellStyle name="Comma 11" xfId="59"/>
    <cellStyle name="Comma 11 2" xfId="60"/>
    <cellStyle name="Comma 11 2 2" xfId="61"/>
    <cellStyle name="Comma 11 2 3" xfId="62"/>
    <cellStyle name="Comma 11 3" xfId="63"/>
    <cellStyle name="Comma 11 4" xfId="64"/>
    <cellStyle name="Comma 12" xfId="65"/>
    <cellStyle name="Comma 13" xfId="66"/>
    <cellStyle name="Comma 14" xfId="67"/>
    <cellStyle name="Comma 15" xfId="43"/>
    <cellStyle name="Comma 2" xfId="3"/>
    <cellStyle name="Comma 2 2" xfId="39"/>
    <cellStyle name="Comma 2 2 2" xfId="52"/>
    <cellStyle name="Comma 2 2 3" xfId="68"/>
    <cellStyle name="Comma 2 2 4" xfId="69"/>
    <cellStyle name="Comma 2 3" xfId="70"/>
    <cellStyle name="Comma 2 4" xfId="44"/>
    <cellStyle name="Comma 2 5" xfId="71"/>
    <cellStyle name="Comma 2 6" xfId="72"/>
    <cellStyle name="Comma 2 7" xfId="73"/>
    <cellStyle name="Comma 2 8" xfId="74"/>
    <cellStyle name="Comma 3" xfId="32"/>
    <cellStyle name="Comma 3 2" xfId="75"/>
    <cellStyle name="Comma 3 3" xfId="76"/>
    <cellStyle name="Comma 3 4" xfId="77"/>
    <cellStyle name="Comma 4" xfId="78"/>
    <cellStyle name="Comma 4 2" xfId="79"/>
    <cellStyle name="Comma 4 3" xfId="80"/>
    <cellStyle name="Comma 5" xfId="49"/>
    <cellStyle name="Comma 5 2" xfId="81"/>
    <cellStyle name="Comma 5 3" xfId="82"/>
    <cellStyle name="Comma 5 4" xfId="83"/>
    <cellStyle name="Comma 6" xfId="84"/>
    <cellStyle name="Comma 7" xfId="85"/>
    <cellStyle name="Comma 8" xfId="86"/>
    <cellStyle name="Comma 9" xfId="87"/>
    <cellStyle name="Comma 9 2" xfId="88"/>
    <cellStyle name="Comma 9 3" xfId="89"/>
    <cellStyle name="Comma_090 - B-12 Final - values 1" xfId="184"/>
    <cellStyle name="Comma_090 - Orange County D Schedules" xfId="4"/>
    <cellStyle name="Comma_Miles Grant Acct Reconciliation to NARUC" xfId="5"/>
    <cellStyle name="Comma_UIF E-10" xfId="6"/>
    <cellStyle name="Currency" xfId="7" builtinId="4"/>
    <cellStyle name="Currency 10" xfId="90"/>
    <cellStyle name="Currency 2" xfId="8"/>
    <cellStyle name="Currency 2 2" xfId="40"/>
    <cellStyle name="Currency 2 2 2" xfId="50"/>
    <cellStyle name="Currency 2 2 3" xfId="91"/>
    <cellStyle name="Currency 2 2 4" xfId="92"/>
    <cellStyle name="Currency 2 3" xfId="93"/>
    <cellStyle name="Currency 2 4" xfId="94"/>
    <cellStyle name="Currency 2 5" xfId="95"/>
    <cellStyle name="Currency 2 6" xfId="96"/>
    <cellStyle name="Currency 3" xfId="30"/>
    <cellStyle name="Currency 3 2" xfId="97"/>
    <cellStyle name="Currency 3 3" xfId="98"/>
    <cellStyle name="Currency 3 4" xfId="187"/>
    <cellStyle name="Currency 4" xfId="35"/>
    <cellStyle name="Currency 4 2" xfId="99"/>
    <cellStyle name="Currency 4 3" xfId="100"/>
    <cellStyle name="Currency 4 4" xfId="101"/>
    <cellStyle name="Currency 5" xfId="102"/>
    <cellStyle name="Currency 6" xfId="103"/>
    <cellStyle name="Currency 7" xfId="104"/>
    <cellStyle name="Currency 8" xfId="105"/>
    <cellStyle name="Currency 9" xfId="106"/>
    <cellStyle name="Currency_091- E-2" xfId="9"/>
    <cellStyle name="Currency_UIF E-10" xfId="10"/>
    <cellStyle name="Currency_UIF-E4 FINAL - REVISED" xfId="11"/>
    <cellStyle name="Date" xfId="12"/>
    <cellStyle name="Date-Regulatory" xfId="107"/>
    <cellStyle name="Euro" xfId="108"/>
    <cellStyle name="Normal" xfId="0" builtinId="0"/>
    <cellStyle name="Normal 10" xfId="109"/>
    <cellStyle name="Normal 10 2" xfId="110"/>
    <cellStyle name="Normal 10 2 2" xfId="111"/>
    <cellStyle name="Normal 10 2 3" xfId="112"/>
    <cellStyle name="Normal 10 2 4" xfId="113"/>
    <cellStyle name="Normal 10 3" xfId="114"/>
    <cellStyle name="Normal 10 3 2" xfId="115"/>
    <cellStyle name="Normal 10 3 3" xfId="116"/>
    <cellStyle name="Normal 10 4" xfId="117"/>
    <cellStyle name="Normal 10 5" xfId="118"/>
    <cellStyle name="Normal 11" xfId="119"/>
    <cellStyle name="Normal 12" xfId="120"/>
    <cellStyle name="Normal 13" xfId="121"/>
    <cellStyle name="Normal 13 2" xfId="182"/>
    <cellStyle name="Normal 14" xfId="122"/>
    <cellStyle name="Normal 15" xfId="123"/>
    <cellStyle name="Normal 16" xfId="124"/>
    <cellStyle name="Normal 17" xfId="125"/>
    <cellStyle name="Normal 18" xfId="126"/>
    <cellStyle name="Normal 19" xfId="127"/>
    <cellStyle name="Normal 2" xfId="13"/>
    <cellStyle name="Normal 2 10" xfId="128"/>
    <cellStyle name="Normal 2 10 2" xfId="181"/>
    <cellStyle name="Normal 2 2" xfId="38"/>
    <cellStyle name="Normal 2 2 2" xfId="42"/>
    <cellStyle name="Normal 2 2 2 2" xfId="185"/>
    <cellStyle name="Normal 2 2 3" xfId="129"/>
    <cellStyle name="Normal 2 2 4" xfId="130"/>
    <cellStyle name="Normal 2 2 5" xfId="131"/>
    <cellStyle name="Normal 2 3" xfId="132"/>
    <cellStyle name="Normal 2 36" xfId="46"/>
    <cellStyle name="Normal 2 4" xfId="133"/>
    <cellStyle name="Normal 2 5" xfId="134"/>
    <cellStyle name="Normal 2 6" xfId="135"/>
    <cellStyle name="Normal 2 7" xfId="136"/>
    <cellStyle name="Normal 2 8" xfId="137"/>
    <cellStyle name="Normal 2 9" xfId="138"/>
    <cellStyle name="Normal 2_LUSIMFR22" xfId="139"/>
    <cellStyle name="Normal 20" xfId="140"/>
    <cellStyle name="Normal 21" xfId="141"/>
    <cellStyle name="Normal 22" xfId="142"/>
    <cellStyle name="Normal 23" xfId="41"/>
    <cellStyle name="Normal 3" xfId="14"/>
    <cellStyle name="Normal 3 10" xfId="179"/>
    <cellStyle name="Normal 3 2" xfId="143"/>
    <cellStyle name="Normal 3 2 2" xfId="186"/>
    <cellStyle name="Normal 3 3" xfId="144"/>
    <cellStyle name="Normal 3 4" xfId="145"/>
    <cellStyle name="Normal 3 5" xfId="146"/>
    <cellStyle name="Normal 4" xfId="29"/>
    <cellStyle name="Normal 4 2" xfId="147"/>
    <cellStyle name="Normal 4 3" xfId="148"/>
    <cellStyle name="Normal 4 4" xfId="149"/>
    <cellStyle name="Normal 4 5" xfId="150"/>
    <cellStyle name="Normal 5" xfId="33"/>
    <cellStyle name="Normal 5 2" xfId="151"/>
    <cellStyle name="Normal 5 3" xfId="152"/>
    <cellStyle name="Normal 6" xfId="34"/>
    <cellStyle name="Normal 6 2" xfId="153"/>
    <cellStyle name="Normal 6 3" xfId="154"/>
    <cellStyle name="Normal 6 4" xfId="155"/>
    <cellStyle name="Normal 62" xfId="45"/>
    <cellStyle name="Normal 7" xfId="48"/>
    <cellStyle name="Normal 8" xfId="156"/>
    <cellStyle name="Normal 9" xfId="157"/>
    <cellStyle name="Normal 9 2" xfId="158"/>
    <cellStyle name="Normal 9 2 2" xfId="159"/>
    <cellStyle name="Normal 9 2 3" xfId="160"/>
    <cellStyle name="Normal 9 2 4" xfId="161"/>
    <cellStyle name="Normal_090 - B-12 Final - values 1" xfId="183"/>
    <cellStyle name="Normal_090 - Orange County D Schedules" xfId="15"/>
    <cellStyle name="Normal_091- E-2" xfId="16"/>
    <cellStyle name="Normal_B-9 and B-11" xfId="17"/>
    <cellStyle name="Normal_E-5 VALUES" xfId="18"/>
    <cellStyle name="Normal_Miles Grant Acct Reconciliation to NARUC" xfId="19"/>
    <cellStyle name="Normal_REVENUES" xfId="31"/>
    <cellStyle name="Normal_Sheet1 2" xfId="180"/>
    <cellStyle name="Normal_Sheet1_1" xfId="47"/>
    <cellStyle name="Normal_TEMPLATES - ACCT RECONCILIATION TO NARUC - 13 MONTHS PSC" xfId="20"/>
    <cellStyle name="Normal_UIF E-10" xfId="21"/>
    <cellStyle name="Normal_UIF E-2 - with some additions REVISED FOR TITLES" xfId="22"/>
    <cellStyle name="Normal_UIF E-3" xfId="23"/>
    <cellStyle name="Normal_UIF-E4 FINAL - REVISED" xfId="24"/>
    <cellStyle name="Normal_Wedgefield-REV" xfId="25"/>
    <cellStyle name="Normal_Wedgefield-REV 2" xfId="26"/>
    <cellStyle name="Percent" xfId="27" builtinId="5"/>
    <cellStyle name="Percent 2" xfId="28"/>
    <cellStyle name="Percent 2 2" xfId="37"/>
    <cellStyle name="Percent 2 2 2" xfId="51"/>
    <cellStyle name="Percent 2 2 3" xfId="162"/>
    <cellStyle name="Percent 2 2 4" xfId="163"/>
    <cellStyle name="Percent 2 3" xfId="164"/>
    <cellStyle name="Percent 2 4" xfId="165"/>
    <cellStyle name="Percent 2 5" xfId="166"/>
    <cellStyle name="Percent 2 6" xfId="167"/>
    <cellStyle name="Percent 3" xfId="36"/>
    <cellStyle name="Percent 3 2" xfId="168"/>
    <cellStyle name="Percent 3 3" xfId="169"/>
    <cellStyle name="Percent 3 4" xfId="170"/>
    <cellStyle name="Percent 4" xfId="171"/>
    <cellStyle name="Percent 5" xfId="172"/>
    <cellStyle name="Percent 5 2" xfId="173"/>
    <cellStyle name="Percent 5 3" xfId="174"/>
    <cellStyle name="Percent 6" xfId="175"/>
    <cellStyle name="Percent 7" xfId="176"/>
    <cellStyle name="Percent 8" xfId="177"/>
    <cellStyle name="Percent 9" xfId="17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13.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8.xml"/><Relationship Id="rId16" Type="http://schemas.openxmlformats.org/officeDocument/2006/relationships/worksheet" Target="worksheets/sheet16.xml"/><Relationship Id="rId107" Type="http://schemas.openxmlformats.org/officeDocument/2006/relationships/externalLink" Target="externalLinks/externalLink3.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19.xml"/><Relationship Id="rId128"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1.xml"/><Relationship Id="rId113" Type="http://schemas.openxmlformats.org/officeDocument/2006/relationships/externalLink" Target="externalLinks/externalLink9.xml"/><Relationship Id="rId118" Type="http://schemas.openxmlformats.org/officeDocument/2006/relationships/externalLink" Target="externalLinks/externalLink14.xml"/><Relationship Id="rId12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1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externalLink" Target="externalLinks/externalLink4.xml"/><Relationship Id="rId116" Type="http://schemas.openxmlformats.org/officeDocument/2006/relationships/externalLink" Target="externalLinks/externalLink12.xml"/><Relationship Id="rId124" Type="http://schemas.openxmlformats.org/officeDocument/2006/relationships/externalLink" Target="externalLinks/externalLink20.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2.xml"/><Relationship Id="rId114" Type="http://schemas.openxmlformats.org/officeDocument/2006/relationships/externalLink" Target="externalLinks/externalLink10.xml"/><Relationship Id="rId119" Type="http://schemas.openxmlformats.org/officeDocument/2006/relationships/externalLink" Target="externalLinks/externalLink15.xml"/><Relationship Id="rId12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1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externalLink" Target="externalLinks/externalLink16.xml"/><Relationship Id="rId125"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6.xml"/><Relationship Id="rId115" Type="http://schemas.openxmlformats.org/officeDocument/2006/relationships/externalLink" Target="externalLinks/externalLink11.xml"/><Relationship Id="rId61" Type="http://schemas.openxmlformats.org/officeDocument/2006/relationships/worksheet" Target="worksheets/sheet61.xml"/><Relationship Id="rId82" Type="http://schemas.openxmlformats.org/officeDocument/2006/relationships/worksheet" Target="worksheets/sheet8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371475</xdr:colOff>
      <xdr:row>14</xdr:row>
      <xdr:rowOff>0</xdr:rowOff>
    </xdr:from>
    <xdr:to>
      <xdr:col>8</xdr:col>
      <xdr:colOff>466725</xdr:colOff>
      <xdr:row>31</xdr:row>
      <xdr:rowOff>142875</xdr:rowOff>
    </xdr:to>
    <xdr:pic>
      <xdr:nvPicPr>
        <xdr:cNvPr id="2" name="Picture 4"/>
        <xdr:cNvPicPr>
          <a:picLocks noChangeAspect="1" noChangeArrowheads="1"/>
        </xdr:cNvPicPr>
      </xdr:nvPicPr>
      <xdr:blipFill>
        <a:blip xmlns:r="http://schemas.openxmlformats.org/officeDocument/2006/relationships" r:embed="rId1" cstate="print">
          <a:lum bright="46000" contrast="68000"/>
        </a:blip>
        <a:srcRect/>
        <a:stretch>
          <a:fillRect/>
        </a:stretch>
      </xdr:blipFill>
      <xdr:spPr bwMode="auto">
        <a:xfrm>
          <a:off x="2343150" y="5295900"/>
          <a:ext cx="4381500" cy="289560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OMPLETED%20PROJECTS/SANLANDO%202010/Documents%20and%20Settings/MARIA%20ELENA%20BRAVO/Local%20Settings/Temporary%20Internet%20Files/Content.IE5/URWN6DU1/Documents%20and%20Settings/mbravo/My%20Documents/RATE%20CASES%20-%20UTILITIES,%20INC/TEMPLATES/Blank%20templat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CURRENT%20PROJECTS/U02-37%20LABRADOR%202014%20RATE%20CASE/LABRADOR%20FINAL%20MFRs%207%20for%20PDF%20TO%20USE%20AS%20WORKFILE.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c0nas001\files.uiwater.com\Miles%20Grant%20SUBMITTED%20FOR%20FILING\Miles%20Grant%20MFRs%206-30-07%20FIN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c0nas001\files.uiwater.com\Tierra%20Verde%20SUBMITTED%20FOR%20FILING\Tierra%20Verde%20MFRs%2012-31-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PROJ)/U02-20%20Tierra%20Verde%20Utilities,%20Inc%20(2007)/Tierra%20Verde%20MFRs%2012-31-07.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Cynthia/2009%20FILINGS%20UI%20RATE%20CASES/Staff%20Workpapers/Sanlando%20Fin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0.0.1.157\Financial\FINANCIAL%20DEPT\FPA\ROE%20Schedules\2005%2012%20December\123105%20ROE%202-3v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ocuments%20and%20Settings/MARIA%20ELENA%20BRAVO/Local%20Settings/Temporary%20Internet%20Files/Content.IE5/URWN6DU1/Documents%20and%20Settings/mbravo/My%20Documents/RATE%20CASES%20-%20UTILITIES,%20INC/SOUTH%20GATE/SCHEDULES/SOUTHGATE%20MFR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00.0.1.157\Financial\Documents%20and%20Settings\Phyllis%20Dobbs\Desktop\SE50%20063006.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COMPLETED%20PROJECTS/SANLANDO%202010/MARIA%20C%20DRIVE%20AS%20OF%203-22-04%20&amp;%20FORWARD/Longwood%20MFR%206-30-05%20Test%20Year.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COMPLETED%20PROJECTS/SANLANDO%202010/Documents%20and%20Settings/mbravo/My%20Documents/A%20-%20UIF%20RATE%20CASE%20-%202006/MFRs%20&amp;%20MISC.%20SCHEDULES/MARION/MARION%20MFR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c0nas001\files.uiwater.com\ratecase\Florida\068-Longwood\2009%20Rate%20Case\Filing\Longwood%20MFRs%20TY%2012-31-08_FILED%20with%20PSC.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Home/Desktop/UIF%20Consol%20Travel%207-22-16/AS%20FILED/VOL.%20I/Final%20Excel%20MFR%20files%20-%20Volume%20I/MID-COUNTY%20MFR%20TY%2012-31-15_FINAL%208-18-1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OMPLETED%20PROJECTS/SANLANDO%202010/Documents%20and%20Settings/mbravo/My%20Documents/A%20-%20UIF%20RATE%20CASE%20-%202006/TEMPLATES/UIF%20-%20CLASS%20A%20W&amp;S%20TEMPLATE%20SCH%20A%20&amp;%20B%20REVIS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OMPLETED%20PROJECTS/SANLANDO%202010/Documents%20and%20Settings/dciecier/Desktop/SANLANDO_MFRs_TY_2012-31-10_MSA_Submittal(1)%20-%20with%20Updated%20B7%20&amp;%20B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COMPLETED%20PROJECTS/SANLANDO%202010/Documents%20and%20Settings/mbravo.MSA/My%20Documents/A%20-%20UIF%20RATE%20CASE%20-%202006/TEMPLATES/UIF%20-%20CLASS%20A%20W&amp;S%20TEMPLATE%20SCH%20A%20&amp;%20B%20REVISE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COMPLETED%20PROJECTS/SANLANDO%202010/Documents%20and%20Settings/mbravo/My%20Documents/A%20-%20UIF%20RATE%20CASE%20-%202006/MFRs%20&amp;%20MISC.%20SCHEDULES/ORANGE/DRAFTS/MFRs%20ORANGE%20-%20draf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COMPLETED%20PROJECTS/SANLANDO%202010/DOCUME~1/mbravo/LOCALS~1/Temp/TIERRA%20VERDE%20MFR%2012-31-05%20TEST%20YEAR.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COMPLETED%20PROJECTS/SANLANDO%202010/(PROJ)/U02-14%20Miles%20Grant/Miles%20Grant%20Rate%20Increase%20Application%20TY%206-30-07/Miles%20Grant%20MFRs/Miles%20Grant%20MFRs%206-30-07%20FINA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pmediavault\archive%20projects\(PROJ)\U02-20%20Tierra%20Verde%20Utilities,%20Inc%20(2007)\Tierra%20Verde%20MFRs%2012-31-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COVER"/>
      <sheetName val="CONTENTS"/>
      <sheetName val="INSTRUCTIONS"/>
      <sheetName val="A 1"/>
      <sheetName val="A 2"/>
      <sheetName val="A 3"/>
      <sheetName val="A 4"/>
      <sheetName val="A 5"/>
      <sheetName val="A 6"/>
      <sheetName val="A 7"/>
      <sheetName val="A 8"/>
      <sheetName val="A 9"/>
      <sheetName val="A 10"/>
      <sheetName val="A 11"/>
      <sheetName val="A 12"/>
      <sheetName val="A 13"/>
      <sheetName val="A 14"/>
      <sheetName val="A 15"/>
      <sheetName val="A 16"/>
      <sheetName val="A 17"/>
      <sheetName val="A 18"/>
      <sheetName val="A 19"/>
      <sheetName val="B 1"/>
      <sheetName val="B 2"/>
      <sheetName val="B 3"/>
      <sheetName val="B 4"/>
      <sheetName val="B 5"/>
      <sheetName val="B 6"/>
      <sheetName val="B 7"/>
      <sheetName val="B 8"/>
      <sheetName val="B 9"/>
      <sheetName val="B 10"/>
      <sheetName val="B 11"/>
      <sheetName val="B 12"/>
      <sheetName val="B 13"/>
      <sheetName val="B 14"/>
      <sheetName val="B 15"/>
      <sheetName val="C INSTRUCT"/>
      <sheetName val="C 1"/>
      <sheetName val="C 2"/>
      <sheetName val="C 3"/>
      <sheetName val="C 4"/>
      <sheetName val="C 5"/>
      <sheetName val="C 6"/>
      <sheetName val="C 7a"/>
      <sheetName val="C7b"/>
      <sheetName val="C 8"/>
      <sheetName val="C 9"/>
      <sheetName val="C 10"/>
      <sheetName val="D 1"/>
      <sheetName val="D 2"/>
      <sheetName val="D 3"/>
      <sheetName val="D 4"/>
      <sheetName val="D 5"/>
      <sheetName val="D 6"/>
      <sheetName val="D 7"/>
      <sheetName val="E 1"/>
      <sheetName val="E 2"/>
      <sheetName val="E 3"/>
      <sheetName val="E 4"/>
      <sheetName val="E 5"/>
      <sheetName val="E 6"/>
      <sheetName val="E 7"/>
      <sheetName val="E 8"/>
      <sheetName val="E 9"/>
      <sheetName val="E 10"/>
      <sheetName val="E 11"/>
      <sheetName val="E 12"/>
      <sheetName val="E 13"/>
      <sheetName val="E 14"/>
      <sheetName val="F 1"/>
      <sheetName val="F 2"/>
      <sheetName val="F 3"/>
      <sheetName val="F 4"/>
      <sheetName val="F 5"/>
      <sheetName val="F 6"/>
      <sheetName val="F 7"/>
      <sheetName val="F 8"/>
      <sheetName val="F 9"/>
      <sheetName val="F 10"/>
    </sheetNames>
    <sheetDataSet>
      <sheetData sheetId="0">
        <row r="18">
          <cell r="E18" t="str">
            <v>Page 1 of 2</v>
          </cell>
        </row>
        <row r="19">
          <cell r="E19" t="str">
            <v>Page 2 of 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COVER"/>
      <sheetName val="CONTENTS vol 2"/>
      <sheetName val="CONTENTS vol 1"/>
      <sheetName val="A 1"/>
      <sheetName val="A 2"/>
      <sheetName val="A 3"/>
      <sheetName val="A 4"/>
      <sheetName val="A 5"/>
      <sheetName val="A 5 (a)"/>
      <sheetName val="A 6"/>
      <sheetName val="A 6 (a)"/>
      <sheetName val="A 7"/>
      <sheetName val="A 8"/>
      <sheetName val="A 9"/>
      <sheetName val="A 9 (a)"/>
      <sheetName val="A 10"/>
      <sheetName val="A 10 (a)"/>
      <sheetName val="A 11"/>
      <sheetName val="A 12"/>
      <sheetName val="A 12 (a)"/>
      <sheetName val="A 13"/>
      <sheetName val="A 14"/>
      <sheetName val="A 14 (a)"/>
      <sheetName val="A 15"/>
      <sheetName val="A 16"/>
      <sheetName val="A 17"/>
      <sheetName val="A 18"/>
      <sheetName val="A 19 "/>
      <sheetName val="B 1"/>
      <sheetName val="B 2"/>
      <sheetName val="B 3"/>
      <sheetName val="B 4"/>
      <sheetName val="B 5"/>
      <sheetName val="B 5 (a)"/>
      <sheetName val="B 6"/>
      <sheetName val="B 6 (a)"/>
      <sheetName val="B 7"/>
      <sheetName val="B 8"/>
      <sheetName val="B-9"/>
      <sheetName val="B 10"/>
      <sheetName val="B 11"/>
      <sheetName val="B12 - 1.31.2010"/>
      <sheetName val="B12 - 2.28.2010"/>
      <sheetName val="B12 - 3.31.2010"/>
      <sheetName val="B12 - 4.30.2010"/>
      <sheetName val="B12 - 5.31.2010"/>
      <sheetName val="B12 - 6.30.2010"/>
      <sheetName val="B12 - 7.31.2010"/>
      <sheetName val="B12 - 8.31.2010"/>
      <sheetName val="B12 - 9.30.2010"/>
      <sheetName val="B12 - 10.31.2010"/>
      <sheetName val="B12 - 11.30.2010"/>
      <sheetName val="B12 - 12.31.2010"/>
      <sheetName val="B12 - Test Year"/>
      <sheetName val="B 13"/>
      <sheetName val="B 14"/>
      <sheetName val="B 15"/>
      <sheetName val="C INSTRUCT"/>
      <sheetName val="C 1"/>
      <sheetName val="C 2 (W) (S)"/>
      <sheetName val="C 3"/>
      <sheetName val="C 4"/>
      <sheetName val="C 5 (W) (S)"/>
      <sheetName val="C 6"/>
      <sheetName val="C 7"/>
      <sheetName val="C 8"/>
      <sheetName val="C 9"/>
      <sheetName val="C 10"/>
      <sheetName val="D-1"/>
      <sheetName val="D-2"/>
      <sheetName val="D 2 (a)"/>
      <sheetName val="D-3"/>
      <sheetName val="D-4"/>
      <sheetName val="D-5"/>
      <sheetName val="D-6"/>
      <sheetName val="D 7"/>
      <sheetName val="E-1 W"/>
      <sheetName val="E-1 S"/>
      <sheetName val="E-2 W "/>
      <sheetName val="E-2 S"/>
      <sheetName val="E-3"/>
      <sheetName val="E-4 W"/>
      <sheetName val="E-4 S"/>
      <sheetName val="E-5 W"/>
      <sheetName val="E-5 S"/>
      <sheetName val="E-6"/>
      <sheetName val="E 7"/>
      <sheetName val="E 8"/>
      <sheetName val="E 9"/>
      <sheetName val="E 10 Water"/>
      <sheetName val="E 10 Sewer"/>
      <sheetName val="E 11"/>
      <sheetName val="E 12"/>
      <sheetName val="E 13"/>
      <sheetName val="E 14"/>
      <sheetName val="F-1"/>
      <sheetName val="F-2"/>
      <sheetName val="F-3"/>
      <sheetName val="F-4"/>
      <sheetName val="F-5"/>
      <sheetName val="F-6"/>
      <sheetName val="F-6(2)"/>
      <sheetName val="F-7"/>
      <sheetName val="F-8"/>
      <sheetName val="F-9"/>
      <sheetName val="F-10"/>
      <sheetName val="A 1 INT"/>
      <sheetName val="A 2 INT"/>
      <sheetName val="A 3 INT"/>
      <sheetName val="A 7 INT"/>
      <sheetName val="B 1 INT"/>
      <sheetName val="B 2 INT"/>
      <sheetName val="B 3 INT"/>
      <sheetName val="B 15 INT"/>
      <sheetName val="C 1 INT"/>
      <sheetName val="C 2 (W) (S) INT"/>
      <sheetName val="C 3 INT"/>
      <sheetName val="C 5 (W) (S) INT"/>
      <sheetName val="D-1 INT"/>
      <sheetName val="D-2 INT"/>
      <sheetName val="E-1 W INT"/>
      <sheetName val="E-1 S INT"/>
      <sheetName val="E-2 W INT"/>
      <sheetName val="E-2 S INT"/>
      <sheetName val="APPENDIX A PLANT ACCT "/>
      <sheetName val="O&amp;M EXPENSES ALLOCATED"/>
      <sheetName val="TAX EXPENSE"/>
      <sheetName val="REVENUE REQUIREMENTS"/>
      <sheetName val="PROFORMA YEAR"/>
      <sheetName val="INTERIM COST OF CAPITAL"/>
      <sheetName val="EQUITY RETURN CALCULATION"/>
      <sheetName val="259 13 Month BS UC"/>
      <sheetName val="259 12 Month IS UC"/>
      <sheetName val="2007 - 2009 &amp; Test Year BS"/>
      <sheetName val="259 ERC Count Companies 12-10"/>
      <sheetName val="tax calculations"/>
      <sheetName val="SE3"/>
      <sheetName val="LTD-lead"/>
      <sheetName val="LTD-detail"/>
      <sheetName val="STD"/>
      <sheetName val="Common Equity"/>
      <sheetName val="ADIT, CD, ITC"/>
      <sheetName val="Leverage Formula in D schedule"/>
      <sheetName val="Sheet6"/>
    </sheetNames>
    <sheetDataSet>
      <sheetData sheetId="0" refreshError="1"/>
      <sheetData sheetId="1" refreshError="1"/>
      <sheetData sheetId="2" refreshError="1"/>
      <sheetData sheetId="3" refreshError="1"/>
      <sheetData sheetId="4">
        <row r="39">
          <cell r="F39">
            <v>703973.15827196208</v>
          </cell>
        </row>
      </sheetData>
      <sheetData sheetId="5">
        <row r="40">
          <cell r="F40">
            <v>1354886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7">
          <cell r="F17">
            <v>249568.3</v>
          </cell>
        </row>
      </sheetData>
      <sheetData sheetId="30">
        <row r="17">
          <cell r="F17">
            <v>445644.24</v>
          </cell>
        </row>
      </sheetData>
      <sheetData sheetId="31">
        <row r="178">
          <cell r="I178">
            <v>1455</v>
          </cell>
        </row>
      </sheetData>
      <sheetData sheetId="32">
        <row r="42">
          <cell r="D42">
            <v>955</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ow r="43">
          <cell r="D43">
            <v>11231</v>
          </cell>
        </row>
      </sheetData>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ow r="19">
          <cell r="E19">
            <v>1001064.6102467715</v>
          </cell>
        </row>
      </sheetData>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ow r="65">
          <cell r="E65">
            <v>924950</v>
          </cell>
        </row>
      </sheetData>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COVER"/>
      <sheetName val="CONTENTS vol 1"/>
      <sheetName val="CONTENTS vol 2"/>
      <sheetName val="APPENDIX A PLANT ACCT REC"/>
      <sheetName val="A 1"/>
      <sheetName val="A 2"/>
      <sheetName val="A 3"/>
      <sheetName val="A 4"/>
      <sheetName val="A 5 "/>
      <sheetName val="A 6"/>
      <sheetName val="A 7"/>
      <sheetName val="A 8"/>
      <sheetName val="A 9"/>
      <sheetName val="A 10"/>
      <sheetName val="A 11"/>
      <sheetName val="A 12"/>
      <sheetName val="A 13"/>
      <sheetName val="A 14"/>
      <sheetName val="A 15"/>
      <sheetName val="A 16"/>
      <sheetName val="A 17"/>
      <sheetName val="A 18"/>
      <sheetName val="A 19"/>
      <sheetName val="B 1"/>
      <sheetName val="B 2"/>
      <sheetName val="B 3"/>
      <sheetName val="B 4"/>
      <sheetName val="B 5"/>
      <sheetName val="B 6"/>
      <sheetName val="B 7"/>
      <sheetName val="B 8"/>
      <sheetName val="B 9"/>
      <sheetName val="B 10"/>
      <sheetName val="B 11"/>
      <sheetName val="B12 (1)"/>
      <sheetName val="B12 (2)"/>
      <sheetName val="B12 (3)"/>
      <sheetName val="B12 (4)"/>
      <sheetName val="B 13"/>
      <sheetName val="B 14"/>
      <sheetName val="C INSTRUCT"/>
      <sheetName val="B 15"/>
      <sheetName val="C 1"/>
      <sheetName val="C 2 (W)"/>
      <sheetName val="C 2 (S)"/>
      <sheetName val="C 3 (W)"/>
      <sheetName val="C 3 (S)"/>
      <sheetName val="C 4"/>
      <sheetName val="C 5 (W)"/>
      <sheetName val="C 5 (S)"/>
      <sheetName val="C 6"/>
      <sheetName val="C 7"/>
      <sheetName val="C 8"/>
      <sheetName val="C 9"/>
      <sheetName val="C 10"/>
      <sheetName val="D-1"/>
      <sheetName val="D-2"/>
      <sheetName val="D-3"/>
      <sheetName val="D-4"/>
      <sheetName val="D-5"/>
      <sheetName val="D-6"/>
      <sheetName val="D 7"/>
      <sheetName val="E 1 W"/>
      <sheetName val="E 1 S"/>
      <sheetName val="E-2"/>
      <sheetName val="E-3"/>
      <sheetName val="E-4 "/>
      <sheetName val="E-5 (W)"/>
      <sheetName val="E-5 (S) "/>
      <sheetName val="E 6"/>
      <sheetName val="E 7"/>
      <sheetName val="E 8"/>
      <sheetName val="E 9 "/>
      <sheetName val="E-10"/>
      <sheetName val="E 11"/>
      <sheetName val="E 12"/>
      <sheetName val="E 13"/>
      <sheetName val="E 14"/>
      <sheetName val="D 4 (I)"/>
      <sheetName val="E 1 W (I)"/>
      <sheetName val="E 1 S (I)"/>
      <sheetName val="E-2 (I)"/>
      <sheetName val="6-30-07 Plant Acc Bal"/>
      <sheetName val="6-30-07 CIAC Bal &amp; Proj"/>
      <sheetName val="6-30-07 Balance Sheet"/>
      <sheetName val="Income Acc  Alloc "/>
      <sheetName val="Interest Expense Adj"/>
      <sheetName val="6-30-07 Depreciation Exp"/>
      <sheetName val="Rev Requirements Final"/>
      <sheetName val="Rev Req Interim"/>
      <sheetName val="Computation of Rates Final"/>
      <sheetName val="Computation of Rates Interim"/>
      <sheetName val="ADJUSTED MONTHLY FINAL"/>
      <sheetName val="APPENDIX B INC. STAT.ACCT RECON"/>
    </sheetNames>
    <sheetDataSet>
      <sheetData sheetId="0">
        <row r="10">
          <cell r="E10" t="str">
            <v>Preparer: John Hoy</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4">
          <cell r="D4" t="str">
            <v>Page 1 of 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COVER"/>
      <sheetName val="CONTENTS vol 1"/>
      <sheetName val="CONTENTS vol 2"/>
      <sheetName val="APPENDIX A PLANT ACCT REC"/>
      <sheetName val="A 2"/>
      <sheetName val="A 3"/>
      <sheetName val="A 4"/>
      <sheetName val="A 6"/>
      <sheetName val="A 7"/>
      <sheetName val="A 8"/>
      <sheetName val="A 10"/>
      <sheetName val="A 11"/>
      <sheetName val="A 12"/>
      <sheetName val="A 13"/>
      <sheetName val="A 14"/>
      <sheetName val="A 15"/>
      <sheetName val="A 16"/>
      <sheetName val="A 17"/>
      <sheetName val="A 18"/>
      <sheetName val="A 19"/>
      <sheetName val="B 2"/>
      <sheetName val="B 3"/>
      <sheetName val="B 4"/>
      <sheetName val="B 6"/>
      <sheetName val="B 8"/>
      <sheetName val="B 9"/>
      <sheetName val="B 10"/>
      <sheetName val="B 11"/>
      <sheetName val="B12 (1)"/>
      <sheetName val="B12 (2)"/>
      <sheetName val="B12 (3)"/>
      <sheetName val="B12 (4)"/>
      <sheetName val="B12 (5)"/>
      <sheetName val="B 14"/>
      <sheetName val="C INSTRUCT"/>
      <sheetName val="B 15"/>
      <sheetName val="C 1"/>
      <sheetName val="C 2 (S)"/>
      <sheetName val="C 3 (S)"/>
      <sheetName val="C 4"/>
      <sheetName val="C 5 (S)"/>
      <sheetName val="C 6"/>
      <sheetName val="C 7"/>
      <sheetName val="C 8"/>
      <sheetName val="C 9"/>
      <sheetName val="C 10"/>
      <sheetName val="D-1"/>
      <sheetName val="D-2"/>
      <sheetName val="D-3"/>
      <sheetName val="D-4"/>
      <sheetName val="D-5"/>
      <sheetName val="D-6"/>
      <sheetName val="D 7"/>
      <sheetName val="E 1 S"/>
      <sheetName val="E-2"/>
      <sheetName val="E-3"/>
      <sheetName val="E-4 "/>
      <sheetName val="E-5 (S) "/>
      <sheetName val="E 6"/>
      <sheetName val="E 7"/>
      <sheetName val="E 8"/>
      <sheetName val="E 9 "/>
      <sheetName val="E-10"/>
      <sheetName val="E 11"/>
      <sheetName val="E 12"/>
      <sheetName val="E 13"/>
      <sheetName val="E 14"/>
      <sheetName val="F-2"/>
      <sheetName val="F-4"/>
      <sheetName val="F-6"/>
      <sheetName val="F-6(2)"/>
      <sheetName val="F-7"/>
      <sheetName val="F-8"/>
      <sheetName val="F-10"/>
      <sheetName val="A 2 (I)"/>
      <sheetName val="A 3 (I)"/>
      <sheetName val="B 2 (I)"/>
      <sheetName val="B 3 (I)"/>
      <sheetName val="B 15 (I)"/>
      <sheetName val="C 1 (I)"/>
      <sheetName val="C 2 (I)"/>
      <sheetName val="C 3 (I)"/>
      <sheetName val="C 5 (I) "/>
      <sheetName val="D-1 (I)"/>
      <sheetName val="D-2 (I)"/>
      <sheetName val="D 4 (I)"/>
      <sheetName val="E 1 S (I)"/>
      <sheetName val="E-2 (I)"/>
      <sheetName val=" Plant Acc Bal"/>
      <sheetName val=" CIAC Bal &amp; Proj"/>
      <sheetName val="Balance Sheet"/>
      <sheetName val="Income Acc  Alloc "/>
      <sheetName val="Interest Expense Adj"/>
      <sheetName val=" Depreciation Exp"/>
      <sheetName val="ADJUSTED MONTHLY FINAL"/>
      <sheetName val="APPENDIX B INC. STAT.ACCT RECON"/>
    </sheetNames>
    <sheetDataSet>
      <sheetData sheetId="0">
        <row r="11">
          <cell r="E11" t="str">
            <v>Preparer:  Erin Povich</v>
          </cell>
        </row>
      </sheetData>
      <sheetData sheetId="1" refreshError="1"/>
      <sheetData sheetId="2" refreshError="1"/>
      <sheetData sheetId="3" refreshError="1"/>
      <sheetData sheetId="4" refreshError="1"/>
      <sheetData sheetId="5"/>
      <sheetData sheetId="6" refreshError="1"/>
      <sheetData sheetId="7" refreshError="1"/>
      <sheetData sheetId="8" refreshError="1"/>
      <sheetData sheetId="9">
        <row r="4">
          <cell r="D4" t="str">
            <v>Page 1 of 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refreshError="1"/>
      <sheetData sheetId="95" refreshError="1"/>
      <sheetData sheetId="9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COVER"/>
      <sheetName val="CONTENTS vol 1"/>
      <sheetName val="CONTENTS vol 2"/>
      <sheetName val="APPENDIX A PLANT ACCT REC"/>
      <sheetName val="A 2"/>
      <sheetName val="A 3"/>
      <sheetName val="A 4"/>
      <sheetName val="A 6"/>
      <sheetName val="A 7"/>
      <sheetName val="A 8"/>
      <sheetName val="A 10"/>
      <sheetName val="A 11"/>
      <sheetName val="A 12"/>
      <sheetName val="A 13"/>
      <sheetName val="A 14"/>
      <sheetName val="A 15"/>
      <sheetName val="A 16"/>
      <sheetName val="A 17"/>
      <sheetName val="A 18"/>
      <sheetName val="A 19"/>
      <sheetName val="B 2"/>
      <sheetName val="B 3"/>
      <sheetName val="B 4"/>
      <sheetName val="B 6"/>
      <sheetName val="B 8"/>
      <sheetName val="B 9"/>
      <sheetName val="B 10"/>
      <sheetName val="B 11"/>
      <sheetName val="B12 (1)"/>
      <sheetName val="B12 (2)"/>
      <sheetName val="B12 (3)"/>
      <sheetName val="B12 (4)"/>
      <sheetName val="B12 (5)"/>
      <sheetName val="B 14"/>
      <sheetName val="C INSTRUCT"/>
      <sheetName val="B 15"/>
      <sheetName val="C 1"/>
      <sheetName val="C 2 (S)"/>
      <sheetName val="C 3 (S)"/>
      <sheetName val="C 4"/>
      <sheetName val="C 5 (S)"/>
      <sheetName val="C 6"/>
      <sheetName val="C 7"/>
      <sheetName val="C 8"/>
      <sheetName val="C 9"/>
      <sheetName val="C 10"/>
      <sheetName val="D-1"/>
      <sheetName val="D-2"/>
      <sheetName val="D-3"/>
      <sheetName val="D-4"/>
      <sheetName val="D-5"/>
      <sheetName val="D-6"/>
      <sheetName val="D 7"/>
      <sheetName val="E 1 S"/>
      <sheetName val="E-2"/>
      <sheetName val="E-3"/>
      <sheetName val="E-4 "/>
      <sheetName val="E-5 (S) "/>
      <sheetName val="E 6"/>
      <sheetName val="E 7"/>
      <sheetName val="E 8"/>
      <sheetName val="E 9 "/>
      <sheetName val="E-10"/>
      <sheetName val="E 11"/>
      <sheetName val="E 12"/>
      <sheetName val="E 13"/>
      <sheetName val="E 14"/>
      <sheetName val="F-2"/>
      <sheetName val="F-4"/>
      <sheetName val="F-6"/>
      <sheetName val="F-6(2)"/>
      <sheetName val="F-7"/>
      <sheetName val="F-8"/>
      <sheetName val="F-10"/>
      <sheetName val="A 2 (I)"/>
      <sheetName val="A 3 (I)"/>
      <sheetName val="B 2 (I)"/>
      <sheetName val="B 3 (I)"/>
      <sheetName val="B 15 (I)"/>
      <sheetName val="C 1 (I)"/>
      <sheetName val="C 2 (I)"/>
      <sheetName val="C 3 (I)"/>
      <sheetName val="C 5 (I) "/>
      <sheetName val="D-1 (I)"/>
      <sheetName val="D-2 (I)"/>
      <sheetName val="D 4 (I)"/>
      <sheetName val="E 1 S (I)"/>
      <sheetName val="E-2 (I)"/>
      <sheetName val=" Plant Acc Bal"/>
      <sheetName val=" CIAC Bal &amp; Proj"/>
      <sheetName val="Balance Sheet"/>
      <sheetName val="Income Acc  Alloc "/>
      <sheetName val="Interest Expense Adj"/>
      <sheetName val=" Depreciation Exp"/>
      <sheetName val="Rev Requirements Final"/>
      <sheetName val="Rev Req Interim"/>
      <sheetName val="Computation of Rates Final"/>
      <sheetName val="ADJUSTED MONTHLY FINAL"/>
      <sheetName val="APPENDIX B INC. STAT.ACCT RECON"/>
    </sheetNames>
    <sheetDataSet>
      <sheetData sheetId="0"/>
      <sheetData sheetId="1"/>
      <sheetData sheetId="2"/>
      <sheetData sheetId="3"/>
      <sheetData sheetId="4"/>
      <sheetData sheetId="5"/>
      <sheetData sheetId="6"/>
      <sheetData sheetId="7"/>
      <sheetData sheetId="8"/>
      <sheetData sheetId="9">
        <row r="4">
          <cell r="D4" t="str">
            <v>Page 1 of 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Rbase"/>
      <sheetName val="Noi"/>
      <sheetName val="Adjs"/>
      <sheetName val="Cap"/>
      <sheetName val="Plnt"/>
      <sheetName val="Ciac"/>
      <sheetName val="UUsum"/>
      <sheetName val="Wca"/>
      <sheetName val="AnnualizedRevs"/>
      <sheetName val="OMexp"/>
      <sheetName val="Toti"/>
      <sheetName val="RevRq"/>
      <sheetName val="RevAlloc"/>
      <sheetName val="RateSch"/>
      <sheetName val="BillDeter"/>
      <sheetName val="Security"/>
      <sheetName val="Agreed Audit Adjs."/>
      <sheetName val="A.F.No 2 Plant Sample"/>
      <sheetName val="A.F. No. 3 Proforma"/>
      <sheetName val="A.F. No. 4  ERC Proforma Adj."/>
      <sheetName val="A.F. No. 5 Proj. Phoenix"/>
      <sheetName val="A.F. No. 8-Acc.Amort. of CIAC "/>
      <sheetName val="A.F. 11 Salaries"/>
      <sheetName val="A.F. No. 14 Rate Case Exp."/>
      <sheetName val="A.F.No. 15-HDQ Samples "/>
      <sheetName val="A.F. No. 16-Deferred Maint."/>
      <sheetName val="A.F. 17 O&amp;M Sample"/>
      <sheetName val="A.F. No. 19-Alloc. of TOTI"/>
      <sheetName val="Bad Debt Exp. Adj."/>
      <sheetName val="Chem.Exp.Adj."/>
      <sheetName val="Fuel Expense"/>
      <sheetName val="Plant-CWIP"/>
      <sheetName val="Relocation Exp."/>
      <sheetName val="Working Capital Adj. "/>
      <sheetName val="Reuse bills"/>
      <sheetName val="Macros"/>
    </sheetNames>
    <sheetDataSet>
      <sheetData sheetId="0">
        <row r="14">
          <cell r="D14" t="str">
            <v>Sanlando Utilities Corporation</v>
          </cell>
        </row>
        <row r="16">
          <cell r="D16" t="str">
            <v>Test Year Ended 12/31/08</v>
          </cell>
        </row>
      </sheetData>
      <sheetData sheetId="1"/>
      <sheetData sheetId="2">
        <row r="12">
          <cell r="I12">
            <v>3089848.466365152</v>
          </cell>
        </row>
      </sheetData>
      <sheetData sheetId="3"/>
      <sheetData sheetId="4"/>
      <sheetData sheetId="5">
        <row r="1">
          <cell r="A1" t="str">
            <v>Sanlando Utilities Corporation</v>
          </cell>
        </row>
      </sheetData>
      <sheetData sheetId="6"/>
      <sheetData sheetId="7"/>
      <sheetData sheetId="8"/>
      <sheetData sheetId="9"/>
      <sheetData sheetId="10">
        <row r="9">
          <cell r="H9">
            <v>390658.74406797998</v>
          </cell>
        </row>
      </sheetData>
      <sheetData sheetId="11">
        <row r="11">
          <cell r="I11">
            <v>199091.68212887936</v>
          </cell>
        </row>
      </sheetData>
      <sheetData sheetId="12"/>
      <sheetData sheetId="13"/>
      <sheetData sheetId="14"/>
      <sheetData sheetId="15">
        <row r="49">
          <cell r="E49">
            <v>217874</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E in ,000"/>
      <sheetName val="ROE"/>
      <sheetName val="UI ROE Relief"/>
      <sheetName val="Com ROE Relief"/>
      <sheetName val="Rate Case Revenue"/>
      <sheetName val="Ratebase"/>
      <sheetName val="Net Plant"/>
      <sheetName val="IS"/>
      <sheetName val="Effective Tax"/>
      <sheetName val="Jurisd Tax"/>
      <sheetName val="D-E"/>
      <sheetName val="Data"/>
      <sheetName val="Reports"/>
      <sheetName val="Closed Reg Rev"/>
      <sheetName val="Pending Reg Rev"/>
      <sheetName val="FORM.COS.SUBS.LIST"/>
      <sheetName val="Co by State"/>
      <sheetName val="9000'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3">
          <cell r="C13">
            <v>1</v>
          </cell>
          <cell r="D13">
            <v>688555.68</v>
          </cell>
          <cell r="F13">
            <v>4</v>
          </cell>
          <cell r="G13">
            <v>0</v>
          </cell>
          <cell r="I13">
            <v>1</v>
          </cell>
          <cell r="J13">
            <v>-149165.1</v>
          </cell>
          <cell r="L13">
            <v>1</v>
          </cell>
          <cell r="M13">
            <v>-9632854</v>
          </cell>
          <cell r="O13">
            <v>4</v>
          </cell>
          <cell r="P13">
            <v>450000</v>
          </cell>
          <cell r="R13">
            <v>4</v>
          </cell>
          <cell r="S13">
            <v>-340495.16</v>
          </cell>
          <cell r="U13">
            <v>2</v>
          </cell>
          <cell r="V13">
            <v>0</v>
          </cell>
          <cell r="X13">
            <v>1</v>
          </cell>
          <cell r="Y13">
            <v>-1412616.3</v>
          </cell>
          <cell r="AA13">
            <v>6</v>
          </cell>
          <cell r="AB13">
            <v>-350</v>
          </cell>
          <cell r="BE13">
            <v>5</v>
          </cell>
          <cell r="BF13">
            <v>24823.043409200007</v>
          </cell>
          <cell r="CF13">
            <v>1</v>
          </cell>
          <cell r="CG13" t="str">
            <v>Y</v>
          </cell>
        </row>
        <row r="14">
          <cell r="C14">
            <v>2</v>
          </cell>
          <cell r="D14">
            <v>6756002.0199999996</v>
          </cell>
          <cell r="F14">
            <v>5</v>
          </cell>
          <cell r="G14">
            <v>0</v>
          </cell>
          <cell r="I14">
            <v>2</v>
          </cell>
          <cell r="J14">
            <v>-4691567.1500000004</v>
          </cell>
          <cell r="L14">
            <v>18</v>
          </cell>
          <cell r="M14">
            <v>27837.56</v>
          </cell>
          <cell r="O14">
            <v>5</v>
          </cell>
          <cell r="P14">
            <v>-450000</v>
          </cell>
          <cell r="R14">
            <v>5</v>
          </cell>
          <cell r="S14">
            <v>-583336.21</v>
          </cell>
          <cell r="U14">
            <v>5</v>
          </cell>
          <cell r="V14">
            <v>3446.76</v>
          </cell>
          <cell r="X14">
            <v>2</v>
          </cell>
          <cell r="Y14">
            <v>-417573</v>
          </cell>
          <cell r="AA14">
            <v>13</v>
          </cell>
          <cell r="AB14">
            <v>-145</v>
          </cell>
          <cell r="BE14">
            <v>6</v>
          </cell>
          <cell r="BF14">
            <v>6108.3140748000005</v>
          </cell>
          <cell r="CF14">
            <v>2</v>
          </cell>
          <cell r="CG14" t="str">
            <v>Y</v>
          </cell>
        </row>
        <row r="15">
          <cell r="C15">
            <v>5</v>
          </cell>
          <cell r="D15">
            <v>2276220.59</v>
          </cell>
          <cell r="F15">
            <v>12</v>
          </cell>
          <cell r="G15">
            <v>-153268.37</v>
          </cell>
          <cell r="I15">
            <v>5</v>
          </cell>
          <cell r="J15">
            <v>-538733.71</v>
          </cell>
          <cell r="L15">
            <v>21</v>
          </cell>
          <cell r="M15">
            <v>102722.39</v>
          </cell>
          <cell r="O15">
            <v>23</v>
          </cell>
          <cell r="P15">
            <v>-975</v>
          </cell>
          <cell r="R15">
            <v>6</v>
          </cell>
          <cell r="S15">
            <v>-272780</v>
          </cell>
          <cell r="U15">
            <v>7</v>
          </cell>
          <cell r="V15">
            <v>3101.75</v>
          </cell>
          <cell r="X15">
            <v>4</v>
          </cell>
          <cell r="Y15">
            <v>1405724</v>
          </cell>
          <cell r="AA15">
            <v>24</v>
          </cell>
          <cell r="AB15">
            <v>-312</v>
          </cell>
          <cell r="BE15">
            <v>7</v>
          </cell>
          <cell r="BF15">
            <v>1074.4178665000002</v>
          </cell>
          <cell r="CF15">
            <v>4</v>
          </cell>
          <cell r="CG15" t="str">
            <v>Y</v>
          </cell>
        </row>
        <row r="16">
          <cell r="C16">
            <v>6</v>
          </cell>
          <cell r="D16">
            <v>1433009.07</v>
          </cell>
          <cell r="F16">
            <v>25</v>
          </cell>
          <cell r="G16">
            <v>0</v>
          </cell>
          <cell r="I16">
            <v>6</v>
          </cell>
          <cell r="J16">
            <v>-213683.09</v>
          </cell>
          <cell r="L16">
            <v>25</v>
          </cell>
          <cell r="M16">
            <v>24482</v>
          </cell>
          <cell r="O16">
            <v>28</v>
          </cell>
          <cell r="P16">
            <v>-5475</v>
          </cell>
          <cell r="R16">
            <v>7</v>
          </cell>
          <cell r="S16">
            <v>-1672</v>
          </cell>
          <cell r="U16">
            <v>8</v>
          </cell>
          <cell r="V16">
            <v>3964.03</v>
          </cell>
          <cell r="X16">
            <v>5</v>
          </cell>
          <cell r="Y16">
            <v>-93194</v>
          </cell>
          <cell r="AA16">
            <v>30</v>
          </cell>
          <cell r="AB16">
            <v>-36</v>
          </cell>
          <cell r="BE16">
            <v>8</v>
          </cell>
          <cell r="BF16">
            <v>4739.6431473000011</v>
          </cell>
          <cell r="CF16">
            <v>5</v>
          </cell>
          <cell r="CG16" t="str">
            <v>Y</v>
          </cell>
        </row>
        <row r="17">
          <cell r="C17">
            <v>7</v>
          </cell>
          <cell r="D17">
            <v>149716.32999999999</v>
          </cell>
          <cell r="F17">
            <v>34</v>
          </cell>
          <cell r="G17">
            <v>3168.25</v>
          </cell>
          <cell r="I17">
            <v>7</v>
          </cell>
          <cell r="J17">
            <v>-8889.58</v>
          </cell>
          <cell r="L17">
            <v>27</v>
          </cell>
          <cell r="M17">
            <v>-963620.89</v>
          </cell>
          <cell r="O17">
            <v>36</v>
          </cell>
          <cell r="P17">
            <v>-56796</v>
          </cell>
          <cell r="R17">
            <v>8</v>
          </cell>
          <cell r="S17">
            <v>-3043.45</v>
          </cell>
          <cell r="U17">
            <v>11</v>
          </cell>
          <cell r="V17">
            <v>0</v>
          </cell>
          <cell r="X17">
            <v>6</v>
          </cell>
          <cell r="Y17">
            <v>-147945</v>
          </cell>
          <cell r="AA17">
            <v>32</v>
          </cell>
          <cell r="AB17">
            <v>-280</v>
          </cell>
          <cell r="BE17">
            <v>9</v>
          </cell>
          <cell r="BF17">
            <v>7262.0274267000023</v>
          </cell>
          <cell r="CF17">
            <v>6</v>
          </cell>
          <cell r="CG17" t="str">
            <v>Y</v>
          </cell>
        </row>
        <row r="18">
          <cell r="C18">
            <v>8</v>
          </cell>
          <cell r="D18">
            <v>205138.07</v>
          </cell>
          <cell r="F18">
            <v>35</v>
          </cell>
          <cell r="G18">
            <v>461446.03</v>
          </cell>
          <cell r="I18">
            <v>8</v>
          </cell>
          <cell r="J18">
            <v>-18446.599999999999</v>
          </cell>
          <cell r="L18">
            <v>34</v>
          </cell>
          <cell r="M18">
            <v>485498.88</v>
          </cell>
          <cell r="O18">
            <v>70</v>
          </cell>
          <cell r="P18">
            <v>2400</v>
          </cell>
          <cell r="R18">
            <v>9</v>
          </cell>
          <cell r="S18">
            <v>-33384.82</v>
          </cell>
          <cell r="U18">
            <v>12</v>
          </cell>
          <cell r="V18">
            <v>8414.3700000000008</v>
          </cell>
          <cell r="X18">
            <v>7</v>
          </cell>
          <cell r="Y18">
            <v>-16011</v>
          </cell>
          <cell r="AA18">
            <v>33</v>
          </cell>
          <cell r="AB18">
            <v>-250</v>
          </cell>
          <cell r="BE18">
            <v>10</v>
          </cell>
          <cell r="BF18">
            <v>0</v>
          </cell>
          <cell r="CF18">
            <v>7</v>
          </cell>
          <cell r="CG18" t="str">
            <v>Y</v>
          </cell>
        </row>
        <row r="19">
          <cell r="C19">
            <v>9</v>
          </cell>
          <cell r="D19">
            <v>484758.46</v>
          </cell>
          <cell r="F19">
            <v>36</v>
          </cell>
          <cell r="G19">
            <v>663847.37</v>
          </cell>
          <cell r="I19">
            <v>9</v>
          </cell>
          <cell r="J19">
            <v>-52441.39</v>
          </cell>
          <cell r="L19">
            <v>36</v>
          </cell>
          <cell r="M19">
            <v>-117417.65</v>
          </cell>
          <cell r="O19">
            <v>80</v>
          </cell>
          <cell r="P19">
            <v>-34510</v>
          </cell>
          <cell r="R19">
            <v>11</v>
          </cell>
          <cell r="S19">
            <v>-17294.22</v>
          </cell>
          <cell r="U19">
            <v>13</v>
          </cell>
          <cell r="V19">
            <v>2984.25</v>
          </cell>
          <cell r="X19">
            <v>8</v>
          </cell>
          <cell r="Y19">
            <v>-11577</v>
          </cell>
          <cell r="AA19">
            <v>34</v>
          </cell>
          <cell r="AB19">
            <v>-84250</v>
          </cell>
          <cell r="BE19">
            <v>11</v>
          </cell>
          <cell r="BF19">
            <v>2277.1194064000001</v>
          </cell>
          <cell r="CF19">
            <v>8</v>
          </cell>
          <cell r="CG19" t="str">
            <v>Y</v>
          </cell>
        </row>
        <row r="20">
          <cell r="C20">
            <v>11</v>
          </cell>
          <cell r="D20">
            <v>116028.15</v>
          </cell>
          <cell r="F20">
            <v>38</v>
          </cell>
          <cell r="G20">
            <v>554049.14</v>
          </cell>
          <cell r="I20">
            <v>11</v>
          </cell>
          <cell r="J20">
            <v>-18023.96</v>
          </cell>
          <cell r="L20">
            <v>38</v>
          </cell>
          <cell r="M20">
            <v>-6341801.4500000002</v>
          </cell>
          <cell r="O20">
            <v>89</v>
          </cell>
          <cell r="P20">
            <v>-38400</v>
          </cell>
          <cell r="R20">
            <v>13</v>
          </cell>
          <cell r="S20">
            <v>-1032850.1</v>
          </cell>
          <cell r="U20">
            <v>14</v>
          </cell>
          <cell r="V20">
            <v>0</v>
          </cell>
          <cell r="X20">
            <v>9</v>
          </cell>
          <cell r="Y20">
            <v>-40240</v>
          </cell>
          <cell r="AA20">
            <v>35</v>
          </cell>
          <cell r="AB20">
            <v>-33840.53</v>
          </cell>
          <cell r="BE20">
            <v>12</v>
          </cell>
          <cell r="BF20">
            <v>1040.1696474999999</v>
          </cell>
          <cell r="CF20">
            <v>9</v>
          </cell>
          <cell r="CG20" t="str">
            <v>Y</v>
          </cell>
        </row>
        <row r="21">
          <cell r="C21">
            <v>12</v>
          </cell>
          <cell r="D21">
            <v>291422.34999999998</v>
          </cell>
          <cell r="F21">
            <v>40</v>
          </cell>
          <cell r="G21">
            <v>12530</v>
          </cell>
          <cell r="I21">
            <v>12</v>
          </cell>
          <cell r="J21">
            <v>22146.25</v>
          </cell>
          <cell r="L21">
            <v>40</v>
          </cell>
          <cell r="M21">
            <v>65673.55</v>
          </cell>
          <cell r="O21">
            <v>90</v>
          </cell>
          <cell r="P21">
            <v>-97052</v>
          </cell>
          <cell r="R21">
            <v>14</v>
          </cell>
          <cell r="S21">
            <v>-3091748.55</v>
          </cell>
          <cell r="U21">
            <v>15</v>
          </cell>
          <cell r="V21">
            <v>1175.3</v>
          </cell>
          <cell r="X21">
            <v>11</v>
          </cell>
          <cell r="Y21">
            <v>-9391</v>
          </cell>
          <cell r="AA21">
            <v>36</v>
          </cell>
          <cell r="AB21">
            <v>-193723.6</v>
          </cell>
          <cell r="BE21">
            <v>13</v>
          </cell>
          <cell r="BF21">
            <v>10580.711716199998</v>
          </cell>
          <cell r="CF21">
            <v>11</v>
          </cell>
          <cell r="CG21" t="str">
            <v>Y</v>
          </cell>
        </row>
        <row r="22">
          <cell r="C22">
            <v>13</v>
          </cell>
          <cell r="D22">
            <v>2576779.79</v>
          </cell>
          <cell r="F22">
            <v>44</v>
          </cell>
          <cell r="G22">
            <v>326.75</v>
          </cell>
          <cell r="I22">
            <v>13</v>
          </cell>
          <cell r="J22">
            <v>-821309.92</v>
          </cell>
          <cell r="L22">
            <v>42</v>
          </cell>
          <cell r="M22">
            <v>40720.080000000002</v>
          </cell>
          <cell r="O22">
            <v>135</v>
          </cell>
          <cell r="P22">
            <v>-658710.19999999995</v>
          </cell>
          <cell r="R22">
            <v>15</v>
          </cell>
          <cell r="S22">
            <v>-32215.34</v>
          </cell>
          <cell r="U22">
            <v>16</v>
          </cell>
          <cell r="V22">
            <v>4276</v>
          </cell>
          <cell r="X22">
            <v>12</v>
          </cell>
          <cell r="Y22">
            <v>-56556</v>
          </cell>
          <cell r="AA22">
            <v>38</v>
          </cell>
          <cell r="AB22">
            <v>-102861.1</v>
          </cell>
          <cell r="BE22">
            <v>14</v>
          </cell>
          <cell r="BF22">
            <v>45948.676116100003</v>
          </cell>
          <cell r="CF22">
            <v>12</v>
          </cell>
          <cell r="CG22" t="str">
            <v>Y</v>
          </cell>
        </row>
        <row r="23">
          <cell r="C23">
            <v>14</v>
          </cell>
          <cell r="D23">
            <v>7411838.9100000001</v>
          </cell>
          <cell r="F23">
            <v>47</v>
          </cell>
          <cell r="G23">
            <v>585306.77</v>
          </cell>
          <cell r="I23">
            <v>14</v>
          </cell>
          <cell r="J23">
            <v>-1853280.79</v>
          </cell>
          <cell r="L23">
            <v>43</v>
          </cell>
          <cell r="M23">
            <v>198411.88</v>
          </cell>
          <cell r="O23">
            <v>160</v>
          </cell>
          <cell r="P23">
            <v>-113080.53</v>
          </cell>
          <cell r="R23">
            <v>16</v>
          </cell>
          <cell r="S23">
            <v>-380488</v>
          </cell>
          <cell r="U23">
            <v>17</v>
          </cell>
          <cell r="V23">
            <v>0</v>
          </cell>
          <cell r="X23">
            <v>13</v>
          </cell>
          <cell r="Y23">
            <v>-90076</v>
          </cell>
          <cell r="AA23">
            <v>40</v>
          </cell>
          <cell r="AB23">
            <v>-42215.58</v>
          </cell>
          <cell r="BE23">
            <v>15</v>
          </cell>
          <cell r="BF23">
            <v>6754.151913900002</v>
          </cell>
          <cell r="CF23">
            <v>13</v>
          </cell>
          <cell r="CG23" t="str">
            <v>Y</v>
          </cell>
        </row>
        <row r="24">
          <cell r="C24">
            <v>15</v>
          </cell>
          <cell r="D24">
            <v>293165.89</v>
          </cell>
          <cell r="F24">
            <v>51</v>
          </cell>
          <cell r="G24">
            <v>70367.09</v>
          </cell>
          <cell r="I24">
            <v>15</v>
          </cell>
          <cell r="J24">
            <v>-78528.899999999994</v>
          </cell>
          <cell r="L24">
            <v>44</v>
          </cell>
          <cell r="M24">
            <v>-87611.65</v>
          </cell>
          <cell r="R24">
            <v>17</v>
          </cell>
          <cell r="S24">
            <v>-109915.67</v>
          </cell>
          <cell r="U24">
            <v>18</v>
          </cell>
          <cell r="V24">
            <v>3950.24</v>
          </cell>
          <cell r="X24">
            <v>14</v>
          </cell>
          <cell r="Y24">
            <v>-312170</v>
          </cell>
          <cell r="AA24">
            <v>44</v>
          </cell>
          <cell r="AB24">
            <v>-12905</v>
          </cell>
          <cell r="BE24">
            <v>16</v>
          </cell>
          <cell r="BF24">
            <v>35390.350280199993</v>
          </cell>
          <cell r="CF24">
            <v>14</v>
          </cell>
          <cell r="CG24" t="str">
            <v>Y</v>
          </cell>
        </row>
        <row r="25">
          <cell r="C25">
            <v>16</v>
          </cell>
          <cell r="D25">
            <v>2236448.91</v>
          </cell>
          <cell r="F25">
            <v>53</v>
          </cell>
          <cell r="G25">
            <v>0</v>
          </cell>
          <cell r="I25">
            <v>16</v>
          </cell>
          <cell r="J25">
            <v>-623130.59</v>
          </cell>
          <cell r="L25">
            <v>51</v>
          </cell>
          <cell r="M25">
            <v>136624</v>
          </cell>
          <cell r="R25">
            <v>18</v>
          </cell>
          <cell r="S25">
            <v>-321287.40999999997</v>
          </cell>
          <cell r="U25">
            <v>20</v>
          </cell>
          <cell r="V25">
            <v>2395</v>
          </cell>
          <cell r="X25">
            <v>15</v>
          </cell>
          <cell r="Y25">
            <v>-34102</v>
          </cell>
          <cell r="AA25">
            <v>47</v>
          </cell>
          <cell r="AB25">
            <v>-36412.5</v>
          </cell>
          <cell r="BE25">
            <v>17</v>
          </cell>
          <cell r="BF25">
            <v>16165.407129700001</v>
          </cell>
          <cell r="CF25">
            <v>15</v>
          </cell>
          <cell r="CG25" t="str">
            <v>Y</v>
          </cell>
        </row>
        <row r="26">
          <cell r="C26">
            <v>17</v>
          </cell>
          <cell r="D26">
            <v>950144.29</v>
          </cell>
          <cell r="F26">
            <v>55</v>
          </cell>
          <cell r="G26">
            <v>416572.64</v>
          </cell>
          <cell r="I26">
            <v>17</v>
          </cell>
          <cell r="J26">
            <v>-340533.38</v>
          </cell>
          <cell r="L26">
            <v>52</v>
          </cell>
          <cell r="M26">
            <v>-561576</v>
          </cell>
          <cell r="R26">
            <v>20</v>
          </cell>
          <cell r="S26">
            <v>-20875.810000000001</v>
          </cell>
          <cell r="U26">
            <v>24</v>
          </cell>
          <cell r="V26">
            <v>13373.75</v>
          </cell>
          <cell r="X26">
            <v>16</v>
          </cell>
          <cell r="Y26">
            <v>-81770</v>
          </cell>
          <cell r="AA26">
            <v>53</v>
          </cell>
          <cell r="AB26">
            <v>-6238.44</v>
          </cell>
          <cell r="BE26">
            <v>18</v>
          </cell>
          <cell r="BF26">
            <v>5298.7770282999991</v>
          </cell>
          <cell r="CF26">
            <v>16</v>
          </cell>
          <cell r="CG26" t="str">
            <v>Y</v>
          </cell>
        </row>
        <row r="27">
          <cell r="C27">
            <v>18</v>
          </cell>
          <cell r="D27">
            <v>874161.07</v>
          </cell>
          <cell r="F27">
            <v>57</v>
          </cell>
          <cell r="G27">
            <v>57827.01</v>
          </cell>
          <cell r="I27">
            <v>18</v>
          </cell>
          <cell r="J27">
            <v>-332223.99</v>
          </cell>
          <cell r="L27">
            <v>53</v>
          </cell>
          <cell r="M27">
            <v>-2798273.96</v>
          </cell>
          <cell r="R27">
            <v>23</v>
          </cell>
          <cell r="S27">
            <v>-20239.14</v>
          </cell>
          <cell r="U27">
            <v>26</v>
          </cell>
          <cell r="V27">
            <v>0</v>
          </cell>
          <cell r="X27">
            <v>17</v>
          </cell>
          <cell r="Y27">
            <v>-30767</v>
          </cell>
          <cell r="AA27">
            <v>57</v>
          </cell>
          <cell r="AB27">
            <v>-47465.43</v>
          </cell>
          <cell r="BE27">
            <v>20</v>
          </cell>
          <cell r="BF27">
            <v>6115.2491770000015</v>
          </cell>
          <cell r="CF27">
            <v>17</v>
          </cell>
          <cell r="CG27" t="str">
            <v>Y</v>
          </cell>
        </row>
        <row r="28">
          <cell r="C28">
            <v>20</v>
          </cell>
          <cell r="D28">
            <v>610755</v>
          </cell>
          <cell r="F28">
            <v>58</v>
          </cell>
          <cell r="G28">
            <v>0</v>
          </cell>
          <cell r="I28">
            <v>20</v>
          </cell>
          <cell r="J28">
            <v>-172583.83</v>
          </cell>
          <cell r="L28">
            <v>55</v>
          </cell>
          <cell r="M28">
            <v>-1601495.92</v>
          </cell>
          <cell r="R28">
            <v>24</v>
          </cell>
          <cell r="S28">
            <v>-474134.68</v>
          </cell>
          <cell r="U28">
            <v>27</v>
          </cell>
          <cell r="V28">
            <v>33094.400000000001</v>
          </cell>
          <cell r="X28">
            <v>18</v>
          </cell>
          <cell r="Y28">
            <v>-35731</v>
          </cell>
          <cell r="AA28">
            <v>60</v>
          </cell>
          <cell r="AB28">
            <v>-1615</v>
          </cell>
          <cell r="BE28">
            <v>21</v>
          </cell>
          <cell r="BF28">
            <v>4122.2344814999997</v>
          </cell>
          <cell r="CF28">
            <v>18</v>
          </cell>
          <cell r="CG28" t="str">
            <v>N</v>
          </cell>
        </row>
        <row r="29">
          <cell r="C29">
            <v>21</v>
          </cell>
          <cell r="D29">
            <v>235094.33</v>
          </cell>
          <cell r="F29">
            <v>60</v>
          </cell>
          <cell r="G29">
            <v>0</v>
          </cell>
          <cell r="I29">
            <v>21</v>
          </cell>
          <cell r="J29">
            <v>-115696.76</v>
          </cell>
          <cell r="L29">
            <v>56</v>
          </cell>
          <cell r="M29">
            <v>-232530.46</v>
          </cell>
          <cell r="R29">
            <v>25</v>
          </cell>
          <cell r="S29">
            <v>-19067.2</v>
          </cell>
          <cell r="U29">
            <v>28</v>
          </cell>
          <cell r="V29">
            <v>2629.25</v>
          </cell>
          <cell r="X29">
            <v>20</v>
          </cell>
          <cell r="Y29">
            <v>-47458</v>
          </cell>
          <cell r="AA29">
            <v>62</v>
          </cell>
          <cell r="AB29">
            <v>-1524</v>
          </cell>
          <cell r="BE29">
            <v>22</v>
          </cell>
          <cell r="BF29">
            <v>1350.7821603999998</v>
          </cell>
          <cell r="CF29">
            <v>20</v>
          </cell>
          <cell r="CG29" t="str">
            <v>Y</v>
          </cell>
        </row>
        <row r="30">
          <cell r="C30">
            <v>22</v>
          </cell>
          <cell r="D30">
            <v>132153.78</v>
          </cell>
          <cell r="F30">
            <v>61</v>
          </cell>
          <cell r="G30">
            <v>125246</v>
          </cell>
          <cell r="I30">
            <v>22</v>
          </cell>
          <cell r="J30">
            <v>-6767.08</v>
          </cell>
          <cell r="L30">
            <v>61</v>
          </cell>
          <cell r="M30">
            <v>280033.48</v>
          </cell>
          <cell r="R30">
            <v>26</v>
          </cell>
          <cell r="S30">
            <v>-56246.13</v>
          </cell>
          <cell r="U30">
            <v>29</v>
          </cell>
          <cell r="V30">
            <v>1698</v>
          </cell>
          <cell r="X30">
            <v>21</v>
          </cell>
          <cell r="Y30">
            <v>-18874</v>
          </cell>
          <cell r="AA30">
            <v>64</v>
          </cell>
          <cell r="AB30">
            <v>-47743</v>
          </cell>
          <cell r="BE30">
            <v>23</v>
          </cell>
          <cell r="BF30">
            <v>4081.6110252000008</v>
          </cell>
          <cell r="CF30">
            <v>21</v>
          </cell>
          <cell r="CG30" t="str">
            <v>Y</v>
          </cell>
        </row>
        <row r="31">
          <cell r="C31">
            <v>23</v>
          </cell>
          <cell r="D31">
            <v>203461.71</v>
          </cell>
          <cell r="F31">
            <v>62</v>
          </cell>
          <cell r="G31">
            <v>14527.79</v>
          </cell>
          <cell r="I31">
            <v>23</v>
          </cell>
          <cell r="J31">
            <v>-36069.78</v>
          </cell>
          <cell r="L31">
            <v>70</v>
          </cell>
          <cell r="M31">
            <v>-464265.59</v>
          </cell>
          <cell r="R31">
            <v>27</v>
          </cell>
          <cell r="S31">
            <v>-1842389.92</v>
          </cell>
          <cell r="U31">
            <v>31</v>
          </cell>
          <cell r="V31">
            <v>11394.74</v>
          </cell>
          <cell r="X31">
            <v>22</v>
          </cell>
          <cell r="Y31">
            <v>-17440</v>
          </cell>
          <cell r="AA31">
            <v>65</v>
          </cell>
          <cell r="AB31">
            <v>-35468</v>
          </cell>
          <cell r="BE31">
            <v>24</v>
          </cell>
          <cell r="BF31">
            <v>44815.010341200003</v>
          </cell>
          <cell r="CF31">
            <v>22</v>
          </cell>
          <cell r="CG31" t="str">
            <v>Y</v>
          </cell>
        </row>
        <row r="32">
          <cell r="C32">
            <v>24</v>
          </cell>
          <cell r="D32">
            <v>3596536.84</v>
          </cell>
          <cell r="F32">
            <v>64</v>
          </cell>
          <cell r="G32">
            <v>724.25</v>
          </cell>
          <cell r="I32">
            <v>24</v>
          </cell>
          <cell r="J32">
            <v>-1005501.67</v>
          </cell>
          <cell r="L32">
            <v>71</v>
          </cell>
          <cell r="M32">
            <v>1220293.1100000001</v>
          </cell>
          <cell r="R32">
            <v>28</v>
          </cell>
          <cell r="S32">
            <v>-209858.6</v>
          </cell>
          <cell r="U32">
            <v>34</v>
          </cell>
          <cell r="V32">
            <v>93182.19</v>
          </cell>
          <cell r="X32">
            <v>23</v>
          </cell>
          <cell r="Y32">
            <v>-18872</v>
          </cell>
          <cell r="AA32">
            <v>66</v>
          </cell>
          <cell r="AB32">
            <v>-50955</v>
          </cell>
          <cell r="BE32">
            <v>25</v>
          </cell>
          <cell r="BF32">
            <v>5164.661117900001</v>
          </cell>
          <cell r="CF32">
            <v>23</v>
          </cell>
          <cell r="CG32" t="str">
            <v>Y</v>
          </cell>
        </row>
        <row r="33">
          <cell r="C33">
            <v>25</v>
          </cell>
          <cell r="D33">
            <v>775698.38</v>
          </cell>
          <cell r="F33">
            <v>65</v>
          </cell>
          <cell r="G33">
            <v>177543.03</v>
          </cell>
          <cell r="I33">
            <v>25</v>
          </cell>
          <cell r="J33">
            <v>-144440.88</v>
          </cell>
          <cell r="L33">
            <v>73</v>
          </cell>
          <cell r="M33">
            <v>336502.6</v>
          </cell>
          <cell r="R33">
            <v>29</v>
          </cell>
          <cell r="S33">
            <v>-623717.93000000005</v>
          </cell>
          <cell r="U33">
            <v>35</v>
          </cell>
          <cell r="V33">
            <v>76688.53</v>
          </cell>
          <cell r="X33">
            <v>24</v>
          </cell>
          <cell r="Y33">
            <v>-350673</v>
          </cell>
          <cell r="AA33">
            <v>67</v>
          </cell>
          <cell r="AB33">
            <v>-128520</v>
          </cell>
          <cell r="BE33">
            <v>26</v>
          </cell>
          <cell r="BF33">
            <v>9044.5252213000022</v>
          </cell>
          <cell r="CF33">
            <v>24</v>
          </cell>
          <cell r="CG33" t="str">
            <v>Y</v>
          </cell>
        </row>
        <row r="34">
          <cell r="C34">
            <v>26</v>
          </cell>
          <cell r="D34">
            <v>943325.53</v>
          </cell>
          <cell r="F34">
            <v>66</v>
          </cell>
          <cell r="G34">
            <v>147.51</v>
          </cell>
          <cell r="I34">
            <v>26</v>
          </cell>
          <cell r="J34">
            <v>-338936.06</v>
          </cell>
          <cell r="L34">
            <v>79</v>
          </cell>
          <cell r="M34">
            <v>284832.56</v>
          </cell>
          <cell r="R34">
            <v>30</v>
          </cell>
          <cell r="S34">
            <v>-109548.74</v>
          </cell>
          <cell r="U34">
            <v>36</v>
          </cell>
          <cell r="V34">
            <v>32834.71</v>
          </cell>
          <cell r="X34">
            <v>25</v>
          </cell>
          <cell r="Y34">
            <v>-38948</v>
          </cell>
          <cell r="AA34">
            <v>68</v>
          </cell>
          <cell r="AB34">
            <v>-30362</v>
          </cell>
          <cell r="BE34">
            <v>27</v>
          </cell>
          <cell r="BF34">
            <v>10698.011668800002</v>
          </cell>
          <cell r="CF34">
            <v>25</v>
          </cell>
          <cell r="CG34" t="str">
            <v>N</v>
          </cell>
        </row>
        <row r="35">
          <cell r="C35">
            <v>27</v>
          </cell>
          <cell r="D35">
            <v>3840653.03</v>
          </cell>
          <cell r="F35">
            <v>67</v>
          </cell>
          <cell r="G35">
            <v>284356.51</v>
          </cell>
          <cell r="I35">
            <v>27</v>
          </cell>
          <cell r="J35">
            <v>-318539.34999999998</v>
          </cell>
          <cell r="L35">
            <v>80</v>
          </cell>
          <cell r="M35">
            <v>-1541397.86</v>
          </cell>
          <cell r="R35">
            <v>34</v>
          </cell>
          <cell r="S35">
            <v>-1756065.79</v>
          </cell>
          <cell r="U35">
            <v>38</v>
          </cell>
          <cell r="V35">
            <v>66039.210000000006</v>
          </cell>
          <cell r="X35">
            <v>26</v>
          </cell>
          <cell r="Y35">
            <v>-144207</v>
          </cell>
          <cell r="AA35">
            <v>69</v>
          </cell>
          <cell r="AB35">
            <v>-31800</v>
          </cell>
          <cell r="BE35">
            <v>28</v>
          </cell>
          <cell r="BF35">
            <v>2454.4645709000006</v>
          </cell>
          <cell r="CF35">
            <v>26</v>
          </cell>
          <cell r="CG35" t="str">
            <v>Y</v>
          </cell>
        </row>
        <row r="36">
          <cell r="C36">
            <v>28</v>
          </cell>
          <cell r="D36">
            <v>439548.09</v>
          </cell>
          <cell r="F36">
            <v>68</v>
          </cell>
          <cell r="G36">
            <v>16881.75</v>
          </cell>
          <cell r="I36">
            <v>28</v>
          </cell>
          <cell r="J36">
            <v>-141469.26</v>
          </cell>
          <cell r="L36">
            <v>83</v>
          </cell>
          <cell r="M36">
            <v>-235041.22</v>
          </cell>
          <cell r="R36">
            <v>35</v>
          </cell>
          <cell r="S36">
            <v>-2337923.81</v>
          </cell>
          <cell r="U36">
            <v>40</v>
          </cell>
          <cell r="V36">
            <v>0</v>
          </cell>
          <cell r="X36">
            <v>27</v>
          </cell>
          <cell r="Y36">
            <v>-113675</v>
          </cell>
          <cell r="AA36">
            <v>70</v>
          </cell>
          <cell r="AB36">
            <v>-215027.33</v>
          </cell>
          <cell r="BE36">
            <v>29</v>
          </cell>
          <cell r="BF36">
            <v>8762.436387400001</v>
          </cell>
          <cell r="CF36">
            <v>27</v>
          </cell>
          <cell r="CG36" t="str">
            <v>Y</v>
          </cell>
        </row>
        <row r="37">
          <cell r="C37">
            <v>29</v>
          </cell>
          <cell r="D37">
            <v>1097276.03</v>
          </cell>
          <cell r="F37">
            <v>69</v>
          </cell>
          <cell r="G37">
            <v>18135.75</v>
          </cell>
          <cell r="I37">
            <v>29</v>
          </cell>
          <cell r="J37">
            <v>-264593.96999999997</v>
          </cell>
          <cell r="L37">
            <v>86</v>
          </cell>
          <cell r="M37">
            <v>341225.02</v>
          </cell>
          <cell r="R37">
            <v>36</v>
          </cell>
          <cell r="S37">
            <v>-6463721.5499999998</v>
          </cell>
          <cell r="U37">
            <v>41</v>
          </cell>
          <cell r="V37">
            <v>5027.5</v>
          </cell>
          <cell r="X37">
            <v>28</v>
          </cell>
          <cell r="Y37">
            <v>-16878</v>
          </cell>
          <cell r="AA37">
            <v>71</v>
          </cell>
          <cell r="AB37">
            <v>-120856.94</v>
          </cell>
          <cell r="BE37">
            <v>30</v>
          </cell>
          <cell r="BF37">
            <v>7574.9101197999998</v>
          </cell>
          <cell r="CF37">
            <v>28</v>
          </cell>
          <cell r="CG37" t="str">
            <v>Y</v>
          </cell>
        </row>
        <row r="38">
          <cell r="C38">
            <v>30</v>
          </cell>
          <cell r="D38">
            <v>584834.87</v>
          </cell>
          <cell r="F38">
            <v>70</v>
          </cell>
          <cell r="G38">
            <v>502973.87</v>
          </cell>
          <cell r="I38">
            <v>30</v>
          </cell>
          <cell r="J38">
            <v>-239932.23</v>
          </cell>
          <cell r="L38">
            <v>87</v>
          </cell>
          <cell r="M38">
            <v>-3777502.16</v>
          </cell>
          <cell r="R38">
            <v>38</v>
          </cell>
          <cell r="S38">
            <v>-3040932.78</v>
          </cell>
          <cell r="U38">
            <v>42</v>
          </cell>
          <cell r="V38">
            <v>12829.22</v>
          </cell>
          <cell r="X38">
            <v>29</v>
          </cell>
          <cell r="Y38">
            <v>-21250</v>
          </cell>
          <cell r="AA38">
            <v>72</v>
          </cell>
          <cell r="AB38">
            <v>-13800</v>
          </cell>
          <cell r="BE38">
            <v>32</v>
          </cell>
          <cell r="BF38">
            <v>160.50348879999993</v>
          </cell>
          <cell r="CF38">
            <v>29</v>
          </cell>
          <cell r="CG38" t="str">
            <v>Y</v>
          </cell>
        </row>
        <row r="39">
          <cell r="C39">
            <v>31</v>
          </cell>
          <cell r="D39">
            <v>424701.88</v>
          </cell>
          <cell r="F39">
            <v>71</v>
          </cell>
          <cell r="G39">
            <v>481354.69</v>
          </cell>
          <cell r="I39">
            <v>31</v>
          </cell>
          <cell r="J39">
            <v>-286864.78000000003</v>
          </cell>
          <cell r="L39">
            <v>90</v>
          </cell>
          <cell r="M39">
            <v>433739.42</v>
          </cell>
          <cell r="R39">
            <v>40</v>
          </cell>
          <cell r="S39">
            <v>-2667782.39</v>
          </cell>
          <cell r="U39">
            <v>43</v>
          </cell>
          <cell r="V39">
            <v>2655.75</v>
          </cell>
          <cell r="X39">
            <v>30</v>
          </cell>
          <cell r="Y39">
            <v>-28960</v>
          </cell>
          <cell r="AA39">
            <v>73</v>
          </cell>
          <cell r="AB39">
            <v>-36730.550000000003</v>
          </cell>
          <cell r="BE39">
            <v>33</v>
          </cell>
          <cell r="BF39">
            <v>895.31728299999975</v>
          </cell>
          <cell r="CF39">
            <v>30</v>
          </cell>
          <cell r="CG39" t="str">
            <v>Y</v>
          </cell>
        </row>
        <row r="40">
          <cell r="C40">
            <v>34</v>
          </cell>
          <cell r="D40">
            <v>4312300.16</v>
          </cell>
          <cell r="F40">
            <v>72</v>
          </cell>
          <cell r="G40">
            <v>0</v>
          </cell>
          <cell r="I40">
            <v>34</v>
          </cell>
          <cell r="J40">
            <v>-524274.72</v>
          </cell>
          <cell r="L40">
            <v>103</v>
          </cell>
          <cell r="M40">
            <v>441303.48</v>
          </cell>
          <cell r="R40">
            <v>41</v>
          </cell>
          <cell r="S40">
            <v>-384013.4</v>
          </cell>
          <cell r="U40">
            <v>44</v>
          </cell>
          <cell r="V40">
            <v>0</v>
          </cell>
          <cell r="X40">
            <v>31</v>
          </cell>
          <cell r="Y40">
            <v>-10408</v>
          </cell>
          <cell r="AA40">
            <v>74</v>
          </cell>
          <cell r="AB40">
            <v>-1200</v>
          </cell>
          <cell r="BE40">
            <v>34</v>
          </cell>
          <cell r="BF40">
            <v>22107.898132900002</v>
          </cell>
          <cell r="CF40">
            <v>31</v>
          </cell>
          <cell r="CG40" t="str">
            <v>Y</v>
          </cell>
        </row>
        <row r="41">
          <cell r="C41">
            <v>35</v>
          </cell>
          <cell r="D41">
            <v>7592242.75</v>
          </cell>
          <cell r="F41">
            <v>73</v>
          </cell>
          <cell r="G41">
            <v>166544.25</v>
          </cell>
          <cell r="I41">
            <v>35</v>
          </cell>
          <cell r="J41">
            <v>-723303.78</v>
          </cell>
          <cell r="L41">
            <v>105</v>
          </cell>
          <cell r="M41">
            <v>958924.18</v>
          </cell>
          <cell r="R41">
            <v>42</v>
          </cell>
          <cell r="S41">
            <v>-328081.02</v>
          </cell>
          <cell r="U41">
            <v>47</v>
          </cell>
          <cell r="V41">
            <v>8730.5</v>
          </cell>
          <cell r="X41">
            <v>34</v>
          </cell>
          <cell r="Y41">
            <v>-269988</v>
          </cell>
          <cell r="AA41">
            <v>75</v>
          </cell>
          <cell r="AB41">
            <v>-35168</v>
          </cell>
          <cell r="BE41">
            <v>35</v>
          </cell>
          <cell r="BF41">
            <v>30831.339511800004</v>
          </cell>
          <cell r="CF41">
            <v>32</v>
          </cell>
          <cell r="CG41" t="str">
            <v>Y</v>
          </cell>
        </row>
        <row r="42">
          <cell r="C42">
            <v>36</v>
          </cell>
          <cell r="D42">
            <v>14628820.08</v>
          </cell>
          <cell r="F42">
            <v>74</v>
          </cell>
          <cell r="G42">
            <v>31.25</v>
          </cell>
          <cell r="I42">
            <v>36</v>
          </cell>
          <cell r="J42">
            <v>-2067870.39</v>
          </cell>
          <cell r="L42">
            <v>106</v>
          </cell>
          <cell r="M42">
            <v>-263680.64000000001</v>
          </cell>
          <cell r="R42">
            <v>43</v>
          </cell>
          <cell r="S42">
            <v>-597213.81000000006</v>
          </cell>
          <cell r="U42">
            <v>50</v>
          </cell>
          <cell r="V42">
            <v>20901.91</v>
          </cell>
          <cell r="X42">
            <v>35</v>
          </cell>
          <cell r="Y42">
            <v>-521846</v>
          </cell>
          <cell r="AA42">
            <v>77</v>
          </cell>
          <cell r="AB42">
            <v>0</v>
          </cell>
          <cell r="BE42">
            <v>36</v>
          </cell>
          <cell r="BF42">
            <v>50643.837685499981</v>
          </cell>
          <cell r="CF42">
            <v>33</v>
          </cell>
          <cell r="CG42" t="str">
            <v>Y</v>
          </cell>
        </row>
        <row r="43">
          <cell r="C43">
            <v>38</v>
          </cell>
          <cell r="D43">
            <v>22374298.640000001</v>
          </cell>
          <cell r="F43">
            <v>75</v>
          </cell>
          <cell r="G43">
            <v>266142.37</v>
          </cell>
          <cell r="I43">
            <v>38</v>
          </cell>
          <cell r="J43">
            <v>-4805178.1399999997</v>
          </cell>
          <cell r="L43">
            <v>107</v>
          </cell>
          <cell r="M43">
            <v>476560.11</v>
          </cell>
          <cell r="R43">
            <v>44</v>
          </cell>
          <cell r="S43">
            <v>-1217893.01</v>
          </cell>
          <cell r="U43">
            <v>51</v>
          </cell>
          <cell r="V43">
            <v>24597.439999999999</v>
          </cell>
          <cell r="X43">
            <v>36</v>
          </cell>
          <cell r="Y43">
            <v>-869454</v>
          </cell>
          <cell r="AA43">
            <v>79</v>
          </cell>
          <cell r="AB43">
            <v>-59355</v>
          </cell>
          <cell r="BE43">
            <v>38</v>
          </cell>
          <cell r="BF43">
            <v>41384.864358200015</v>
          </cell>
          <cell r="CF43">
            <v>34</v>
          </cell>
          <cell r="CG43" t="str">
            <v>N</v>
          </cell>
        </row>
        <row r="44">
          <cell r="C44">
            <v>40</v>
          </cell>
          <cell r="D44">
            <v>6854342.9100000001</v>
          </cell>
          <cell r="F44">
            <v>79</v>
          </cell>
          <cell r="G44">
            <v>312.5</v>
          </cell>
          <cell r="I44">
            <v>40</v>
          </cell>
          <cell r="J44">
            <v>-1182417.1299999999</v>
          </cell>
          <cell r="L44">
            <v>108</v>
          </cell>
          <cell r="M44">
            <v>465759</v>
          </cell>
          <cell r="R44">
            <v>47</v>
          </cell>
          <cell r="S44">
            <v>-16854127.93</v>
          </cell>
          <cell r="U44">
            <v>52</v>
          </cell>
          <cell r="V44">
            <v>1055.5</v>
          </cell>
          <cell r="X44">
            <v>38</v>
          </cell>
          <cell r="Y44">
            <v>-818893</v>
          </cell>
          <cell r="AA44">
            <v>80</v>
          </cell>
          <cell r="AB44">
            <v>-451397.88</v>
          </cell>
          <cell r="BE44">
            <v>40</v>
          </cell>
          <cell r="BF44">
            <v>10270.235442000001</v>
          </cell>
          <cell r="CF44">
            <v>35</v>
          </cell>
          <cell r="CG44" t="str">
            <v>Y</v>
          </cell>
        </row>
        <row r="45">
          <cell r="C45">
            <v>41</v>
          </cell>
          <cell r="D45">
            <v>1308825.4099999999</v>
          </cell>
          <cell r="F45">
            <v>80</v>
          </cell>
          <cell r="G45">
            <v>1076879.6599999999</v>
          </cell>
          <cell r="I45">
            <v>41</v>
          </cell>
          <cell r="J45">
            <v>-225019.62</v>
          </cell>
          <cell r="L45">
            <v>120</v>
          </cell>
          <cell r="M45">
            <v>883155.33</v>
          </cell>
          <cell r="R45">
            <v>50</v>
          </cell>
          <cell r="S45">
            <v>-70077.86</v>
          </cell>
          <cell r="U45">
            <v>53</v>
          </cell>
          <cell r="V45">
            <v>53197.79</v>
          </cell>
          <cell r="X45">
            <v>40</v>
          </cell>
          <cell r="Y45">
            <v>-502348</v>
          </cell>
          <cell r="AA45">
            <v>81</v>
          </cell>
          <cell r="AB45">
            <v>-600</v>
          </cell>
          <cell r="BE45">
            <v>41</v>
          </cell>
          <cell r="BF45">
            <v>1371.1207386999999</v>
          </cell>
          <cell r="CF45">
            <v>36</v>
          </cell>
          <cell r="CG45" t="str">
            <v>Y</v>
          </cell>
        </row>
        <row r="46">
          <cell r="C46">
            <v>42</v>
          </cell>
          <cell r="D46">
            <v>1557599.9</v>
          </cell>
          <cell r="F46">
            <v>83</v>
          </cell>
          <cell r="G46">
            <v>236570.77</v>
          </cell>
          <cell r="I46">
            <v>42</v>
          </cell>
          <cell r="J46">
            <v>-405081.52</v>
          </cell>
          <cell r="L46">
            <v>121</v>
          </cell>
          <cell r="M46">
            <v>4106.7</v>
          </cell>
          <cell r="R46">
            <v>51</v>
          </cell>
          <cell r="S46">
            <v>-218902.12</v>
          </cell>
          <cell r="U46">
            <v>55</v>
          </cell>
          <cell r="V46">
            <v>0</v>
          </cell>
          <cell r="X46">
            <v>41</v>
          </cell>
          <cell r="Y46">
            <v>-104020</v>
          </cell>
          <cell r="AA46">
            <v>83</v>
          </cell>
          <cell r="AB46">
            <v>-42845</v>
          </cell>
          <cell r="BE46">
            <v>42</v>
          </cell>
          <cell r="BF46">
            <v>5406.1091174999983</v>
          </cell>
          <cell r="CF46">
            <v>38</v>
          </cell>
          <cell r="CG46" t="str">
            <v>Y</v>
          </cell>
        </row>
        <row r="47">
          <cell r="C47">
            <v>43</v>
          </cell>
          <cell r="D47">
            <v>2207031.3199999998</v>
          </cell>
          <cell r="F47">
            <v>86</v>
          </cell>
          <cell r="G47">
            <v>282956.40000000002</v>
          </cell>
          <cell r="I47">
            <v>43</v>
          </cell>
          <cell r="J47">
            <v>-869173.47</v>
          </cell>
          <cell r="L47">
            <v>123</v>
          </cell>
          <cell r="M47">
            <v>45333.52</v>
          </cell>
          <cell r="R47">
            <v>52</v>
          </cell>
          <cell r="S47">
            <v>-1658405.65</v>
          </cell>
          <cell r="U47">
            <v>56</v>
          </cell>
          <cell r="V47">
            <v>12769.75</v>
          </cell>
          <cell r="X47">
            <v>42</v>
          </cell>
          <cell r="Y47">
            <v>-78231</v>
          </cell>
          <cell r="AA47">
            <v>86</v>
          </cell>
          <cell r="AB47">
            <v>-5725</v>
          </cell>
          <cell r="BE47">
            <v>43</v>
          </cell>
          <cell r="BF47">
            <v>8572.7909542999987</v>
          </cell>
          <cell r="CF47">
            <v>40</v>
          </cell>
          <cell r="CG47" t="str">
            <v>Y</v>
          </cell>
        </row>
        <row r="48">
          <cell r="C48">
            <v>44</v>
          </cell>
          <cell r="D48">
            <v>4326803.03</v>
          </cell>
          <cell r="F48">
            <v>87</v>
          </cell>
          <cell r="G48">
            <v>120592.92</v>
          </cell>
          <cell r="I48">
            <v>44</v>
          </cell>
          <cell r="J48">
            <v>-1447080.49</v>
          </cell>
          <cell r="L48">
            <v>133</v>
          </cell>
          <cell r="M48">
            <v>-1300309.8600000001</v>
          </cell>
          <cell r="R48">
            <v>55</v>
          </cell>
          <cell r="S48">
            <v>-13016904.640000001</v>
          </cell>
          <cell r="U48">
            <v>57</v>
          </cell>
          <cell r="V48">
            <v>253545.27</v>
          </cell>
          <cell r="X48">
            <v>43</v>
          </cell>
          <cell r="Y48">
            <v>-179342</v>
          </cell>
          <cell r="AA48">
            <v>87</v>
          </cell>
          <cell r="AB48">
            <v>-350</v>
          </cell>
          <cell r="BE48">
            <v>44</v>
          </cell>
          <cell r="BF48">
            <v>7985.5789596999994</v>
          </cell>
          <cell r="CF48">
            <v>41</v>
          </cell>
          <cell r="CG48" t="str">
            <v>Y</v>
          </cell>
        </row>
        <row r="49">
          <cell r="C49">
            <v>47</v>
          </cell>
          <cell r="D49">
            <v>23902484.170000002</v>
          </cell>
          <cell r="F49">
            <v>88</v>
          </cell>
          <cell r="G49">
            <v>255.25</v>
          </cell>
          <cell r="I49">
            <v>47</v>
          </cell>
          <cell r="J49">
            <v>-1720999.26</v>
          </cell>
          <cell r="L49">
            <v>140</v>
          </cell>
          <cell r="M49">
            <v>524032.2</v>
          </cell>
          <cell r="R49">
            <v>56</v>
          </cell>
          <cell r="S49">
            <v>-860113.12</v>
          </cell>
          <cell r="U49">
            <v>58</v>
          </cell>
          <cell r="V49">
            <v>6050.5</v>
          </cell>
          <cell r="X49">
            <v>44</v>
          </cell>
          <cell r="Y49">
            <v>-314366</v>
          </cell>
          <cell r="AA49">
            <v>89</v>
          </cell>
          <cell r="AB49">
            <v>-270975.21000000002</v>
          </cell>
          <cell r="BE49">
            <v>47</v>
          </cell>
          <cell r="BF49">
            <v>21997.196783200012</v>
          </cell>
          <cell r="CF49">
            <v>42</v>
          </cell>
          <cell r="CG49" t="str">
            <v>N</v>
          </cell>
        </row>
        <row r="50">
          <cell r="C50">
            <v>50</v>
          </cell>
          <cell r="D50">
            <v>1285259.99</v>
          </cell>
          <cell r="F50">
            <v>89</v>
          </cell>
          <cell r="G50">
            <v>3112341.05</v>
          </cell>
          <cell r="I50">
            <v>50</v>
          </cell>
          <cell r="J50">
            <v>-377677.53</v>
          </cell>
          <cell r="L50">
            <v>150</v>
          </cell>
          <cell r="M50">
            <v>162244.29999999999</v>
          </cell>
          <cell r="R50">
            <v>57</v>
          </cell>
          <cell r="S50">
            <v>-369385.7</v>
          </cell>
          <cell r="U50">
            <v>60</v>
          </cell>
          <cell r="V50">
            <v>173411.66</v>
          </cell>
          <cell r="X50">
            <v>47</v>
          </cell>
          <cell r="Y50">
            <v>-461936</v>
          </cell>
          <cell r="AA50">
            <v>90</v>
          </cell>
          <cell r="AB50">
            <v>-84690</v>
          </cell>
          <cell r="BE50">
            <v>50</v>
          </cell>
          <cell r="BF50">
            <v>5997.1502156999986</v>
          </cell>
          <cell r="CF50">
            <v>43</v>
          </cell>
          <cell r="CG50" t="str">
            <v>N</v>
          </cell>
        </row>
        <row r="51">
          <cell r="C51">
            <v>51</v>
          </cell>
          <cell r="D51">
            <v>995497.86</v>
          </cell>
          <cell r="F51">
            <v>90</v>
          </cell>
          <cell r="G51">
            <v>122476.85</v>
          </cell>
          <cell r="I51">
            <v>51</v>
          </cell>
          <cell r="J51">
            <v>-401003.12</v>
          </cell>
          <cell r="L51">
            <v>151</v>
          </cell>
          <cell r="M51">
            <v>1209503.26</v>
          </cell>
          <cell r="R51">
            <v>58</v>
          </cell>
          <cell r="S51">
            <v>-103730.28</v>
          </cell>
          <cell r="U51">
            <v>61</v>
          </cell>
          <cell r="V51">
            <v>74441.67</v>
          </cell>
          <cell r="X51">
            <v>50</v>
          </cell>
          <cell r="Y51">
            <v>-68215</v>
          </cell>
          <cell r="AA51">
            <v>91</v>
          </cell>
          <cell r="AB51">
            <v>-16325</v>
          </cell>
          <cell r="BE51">
            <v>51</v>
          </cell>
          <cell r="BF51">
            <v>3767.6126438999981</v>
          </cell>
          <cell r="CF51">
            <v>44</v>
          </cell>
          <cell r="CG51" t="str">
            <v>Y</v>
          </cell>
        </row>
        <row r="52">
          <cell r="C52">
            <v>52</v>
          </cell>
          <cell r="D52">
            <v>4672606</v>
          </cell>
          <cell r="F52">
            <v>91</v>
          </cell>
          <cell r="G52">
            <v>386.5</v>
          </cell>
          <cell r="I52">
            <v>52</v>
          </cell>
          <cell r="J52">
            <v>-1576284.55</v>
          </cell>
          <cell r="L52">
            <v>160</v>
          </cell>
          <cell r="M52">
            <v>-172043.12</v>
          </cell>
          <cell r="R52">
            <v>60</v>
          </cell>
          <cell r="S52">
            <v>-4703721.47</v>
          </cell>
          <cell r="U52">
            <v>62</v>
          </cell>
          <cell r="V52">
            <v>150</v>
          </cell>
          <cell r="X52">
            <v>51</v>
          </cell>
          <cell r="Y52">
            <v>-98179</v>
          </cell>
          <cell r="AA52">
            <v>92</v>
          </cell>
          <cell r="AB52">
            <v>-45</v>
          </cell>
          <cell r="BE52">
            <v>52</v>
          </cell>
          <cell r="BF52">
            <v>7379.2947365000009</v>
          </cell>
          <cell r="CF52">
            <v>47</v>
          </cell>
          <cell r="CG52" t="str">
            <v>Y</v>
          </cell>
        </row>
        <row r="53">
          <cell r="C53">
            <v>53</v>
          </cell>
          <cell r="D53">
            <v>8530989.9800000004</v>
          </cell>
          <cell r="F53">
            <v>93</v>
          </cell>
          <cell r="G53">
            <v>0</v>
          </cell>
          <cell r="I53">
            <v>53</v>
          </cell>
          <cell r="J53">
            <v>-2285484.8199999998</v>
          </cell>
          <cell r="L53">
            <v>165</v>
          </cell>
          <cell r="M53">
            <v>1017337.28</v>
          </cell>
          <cell r="R53">
            <v>61</v>
          </cell>
          <cell r="S53">
            <v>-638289.77</v>
          </cell>
          <cell r="U53">
            <v>64</v>
          </cell>
          <cell r="V53">
            <v>117707.89</v>
          </cell>
          <cell r="X53">
            <v>52</v>
          </cell>
          <cell r="Y53">
            <v>-113062</v>
          </cell>
          <cell r="AA53">
            <v>101</v>
          </cell>
          <cell r="AB53">
            <v>-125339.11</v>
          </cell>
          <cell r="BE53">
            <v>53</v>
          </cell>
          <cell r="BF53">
            <v>16655.742690500003</v>
          </cell>
          <cell r="CF53">
            <v>50</v>
          </cell>
          <cell r="CG53" t="str">
            <v>Y</v>
          </cell>
        </row>
        <row r="54">
          <cell r="C54">
            <v>55</v>
          </cell>
          <cell r="D54">
            <v>21289444.280000001</v>
          </cell>
          <cell r="F54">
            <v>101</v>
          </cell>
          <cell r="G54">
            <v>388441.11</v>
          </cell>
          <cell r="I54">
            <v>55</v>
          </cell>
          <cell r="J54">
            <v>-2861271.17</v>
          </cell>
          <cell r="R54">
            <v>62</v>
          </cell>
          <cell r="S54">
            <v>-96434.69</v>
          </cell>
          <cell r="U54">
            <v>65</v>
          </cell>
          <cell r="V54">
            <v>0</v>
          </cell>
          <cell r="X54">
            <v>53</v>
          </cell>
          <cell r="Y54">
            <v>-293613</v>
          </cell>
          <cell r="AA54">
            <v>103</v>
          </cell>
          <cell r="AB54">
            <v>-16500</v>
          </cell>
          <cell r="BE54">
            <v>55</v>
          </cell>
          <cell r="BF54">
            <v>41382.913161699995</v>
          </cell>
          <cell r="CF54">
            <v>51</v>
          </cell>
          <cell r="CG54" t="str">
            <v>N</v>
          </cell>
        </row>
        <row r="55">
          <cell r="C55">
            <v>56</v>
          </cell>
          <cell r="D55">
            <v>2115622.66</v>
          </cell>
          <cell r="F55">
            <v>103</v>
          </cell>
          <cell r="G55">
            <v>59409.5</v>
          </cell>
          <cell r="I55">
            <v>56</v>
          </cell>
          <cell r="J55">
            <v>-589573.04</v>
          </cell>
          <cell r="R55">
            <v>64</v>
          </cell>
          <cell r="S55">
            <v>-145201.68</v>
          </cell>
          <cell r="U55">
            <v>66</v>
          </cell>
          <cell r="V55">
            <v>29246.61</v>
          </cell>
          <cell r="X55">
            <v>55</v>
          </cell>
          <cell r="Y55">
            <v>185917</v>
          </cell>
          <cell r="AA55">
            <v>104</v>
          </cell>
          <cell r="AB55">
            <v>-11424</v>
          </cell>
          <cell r="BE55">
            <v>56</v>
          </cell>
          <cell r="BF55">
            <v>2453.5620121999991</v>
          </cell>
          <cell r="CF55">
            <v>52</v>
          </cell>
          <cell r="CG55" t="str">
            <v>Y</v>
          </cell>
        </row>
        <row r="56">
          <cell r="C56">
            <v>57</v>
          </cell>
          <cell r="D56">
            <v>2169497.9700000002</v>
          </cell>
          <cell r="F56">
            <v>104</v>
          </cell>
          <cell r="G56">
            <v>0</v>
          </cell>
          <cell r="I56">
            <v>57</v>
          </cell>
          <cell r="J56">
            <v>-747885.22</v>
          </cell>
          <cell r="R56">
            <v>65</v>
          </cell>
          <cell r="S56">
            <v>-78140.649999999994</v>
          </cell>
          <cell r="U56">
            <v>67</v>
          </cell>
          <cell r="V56">
            <v>176495.72</v>
          </cell>
          <cell r="X56">
            <v>56</v>
          </cell>
          <cell r="Y56">
            <v>-48066</v>
          </cell>
          <cell r="AA56">
            <v>105</v>
          </cell>
          <cell r="AB56">
            <v>-41255</v>
          </cell>
          <cell r="BE56">
            <v>57</v>
          </cell>
          <cell r="BF56">
            <v>6736.9271866999961</v>
          </cell>
          <cell r="CF56">
            <v>53</v>
          </cell>
          <cell r="CG56" t="str">
            <v>Y</v>
          </cell>
        </row>
        <row r="57">
          <cell r="C57">
            <v>58</v>
          </cell>
          <cell r="D57">
            <v>1393943.34</v>
          </cell>
          <cell r="F57">
            <v>105</v>
          </cell>
          <cell r="G57">
            <v>0</v>
          </cell>
          <cell r="I57">
            <v>58</v>
          </cell>
          <cell r="J57">
            <v>-136550.89000000001</v>
          </cell>
          <cell r="R57">
            <v>66</v>
          </cell>
          <cell r="S57">
            <v>-1816888.82</v>
          </cell>
          <cell r="U57">
            <v>68</v>
          </cell>
          <cell r="V57">
            <v>56508.37</v>
          </cell>
          <cell r="X57">
            <v>57</v>
          </cell>
          <cell r="Y57">
            <v>-250693</v>
          </cell>
          <cell r="AA57">
            <v>107</v>
          </cell>
          <cell r="AB57">
            <v>-10706</v>
          </cell>
          <cell r="BE57">
            <v>60</v>
          </cell>
          <cell r="BF57">
            <v>42501.437761800007</v>
          </cell>
          <cell r="CF57">
            <v>55</v>
          </cell>
          <cell r="CG57" t="str">
            <v>Y</v>
          </cell>
        </row>
        <row r="58">
          <cell r="C58">
            <v>60</v>
          </cell>
          <cell r="D58">
            <v>16476701.039999999</v>
          </cell>
          <cell r="F58">
            <v>106</v>
          </cell>
          <cell r="G58">
            <v>109930.87</v>
          </cell>
          <cell r="I58">
            <v>60</v>
          </cell>
          <cell r="J58">
            <v>-3634428.02</v>
          </cell>
          <cell r="R58">
            <v>67</v>
          </cell>
          <cell r="S58">
            <v>-9859876.0299999993</v>
          </cell>
          <cell r="U58">
            <v>69</v>
          </cell>
          <cell r="V58">
            <v>40434.93</v>
          </cell>
          <cell r="X58">
            <v>58</v>
          </cell>
          <cell r="Y58">
            <v>-85254</v>
          </cell>
          <cell r="AA58">
            <v>109</v>
          </cell>
          <cell r="AB58">
            <v>-8534</v>
          </cell>
          <cell r="BE58">
            <v>61</v>
          </cell>
          <cell r="BF58">
            <v>5610.7077346999995</v>
          </cell>
          <cell r="CF58">
            <v>56</v>
          </cell>
          <cell r="CG58" t="str">
            <v>Y</v>
          </cell>
        </row>
        <row r="59">
          <cell r="C59">
            <v>61</v>
          </cell>
          <cell r="D59">
            <v>3298819.64</v>
          </cell>
          <cell r="F59">
            <v>107</v>
          </cell>
          <cell r="G59">
            <v>0</v>
          </cell>
          <cell r="I59">
            <v>61</v>
          </cell>
          <cell r="J59">
            <v>-1911967.45</v>
          </cell>
          <cell r="R59">
            <v>68</v>
          </cell>
          <cell r="S59">
            <v>-689127.77</v>
          </cell>
          <cell r="U59">
            <v>70</v>
          </cell>
          <cell r="V59">
            <v>353530.4</v>
          </cell>
          <cell r="X59">
            <v>60</v>
          </cell>
          <cell r="Y59">
            <v>-804889</v>
          </cell>
          <cell r="AA59">
            <v>120</v>
          </cell>
          <cell r="AB59">
            <v>-4742.5</v>
          </cell>
          <cell r="BE59">
            <v>62</v>
          </cell>
          <cell r="BF59">
            <v>1807.3653587999995</v>
          </cell>
          <cell r="CF59">
            <v>57</v>
          </cell>
          <cell r="CG59" t="str">
            <v>Y</v>
          </cell>
        </row>
        <row r="60">
          <cell r="C60">
            <v>62</v>
          </cell>
          <cell r="D60">
            <v>907808.23</v>
          </cell>
          <cell r="F60">
            <v>108</v>
          </cell>
          <cell r="G60">
            <v>75.25</v>
          </cell>
          <cell r="I60">
            <v>62</v>
          </cell>
          <cell r="J60">
            <v>-440381.76</v>
          </cell>
          <cell r="R60">
            <v>69</v>
          </cell>
          <cell r="S60">
            <v>-3846987.72</v>
          </cell>
          <cell r="U60">
            <v>71</v>
          </cell>
          <cell r="V60">
            <v>236274.88</v>
          </cell>
          <cell r="X60">
            <v>61</v>
          </cell>
          <cell r="Y60">
            <v>-87493</v>
          </cell>
          <cell r="AA60">
            <v>121</v>
          </cell>
          <cell r="AB60">
            <v>-1425</v>
          </cell>
          <cell r="BE60">
            <v>64</v>
          </cell>
          <cell r="BF60">
            <v>6913.0273951000017</v>
          </cell>
          <cell r="CF60">
            <v>58</v>
          </cell>
          <cell r="CG60" t="str">
            <v>Y</v>
          </cell>
        </row>
        <row r="61">
          <cell r="C61">
            <v>64</v>
          </cell>
          <cell r="D61">
            <v>4333654.71</v>
          </cell>
          <cell r="F61">
            <v>109</v>
          </cell>
          <cell r="G61">
            <v>304709.61</v>
          </cell>
          <cell r="I61">
            <v>64</v>
          </cell>
          <cell r="J61">
            <v>-2025911.26</v>
          </cell>
          <cell r="R61">
            <v>70</v>
          </cell>
          <cell r="S61">
            <v>-15157623.33</v>
          </cell>
          <cell r="U61">
            <v>72</v>
          </cell>
          <cell r="V61">
            <v>31885.51</v>
          </cell>
          <cell r="X61">
            <v>62</v>
          </cell>
          <cell r="Y61">
            <v>-20502</v>
          </cell>
          <cell r="AA61">
            <v>122</v>
          </cell>
          <cell r="AB61">
            <v>-24100</v>
          </cell>
          <cell r="BE61">
            <v>65</v>
          </cell>
          <cell r="BF61">
            <v>13446.453393099997</v>
          </cell>
          <cell r="CF61">
            <v>60</v>
          </cell>
          <cell r="CG61" t="str">
            <v>Y</v>
          </cell>
        </row>
        <row r="62">
          <cell r="C62">
            <v>65</v>
          </cell>
          <cell r="D62">
            <v>1544826.35</v>
          </cell>
          <cell r="F62">
            <v>120</v>
          </cell>
          <cell r="G62">
            <v>1036269.01</v>
          </cell>
          <cell r="I62">
            <v>65</v>
          </cell>
          <cell r="J62">
            <v>-245734.2</v>
          </cell>
          <cell r="R62">
            <v>71</v>
          </cell>
          <cell r="S62">
            <v>-36562.44</v>
          </cell>
          <cell r="U62">
            <v>73</v>
          </cell>
          <cell r="V62">
            <v>65779.62</v>
          </cell>
          <cell r="X62">
            <v>64</v>
          </cell>
          <cell r="Y62">
            <v>-228794</v>
          </cell>
          <cell r="AA62">
            <v>123</v>
          </cell>
          <cell r="AB62">
            <v>-550</v>
          </cell>
          <cell r="BE62">
            <v>66</v>
          </cell>
          <cell r="BF62">
            <v>14386.646283100003</v>
          </cell>
          <cell r="CF62">
            <v>61</v>
          </cell>
          <cell r="CG62" t="str">
            <v>N</v>
          </cell>
        </row>
        <row r="63">
          <cell r="C63">
            <v>66</v>
          </cell>
          <cell r="D63">
            <v>6542895.0700000003</v>
          </cell>
          <cell r="F63">
            <v>122</v>
          </cell>
          <cell r="G63">
            <v>210.25</v>
          </cell>
          <cell r="I63">
            <v>66</v>
          </cell>
          <cell r="J63">
            <v>-2020524.76</v>
          </cell>
          <cell r="R63">
            <v>72</v>
          </cell>
          <cell r="S63">
            <v>-769694.03</v>
          </cell>
          <cell r="U63">
            <v>74</v>
          </cell>
          <cell r="V63">
            <v>1648</v>
          </cell>
          <cell r="X63">
            <v>65</v>
          </cell>
          <cell r="Y63">
            <v>-186146</v>
          </cell>
          <cell r="AA63">
            <v>133</v>
          </cell>
          <cell r="AB63">
            <v>-3950</v>
          </cell>
          <cell r="BE63">
            <v>67</v>
          </cell>
          <cell r="BF63">
            <v>53238.977536699997</v>
          </cell>
          <cell r="CF63">
            <v>62</v>
          </cell>
          <cell r="CG63" t="str">
            <v>Y</v>
          </cell>
        </row>
        <row r="64">
          <cell r="C64">
            <v>67</v>
          </cell>
          <cell r="D64">
            <v>22426270.309999999</v>
          </cell>
          <cell r="F64">
            <v>123</v>
          </cell>
          <cell r="G64">
            <v>22072</v>
          </cell>
          <cell r="I64">
            <v>67</v>
          </cell>
          <cell r="J64">
            <v>-6106309.0300000003</v>
          </cell>
          <cell r="R64">
            <v>73</v>
          </cell>
          <cell r="S64">
            <v>-1268311.53</v>
          </cell>
          <cell r="U64">
            <v>75</v>
          </cell>
          <cell r="V64">
            <v>33226.559999999998</v>
          </cell>
          <cell r="X64">
            <v>66</v>
          </cell>
          <cell r="Y64">
            <v>-342456</v>
          </cell>
          <cell r="AA64">
            <v>135</v>
          </cell>
          <cell r="AB64">
            <v>-298078.84000000003</v>
          </cell>
          <cell r="BE64">
            <v>68</v>
          </cell>
          <cell r="BF64">
            <v>13272.657975799995</v>
          </cell>
          <cell r="CF64">
            <v>64</v>
          </cell>
          <cell r="CG64" t="str">
            <v>Y</v>
          </cell>
        </row>
        <row r="65">
          <cell r="C65">
            <v>68</v>
          </cell>
          <cell r="D65">
            <v>3623818.45</v>
          </cell>
          <cell r="F65">
            <v>133</v>
          </cell>
          <cell r="G65">
            <v>21245.75</v>
          </cell>
          <cell r="I65">
            <v>68</v>
          </cell>
          <cell r="J65">
            <v>-1616352.38</v>
          </cell>
          <cell r="R65">
            <v>74</v>
          </cell>
          <cell r="S65">
            <v>-100281.8</v>
          </cell>
          <cell r="U65">
            <v>79</v>
          </cell>
          <cell r="V65">
            <v>0</v>
          </cell>
          <cell r="X65">
            <v>67</v>
          </cell>
          <cell r="Y65">
            <v>766</v>
          </cell>
          <cell r="AA65">
            <v>140</v>
          </cell>
          <cell r="AB65">
            <v>-30779.85</v>
          </cell>
          <cell r="BE65">
            <v>69</v>
          </cell>
          <cell r="BF65">
            <v>15384.653113999997</v>
          </cell>
          <cell r="CF65">
            <v>65</v>
          </cell>
          <cell r="CG65" t="str">
            <v>Y</v>
          </cell>
        </row>
        <row r="66">
          <cell r="C66">
            <v>69</v>
          </cell>
          <cell r="D66">
            <v>10712588.039999999</v>
          </cell>
          <cell r="F66">
            <v>135</v>
          </cell>
          <cell r="G66">
            <v>154335.32</v>
          </cell>
          <cell r="I66">
            <v>69</v>
          </cell>
          <cell r="J66">
            <v>-4686497.8499999996</v>
          </cell>
          <cell r="R66">
            <v>75</v>
          </cell>
          <cell r="S66">
            <v>-2596111.9700000002</v>
          </cell>
          <cell r="U66">
            <v>80</v>
          </cell>
          <cell r="V66">
            <v>922879.56</v>
          </cell>
          <cell r="X66">
            <v>68</v>
          </cell>
          <cell r="Y66">
            <v>-271575</v>
          </cell>
          <cell r="AA66">
            <v>151</v>
          </cell>
          <cell r="AB66">
            <v>-21074.25</v>
          </cell>
          <cell r="BE66">
            <v>70</v>
          </cell>
          <cell r="BF66">
            <v>101945.3959799</v>
          </cell>
          <cell r="CF66">
            <v>66</v>
          </cell>
          <cell r="CG66" t="str">
            <v>Y</v>
          </cell>
        </row>
        <row r="67">
          <cell r="C67">
            <v>70</v>
          </cell>
          <cell r="D67">
            <v>39970342.579999998</v>
          </cell>
          <cell r="F67">
            <v>140</v>
          </cell>
          <cell r="G67">
            <v>4721115.71</v>
          </cell>
          <cell r="I67">
            <v>70</v>
          </cell>
          <cell r="J67">
            <v>-5323401.34</v>
          </cell>
          <cell r="R67">
            <v>77</v>
          </cell>
          <cell r="S67">
            <v>0</v>
          </cell>
          <cell r="U67">
            <v>81</v>
          </cell>
          <cell r="V67">
            <v>11436</v>
          </cell>
          <cell r="X67">
            <v>69</v>
          </cell>
          <cell r="Y67">
            <v>229531</v>
          </cell>
          <cell r="AA67">
            <v>160</v>
          </cell>
          <cell r="AB67">
            <v>-118949.1</v>
          </cell>
          <cell r="BE67">
            <v>71</v>
          </cell>
          <cell r="BF67">
            <v>49876.842957700035</v>
          </cell>
          <cell r="CF67">
            <v>67</v>
          </cell>
          <cell r="CG67" t="str">
            <v>Y</v>
          </cell>
        </row>
        <row r="68">
          <cell r="C68">
            <v>71</v>
          </cell>
          <cell r="D68">
            <v>9609705.4900000002</v>
          </cell>
          <cell r="F68">
            <v>151</v>
          </cell>
          <cell r="G68">
            <v>0</v>
          </cell>
          <cell r="I68">
            <v>71</v>
          </cell>
          <cell r="J68">
            <v>-1583103.82</v>
          </cell>
          <cell r="R68">
            <v>79</v>
          </cell>
          <cell r="S68">
            <v>-6777533.75</v>
          </cell>
          <cell r="U68">
            <v>83</v>
          </cell>
          <cell r="V68">
            <v>72005.990000000005</v>
          </cell>
          <cell r="X68">
            <v>70</v>
          </cell>
          <cell r="Y68">
            <v>-1798289</v>
          </cell>
          <cell r="AA68">
            <v>165</v>
          </cell>
          <cell r="AB68">
            <v>-21500</v>
          </cell>
          <cell r="BE68">
            <v>72</v>
          </cell>
          <cell r="BF68">
            <v>11342.433411999995</v>
          </cell>
          <cell r="CF68">
            <v>68</v>
          </cell>
          <cell r="CG68" t="str">
            <v>Y</v>
          </cell>
        </row>
        <row r="69">
          <cell r="C69">
            <v>72</v>
          </cell>
          <cell r="D69">
            <v>4106210.3</v>
          </cell>
          <cell r="F69">
            <v>160</v>
          </cell>
          <cell r="G69">
            <v>217345.06</v>
          </cell>
          <cell r="I69">
            <v>72</v>
          </cell>
          <cell r="J69">
            <v>-1280756.05</v>
          </cell>
          <cell r="R69">
            <v>80</v>
          </cell>
          <cell r="S69">
            <v>-33046498.280000001</v>
          </cell>
          <cell r="U69">
            <v>85</v>
          </cell>
          <cell r="V69">
            <v>0</v>
          </cell>
          <cell r="X69">
            <v>71</v>
          </cell>
          <cell r="Y69">
            <v>-530116</v>
          </cell>
          <cell r="BE69">
            <v>73</v>
          </cell>
          <cell r="BF69">
            <v>14301.041122599996</v>
          </cell>
          <cell r="CF69">
            <v>69</v>
          </cell>
          <cell r="CG69" t="str">
            <v>Y</v>
          </cell>
        </row>
        <row r="70">
          <cell r="C70">
            <v>73</v>
          </cell>
          <cell r="D70">
            <v>6191525.9500000002</v>
          </cell>
          <cell r="F70">
            <v>165</v>
          </cell>
          <cell r="G70">
            <v>0</v>
          </cell>
          <cell r="I70">
            <v>73</v>
          </cell>
          <cell r="J70">
            <v>-2935368.34</v>
          </cell>
          <cell r="R70">
            <v>81</v>
          </cell>
          <cell r="S70">
            <v>-47497.59</v>
          </cell>
          <cell r="U70">
            <v>86</v>
          </cell>
          <cell r="V70">
            <v>3428.44</v>
          </cell>
          <cell r="X70">
            <v>72</v>
          </cell>
          <cell r="Y70">
            <v>-30698</v>
          </cell>
          <cell r="BE70">
            <v>74</v>
          </cell>
          <cell r="BF70">
            <v>1138.7309018999995</v>
          </cell>
          <cell r="CF70">
            <v>70</v>
          </cell>
          <cell r="CG70" t="str">
            <v>Y</v>
          </cell>
        </row>
        <row r="71">
          <cell r="C71">
            <v>74</v>
          </cell>
          <cell r="D71">
            <v>307832.58</v>
          </cell>
          <cell r="I71">
            <v>74</v>
          </cell>
          <cell r="J71">
            <v>-27787.43</v>
          </cell>
          <cell r="R71">
            <v>83</v>
          </cell>
          <cell r="S71">
            <v>-10265035.779999999</v>
          </cell>
          <cell r="U71">
            <v>87</v>
          </cell>
          <cell r="V71">
            <v>60249.8</v>
          </cell>
          <cell r="X71">
            <v>73</v>
          </cell>
          <cell r="Y71">
            <v>-154709</v>
          </cell>
          <cell r="BE71">
            <v>75</v>
          </cell>
          <cell r="BF71">
            <v>12115.671968600003</v>
          </cell>
          <cell r="CF71">
            <v>71</v>
          </cell>
          <cell r="CG71" t="str">
            <v>N</v>
          </cell>
        </row>
        <row r="72">
          <cell r="C72">
            <v>75</v>
          </cell>
          <cell r="D72">
            <v>5431410.4900000002</v>
          </cell>
          <cell r="I72">
            <v>75</v>
          </cell>
          <cell r="J72">
            <v>-599780.57999999996</v>
          </cell>
          <cell r="R72">
            <v>85</v>
          </cell>
          <cell r="S72">
            <v>-50894.94</v>
          </cell>
          <cell r="U72">
            <v>88</v>
          </cell>
          <cell r="V72">
            <v>72969.119999999995</v>
          </cell>
          <cell r="X72">
            <v>74</v>
          </cell>
          <cell r="Y72">
            <v>-42757</v>
          </cell>
          <cell r="BE72">
            <v>77</v>
          </cell>
          <cell r="BF72">
            <v>0</v>
          </cell>
          <cell r="CF72">
            <v>72</v>
          </cell>
          <cell r="CG72" t="str">
            <v>Y</v>
          </cell>
        </row>
        <row r="73">
          <cell r="C73">
            <v>77</v>
          </cell>
          <cell r="D73">
            <v>0</v>
          </cell>
          <cell r="I73">
            <v>77</v>
          </cell>
          <cell r="J73">
            <v>0</v>
          </cell>
          <cell r="R73">
            <v>86</v>
          </cell>
          <cell r="S73">
            <v>-3854909.92</v>
          </cell>
          <cell r="U73">
            <v>89</v>
          </cell>
          <cell r="V73">
            <v>2781</v>
          </cell>
          <cell r="X73">
            <v>75</v>
          </cell>
          <cell r="Y73">
            <v>-384570</v>
          </cell>
          <cell r="BE73">
            <v>79</v>
          </cell>
          <cell r="BF73">
            <v>17336.925242000001</v>
          </cell>
          <cell r="CF73">
            <v>73</v>
          </cell>
          <cell r="CG73" t="str">
            <v>N</v>
          </cell>
        </row>
        <row r="74">
          <cell r="C74">
            <v>79</v>
          </cell>
          <cell r="D74">
            <v>12004929.439999999</v>
          </cell>
          <cell r="I74">
            <v>79</v>
          </cell>
          <cell r="J74">
            <v>-2964792.57</v>
          </cell>
          <cell r="R74">
            <v>87</v>
          </cell>
          <cell r="S74">
            <v>-519851.69</v>
          </cell>
          <cell r="U74">
            <v>90</v>
          </cell>
          <cell r="V74">
            <v>393334.43</v>
          </cell>
          <cell r="X74">
            <v>77</v>
          </cell>
          <cell r="Y74">
            <v>0</v>
          </cell>
          <cell r="BE74">
            <v>80</v>
          </cell>
          <cell r="BF74">
            <v>216066.30235519994</v>
          </cell>
          <cell r="CF74">
            <v>74</v>
          </cell>
          <cell r="CG74" t="str">
            <v>Y</v>
          </cell>
        </row>
        <row r="75">
          <cell r="C75">
            <v>80</v>
          </cell>
          <cell r="D75">
            <v>87305363.549999997</v>
          </cell>
          <cell r="I75">
            <v>80</v>
          </cell>
          <cell r="J75">
            <v>-15777978.869999999</v>
          </cell>
          <cell r="R75">
            <v>88</v>
          </cell>
          <cell r="S75">
            <v>-1521082.66</v>
          </cell>
          <cell r="U75">
            <v>91</v>
          </cell>
          <cell r="V75">
            <v>70160.179999999993</v>
          </cell>
          <cell r="X75">
            <v>79</v>
          </cell>
          <cell r="Y75">
            <v>-511171</v>
          </cell>
          <cell r="BE75">
            <v>81</v>
          </cell>
          <cell r="BF75">
            <v>1967.8688475999993</v>
          </cell>
          <cell r="CF75">
            <v>75</v>
          </cell>
          <cell r="CG75" t="str">
            <v>Y</v>
          </cell>
        </row>
        <row r="76">
          <cell r="C76">
            <v>81</v>
          </cell>
          <cell r="D76">
            <v>1537084.66</v>
          </cell>
          <cell r="I76">
            <v>81</v>
          </cell>
          <cell r="J76">
            <v>-252784.59</v>
          </cell>
          <cell r="R76">
            <v>89</v>
          </cell>
          <cell r="S76">
            <v>-17267824.66</v>
          </cell>
          <cell r="U76">
            <v>92</v>
          </cell>
          <cell r="V76">
            <v>2333</v>
          </cell>
          <cell r="X76">
            <v>80</v>
          </cell>
          <cell r="Y76">
            <v>-4922354</v>
          </cell>
          <cell r="BE76">
            <v>83</v>
          </cell>
          <cell r="BF76">
            <v>61038.529934400009</v>
          </cell>
          <cell r="CF76">
            <v>77</v>
          </cell>
          <cell r="CG76" t="str">
            <v>Y</v>
          </cell>
        </row>
        <row r="77">
          <cell r="C77">
            <v>83</v>
          </cell>
          <cell r="D77">
            <v>20649057.960000001</v>
          </cell>
          <cell r="I77">
            <v>83</v>
          </cell>
          <cell r="J77">
            <v>-4284777.1500000004</v>
          </cell>
          <cell r="R77">
            <v>90</v>
          </cell>
          <cell r="S77">
            <v>-988573.75</v>
          </cell>
          <cell r="U77">
            <v>101</v>
          </cell>
          <cell r="V77">
            <v>31909.05</v>
          </cell>
          <cell r="X77">
            <v>81</v>
          </cell>
          <cell r="Y77">
            <v>-92428</v>
          </cell>
          <cell r="BE77">
            <v>85</v>
          </cell>
          <cell r="BF77">
            <v>1244.4690747999996</v>
          </cell>
          <cell r="CF77">
            <v>79</v>
          </cell>
          <cell r="CG77" t="str">
            <v>N</v>
          </cell>
        </row>
        <row r="78">
          <cell r="C78">
            <v>85</v>
          </cell>
          <cell r="D78">
            <v>277282.78000000003</v>
          </cell>
          <cell r="I78">
            <v>85</v>
          </cell>
          <cell r="J78">
            <v>-42959.86</v>
          </cell>
          <cell r="R78">
            <v>91</v>
          </cell>
          <cell r="S78">
            <v>-473233.51</v>
          </cell>
          <cell r="U78">
            <v>103</v>
          </cell>
          <cell r="V78">
            <v>38183.72</v>
          </cell>
          <cell r="X78">
            <v>83</v>
          </cell>
          <cell r="Y78">
            <v>-1333565</v>
          </cell>
          <cell r="BE78">
            <v>86</v>
          </cell>
          <cell r="BF78">
            <v>13367.725961199996</v>
          </cell>
          <cell r="CF78">
            <v>80</v>
          </cell>
          <cell r="CG78" t="str">
            <v>Y</v>
          </cell>
        </row>
        <row r="79">
          <cell r="C79">
            <v>86</v>
          </cell>
          <cell r="D79">
            <v>6309084.3399999999</v>
          </cell>
          <cell r="I79">
            <v>86</v>
          </cell>
          <cell r="J79">
            <v>-1043550.19</v>
          </cell>
          <cell r="R79">
            <v>92</v>
          </cell>
          <cell r="S79">
            <v>-837770.99</v>
          </cell>
          <cell r="U79">
            <v>104</v>
          </cell>
          <cell r="V79">
            <v>68131.899999999994</v>
          </cell>
          <cell r="X79">
            <v>85</v>
          </cell>
          <cell r="Y79">
            <v>-34693</v>
          </cell>
          <cell r="BE79">
            <v>87</v>
          </cell>
          <cell r="BF79">
            <v>15203.626373500001</v>
          </cell>
          <cell r="CF79">
            <v>81</v>
          </cell>
          <cell r="CG79" t="str">
            <v>Y</v>
          </cell>
        </row>
        <row r="80">
          <cell r="C80">
            <v>87</v>
          </cell>
          <cell r="D80">
            <v>9945525.0199999996</v>
          </cell>
          <cell r="I80">
            <v>87</v>
          </cell>
          <cell r="J80">
            <v>-2825445.2</v>
          </cell>
          <cell r="R80">
            <v>101</v>
          </cell>
          <cell r="S80">
            <v>-7352578.4100000001</v>
          </cell>
          <cell r="U80">
            <v>105</v>
          </cell>
          <cell r="V80">
            <v>31199.89</v>
          </cell>
          <cell r="X80">
            <v>86</v>
          </cell>
          <cell r="Y80">
            <v>-220972</v>
          </cell>
          <cell r="BE80">
            <v>88</v>
          </cell>
          <cell r="BF80">
            <v>15778.216984100003</v>
          </cell>
          <cell r="CF80">
            <v>83</v>
          </cell>
          <cell r="CG80" t="str">
            <v>Y</v>
          </cell>
        </row>
        <row r="81">
          <cell r="C81">
            <v>88</v>
          </cell>
          <cell r="D81">
            <v>6575926.7000000002</v>
          </cell>
          <cell r="I81">
            <v>88</v>
          </cell>
          <cell r="J81">
            <v>-1828359.89</v>
          </cell>
          <cell r="R81">
            <v>103</v>
          </cell>
          <cell r="S81">
            <v>-1495918.53</v>
          </cell>
          <cell r="U81">
            <v>106</v>
          </cell>
          <cell r="V81">
            <v>77097.37</v>
          </cell>
          <cell r="X81">
            <v>87</v>
          </cell>
          <cell r="Y81">
            <v>-288895</v>
          </cell>
          <cell r="BE81">
            <v>89</v>
          </cell>
          <cell r="BF81">
            <v>60526.496573299992</v>
          </cell>
          <cell r="CF81">
            <v>85</v>
          </cell>
          <cell r="CG81" t="str">
            <v>Y</v>
          </cell>
        </row>
        <row r="82">
          <cell r="C82">
            <v>89</v>
          </cell>
          <cell r="D82">
            <v>29794822.359999999</v>
          </cell>
          <cell r="I82">
            <v>89</v>
          </cell>
          <cell r="J82">
            <v>-3753981.35</v>
          </cell>
          <cell r="R82">
            <v>104</v>
          </cell>
          <cell r="S82">
            <v>-9126.7999999999993</v>
          </cell>
          <cell r="U82">
            <v>107</v>
          </cell>
          <cell r="V82">
            <v>150</v>
          </cell>
          <cell r="X82">
            <v>88</v>
          </cell>
          <cell r="Y82">
            <v>-135386</v>
          </cell>
          <cell r="BE82">
            <v>90</v>
          </cell>
          <cell r="BF82">
            <v>58043.765607800007</v>
          </cell>
          <cell r="CF82">
            <v>86</v>
          </cell>
          <cell r="CG82" t="str">
            <v>N</v>
          </cell>
        </row>
        <row r="83">
          <cell r="C83">
            <v>90</v>
          </cell>
          <cell r="D83">
            <v>13495427.01</v>
          </cell>
          <cell r="I83">
            <v>90</v>
          </cell>
          <cell r="J83">
            <v>-4406658.1100000003</v>
          </cell>
          <cell r="R83">
            <v>105</v>
          </cell>
          <cell r="S83">
            <v>-327585.15000000002</v>
          </cell>
          <cell r="U83">
            <v>108</v>
          </cell>
          <cell r="V83">
            <v>23721.26</v>
          </cell>
          <cell r="X83">
            <v>89</v>
          </cell>
          <cell r="Y83">
            <v>-417186.12</v>
          </cell>
          <cell r="BE83">
            <v>91</v>
          </cell>
          <cell r="BF83">
            <v>9717.228866899999</v>
          </cell>
          <cell r="CF83">
            <v>87</v>
          </cell>
          <cell r="CG83" t="str">
            <v>Y</v>
          </cell>
        </row>
        <row r="84">
          <cell r="C84">
            <v>91</v>
          </cell>
          <cell r="D84">
            <v>3826020.21</v>
          </cell>
          <cell r="I84">
            <v>91</v>
          </cell>
          <cell r="J84">
            <v>-1044086.75</v>
          </cell>
          <cell r="R84">
            <v>106</v>
          </cell>
          <cell r="S84">
            <v>-342</v>
          </cell>
          <cell r="U84">
            <v>109</v>
          </cell>
          <cell r="V84">
            <v>9151.7800000000007</v>
          </cell>
          <cell r="X84">
            <v>90</v>
          </cell>
          <cell r="Y84">
            <v>-1076805</v>
          </cell>
          <cell r="BE84">
            <v>92</v>
          </cell>
          <cell r="BF84">
            <v>2081.9724169000006</v>
          </cell>
          <cell r="CF84">
            <v>88</v>
          </cell>
          <cell r="CG84" t="str">
            <v>Y</v>
          </cell>
        </row>
        <row r="85">
          <cell r="C85">
            <v>92</v>
          </cell>
          <cell r="D85">
            <v>1529495.68</v>
          </cell>
          <cell r="I85">
            <v>92</v>
          </cell>
          <cell r="J85">
            <v>-206276.28</v>
          </cell>
          <cell r="R85">
            <v>107</v>
          </cell>
          <cell r="S85">
            <v>-1468875.64</v>
          </cell>
          <cell r="U85">
            <v>120</v>
          </cell>
          <cell r="V85">
            <v>9760.06</v>
          </cell>
          <cell r="X85">
            <v>91</v>
          </cell>
          <cell r="Y85">
            <v>-386189</v>
          </cell>
          <cell r="BE85">
            <v>93</v>
          </cell>
          <cell r="BF85">
            <v>2031.7800385004375</v>
          </cell>
          <cell r="CF85">
            <v>89</v>
          </cell>
          <cell r="CG85" t="str">
            <v>Y</v>
          </cell>
        </row>
        <row r="86">
          <cell r="C86">
            <v>93</v>
          </cell>
          <cell r="D86">
            <v>3046256.94</v>
          </cell>
          <cell r="I86">
            <v>93</v>
          </cell>
          <cell r="J86">
            <v>-1028137.25</v>
          </cell>
          <cell r="R86">
            <v>108</v>
          </cell>
          <cell r="S86">
            <v>-324508.32</v>
          </cell>
          <cell r="U86">
            <v>121</v>
          </cell>
          <cell r="V86">
            <v>24431.82</v>
          </cell>
          <cell r="X86">
            <v>92</v>
          </cell>
          <cell r="Y86">
            <v>-62086</v>
          </cell>
          <cell r="BE86">
            <v>94</v>
          </cell>
          <cell r="BF86">
            <v>976.7031006000002</v>
          </cell>
          <cell r="CF86">
            <v>90</v>
          </cell>
          <cell r="CG86" t="str">
            <v>N</v>
          </cell>
        </row>
        <row r="87">
          <cell r="C87">
            <v>94</v>
          </cell>
          <cell r="D87">
            <v>11634.19</v>
          </cell>
          <cell r="I87">
            <v>94</v>
          </cell>
          <cell r="J87">
            <v>7099.3</v>
          </cell>
          <cell r="R87">
            <v>109</v>
          </cell>
          <cell r="S87">
            <v>-88173.62</v>
          </cell>
          <cell r="U87">
            <v>122</v>
          </cell>
          <cell r="V87">
            <v>47017.13</v>
          </cell>
          <cell r="X87">
            <v>93</v>
          </cell>
          <cell r="Y87">
            <v>37244</v>
          </cell>
          <cell r="BE87">
            <v>101</v>
          </cell>
          <cell r="BF87">
            <v>105625.41562209999</v>
          </cell>
          <cell r="CF87">
            <v>91</v>
          </cell>
          <cell r="CG87" t="str">
            <v>Y</v>
          </cell>
        </row>
        <row r="88">
          <cell r="C88">
            <v>101</v>
          </cell>
          <cell r="D88">
            <v>38755270.740000002</v>
          </cell>
          <cell r="I88">
            <v>101</v>
          </cell>
          <cell r="J88">
            <v>-19234060.050000001</v>
          </cell>
          <cell r="R88">
            <v>120</v>
          </cell>
          <cell r="S88">
            <v>-6636518.1299999999</v>
          </cell>
          <cell r="U88">
            <v>123</v>
          </cell>
          <cell r="V88">
            <v>26600.78</v>
          </cell>
          <cell r="X88">
            <v>94</v>
          </cell>
          <cell r="Y88">
            <v>-10</v>
          </cell>
          <cell r="BE88">
            <v>103</v>
          </cell>
          <cell r="BF88">
            <v>7098.6270731000013</v>
          </cell>
          <cell r="CF88">
            <v>92</v>
          </cell>
          <cell r="CG88" t="str">
            <v>Y</v>
          </cell>
        </row>
        <row r="89">
          <cell r="C89">
            <v>103</v>
          </cell>
          <cell r="D89">
            <v>2570856.2000000002</v>
          </cell>
          <cell r="I89">
            <v>103</v>
          </cell>
          <cell r="J89">
            <v>-833588.68</v>
          </cell>
          <cell r="R89">
            <v>121</v>
          </cell>
          <cell r="S89">
            <v>-18961.72</v>
          </cell>
          <cell r="U89">
            <v>133</v>
          </cell>
          <cell r="V89">
            <v>5167.32</v>
          </cell>
          <cell r="X89">
            <v>101</v>
          </cell>
          <cell r="Y89">
            <v>-47656</v>
          </cell>
          <cell r="BE89">
            <v>104</v>
          </cell>
          <cell r="BF89">
            <v>2270.6207198999982</v>
          </cell>
          <cell r="CF89">
            <v>93</v>
          </cell>
          <cell r="CG89" t="str">
            <v>Y</v>
          </cell>
        </row>
        <row r="90">
          <cell r="C90">
            <v>104</v>
          </cell>
          <cell r="D90">
            <v>716119.17</v>
          </cell>
          <cell r="I90">
            <v>104</v>
          </cell>
          <cell r="J90">
            <v>-329726.15999999997</v>
          </cell>
          <cell r="R90">
            <v>122</v>
          </cell>
          <cell r="S90">
            <v>-280640.56</v>
          </cell>
          <cell r="U90">
            <v>135</v>
          </cell>
          <cell r="V90">
            <v>16920.04</v>
          </cell>
          <cell r="X90">
            <v>103</v>
          </cell>
          <cell r="Y90">
            <v>84835</v>
          </cell>
          <cell r="BE90">
            <v>105</v>
          </cell>
          <cell r="BF90">
            <v>26108.754381600014</v>
          </cell>
          <cell r="CF90">
            <v>94</v>
          </cell>
          <cell r="CG90" t="str">
            <v>Y</v>
          </cell>
        </row>
        <row r="91">
          <cell r="C91">
            <v>105</v>
          </cell>
          <cell r="D91">
            <v>2830210.65</v>
          </cell>
          <cell r="I91">
            <v>105</v>
          </cell>
          <cell r="J91">
            <v>-1539261.59</v>
          </cell>
          <cell r="R91">
            <v>123</v>
          </cell>
          <cell r="S91">
            <v>-409933.66</v>
          </cell>
          <cell r="U91">
            <v>140</v>
          </cell>
          <cell r="V91">
            <v>28890.45</v>
          </cell>
          <cell r="X91">
            <v>104</v>
          </cell>
          <cell r="Y91">
            <v>-51305</v>
          </cell>
          <cell r="BE91">
            <v>106</v>
          </cell>
          <cell r="BF91">
            <v>8369.7166496000027</v>
          </cell>
          <cell r="CF91">
            <v>101</v>
          </cell>
          <cell r="CG91" t="str">
            <v>Y</v>
          </cell>
        </row>
        <row r="92">
          <cell r="C92">
            <v>106</v>
          </cell>
          <cell r="D92">
            <v>2178170.15</v>
          </cell>
          <cell r="I92">
            <v>106</v>
          </cell>
          <cell r="J92">
            <v>-538214.98</v>
          </cell>
          <cell r="R92">
            <v>135</v>
          </cell>
          <cell r="S92">
            <v>-2427089.38</v>
          </cell>
          <cell r="U92">
            <v>150</v>
          </cell>
          <cell r="V92">
            <v>53193.120000000003</v>
          </cell>
          <cell r="X92">
            <v>105</v>
          </cell>
          <cell r="Y92">
            <v>-71259</v>
          </cell>
          <cell r="BE92">
            <v>107</v>
          </cell>
          <cell r="BF92">
            <v>13318.277416699999</v>
          </cell>
          <cell r="CF92">
            <v>103</v>
          </cell>
          <cell r="CG92" t="str">
            <v>N</v>
          </cell>
        </row>
        <row r="93">
          <cell r="C93">
            <v>107</v>
          </cell>
          <cell r="D93">
            <v>4550461.16</v>
          </cell>
          <cell r="I93">
            <v>107</v>
          </cell>
          <cell r="J93">
            <v>-1436091.03</v>
          </cell>
          <cell r="R93">
            <v>140</v>
          </cell>
          <cell r="S93">
            <v>-13532276.01</v>
          </cell>
          <cell r="U93">
            <v>151</v>
          </cell>
          <cell r="V93">
            <v>0</v>
          </cell>
          <cell r="X93">
            <v>106</v>
          </cell>
          <cell r="Y93">
            <v>-118946</v>
          </cell>
          <cell r="BE93">
            <v>108</v>
          </cell>
          <cell r="BF93">
            <v>2207.0997682999996</v>
          </cell>
          <cell r="CF93">
            <v>104</v>
          </cell>
          <cell r="CG93" t="str">
            <v>Y</v>
          </cell>
        </row>
        <row r="94">
          <cell r="C94">
            <v>108</v>
          </cell>
          <cell r="D94">
            <v>3448405.55</v>
          </cell>
          <cell r="I94">
            <v>108</v>
          </cell>
          <cell r="J94">
            <v>-1524294.43</v>
          </cell>
          <cell r="R94">
            <v>150</v>
          </cell>
          <cell r="S94">
            <v>-3242.27</v>
          </cell>
          <cell r="U94">
            <v>160</v>
          </cell>
          <cell r="V94">
            <v>249269.69</v>
          </cell>
          <cell r="X94">
            <v>107</v>
          </cell>
          <cell r="Y94">
            <v>-31625</v>
          </cell>
          <cell r="BE94">
            <v>109</v>
          </cell>
          <cell r="BF94">
            <v>2349.3481518000003</v>
          </cell>
          <cell r="CF94">
            <v>105</v>
          </cell>
          <cell r="CG94" t="str">
            <v>N</v>
          </cell>
        </row>
        <row r="95">
          <cell r="C95">
            <v>109</v>
          </cell>
          <cell r="D95">
            <v>1864421.95</v>
          </cell>
          <cell r="I95">
            <v>109</v>
          </cell>
          <cell r="J95">
            <v>-794791.98</v>
          </cell>
          <cell r="R95">
            <v>151</v>
          </cell>
          <cell r="S95">
            <v>-392975.69</v>
          </cell>
          <cell r="X95">
            <v>108</v>
          </cell>
          <cell r="Y95">
            <v>-24687</v>
          </cell>
          <cell r="BE95">
            <v>120</v>
          </cell>
          <cell r="BF95">
            <v>19795.060191700009</v>
          </cell>
          <cell r="CF95">
            <v>106</v>
          </cell>
          <cell r="CG95" t="str">
            <v>N</v>
          </cell>
        </row>
        <row r="96">
          <cell r="C96">
            <v>120</v>
          </cell>
          <cell r="D96">
            <v>9833724.2599999998</v>
          </cell>
          <cell r="I96">
            <v>120</v>
          </cell>
          <cell r="J96">
            <v>-1744987.04</v>
          </cell>
          <cell r="R96">
            <v>160</v>
          </cell>
          <cell r="S96">
            <v>-76251.429999999993</v>
          </cell>
          <cell r="X96">
            <v>109</v>
          </cell>
          <cell r="Y96">
            <v>-79441</v>
          </cell>
          <cell r="BE96">
            <v>121</v>
          </cell>
          <cell r="BF96">
            <v>1634.3137754000006</v>
          </cell>
          <cell r="CF96">
            <v>107</v>
          </cell>
          <cell r="CG96" t="str">
            <v>N</v>
          </cell>
        </row>
        <row r="97">
          <cell r="C97">
            <v>121</v>
          </cell>
          <cell r="D97">
            <v>461430.26</v>
          </cell>
          <cell r="I97">
            <v>121</v>
          </cell>
          <cell r="J97">
            <v>-310966.19</v>
          </cell>
          <cell r="R97">
            <v>165</v>
          </cell>
          <cell r="S97">
            <v>-46098.14</v>
          </cell>
          <cell r="X97">
            <v>120</v>
          </cell>
          <cell r="Y97">
            <v>-100024</v>
          </cell>
          <cell r="BE97">
            <v>122</v>
          </cell>
          <cell r="BF97">
            <v>10397.667584499997</v>
          </cell>
          <cell r="CF97">
            <v>108</v>
          </cell>
          <cell r="CG97" t="str">
            <v>N</v>
          </cell>
        </row>
        <row r="98">
          <cell r="C98">
            <v>122</v>
          </cell>
          <cell r="D98">
            <v>3989333.29</v>
          </cell>
          <cell r="I98">
            <v>122</v>
          </cell>
          <cell r="J98">
            <v>-888980.55</v>
          </cell>
          <cell r="X98">
            <v>121</v>
          </cell>
          <cell r="Y98">
            <v>-26823</v>
          </cell>
          <cell r="BE98">
            <v>123</v>
          </cell>
          <cell r="BF98">
            <v>1379.4861351</v>
          </cell>
          <cell r="CF98">
            <v>109</v>
          </cell>
          <cell r="CG98" t="str">
            <v>Y</v>
          </cell>
        </row>
        <row r="99">
          <cell r="C99">
            <v>123</v>
          </cell>
          <cell r="D99">
            <v>546039.87</v>
          </cell>
          <cell r="I99">
            <v>123</v>
          </cell>
          <cell r="J99">
            <v>-62611.56</v>
          </cell>
          <cell r="X99">
            <v>122</v>
          </cell>
          <cell r="Y99">
            <v>-181561</v>
          </cell>
          <cell r="BE99">
            <v>133</v>
          </cell>
          <cell r="BF99">
            <v>4597.5310681999963</v>
          </cell>
          <cell r="CF99">
            <v>120</v>
          </cell>
          <cell r="CG99" t="str">
            <v>N</v>
          </cell>
        </row>
        <row r="100">
          <cell r="C100">
            <v>133</v>
          </cell>
          <cell r="D100">
            <v>2356116.27</v>
          </cell>
          <cell r="I100">
            <v>133</v>
          </cell>
          <cell r="J100">
            <v>-373811.89</v>
          </cell>
          <cell r="X100">
            <v>123</v>
          </cell>
          <cell r="Y100">
            <v>-27383</v>
          </cell>
          <cell r="BE100">
            <v>135</v>
          </cell>
          <cell r="BF100">
            <v>60878.416684899996</v>
          </cell>
          <cell r="CF100">
            <v>121</v>
          </cell>
          <cell r="CG100" t="str">
            <v>N</v>
          </cell>
        </row>
        <row r="101">
          <cell r="C101">
            <v>135</v>
          </cell>
          <cell r="D101">
            <v>10390962.67</v>
          </cell>
          <cell r="I101">
            <v>135</v>
          </cell>
          <cell r="J101">
            <v>-3805428.59</v>
          </cell>
          <cell r="X101">
            <v>133</v>
          </cell>
          <cell r="Y101">
            <v>-43217</v>
          </cell>
          <cell r="BE101">
            <v>140</v>
          </cell>
          <cell r="BF101">
            <v>55868.066294499993</v>
          </cell>
          <cell r="CF101">
            <v>122</v>
          </cell>
          <cell r="CG101" t="str">
            <v>Y</v>
          </cell>
        </row>
        <row r="102">
          <cell r="C102">
            <v>140</v>
          </cell>
          <cell r="D102">
            <v>26677223.27</v>
          </cell>
          <cell r="I102">
            <v>140</v>
          </cell>
          <cell r="J102">
            <v>-10111066.41</v>
          </cell>
          <cell r="X102">
            <v>135</v>
          </cell>
          <cell r="Y102">
            <v>-504503</v>
          </cell>
          <cell r="BE102">
            <v>150</v>
          </cell>
          <cell r="BF102">
            <v>5697.056729099997</v>
          </cell>
          <cell r="CF102">
            <v>123</v>
          </cell>
          <cell r="CG102" t="str">
            <v>N</v>
          </cell>
        </row>
        <row r="103">
          <cell r="C103">
            <v>150</v>
          </cell>
          <cell r="D103">
            <v>911439.58</v>
          </cell>
          <cell r="I103">
            <v>150</v>
          </cell>
          <cell r="J103">
            <v>-225628.1</v>
          </cell>
          <cell r="X103">
            <v>140</v>
          </cell>
          <cell r="Y103">
            <v>527767</v>
          </cell>
          <cell r="BE103">
            <v>151</v>
          </cell>
          <cell r="BF103">
            <v>12084.868768700004</v>
          </cell>
          <cell r="CF103">
            <v>133</v>
          </cell>
          <cell r="CG103" t="str">
            <v>Y</v>
          </cell>
        </row>
        <row r="104">
          <cell r="C104">
            <v>151</v>
          </cell>
          <cell r="D104">
            <v>1232028.31</v>
          </cell>
          <cell r="I104">
            <v>151</v>
          </cell>
          <cell r="J104">
            <v>-283063.76</v>
          </cell>
          <cell r="X104">
            <v>150</v>
          </cell>
          <cell r="Y104">
            <v>-146625</v>
          </cell>
          <cell r="BE104">
            <v>160</v>
          </cell>
          <cell r="BF104">
            <v>39447.98193400001</v>
          </cell>
          <cell r="CF104">
            <v>135</v>
          </cell>
          <cell r="CG104" t="str">
            <v>Y</v>
          </cell>
        </row>
        <row r="105">
          <cell r="C105">
            <v>160</v>
          </cell>
          <cell r="D105">
            <v>7692277.9299999997</v>
          </cell>
          <cell r="I105">
            <v>160</v>
          </cell>
          <cell r="J105">
            <v>-3194558</v>
          </cell>
          <cell r="X105">
            <v>151</v>
          </cell>
          <cell r="Y105">
            <v>-114843</v>
          </cell>
          <cell r="BE105">
            <v>165</v>
          </cell>
          <cell r="BF105">
            <v>15260.306241200004</v>
          </cell>
          <cell r="CF105">
            <v>140</v>
          </cell>
          <cell r="CG105" t="str">
            <v>N</v>
          </cell>
        </row>
        <row r="106">
          <cell r="C106">
            <v>165</v>
          </cell>
          <cell r="D106">
            <v>1994603.87</v>
          </cell>
          <cell r="I106">
            <v>165</v>
          </cell>
          <cell r="J106">
            <v>-121322.2</v>
          </cell>
          <cell r="X106">
            <v>160</v>
          </cell>
          <cell r="Y106">
            <v>-358150</v>
          </cell>
          <cell r="CF106">
            <v>150</v>
          </cell>
          <cell r="CG106" t="str">
            <v>Y</v>
          </cell>
        </row>
        <row r="107">
          <cell r="X107">
            <v>165</v>
          </cell>
          <cell r="Y107">
            <v>-160563</v>
          </cell>
          <cell r="CF107">
            <v>151</v>
          </cell>
          <cell r="CG107" t="str">
            <v>N</v>
          </cell>
        </row>
        <row r="108">
          <cell r="CF108">
            <v>160</v>
          </cell>
          <cell r="CG108" t="str">
            <v>Y</v>
          </cell>
        </row>
        <row r="109">
          <cell r="CF109">
            <v>165</v>
          </cell>
          <cell r="CG109" t="str">
            <v>Y</v>
          </cell>
        </row>
      </sheetData>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CH A, C, G, H"/>
      <sheetName val="A INC STAT, PROFORMA"/>
      <sheetName val="ACCT RECON EXCERPT"/>
      <sheetName val="B - BAL SHT"/>
      <sheetName val="C, D - RATES &amp; REV"/>
      <sheetName val="E - ANNUALIZED REVENUES"/>
      <sheetName val="F - FIXED ASSETS &amp; DEP"/>
      <sheetName val="PLANT ACCT REC"/>
      <sheetName val="G O&amp;M EXPENSE ADJUSTMENTS"/>
      <sheetName val="B 3"/>
      <sheetName val="A1 OPERATING INCOME ADJUST"/>
      <sheetName val="H - COMP O&amp;M EXP"/>
      <sheetName val="I RATE CASE EXP"/>
      <sheetName val="J1 RATE BASE &amp; ROR EXIST. RATES"/>
      <sheetName val="J2 RATE BASE &amp; ROR PROP. RATES"/>
      <sheetName val="A 3 RATE BASE ADJ."/>
      <sheetName val="R CIAC SCHED"/>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
          <cell r="A1" t="str">
            <v>SCHEDULE A</v>
          </cell>
          <cell r="I1" t="str">
            <v>SCHEDULE A</v>
          </cell>
        </row>
        <row r="2">
          <cell r="A2" t="str">
            <v>SANDY CREEK UTILITIES, INC.</v>
          </cell>
          <cell r="I2" t="str">
            <v>SANDY CREEK UTILITIES, INC.</v>
          </cell>
        </row>
        <row r="3">
          <cell r="A3" t="str">
            <v>SUPPORTING SCHEDULE - DETAIL DESCRIPTION OF PRO FORMA ADJUSTMENTS TO RATE BASE - WATER</v>
          </cell>
          <cell r="I3" t="str">
            <v>SUPPORTING SCHEDULE - DETAIL DESCRIPTION OF PRO FORMA ADJUSTMENTS TO RATE BASE - WATER</v>
          </cell>
        </row>
        <row r="5">
          <cell r="A5" t="str">
            <v>Line</v>
          </cell>
          <cell r="I5" t="str">
            <v>Line</v>
          </cell>
        </row>
        <row r="6">
          <cell r="A6" t="str">
            <v>No.</v>
          </cell>
          <cell r="B6" t="str">
            <v>Description</v>
          </cell>
          <cell r="G6" t="str">
            <v>Water</v>
          </cell>
          <cell r="H6" t="str">
            <v>Wastewater</v>
          </cell>
          <cell r="I6" t="str">
            <v>No.</v>
          </cell>
          <cell r="J6" t="str">
            <v>Description</v>
          </cell>
          <cell r="O6" t="str">
            <v>Water</v>
          </cell>
          <cell r="P6" t="str">
            <v>Wastewater</v>
          </cell>
        </row>
        <row r="8">
          <cell r="B8" t="str">
            <v>(A)</v>
          </cell>
          <cell r="C8" t="str">
            <v xml:space="preserve">Test year revenue </v>
          </cell>
          <cell r="J8" t="str">
            <v>(E)</v>
          </cell>
          <cell r="K8" t="str">
            <v>Revenue Increase</v>
          </cell>
        </row>
        <row r="9">
          <cell r="C9" t="str">
            <v>To accrued Fire Protection Revenues for the test year</v>
          </cell>
          <cell r="G9">
            <v>3850.59</v>
          </cell>
          <cell r="K9" t="str">
            <v>Increase in revenue required by the Utility to realize a</v>
          </cell>
        </row>
        <row r="10">
          <cell r="C10" t="str">
            <v>Test year revenue - actual per Schedule B-4</v>
          </cell>
          <cell r="G10">
            <v>0</v>
          </cell>
          <cell r="K10">
            <v>0</v>
          </cell>
          <cell r="L10" t="str">
            <v>% rate of return</v>
          </cell>
          <cell r="O10">
            <v>0</v>
          </cell>
        </row>
        <row r="12">
          <cell r="C12" t="str">
            <v>Adjustment required</v>
          </cell>
          <cell r="G12">
            <v>3850.59</v>
          </cell>
          <cell r="H12">
            <v>0</v>
          </cell>
          <cell r="J12" t="str">
            <v>(F)</v>
          </cell>
          <cell r="K12" t="str">
            <v>Operations &amp; Maintenance (O &amp; M) Expenses</v>
          </cell>
        </row>
        <row r="13">
          <cell r="K13" t="str">
            <v>(1)  Salaries &amp; Wages</v>
          </cell>
        </row>
        <row r="14">
          <cell r="B14" t="str">
            <v>(B)</v>
          </cell>
          <cell r="C14" t="str">
            <v>Operations &amp; Maintenance (O &amp; M) Expenses</v>
          </cell>
          <cell r="K14" t="str">
            <v>A) Add sewer plant laborer</v>
          </cell>
          <cell r="P14">
            <v>0</v>
          </cell>
        </row>
        <row r="15">
          <cell r="C15" t="str">
            <v>(1) Engineering</v>
          </cell>
          <cell r="K15" t="str">
            <v>B) Add plant operator</v>
          </cell>
          <cell r="O15">
            <v>0</v>
          </cell>
        </row>
        <row r="16">
          <cell r="C16" t="str">
            <v>A) Remove engineering expense benefiting future periods</v>
          </cell>
          <cell r="G16">
            <v>0</v>
          </cell>
          <cell r="H16">
            <v>0</v>
          </cell>
          <cell r="K16" t="str">
            <v>C) Reclassify salaries of general and administrative  employees</v>
          </cell>
        </row>
        <row r="17">
          <cell r="C17" t="str">
            <v>B) Remove engineering expense for abandoned projects</v>
          </cell>
          <cell r="K17" t="str">
            <v>to utility per Adjustment (F)(5)(J) (below)</v>
          </cell>
        </row>
        <row r="18">
          <cell r="C18" t="str">
            <v xml:space="preserve">C) Annual amortization of expenses benefiting future </v>
          </cell>
          <cell r="O18" t="str">
            <v>.</v>
          </cell>
        </row>
        <row r="19">
          <cell r="C19" t="str">
            <v>periods (5 years)</v>
          </cell>
          <cell r="G19">
            <v>0</v>
          </cell>
          <cell r="H19">
            <v>0</v>
          </cell>
          <cell r="K19" t="str">
            <v>Total salaries and wages</v>
          </cell>
          <cell r="O19">
            <v>0</v>
          </cell>
          <cell r="P19">
            <v>0</v>
          </cell>
        </row>
        <row r="21">
          <cell r="C21" t="str">
            <v>Net adjustment</v>
          </cell>
          <cell r="G21">
            <v>0</v>
          </cell>
          <cell r="H21">
            <v>0</v>
          </cell>
          <cell r="K21" t="str">
            <v>(2) DEP required expenses per permit renewal conditions (1)</v>
          </cell>
        </row>
        <row r="22">
          <cell r="K22" t="str">
            <v>A) Additional testing</v>
          </cell>
        </row>
        <row r="23">
          <cell r="C23" t="str">
            <v>(2) Legal</v>
          </cell>
          <cell r="K23" t="str">
            <v>B) Annual meter calibration</v>
          </cell>
        </row>
        <row r="24">
          <cell r="C24" t="str">
            <v>A) Reclassify legal expenses to deferred account</v>
          </cell>
          <cell r="K24" t="str">
            <v>C) Clean &amp; scarify pond</v>
          </cell>
        </row>
        <row r="25">
          <cell r="C25" t="str">
            <v>B) Reclassify rate case expense</v>
          </cell>
          <cell r="G25">
            <v>0</v>
          </cell>
          <cell r="H25">
            <v>0</v>
          </cell>
          <cell r="K25" t="str">
            <v>D) Aquatic weed control</v>
          </cell>
        </row>
        <row r="26">
          <cell r="K26" t="str">
            <v>E) Mow &amp; maintain pond embankments and access areas</v>
          </cell>
        </row>
        <row r="27">
          <cell r="C27" t="str">
            <v>Net adjustment</v>
          </cell>
          <cell r="G27">
            <v>0</v>
          </cell>
          <cell r="H27">
            <v>0</v>
          </cell>
          <cell r="K27" t="str">
            <v>F) Increase in purchased power due required plant additions</v>
          </cell>
        </row>
        <row r="28">
          <cell r="K28" t="str">
            <v>G) Monitor 5 sites</v>
          </cell>
        </row>
        <row r="29">
          <cell r="C29" t="str">
            <v>(3) Other Expenses</v>
          </cell>
          <cell r="K29" t="str">
            <v>H) Soil testing</v>
          </cell>
        </row>
        <row r="30">
          <cell r="C30" t="str">
            <v>A) Remove miscellaneous non-utility expenses</v>
          </cell>
          <cell r="K30" t="str">
            <v>I) Engineering reports to DEP</v>
          </cell>
          <cell r="P30">
            <v>0</v>
          </cell>
        </row>
        <row r="31">
          <cell r="C31" t="str">
            <v>B) Adjust management fees for prior period expense</v>
          </cell>
        </row>
        <row r="32">
          <cell r="C32" t="str">
            <v>C) Remove and defer cost of painting facilities</v>
          </cell>
          <cell r="K32" t="str">
            <v>Total DEP required annual expenses</v>
          </cell>
          <cell r="P32">
            <v>0</v>
          </cell>
        </row>
        <row r="33">
          <cell r="C33" t="str">
            <v>D) Amortize deferred cost of painting facilities (5 years)</v>
          </cell>
          <cell r="G33">
            <v>0</v>
          </cell>
          <cell r="H33" t="str">
            <v xml:space="preserve"> </v>
          </cell>
        </row>
        <row r="34">
          <cell r="K34" t="str">
            <v>(3) Y2k compliance expenditures</v>
          </cell>
        </row>
        <row r="35">
          <cell r="C35" t="str">
            <v>Net adjustment</v>
          </cell>
          <cell r="G35">
            <v>0</v>
          </cell>
          <cell r="H35">
            <v>0</v>
          </cell>
          <cell r="K35" t="str">
            <v>A) Service bureau access license</v>
          </cell>
        </row>
        <row r="36">
          <cell r="K36" t="str">
            <v>B) Annual software fees</v>
          </cell>
        </row>
        <row r="37">
          <cell r="C37" t="str">
            <v>Total adjustment to O &amp; M Expense</v>
          </cell>
          <cell r="G37">
            <v>0</v>
          </cell>
          <cell r="H37">
            <v>0</v>
          </cell>
          <cell r="K37" t="str">
            <v>C) Annual telecommunications charges</v>
          </cell>
        </row>
        <row r="38">
          <cell r="K38" t="str">
            <v>D) Remove test year telecommunications charges</v>
          </cell>
        </row>
        <row r="39">
          <cell r="B39" t="str">
            <v>(C)</v>
          </cell>
          <cell r="C39" t="str">
            <v>Non-used and useful depreciation</v>
          </cell>
          <cell r="K39" t="str">
            <v>E) MIS manager allocated charges</v>
          </cell>
        </row>
        <row r="40">
          <cell r="C40" t="str">
            <v>Non-used and useful depreciation per Page B-14</v>
          </cell>
          <cell r="H40">
            <v>0</v>
          </cell>
          <cell r="K40" t="str">
            <v>F) Remove test year MIS manager allocated charges</v>
          </cell>
        </row>
        <row r="41">
          <cell r="K41" t="str">
            <v>G) Service bureau processing fees</v>
          </cell>
        </row>
        <row r="42">
          <cell r="B42" t="str">
            <v>(D)</v>
          </cell>
          <cell r="C42" t="str">
            <v>Taxes Other Than Income</v>
          </cell>
          <cell r="K42" t="str">
            <v>H) Remove test year service bureau processing fees</v>
          </cell>
          <cell r="O42">
            <v>0</v>
          </cell>
          <cell r="P42">
            <v>0</v>
          </cell>
        </row>
        <row r="43">
          <cell r="C43" t="str">
            <v>(2) Regulatory Assessment Fees (RAF's)</v>
          </cell>
        </row>
        <row r="44">
          <cell r="C44" t="str">
            <v xml:space="preserve">     RAF's associated with Adjustment (A) X 4.5%</v>
          </cell>
          <cell r="G44">
            <v>173</v>
          </cell>
          <cell r="H44">
            <v>0</v>
          </cell>
          <cell r="K44" t="str">
            <v>Total Y2k compliance expenditures</v>
          </cell>
          <cell r="O44">
            <v>0</v>
          </cell>
          <cell r="P44">
            <v>0</v>
          </cell>
        </row>
        <row r="49">
          <cell r="A49" t="str">
            <v>SCHEDULE A</v>
          </cell>
          <cell r="I49" t="str">
            <v>SCHEDULE A</v>
          </cell>
        </row>
        <row r="50">
          <cell r="A50" t="str">
            <v>SANDY CREEK UTILITIES, INC.</v>
          </cell>
          <cell r="I50" t="str">
            <v>SANDY CREEK UTILITIES, INC.</v>
          </cell>
        </row>
        <row r="51">
          <cell r="A51" t="str">
            <v>SUPPORTING SCHEDULE - DETAIL DESCRIPTION OF PRO FORMA ADJUSTMENTS TO RATE BASE - WATER</v>
          </cell>
          <cell r="I51" t="str">
            <v>SUPPORTING SCHEDULE - DETAIL DESCRIPTION OF PRO FORMA ADJUSTMENTS TO RATE BASE - WATER</v>
          </cell>
        </row>
        <row r="53">
          <cell r="A53" t="str">
            <v>Line</v>
          </cell>
          <cell r="I53" t="str">
            <v>Line</v>
          </cell>
        </row>
        <row r="54">
          <cell r="A54" t="str">
            <v>No.</v>
          </cell>
          <cell r="B54" t="str">
            <v>Description</v>
          </cell>
          <cell r="G54" t="str">
            <v>Water</v>
          </cell>
          <cell r="H54" t="str">
            <v>Wastewater</v>
          </cell>
          <cell r="I54" t="str">
            <v>No.</v>
          </cell>
          <cell r="J54" t="str">
            <v>Description</v>
          </cell>
          <cell r="O54" t="str">
            <v>Water</v>
          </cell>
          <cell r="P54" t="str">
            <v>Wastewater</v>
          </cell>
        </row>
        <row r="56">
          <cell r="B56" t="str">
            <v>(F)</v>
          </cell>
          <cell r="C56" t="str">
            <v>Operations &amp; Maintenance (O &amp; M) Expenses (Continued)</v>
          </cell>
          <cell r="J56" t="str">
            <v>(G)</v>
          </cell>
          <cell r="K56" t="str">
            <v>Depreciation Expense (Continued)</v>
          </cell>
        </row>
        <row r="57">
          <cell r="C57" t="str">
            <v>(4) Amortization of rate case expense</v>
          </cell>
          <cell r="K57" t="str">
            <v>(1) Depreciation on assets per Schedule A-3 (Continued)</v>
          </cell>
        </row>
        <row r="58">
          <cell r="C58" t="str">
            <v>Amortization per Schedule B-10</v>
          </cell>
          <cell r="G58">
            <v>0</v>
          </cell>
          <cell r="H58">
            <v>0</v>
          </cell>
          <cell r="K58" t="str">
            <v>K) Convert old generator to mobile</v>
          </cell>
          <cell r="O58">
            <v>0</v>
          </cell>
          <cell r="P58">
            <v>0</v>
          </cell>
        </row>
        <row r="59">
          <cell r="C59" t="str">
            <v>Less: Test year amortization</v>
          </cell>
          <cell r="G59">
            <v>0</v>
          </cell>
          <cell r="H59">
            <v>0</v>
          </cell>
          <cell r="K59" t="str">
            <v>L) Capitalize WIP - Indian Mound Rd</v>
          </cell>
        </row>
        <row r="60">
          <cell r="K60" t="str">
            <v>M) Capitalize WIP - Berms at Ponds 6 &amp; 7</v>
          </cell>
          <cell r="O60" t="str">
            <v xml:space="preserve"> </v>
          </cell>
        </row>
        <row r="61">
          <cell r="C61" t="str">
            <v>Net rate case amortization</v>
          </cell>
          <cell r="G61">
            <v>0</v>
          </cell>
          <cell r="H61">
            <v>0</v>
          </cell>
        </row>
        <row r="62">
          <cell r="K62" t="str">
            <v>Total adjustment required</v>
          </cell>
          <cell r="O62">
            <v>0</v>
          </cell>
          <cell r="P62">
            <v>0</v>
          </cell>
        </row>
        <row r="63">
          <cell r="C63" t="str">
            <v>(5) Other Expenses</v>
          </cell>
        </row>
        <row r="64">
          <cell r="C64" t="str">
            <v>A) Indianwood maintenance (2)</v>
          </cell>
          <cell r="K64" t="str">
            <v>(2) Depreciation on assets acquired during the test year</v>
          </cell>
        </row>
        <row r="65">
          <cell r="C65" t="str">
            <v>B) Copier expenses</v>
          </cell>
          <cell r="K65" t="str">
            <v>A) Total annual depreciation</v>
          </cell>
        </row>
        <row r="66">
          <cell r="C66" t="str">
            <v>C) T-1 line expenses</v>
          </cell>
          <cell r="K66" t="str">
            <v>B) Remove depreciation taken during test year</v>
          </cell>
          <cell r="O66">
            <v>0</v>
          </cell>
          <cell r="P66">
            <v>0</v>
          </cell>
        </row>
        <row r="67">
          <cell r="C67" t="str">
            <v>D) Sludge hauling expenses</v>
          </cell>
        </row>
        <row r="68">
          <cell r="C68" t="str">
            <v>E) Remove test year sludge hauling expenses</v>
          </cell>
          <cell r="K68" t="str">
            <v>Total adjustment required</v>
          </cell>
          <cell r="O68">
            <v>0</v>
          </cell>
          <cell r="P68">
            <v>0</v>
          </cell>
        </row>
        <row r="69">
          <cell r="C69" t="str">
            <v>F) Land lease for effluent disposal</v>
          </cell>
        </row>
        <row r="70">
          <cell r="C70" t="str">
            <v>G) Remove test year land lease for effluent disposal</v>
          </cell>
          <cell r="K70" t="str">
            <v>(3) Non-used and useful depreciation</v>
          </cell>
        </row>
        <row r="71">
          <cell r="C71" t="str">
            <v>H) Adjust benefits for increase in health insurance</v>
          </cell>
          <cell r="K71" t="str">
            <v>Non-used and useful depreciation on Adjustment 1(C) above</v>
          </cell>
          <cell r="P71">
            <v>0</v>
          </cell>
        </row>
        <row r="72">
          <cell r="C72" t="str">
            <v>I) Adjust management fees for increase in health insurance</v>
          </cell>
        </row>
        <row r="73">
          <cell r="C73" t="str">
            <v>J) Adjust management fees for reclassification of utility employees</v>
          </cell>
          <cell r="K73" t="str">
            <v>Total depreciation adjustment</v>
          </cell>
          <cell r="O73">
            <v>0</v>
          </cell>
          <cell r="P73">
            <v>0</v>
          </cell>
        </row>
        <row r="74">
          <cell r="C74" t="str">
            <v>from management fees to direct utility</v>
          </cell>
        </row>
        <row r="75">
          <cell r="C75" t="str">
            <v xml:space="preserve">K) Adjust employee benefits for reclassification of utility </v>
          </cell>
          <cell r="J75" t="str">
            <v>(H)</v>
          </cell>
          <cell r="K75" t="str">
            <v>Amortization</v>
          </cell>
        </row>
        <row r="76">
          <cell r="C76" t="str">
            <v>employees per (F)(5)(J) (above)</v>
          </cell>
          <cell r="K76" t="str">
            <v>Annual amortization of deferred legal expenses for acquisition</v>
          </cell>
        </row>
        <row r="77">
          <cell r="C77" t="str">
            <v>L) Employee benefits for new employees per (F)(1)(A) and</v>
          </cell>
          <cell r="K77" t="str">
            <v>of Indianwood system per (B)(2)(A) (above)</v>
          </cell>
          <cell r="O77">
            <v>0</v>
          </cell>
          <cell r="P77">
            <v>0</v>
          </cell>
        </row>
        <row r="78">
          <cell r="C78" t="str">
            <v>(F)(1)(B) (above)</v>
          </cell>
          <cell r="G78">
            <v>0</v>
          </cell>
          <cell r="H78">
            <v>0</v>
          </cell>
        </row>
        <row r="79">
          <cell r="J79" t="str">
            <v>(I)</v>
          </cell>
          <cell r="K79" t="str">
            <v>Taxes Other Than Income</v>
          </cell>
        </row>
        <row r="80">
          <cell r="C80" t="str">
            <v>Total other expenses</v>
          </cell>
          <cell r="G80">
            <v>0</v>
          </cell>
          <cell r="H80">
            <v>0</v>
          </cell>
          <cell r="K80" t="str">
            <v>(1) Regulatory Assessment Fees (RAF's)</v>
          </cell>
        </row>
        <row r="81">
          <cell r="K81" t="str">
            <v>Total revenue requested</v>
          </cell>
          <cell r="O81">
            <v>0</v>
          </cell>
          <cell r="P81">
            <v>0</v>
          </cell>
        </row>
        <row r="82">
          <cell r="C82" t="str">
            <v>Total adjustments to O &amp; M expenses</v>
          </cell>
          <cell r="G82">
            <v>0</v>
          </cell>
          <cell r="H82">
            <v>0</v>
          </cell>
          <cell r="K82" t="str">
            <v>RAF rate</v>
          </cell>
          <cell r="O82">
            <v>4.4999999999999998E-2</v>
          </cell>
        </row>
        <row r="84">
          <cell r="B84" t="str">
            <v>(G)</v>
          </cell>
          <cell r="C84" t="str">
            <v>Depreciation Expense</v>
          </cell>
          <cell r="K84" t="str">
            <v>Total RAF's</v>
          </cell>
          <cell r="O84">
            <v>0</v>
          </cell>
          <cell r="P84">
            <v>0</v>
          </cell>
        </row>
        <row r="85">
          <cell r="C85" t="str">
            <v>(1) Depreciation on assets per Schedule A-3</v>
          </cell>
          <cell r="K85" t="str">
            <v>Adjusted test year RAF's</v>
          </cell>
          <cell r="O85">
            <v>0</v>
          </cell>
        </row>
        <row r="86">
          <cell r="C86" t="str">
            <v>A) Truck addition</v>
          </cell>
          <cell r="G86">
            <v>0</v>
          </cell>
          <cell r="H86">
            <v>0</v>
          </cell>
        </row>
        <row r="87">
          <cell r="C87" t="str">
            <v>B) Truck addition</v>
          </cell>
          <cell r="K87" t="str">
            <v>Adjustment required</v>
          </cell>
          <cell r="O87">
            <v>0</v>
          </cell>
          <cell r="P87">
            <v>0</v>
          </cell>
        </row>
        <row r="88">
          <cell r="C88" t="str">
            <v>C) DEP required improvements</v>
          </cell>
        </row>
        <row r="89">
          <cell r="C89" t="str">
            <v>D) Copier</v>
          </cell>
          <cell r="K89" t="str">
            <v>(2) Payroll Taxes</v>
          </cell>
        </row>
        <row r="90">
          <cell r="C90" t="str">
            <v>F) T-1 line</v>
          </cell>
          <cell r="K90" t="str">
            <v>Total increase in salaries per Adjustment (F)(1) (above)</v>
          </cell>
          <cell r="O90">
            <v>0</v>
          </cell>
          <cell r="P90">
            <v>0</v>
          </cell>
        </row>
        <row r="91">
          <cell r="C91" t="str">
            <v>G) Water plant improvements</v>
          </cell>
          <cell r="K91" t="str">
            <v>Payroll tax rate</v>
          </cell>
          <cell r="O91">
            <v>7.6499999999999999E-2</v>
          </cell>
        </row>
        <row r="92">
          <cell r="C92" t="str">
            <v>H) Phone system</v>
          </cell>
        </row>
        <row r="93">
          <cell r="C93" t="str">
            <v>I) Water plant tie-in to sewer plant</v>
          </cell>
          <cell r="K93" t="str">
            <v>Total increase in payroll taxes</v>
          </cell>
          <cell r="O93">
            <v>0</v>
          </cell>
          <cell r="P93">
            <v>0</v>
          </cell>
        </row>
        <row r="94">
          <cell r="C94" t="str">
            <v>J) Generator</v>
          </cell>
        </row>
        <row r="97">
          <cell r="A97" t="str">
            <v>SCHEDULE A</v>
          </cell>
          <cell r="I97" t="str">
            <v>SCHEDULE A</v>
          </cell>
        </row>
      </sheetData>
      <sheetData sheetId="12"/>
      <sheetData sheetId="13"/>
      <sheetData sheetId="14"/>
      <sheetData sheetId="15"/>
      <sheetData sheetId="16"/>
      <sheetData sheetId="17"/>
      <sheetData sheetId="1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E50 JE Clear WSC"/>
      <sheetName val="SE50 JE WSC"/>
      <sheetName val="SE50 JE Benefits"/>
      <sheetName val="SE50 JE Sal &amp; PR Tax"/>
      <sheetName val="Summary by State"/>
      <sheetName val="Summary by Co"/>
      <sheetName val="Salary Alloc"/>
      <sheetName val="FICA Alloc"/>
      <sheetName val="FUT Alloc"/>
      <sheetName val="SUT Alloc"/>
      <sheetName val="Pension Alloc"/>
      <sheetName val="401k Alloc"/>
      <sheetName val="Health Alloc"/>
      <sheetName val="Other Alloc"/>
      <sheetName val="Cust Eq %"/>
      <sheetName val="Cust Eq Allocation"/>
      <sheetName val="Benefits Rates Input"/>
      <sheetName val="GL Detail"/>
      <sheetName val="Salary Input"/>
      <sheetName val="Employee Info Input"/>
      <sheetName val="Employee by Sub Input"/>
      <sheetName val="Cust Eq Input"/>
      <sheetName val="InvoiceBill Count Input"/>
      <sheetName val="Prior Allocations Input"/>
      <sheetName val="FORM.COS.SUBS.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COVER"/>
      <sheetName val="CONTENTS vol 1"/>
      <sheetName val="CONTENTS vol 2"/>
      <sheetName val="A 2"/>
      <sheetName val="A 3"/>
      <sheetName val="A 4"/>
      <sheetName val="A 6 (a)"/>
      <sheetName val="A 6 (b)"/>
      <sheetName val="A 7"/>
      <sheetName val="A 8"/>
      <sheetName val="A 10"/>
      <sheetName val="A 10 (a)"/>
      <sheetName val="A 11"/>
      <sheetName val="A 12"/>
      <sheetName val="A 12 (a)"/>
      <sheetName val="A 13"/>
      <sheetName val="A 14"/>
      <sheetName val="A 14 (a)"/>
      <sheetName val="A 15"/>
      <sheetName val="A 16"/>
      <sheetName val="A 17"/>
      <sheetName val="A 18"/>
      <sheetName val="A 18 (a)"/>
      <sheetName val="A 19"/>
      <sheetName val="A 19 (a) "/>
      <sheetName val="B 2"/>
      <sheetName val="B 3"/>
      <sheetName val="B 4"/>
      <sheetName val="B 6"/>
      <sheetName val="B 8"/>
      <sheetName val="B 9"/>
      <sheetName val="B 10"/>
      <sheetName val="B 11"/>
      <sheetName val="B 12"/>
      <sheetName val="B 14"/>
      <sheetName val="B 15"/>
      <sheetName val="C INSTRUCT"/>
      <sheetName val="C 1"/>
      <sheetName val="C 2"/>
      <sheetName val="C 3"/>
      <sheetName val="C 4"/>
      <sheetName val="C 5"/>
      <sheetName val="C 6"/>
      <sheetName val="C 7a"/>
      <sheetName val="C7b"/>
      <sheetName val="C 8"/>
      <sheetName val="C 9"/>
      <sheetName val="C 10"/>
      <sheetName val="D 1"/>
      <sheetName val="D 2"/>
      <sheetName val="D 2 (a)"/>
      <sheetName val="D 3"/>
      <sheetName val="D 4"/>
      <sheetName val="D 4 (a)"/>
      <sheetName val="D 5"/>
      <sheetName val="D 6"/>
      <sheetName val="D 7"/>
      <sheetName val="E 1"/>
      <sheetName val="E 1 (I)"/>
      <sheetName val="E 2 (I)"/>
      <sheetName val="E 2"/>
      <sheetName val="E 3"/>
      <sheetName val="E 4"/>
      <sheetName val="E 5"/>
      <sheetName val="E 6"/>
      <sheetName val="E 7"/>
      <sheetName val="E 8"/>
      <sheetName val="E 9"/>
      <sheetName val="E 10"/>
      <sheetName val="E 11"/>
      <sheetName val="E 12"/>
      <sheetName val="E 13"/>
      <sheetName val="E 14"/>
      <sheetName val="F 2"/>
      <sheetName val="F 4"/>
      <sheetName val="F 6"/>
      <sheetName val="F 7"/>
      <sheetName val="F 8"/>
      <sheetName val="F 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COVER"/>
      <sheetName val="CONTENTS vol 1"/>
      <sheetName val="CONTENTS vol 2"/>
      <sheetName val="A 1"/>
      <sheetName val="A 2"/>
      <sheetName val="A 3"/>
      <sheetName val="A 4"/>
      <sheetName val="A 5 (a) "/>
      <sheetName val="APPENDIX A PLANT ACCT REC"/>
      <sheetName val="A 5 (b) "/>
      <sheetName val="A 6 (a)"/>
      <sheetName val="A 6 (b)"/>
      <sheetName val="A 7"/>
      <sheetName val="A 8"/>
      <sheetName val="A 9"/>
      <sheetName val="A 9 (a)"/>
      <sheetName val="A 10"/>
      <sheetName val="A 10 (a)"/>
      <sheetName val="A 11"/>
      <sheetName val="A 12"/>
      <sheetName val="A 12 (a)"/>
      <sheetName val="A 13"/>
      <sheetName val="A 14"/>
      <sheetName val="A 14 (a)"/>
      <sheetName val="A 15"/>
      <sheetName val="A 16"/>
      <sheetName val="A 17"/>
      <sheetName val="A 18"/>
      <sheetName val="A 18 (a)"/>
      <sheetName val="A 19"/>
      <sheetName val="A 19 (a) "/>
      <sheetName val="B 1"/>
      <sheetName val="B 2"/>
      <sheetName val="B 3"/>
      <sheetName val="B 4"/>
      <sheetName val="B 5"/>
      <sheetName val="APPENDIX B INC. STAT.ACCT RECON"/>
      <sheetName val="B 6"/>
      <sheetName val="B 7"/>
      <sheetName val="B 8"/>
      <sheetName val="B 9"/>
      <sheetName val="B 10"/>
      <sheetName val="B 11"/>
      <sheetName val="B 12"/>
      <sheetName val="B 13"/>
      <sheetName val="B 14"/>
      <sheetName val="B 15"/>
      <sheetName val="C INSTRUCT"/>
      <sheetName val="C 1"/>
      <sheetName val="C 2"/>
      <sheetName val="C 3"/>
      <sheetName val="C 4"/>
      <sheetName val="C 5"/>
      <sheetName val="C 6"/>
      <sheetName val="C 7a"/>
      <sheetName val="C7b"/>
      <sheetName val="C 8"/>
      <sheetName val="C 9"/>
      <sheetName val="C 10"/>
      <sheetName val="D-1"/>
      <sheetName val="D-2"/>
      <sheetName val="D 2 (a)"/>
      <sheetName val="D-3"/>
      <sheetName val="D-4"/>
      <sheetName val="D 4 (a)"/>
      <sheetName val="D-5"/>
      <sheetName val="D-6"/>
      <sheetName val="D 7"/>
      <sheetName val="E 6"/>
      <sheetName val="E 7"/>
      <sheetName val="E 8"/>
      <sheetName val="E 9 "/>
      <sheetName val="E 12"/>
      <sheetName val="E 13"/>
      <sheetName val="E 14"/>
    </sheetNames>
    <sheetDataSet>
      <sheetData sheetId="0">
        <row r="12">
          <cell r="E12" t="str">
            <v>Preparer: Steven M. Lubertozzi</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COVER"/>
      <sheetName val="CONTENTS vol 1"/>
      <sheetName val="CONTENTS vol 2"/>
      <sheetName val="APPENDIX A PLANT ACCT REC"/>
      <sheetName val="A 2"/>
      <sheetName val="A 3"/>
      <sheetName val="A 4"/>
      <sheetName val="A 6"/>
      <sheetName val="A 7"/>
      <sheetName val="A 8"/>
      <sheetName val="A 10"/>
      <sheetName val="A 11"/>
      <sheetName val="A 12"/>
      <sheetName val="A 13"/>
      <sheetName val="A 14"/>
      <sheetName val="A 15"/>
      <sheetName val="A 16"/>
      <sheetName val="A 17"/>
      <sheetName val="A 18"/>
      <sheetName val="A 19"/>
      <sheetName val="B 2"/>
      <sheetName val="B 3"/>
      <sheetName val="B 4"/>
      <sheetName val="B 6"/>
      <sheetName val="B 8"/>
      <sheetName val="B 9"/>
      <sheetName val="B 10"/>
      <sheetName val="B 11"/>
      <sheetName val="B12"/>
      <sheetName val="B 14"/>
      <sheetName val="B 15"/>
      <sheetName val="C INSTRUCT"/>
      <sheetName val="C 1"/>
      <sheetName val="C 2 (S)"/>
      <sheetName val="C 3 "/>
      <sheetName val="C 4"/>
      <sheetName val="C 5 "/>
      <sheetName val="C 6"/>
      <sheetName val="C 7"/>
      <sheetName val="C 8"/>
      <sheetName val="C 9"/>
      <sheetName val="C 10"/>
      <sheetName val="D-1"/>
      <sheetName val="D-2"/>
      <sheetName val="D-3"/>
      <sheetName val="D-4"/>
      <sheetName val="D-5"/>
      <sheetName val="D-6"/>
      <sheetName val="D 7"/>
      <sheetName val="E 1 S"/>
      <sheetName val="E-2 S"/>
      <sheetName val="E-3"/>
      <sheetName val="E-4 Sewer"/>
      <sheetName val="E-5 "/>
      <sheetName val="E 6"/>
      <sheetName val="E 7"/>
      <sheetName val="E 8"/>
      <sheetName val="E 9 "/>
      <sheetName val="E-10"/>
      <sheetName val="E 11"/>
      <sheetName val="E 12"/>
      <sheetName val="E 13"/>
      <sheetName val="E 14"/>
      <sheetName val="F-2"/>
      <sheetName val="F-4"/>
      <sheetName val="F-6"/>
      <sheetName val="F-7"/>
      <sheetName val="F-8"/>
      <sheetName val="F-10"/>
      <sheetName val="A 2 (I)"/>
      <sheetName val="A 3 (I)"/>
      <sheetName val="B 2 (I)"/>
      <sheetName val="B 3 (I)"/>
      <sheetName val="B 15 (I)"/>
      <sheetName val="C 1 (I)"/>
      <sheetName val="C 2 (S) (I)"/>
      <sheetName val="C 5  (I)"/>
      <sheetName val="D-1 (I)"/>
      <sheetName val="D-2 (I)"/>
      <sheetName val="D 4 (I)"/>
      <sheetName val="E 1 S (I)"/>
      <sheetName val="E-2 - I"/>
      <sheetName val="12-31-08Plant Acc Bal"/>
      <sheetName val="ProForma Plant Additions"/>
      <sheetName val="12-31-08 CIAC Bal &amp; Proj"/>
      <sheetName val="Income Accounts Allocation"/>
      <sheetName val="12-31-08 Depreciation Exp"/>
      <sheetName val="2008 v. 2003 O &amp; M"/>
      <sheetName val="Interest Expense Adj"/>
      <sheetName val="ADJUSTED MONTHLY FINAL"/>
      <sheetName val="APPENDIX B INC. STAT.ACCT RECON"/>
    </sheetNames>
    <sheetDataSet>
      <sheetData sheetId="0">
        <row r="4">
          <cell r="E4" t="str">
            <v>Company:  Utilities, Inc. of Longwood</v>
          </cell>
        </row>
        <row r="10">
          <cell r="E10" t="str">
            <v>Preparer: Kirsten E. Weeks</v>
          </cell>
        </row>
        <row r="12">
          <cell r="E12" t="str">
            <v>Preparer: Erin Povich</v>
          </cell>
        </row>
        <row r="14">
          <cell r="E14" t="str">
            <v>Test Year Ended:  December 31, 2008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4">
          <cell r="D4" t="str">
            <v>Page 1 of 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56">
          <cell r="A56">
            <v>28</v>
          </cell>
        </row>
      </sheetData>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COVER"/>
      <sheetName val="CONTENTS vol 1"/>
      <sheetName val="CONTENTS vol 2"/>
      <sheetName val="APPENDIX A PLANT ACCT REC"/>
      <sheetName val="A 2"/>
      <sheetName val="A 3"/>
      <sheetName val="A 4"/>
      <sheetName val="A 6"/>
      <sheetName val="ProformaAdd"/>
      <sheetName val="ProformaExp"/>
      <sheetName val="A 6 (a)"/>
      <sheetName val="A 7"/>
      <sheetName val="A 8"/>
      <sheetName val="A 10"/>
      <sheetName val="A 10 (a)"/>
      <sheetName val="A 11"/>
      <sheetName val="A 12"/>
      <sheetName val="A 12 (a)"/>
      <sheetName val="A 13"/>
      <sheetName val="A 14"/>
      <sheetName val="A 14 (a)"/>
      <sheetName val="A 15"/>
      <sheetName val="A 16"/>
      <sheetName val="A 17"/>
      <sheetName val="A 18"/>
      <sheetName val="A 18 (a)"/>
      <sheetName val="A 19"/>
      <sheetName val="A 19 (a)"/>
      <sheetName val="B 2"/>
      <sheetName val="B 3"/>
      <sheetName val="B 4"/>
      <sheetName val="B 5"/>
      <sheetName val="B 6"/>
      <sheetName val="B 8"/>
      <sheetName val="B 9"/>
      <sheetName val="B 10"/>
      <sheetName val="B 11"/>
      <sheetName val="B 12"/>
      <sheetName val="B 12 (2)"/>
      <sheetName val="B 12 (3)"/>
      <sheetName val="B 12 (4)"/>
      <sheetName val="B 12 (5)"/>
      <sheetName val="B 12 (6)"/>
      <sheetName val="B 12 (7)"/>
      <sheetName val="B 12 (8)"/>
      <sheetName val="B 12 (9)"/>
      <sheetName val="B 12 (10)"/>
      <sheetName val="B 12 (11)"/>
      <sheetName val="B 12 (12)"/>
      <sheetName val="B 12 (13)"/>
      <sheetName val="B 14"/>
      <sheetName val="B 15"/>
      <sheetName val="C INSTRUCT"/>
      <sheetName val="C 1"/>
      <sheetName val="C 2 (s)"/>
      <sheetName val="C 3"/>
      <sheetName val="C 4"/>
      <sheetName val="C 5 (s)"/>
      <sheetName val="C 6"/>
      <sheetName val="C 7"/>
      <sheetName val="C 8"/>
      <sheetName val="C 9"/>
      <sheetName val="C 10"/>
      <sheetName val="D 1"/>
      <sheetName val="D 2"/>
      <sheetName val="D 3"/>
      <sheetName val="D 4"/>
      <sheetName val="D 5"/>
      <sheetName val="D 6"/>
      <sheetName val="D 7"/>
      <sheetName val="E 1 (s)"/>
      <sheetName val="E 2 (s)"/>
      <sheetName val="E 3"/>
      <sheetName val="E 4 (s)"/>
      <sheetName val="E 5 (s)"/>
      <sheetName val="E 6"/>
      <sheetName val="E 7"/>
      <sheetName val="E 8"/>
      <sheetName val="E 9"/>
      <sheetName val="E 10"/>
      <sheetName val="E 11"/>
      <sheetName val="E 12"/>
      <sheetName val="E 13"/>
      <sheetName val="E 14"/>
      <sheetName val="F 2"/>
      <sheetName val="F 4"/>
      <sheetName val="F 6"/>
      <sheetName val="F 6(2)"/>
      <sheetName val="F 7"/>
      <sheetName val="F 8"/>
      <sheetName val="F 10"/>
      <sheetName val="A 2 (I)"/>
      <sheetName val="A 3 (I)"/>
      <sheetName val="B 2 (I)"/>
      <sheetName val="B 3 (I)"/>
      <sheetName val="B 15 (I)"/>
      <sheetName val="C 1 (I)"/>
      <sheetName val="C 2 (S) (I)"/>
      <sheetName val="C 5 (S) (I)"/>
      <sheetName val="D 1 (I) "/>
      <sheetName val="D-2 (I) "/>
      <sheetName val="E 1 S (I)"/>
      <sheetName val="E 2 S (I)"/>
      <sheetName val="Trial Blc"/>
      <sheetName val="O&amp;M per TB"/>
      <sheetName val="12-31-15 Plant Acc Bal_PerAR"/>
      <sheetName val="12-31-15 CIAC Bal &amp; Proj_PerAR"/>
      <sheetName val="Working Capital_PerAR"/>
      <sheetName val="Other BalSheet Acct_PerAR"/>
      <sheetName val="O&amp;M"/>
      <sheetName val="12-31-15 Depreciation Exp_PerAR"/>
      <sheetName val="12-31-15 CIAC Amort Exp_PerAR"/>
      <sheetName val="Rev &amp; other exp"/>
      <sheetName val="12 Mo IS"/>
      <sheetName val="IncomeAccountsAllocationPerAR "/>
      <sheetName val="IncomeAccounts_Water BU"/>
      <sheetName val="IncomeAccounts_Sewer BU"/>
      <sheetName val="ADJUSTED MONTHLY FINAL"/>
      <sheetName val="APPENDIX B INC. STAT.ACCT RECON"/>
      <sheetName val="CommonPlant_PerAR"/>
      <sheetName val="Interest Expense Adj_PerAR"/>
      <sheetName val="RateCase&amp;Other Deferred_PerAR"/>
      <sheetName val="Property Taxes"/>
      <sheetName val="C 5 Calculation"/>
      <sheetName val="Rev Requirements Final"/>
      <sheetName val="Rev Requirements Interim"/>
      <sheetName val="Reuse RateBase"/>
      <sheetName val="REVENUE REQUIREMENTS"/>
      <sheetName val="PROFORMA YEAR"/>
      <sheetName val="INTERIM COST OF CAPITAL"/>
      <sheetName val="AR to MFR"/>
      <sheetName val="Chemicals"/>
    </sheetNames>
    <sheetDataSet>
      <sheetData sheetId="0">
        <row r="5">
          <cell r="E5" t="str">
            <v>Utilities, Inc. of Florida - Mid County</v>
          </cell>
        </row>
        <row r="6">
          <cell r="E6" t="str">
            <v>Docket No.: 160101-WS</v>
          </cell>
        </row>
        <row r="15">
          <cell r="E15" t="str">
            <v>Test Year Ended: December 31, 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COVER"/>
      <sheetName val="CONTENTS vol 1"/>
      <sheetName val="CONTENTS vol 2"/>
      <sheetName val="A 1"/>
      <sheetName val="A 2"/>
      <sheetName val="A 3"/>
      <sheetName val="A 4"/>
      <sheetName val="A 5 (a) "/>
      <sheetName val="APPENDIX A PLANT ACCT REC"/>
      <sheetName val="A 5 (b) "/>
      <sheetName val="A 6 (a)"/>
      <sheetName val="A 6 (b)"/>
      <sheetName val="A 7"/>
      <sheetName val="A 8"/>
      <sheetName val="A 9"/>
      <sheetName val="A 9 (a)"/>
      <sheetName val="A 10"/>
      <sheetName val="A 10 (a)"/>
      <sheetName val="A 11"/>
      <sheetName val="A 12"/>
      <sheetName val="A 12 (a)"/>
      <sheetName val="A 13"/>
      <sheetName val="A 14"/>
      <sheetName val="A 14 (a)"/>
      <sheetName val="A 15"/>
      <sheetName val="A 16"/>
      <sheetName val="A 17"/>
      <sheetName val="A 18"/>
      <sheetName val="A 18 (a)"/>
      <sheetName val="A 19"/>
      <sheetName val="A 19 (a) "/>
      <sheetName val="B 1"/>
      <sheetName val="B 2"/>
      <sheetName val="B 3"/>
      <sheetName val="B 4"/>
      <sheetName val="B 5"/>
      <sheetName val="APPENDIX B INC. STAT.ACCT RECON"/>
      <sheetName val="B 6"/>
      <sheetName val="B 7"/>
      <sheetName val="B 8"/>
      <sheetName val="B 9"/>
      <sheetName val="B 10"/>
      <sheetName val="B 11"/>
      <sheetName val="B 12"/>
      <sheetName val="B 13"/>
      <sheetName val="B 14"/>
      <sheetName val="B 15"/>
      <sheetName val="C INSTRUCT"/>
      <sheetName val="C 1"/>
      <sheetName val="C 2"/>
      <sheetName val="C 3"/>
      <sheetName val="C 4"/>
      <sheetName val="C 5"/>
      <sheetName val="C 6"/>
      <sheetName val="C 7a"/>
      <sheetName val="C7b"/>
      <sheetName val="C 8"/>
      <sheetName val="C 9"/>
      <sheetName val="C 10"/>
      <sheetName val="D-1"/>
      <sheetName val="D-2"/>
      <sheetName val="D 2 (a)"/>
      <sheetName val="D-3"/>
      <sheetName val="D-4"/>
      <sheetName val="D 4 (a)"/>
      <sheetName val="D-5"/>
      <sheetName val="D-6"/>
      <sheetName val="D 7"/>
      <sheetName val="E 1"/>
      <sheetName val="E 1 (I)"/>
      <sheetName val="E 2 (I)"/>
      <sheetName val="E 2"/>
      <sheetName val="E 3"/>
      <sheetName val="E 4"/>
      <sheetName val="E 5"/>
      <sheetName val="E 6"/>
      <sheetName val="E 7"/>
      <sheetName val="E 8"/>
      <sheetName val="E 9"/>
      <sheetName val="E 10"/>
      <sheetName val="E 11"/>
      <sheetName val="E 12"/>
      <sheetName val="E 13"/>
      <sheetName val="E 14"/>
      <sheetName val="F 2"/>
      <sheetName val="F 4"/>
      <sheetName val="F 6"/>
      <sheetName val="F 7"/>
      <sheetName val="F 8"/>
      <sheetName val="F 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COVER"/>
      <sheetName val="CONTENTS vol 1"/>
      <sheetName val="CONTENTS vol 2"/>
      <sheetName val="APPENDIX A PLANT ACCT REC"/>
      <sheetName val="A 1"/>
      <sheetName val="A 2 "/>
      <sheetName val="A 3 "/>
      <sheetName val="A 4"/>
      <sheetName val="A 5 "/>
      <sheetName val="A 5  (a)"/>
      <sheetName val="A 6"/>
      <sheetName val="A 6 (a)"/>
      <sheetName val="A 7"/>
      <sheetName val="A 8"/>
      <sheetName val="A 9"/>
      <sheetName val="A 9 (a)"/>
      <sheetName val="A 10"/>
      <sheetName val="A 10 (a)"/>
      <sheetName val="A 11"/>
      <sheetName val="A 12"/>
      <sheetName val="A 12 (a)"/>
      <sheetName val="A 13"/>
      <sheetName val="A 14"/>
      <sheetName val="A 14 (a)"/>
      <sheetName val="A 15"/>
      <sheetName val="A 16"/>
      <sheetName val="A 17 "/>
      <sheetName val="A 18"/>
      <sheetName val="A 18 (a)"/>
      <sheetName val="A 19 "/>
      <sheetName val="A 19 (a) "/>
      <sheetName val="B 1 "/>
      <sheetName val="B 2 "/>
      <sheetName val="B 3"/>
      <sheetName val="B 4"/>
      <sheetName val="B 5"/>
      <sheetName val="B 6"/>
      <sheetName val="B 7"/>
      <sheetName val="B 8"/>
      <sheetName val="B 9 "/>
      <sheetName val="B 10"/>
      <sheetName val="B 11"/>
      <sheetName val="B12"/>
      <sheetName val="B 13"/>
      <sheetName val="B 14"/>
      <sheetName val="B 15"/>
      <sheetName val="C INSTRUCT"/>
      <sheetName val="C 1"/>
      <sheetName val="C 2 (W)"/>
      <sheetName val="C 2 (S)"/>
      <sheetName val="C 3 "/>
      <sheetName val="C 4"/>
      <sheetName val="C 5  (W)"/>
      <sheetName val="C 5 (S)"/>
      <sheetName val="C 6"/>
      <sheetName val="C 7"/>
      <sheetName val="C 8"/>
      <sheetName val="C 9"/>
      <sheetName val="C 10"/>
      <sheetName val="D 1 "/>
      <sheetName val="D 2 "/>
      <sheetName val="D-3"/>
      <sheetName val="D-4"/>
      <sheetName val="D-5"/>
      <sheetName val="D-6"/>
      <sheetName val="D 7"/>
      <sheetName val="E 1 W"/>
      <sheetName val="E 1 S"/>
      <sheetName val="E-2 W"/>
      <sheetName val="E-2 S"/>
      <sheetName val="E-3"/>
      <sheetName val="E-4 Water"/>
      <sheetName val="E-4 Sewer"/>
      <sheetName val="E-5  (W)"/>
      <sheetName val="E-5(S) "/>
      <sheetName val="E 6"/>
      <sheetName val="E 7"/>
      <sheetName val="E 8"/>
      <sheetName val="E 9 "/>
      <sheetName val="E-10"/>
      <sheetName val="E 11"/>
      <sheetName val="E 12"/>
      <sheetName val="E 13"/>
      <sheetName val="E 14"/>
      <sheetName val="F 1"/>
      <sheetName val="F 2"/>
      <sheetName val="F 3"/>
      <sheetName val="F 4"/>
      <sheetName val="F 5"/>
      <sheetName val="F 6"/>
      <sheetName val="F 7"/>
      <sheetName val="F 8"/>
      <sheetName val="F 9"/>
      <sheetName val="F 10"/>
      <sheetName val="A 1 (I)"/>
      <sheetName val="A 2 (I) "/>
      <sheetName val="A 3 (I) "/>
      <sheetName val="B 1 (I) "/>
      <sheetName val="B 2 (I) "/>
      <sheetName val="B 3 (I)"/>
      <sheetName val="B 15 (I)"/>
      <sheetName val="C 1 (I)"/>
      <sheetName val="C 2 (W) (I)"/>
      <sheetName val="C 2 (S) (I)"/>
      <sheetName val="C 5  (W) (I)"/>
      <sheetName val="C 5 (S) (I)"/>
      <sheetName val="D-1 (I) "/>
      <sheetName val="D-2 (I) "/>
      <sheetName val="D 4 (I)"/>
      <sheetName val="E 1 W (I)"/>
      <sheetName val="E 1 S (I)"/>
      <sheetName val="E-2 W (I)"/>
      <sheetName val="E-2 S (I)"/>
      <sheetName val="12-31-10Plant Acc Bal_PerAR"/>
      <sheetName val="12-31-10 CIAC Bal &amp; Proj_PerAR"/>
      <sheetName val="IncomeAccountsAllocationPerAR "/>
      <sheetName val="12-31-10 Depreciation Exp_PerAR"/>
      <sheetName val="12-31-10 CIAC Amort Exp_PerAR"/>
      <sheetName val="Working Capital_PerAR"/>
      <sheetName val="ADJUSTED MONTHLY FINAL"/>
      <sheetName val="APPENDIX B INC. STAT.ACCT RECON"/>
      <sheetName val="CommonPlant_PerAR"/>
      <sheetName val="Interest Expense Adj_PerAR"/>
      <sheetName val="Other BalSheet Acct_PerAR"/>
      <sheetName val="RateCase&amp;Other Deferred_PerAR"/>
      <sheetName val="O&amp;M Allocation Adj_Per_ERC"/>
      <sheetName val="Property Taxes"/>
      <sheetName val="Sheet1"/>
    </sheetNames>
    <sheetDataSet>
      <sheetData sheetId="0">
        <row r="4">
          <cell r="E4" t="str">
            <v>Company:  Sanlando Utilities Corp.</v>
          </cell>
        </row>
        <row r="10">
          <cell r="E10" t="str">
            <v>Preparer: Kirsten Markwell</v>
          </cell>
        </row>
        <row r="11">
          <cell r="E11" t="str">
            <v>Preparer: Nicole Winans</v>
          </cell>
        </row>
        <row r="14">
          <cell r="E14" t="str">
            <v>Test Year Ended:  12/31/2010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4">
          <cell r="C4" t="str">
            <v>Page 1 of 1</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12">
          <cell r="O12">
            <v>558371.87</v>
          </cell>
        </row>
      </sheetData>
      <sheetData sheetId="37">
        <row r="12">
          <cell r="O12">
            <v>452256.01999999996</v>
          </cell>
        </row>
      </sheetData>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ow r="21">
          <cell r="I21">
            <v>11792.8</v>
          </cell>
        </row>
      </sheetData>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COVER"/>
      <sheetName val="CONTENTS vol 1"/>
      <sheetName val="CONTENTS vol 2"/>
      <sheetName val="A 1"/>
      <sheetName val="A 2"/>
      <sheetName val="A 3"/>
      <sheetName val="A 4"/>
      <sheetName val="A 5 (a) "/>
      <sheetName val="APPENDIX A PLANT ACCT REC"/>
      <sheetName val="A 5 (b) "/>
      <sheetName val="A 6 (a)"/>
      <sheetName val="A 6 (b)"/>
      <sheetName val="A 7"/>
      <sheetName val="A 8"/>
      <sheetName val="A 9"/>
      <sheetName val="A 9 (a)"/>
      <sheetName val="A 10"/>
      <sheetName val="A 10 (a)"/>
      <sheetName val="A 11"/>
      <sheetName val="A 12"/>
      <sheetName val="A 12 (a)"/>
      <sheetName val="A 13"/>
      <sheetName val="A 14"/>
      <sheetName val="A 14 (a)"/>
      <sheetName val="A 15"/>
      <sheetName val="A 16"/>
      <sheetName val="A 17"/>
      <sheetName val="A 18"/>
      <sheetName val="A 18 (a)"/>
      <sheetName val="A 19"/>
      <sheetName val="A 19 (a) "/>
      <sheetName val="B 1"/>
      <sheetName val="B 2"/>
      <sheetName val="B 3"/>
      <sheetName val="B 4"/>
      <sheetName val="B 5"/>
      <sheetName val="APPENDIX B INC. STAT.ACCT RECON"/>
      <sheetName val="B 6"/>
      <sheetName val="B 7"/>
      <sheetName val="B 8"/>
      <sheetName val="B 9"/>
      <sheetName val="B 10"/>
      <sheetName val="B 11"/>
      <sheetName val="B 12"/>
      <sheetName val="B 13"/>
      <sheetName val="B 14"/>
      <sheetName val="B 15"/>
      <sheetName val="C INSTRUCT"/>
      <sheetName val="C 1"/>
      <sheetName val="C 2"/>
      <sheetName val="C 3"/>
      <sheetName val="C 4"/>
      <sheetName val="C 5"/>
      <sheetName val="C 6"/>
      <sheetName val="C 7a"/>
      <sheetName val="C7b"/>
      <sheetName val="C 8"/>
      <sheetName val="C 9"/>
      <sheetName val="C 10"/>
      <sheetName val="D-1"/>
      <sheetName val="D-2"/>
      <sheetName val="D 2 (a)"/>
      <sheetName val="D-3"/>
      <sheetName val="D-4"/>
      <sheetName val="D 4 (a)"/>
      <sheetName val="D-5"/>
      <sheetName val="D-6"/>
      <sheetName val="D 7"/>
      <sheetName val="E 1"/>
      <sheetName val="E 1 (I)"/>
      <sheetName val="E 2 (I)"/>
      <sheetName val="E 2"/>
      <sheetName val="E 3"/>
      <sheetName val="E 4"/>
      <sheetName val="E 5"/>
      <sheetName val="E 6"/>
      <sheetName val="E 7"/>
      <sheetName val="E 8"/>
      <sheetName val="E 9"/>
      <sheetName val="E 10"/>
      <sheetName val="E 11"/>
      <sheetName val="E 12"/>
      <sheetName val="E 13"/>
      <sheetName val="E 14"/>
      <sheetName val="F 2"/>
      <sheetName val="F 4"/>
      <sheetName val="F 6"/>
      <sheetName val="F 7"/>
      <sheetName val="F 8"/>
      <sheetName val="F 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COVER"/>
      <sheetName val="CONTENTS vol 1"/>
      <sheetName val="CONTENTS vol 2"/>
      <sheetName val="A 1"/>
      <sheetName val="A 2"/>
      <sheetName val="A 3"/>
      <sheetName val="A 4"/>
      <sheetName val="A 5 (a) "/>
      <sheetName val="APPENDIX A PLANT ACCT REC"/>
      <sheetName val="A 5 (b) "/>
      <sheetName val="A 6 (a)"/>
      <sheetName val="A 6 (b)"/>
      <sheetName val="A 7"/>
      <sheetName val="A 8"/>
      <sheetName val="A 9"/>
      <sheetName val="A 9 (a)"/>
      <sheetName val="A 10"/>
      <sheetName val="A 10 (a)"/>
      <sheetName val="A 11"/>
      <sheetName val="A 12"/>
      <sheetName val="A 12 (a)"/>
      <sheetName val="A 13"/>
      <sheetName val="A 14"/>
      <sheetName val="A 14 (a)"/>
      <sheetName val="A 15"/>
      <sheetName val="A 16"/>
      <sheetName val="A 17"/>
      <sheetName val="A 18"/>
      <sheetName val="A 18 (a)"/>
      <sheetName val="A 19"/>
      <sheetName val="A 19 (a) "/>
      <sheetName val="B 1"/>
      <sheetName val="B 2"/>
      <sheetName val="B 3"/>
      <sheetName val="B 4"/>
      <sheetName val="B 5"/>
      <sheetName val="APPENDIX B INC. STAT.ACCT RECON"/>
      <sheetName val="B 6"/>
      <sheetName val="B 7"/>
      <sheetName val="B 8"/>
      <sheetName val="B 9"/>
      <sheetName val="B 10"/>
      <sheetName val="B 11"/>
      <sheetName val="B 12"/>
      <sheetName val="B 13"/>
      <sheetName val="B 14"/>
      <sheetName val="B 15"/>
      <sheetName val="C INSTRUCT"/>
      <sheetName val="C 1"/>
      <sheetName val="C 2"/>
      <sheetName val="C 3"/>
      <sheetName val="C 4"/>
      <sheetName val="C 5"/>
      <sheetName val="C 6"/>
      <sheetName val="C 7a"/>
      <sheetName val="C7b"/>
      <sheetName val="C 8"/>
      <sheetName val="C 9"/>
      <sheetName val="C 10"/>
      <sheetName val="D-1"/>
      <sheetName val="D-2"/>
      <sheetName val="D 2 (a)"/>
      <sheetName val="D-3"/>
      <sheetName val="D-4"/>
      <sheetName val="D 4 (a)"/>
      <sheetName val="D-5"/>
      <sheetName val="D-6"/>
      <sheetName val="D 7"/>
      <sheetName val="E 1"/>
      <sheetName val="E 1 (I)"/>
      <sheetName val="E 2 (I)"/>
      <sheetName val="E 2"/>
      <sheetName val="E 3"/>
      <sheetName val="E 4"/>
      <sheetName val="E 5"/>
      <sheetName val="E 6"/>
      <sheetName val="E 7"/>
      <sheetName val="E 8"/>
      <sheetName val="E 9 "/>
      <sheetName val="E 10"/>
      <sheetName val="E 11"/>
      <sheetName val="E 12"/>
      <sheetName val="E 13"/>
      <sheetName val="E 14"/>
      <sheetName val="F 2"/>
      <sheetName val="F 4"/>
      <sheetName val="F 6"/>
      <sheetName val="F 7"/>
      <sheetName val="F 8"/>
      <sheetName val="F 10"/>
      <sheetName val="E 9"/>
    </sheetNames>
    <sheetDataSet>
      <sheetData sheetId="0">
        <row r="10">
          <cell r="E10" t="str">
            <v>Preparer: Deborah Swain / MSA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COVER"/>
      <sheetName val="CONTENTS vol 1"/>
      <sheetName val="A 2"/>
      <sheetName val="A 3"/>
      <sheetName val="A 4"/>
      <sheetName val="A 6 (a)"/>
      <sheetName val="A 6 (b)"/>
      <sheetName val="A 7"/>
      <sheetName val="A 8"/>
      <sheetName val="A 10"/>
      <sheetName val="A 10 (a)"/>
      <sheetName val="A 11"/>
      <sheetName val="A 12"/>
      <sheetName val="A 12 (a)"/>
      <sheetName val="A 13"/>
      <sheetName val="A 14"/>
      <sheetName val="A 14 (a)"/>
      <sheetName val="A 15"/>
      <sheetName val="A 16"/>
      <sheetName val="A 17"/>
      <sheetName val="A 18"/>
      <sheetName val="A 18 (a)"/>
      <sheetName val="A 19"/>
      <sheetName val="A 19 (a) "/>
      <sheetName val="B 2"/>
      <sheetName val="B 3"/>
      <sheetName val="B 4"/>
      <sheetName val="B 6"/>
      <sheetName val="B 8"/>
      <sheetName val="B 9"/>
      <sheetName val="B 10"/>
      <sheetName val="B 11"/>
      <sheetName val="B 12"/>
      <sheetName val="B 14"/>
      <sheetName val="B 15"/>
      <sheetName val="C 1"/>
      <sheetName val="C 2"/>
      <sheetName val="C 3"/>
      <sheetName val="C 4"/>
      <sheetName val="C 5"/>
      <sheetName val="C 6"/>
      <sheetName val="C 7a"/>
      <sheetName val="C7b"/>
      <sheetName val="C 8"/>
      <sheetName val="C 9"/>
      <sheetName val="C 10"/>
      <sheetName val="D 1"/>
      <sheetName val="D 2"/>
      <sheetName val="D 2 (a)"/>
      <sheetName val="D 3"/>
      <sheetName val="D 4"/>
      <sheetName val="D 4 (a)"/>
      <sheetName val="D 5"/>
      <sheetName val="D 6"/>
      <sheetName val="D 7"/>
      <sheetName val="E 1"/>
      <sheetName val="E 1 (I)"/>
      <sheetName val="E 2"/>
      <sheetName val="E 2 (I)"/>
      <sheetName val="E 3"/>
      <sheetName val="E 4"/>
      <sheetName val="E 5"/>
      <sheetName val="E 6"/>
      <sheetName val="E 7"/>
      <sheetName val="E 8"/>
      <sheetName val="E 9"/>
      <sheetName val="E 10"/>
      <sheetName val="E 11"/>
      <sheetName val="E 12"/>
      <sheetName val="E 13"/>
      <sheetName val="E 14"/>
      <sheetName val="F 2"/>
      <sheetName val="F 4"/>
      <sheetName val="F 6"/>
      <sheetName val="F 7"/>
      <sheetName val="F 8"/>
      <sheetName val="F 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COVER"/>
      <sheetName val="CONTENTS vol 1"/>
      <sheetName val="CONTENTS vol 2"/>
      <sheetName val="APPENDIX A PLANT ACCT REC"/>
      <sheetName val="A 1"/>
      <sheetName val="A 2"/>
      <sheetName val="A 3"/>
      <sheetName val="A 4"/>
      <sheetName val="A 5 "/>
      <sheetName val="A 6"/>
      <sheetName val="A 7"/>
      <sheetName val="A 8"/>
      <sheetName val="A 9"/>
      <sheetName val="A 10"/>
      <sheetName val="A 11"/>
      <sheetName val="A 12"/>
      <sheetName val="A 13"/>
      <sheetName val="A 14"/>
      <sheetName val="A 15"/>
      <sheetName val="A 16"/>
      <sheetName val="A 17"/>
      <sheetName val="A 18"/>
      <sheetName val="A 19"/>
      <sheetName val="B 1"/>
      <sheetName val="B 2"/>
      <sheetName val="B 3"/>
      <sheetName val="B 4"/>
      <sheetName val="B 5"/>
      <sheetName val="B 6"/>
      <sheetName val="B 7"/>
      <sheetName val="B 8"/>
      <sheetName val="B 9"/>
      <sheetName val="B 10"/>
      <sheetName val="B 11"/>
      <sheetName val="B12 (1)"/>
      <sheetName val="B12 (2)"/>
      <sheetName val="B12 (3)"/>
      <sheetName val="B12 (4)"/>
      <sheetName val="B 13"/>
      <sheetName val="B 14"/>
      <sheetName val="C INSTRUCT"/>
      <sheetName val="B 15"/>
      <sheetName val="C 1"/>
      <sheetName val="C 2 (W)"/>
      <sheetName val="C 2 (S)"/>
      <sheetName val="C 3 (W)"/>
      <sheetName val="C 3 (S)"/>
      <sheetName val="C 4"/>
      <sheetName val="C 5 (W)"/>
      <sheetName val="C 5 (S)"/>
      <sheetName val="C 6"/>
      <sheetName val="C 7"/>
      <sheetName val="C 8"/>
      <sheetName val="C 9"/>
      <sheetName val="C 10"/>
      <sheetName val="D-1"/>
      <sheetName val="D-2"/>
      <sheetName val="D-3"/>
      <sheetName val="D-4"/>
      <sheetName val="D-5"/>
      <sheetName val="D-6"/>
      <sheetName val="D 7"/>
      <sheetName val="E 1 W"/>
      <sheetName val="E 1 S"/>
      <sheetName val="E-2"/>
      <sheetName val="E-3"/>
      <sheetName val="E-4 "/>
      <sheetName val="E-5 (W)"/>
      <sheetName val="E-5 (S) "/>
      <sheetName val="E 6"/>
      <sheetName val="E 7"/>
      <sheetName val="E 8"/>
      <sheetName val="E 9 "/>
      <sheetName val="E-10"/>
      <sheetName val="E 11"/>
      <sheetName val="E 12"/>
      <sheetName val="E 13"/>
      <sheetName val="E 14"/>
      <sheetName val="D 4 (I)"/>
      <sheetName val="E 1 W (I)"/>
      <sheetName val="E 1 S (I)"/>
      <sheetName val="E-2 (I)"/>
      <sheetName val="6-30-07 Plant Acc Bal"/>
      <sheetName val="6-30-07 CIAC Bal &amp; Proj"/>
      <sheetName val="6-30-07 Balance Sheet"/>
      <sheetName val="Income Acc  Alloc "/>
      <sheetName val="Interest Expense Adj"/>
      <sheetName val="6-30-07 Depreciation Exp"/>
      <sheetName val="Rev Requirements Final"/>
      <sheetName val="Rev Req Interim"/>
      <sheetName val="Computation of Rates Final"/>
      <sheetName val="Computation of Rates Interim"/>
      <sheetName val="ADJUSTED MONTHLY FINAL"/>
      <sheetName val="APPENDIX B INC. STAT.ACCT RECON"/>
    </sheetNames>
    <sheetDataSet>
      <sheetData sheetId="0">
        <row r="10">
          <cell r="E10" t="str">
            <v>Preparer: John Hoy</v>
          </cell>
        </row>
        <row r="12">
          <cell r="E12" t="str">
            <v>Preparer: John Hoy</v>
          </cell>
        </row>
      </sheetData>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ow r="4">
          <cell r="D4" t="str">
            <v>Page 1 of 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COVER"/>
      <sheetName val="CONTENTS vol 1"/>
      <sheetName val="CONTENTS vol 2"/>
      <sheetName val="APPENDIX A PLANT ACCT REC"/>
      <sheetName val="A 2"/>
      <sheetName val="A 3"/>
      <sheetName val="A 4"/>
      <sheetName val="A 6"/>
      <sheetName val="A 7"/>
      <sheetName val="A 8"/>
      <sheetName val="A 10"/>
      <sheetName val="A 11"/>
      <sheetName val="A 12"/>
      <sheetName val="A 13"/>
      <sheetName val="A 14"/>
      <sheetName val="A 15"/>
      <sheetName val="A 16"/>
      <sheetName val="A 17"/>
      <sheetName val="A 18"/>
      <sheetName val="A 19"/>
      <sheetName val="B 2"/>
      <sheetName val="B 3"/>
      <sheetName val="B 4"/>
      <sheetName val="B 6"/>
      <sheetName val="B 8"/>
      <sheetName val="B 9"/>
      <sheetName val="B 10"/>
      <sheetName val="B 11"/>
      <sheetName val="B12 (1)"/>
      <sheetName val="B12 (2)"/>
      <sheetName val="B12 (3)"/>
      <sheetName val="B12 (4)"/>
      <sheetName val="B12 (5)"/>
      <sheetName val="B 14"/>
      <sheetName val="C INSTRUCT"/>
      <sheetName val="B 15"/>
      <sheetName val="C 1"/>
      <sheetName val="C 2 (S)"/>
      <sheetName val="C 3 (S)"/>
      <sheetName val="C 4"/>
      <sheetName val="C 5 (S)"/>
      <sheetName val="C 6"/>
      <sheetName val="C 7"/>
      <sheetName val="C 8"/>
      <sheetName val="C 9"/>
      <sheetName val="C 10"/>
      <sheetName val="D-1"/>
      <sheetName val="D-2"/>
      <sheetName val="D-3"/>
      <sheetName val="D-4"/>
      <sheetName val="D-5"/>
      <sheetName val="D-6"/>
      <sheetName val="D 7"/>
      <sheetName val="E 1 S"/>
      <sheetName val="E-2"/>
      <sheetName val="E-3"/>
      <sheetName val="E-4 "/>
      <sheetName val="E-5 (S) "/>
      <sheetName val="E 6"/>
      <sheetName val="E 7"/>
      <sheetName val="E 8"/>
      <sheetName val="E 9 "/>
      <sheetName val="E-10"/>
      <sheetName val="E 11"/>
      <sheetName val="E 12"/>
      <sheetName val="E 13"/>
      <sheetName val="E 14"/>
      <sheetName val="F-2"/>
      <sheetName val="F-4"/>
      <sheetName val="F-6"/>
      <sheetName val="F-6(2)"/>
      <sheetName val="F-7"/>
      <sheetName val="F-8"/>
      <sheetName val="F-10"/>
      <sheetName val="A 2 (I)"/>
      <sheetName val="A 3 (I)"/>
      <sheetName val="B 2 (I)"/>
      <sheetName val="B 3 (I)"/>
      <sheetName val="B 15 (I)"/>
      <sheetName val="C 1 (I)"/>
      <sheetName val="C 2 (I)"/>
      <sheetName val="C 3 (I)"/>
      <sheetName val="C 5 (I) "/>
      <sheetName val="D-1 (I)"/>
      <sheetName val="D-2 (I)"/>
      <sheetName val="D 4 (I)"/>
      <sheetName val="E 1 S (I)"/>
      <sheetName val="E-2 (I)"/>
      <sheetName val=" Plant Acc Bal"/>
      <sheetName val=" CIAC Bal &amp; Proj"/>
      <sheetName val="Balance Sheet"/>
      <sheetName val="Income Acc  Alloc "/>
      <sheetName val="Interest Expense Adj"/>
      <sheetName val=" Depreciation Exp"/>
      <sheetName val="Rev Requirements Final"/>
      <sheetName val="Rev Req Interim"/>
      <sheetName val="Computation of Rates Final"/>
      <sheetName val="ADJUSTED MONTHLY FINAL"/>
      <sheetName val="APPENDIX B INC. STAT.ACCT RECON"/>
    </sheetNames>
    <sheetDataSet>
      <sheetData sheetId="0">
        <row r="11">
          <cell r="E11" t="str">
            <v>Preparer:  Erin Povich</v>
          </cell>
        </row>
      </sheetData>
      <sheetData sheetId="1"/>
      <sheetData sheetId="2"/>
      <sheetData sheetId="3"/>
      <sheetData sheetId="4"/>
      <sheetData sheetId="5"/>
      <sheetData sheetId="6"/>
      <sheetData sheetId="7"/>
      <sheetData sheetId="8"/>
      <sheetData sheetId="9">
        <row r="4">
          <cell r="D4" t="str">
            <v>Page 1 of 1</v>
          </cell>
        </row>
      </sheetData>
      <sheetData sheetId="10"/>
      <sheetData sheetId="11"/>
      <sheetData sheetId="12"/>
      <sheetData sheetId="13"/>
      <sheetData sheetId="14"/>
      <sheetData sheetId="15"/>
      <sheetData sheetId="16"/>
      <sheetData sheetId="17"/>
      <sheetData sheetId="18"/>
      <sheetData sheetId="19"/>
      <sheetData sheetId="20"/>
      <sheetData sheetId="21">
        <row r="16">
          <cell r="F16">
            <v>780729.63</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ow r="16">
          <cell r="F16">
            <v>780729.63</v>
          </cell>
        </row>
      </sheetData>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7.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02.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7"/>
  <sheetViews>
    <sheetView tabSelected="1" workbookViewId="0">
      <selection activeCell="B17" sqref="B17"/>
    </sheetView>
  </sheetViews>
  <sheetFormatPr defaultRowHeight="12.75"/>
  <cols>
    <col min="2" max="2" width="4.85546875" customWidth="1"/>
    <col min="3" max="3" width="13.85546875" customWidth="1"/>
    <col min="4" max="7" width="14.85546875" customWidth="1"/>
    <col min="8" max="8" width="4.85546875" customWidth="1"/>
  </cols>
  <sheetData>
    <row r="1" spans="1:11" ht="22.5">
      <c r="B1" s="1" t="s">
        <v>380</v>
      </c>
      <c r="C1" s="1"/>
      <c r="D1" s="1"/>
      <c r="E1" s="1"/>
      <c r="F1" s="2"/>
      <c r="G1" s="2"/>
      <c r="H1" s="1"/>
      <c r="I1" s="3"/>
      <c r="J1" s="3"/>
      <c r="K1" s="3"/>
    </row>
    <row r="2" spans="1:11" ht="22.5">
      <c r="B2" s="1" t="s">
        <v>1329</v>
      </c>
      <c r="C2" s="1"/>
      <c r="D2" s="1"/>
      <c r="E2" s="1"/>
      <c r="F2" s="2"/>
      <c r="G2" s="2"/>
      <c r="H2" s="1"/>
      <c r="I2" s="3"/>
      <c r="J2" s="3"/>
      <c r="K2" s="3"/>
    </row>
    <row r="3" spans="1:11">
      <c r="B3" s="3"/>
      <c r="C3" s="4"/>
      <c r="D3" s="3"/>
      <c r="E3" s="3"/>
      <c r="F3" s="5"/>
      <c r="G3" s="3"/>
      <c r="H3" s="3"/>
      <c r="I3" s="3"/>
      <c r="J3" s="3"/>
      <c r="K3" s="3"/>
    </row>
    <row r="4" spans="1:11" ht="39.75">
      <c r="B4" s="6" t="s">
        <v>1330</v>
      </c>
      <c r="C4" s="7"/>
      <c r="D4" s="6"/>
      <c r="E4" s="6"/>
      <c r="F4" s="6"/>
      <c r="G4" s="6"/>
      <c r="H4" s="6"/>
      <c r="I4" s="3"/>
      <c r="J4" s="3"/>
      <c r="K4" s="3"/>
    </row>
    <row r="5" spans="1:11" ht="39.75">
      <c r="B5" s="6" t="s">
        <v>1331</v>
      </c>
      <c r="C5" s="6"/>
      <c r="D5" s="6"/>
      <c r="E5" s="6"/>
      <c r="F5" s="6"/>
      <c r="G5" s="6"/>
      <c r="H5" s="6"/>
      <c r="I5" s="3"/>
      <c r="J5" s="3"/>
      <c r="K5" s="3"/>
    </row>
    <row r="6" spans="1:11" ht="39.75">
      <c r="B6" s="6" t="s">
        <v>1332</v>
      </c>
      <c r="C6" s="7"/>
      <c r="D6" s="6"/>
      <c r="E6" s="6"/>
      <c r="F6" s="6"/>
      <c r="G6" s="6"/>
      <c r="H6" s="6"/>
      <c r="I6" s="3"/>
      <c r="J6" s="3"/>
      <c r="K6" s="3"/>
    </row>
    <row r="7" spans="1:11" ht="39.75">
      <c r="B7" s="6" t="s">
        <v>1333</v>
      </c>
      <c r="C7" s="6"/>
      <c r="D7" s="6"/>
      <c r="E7" s="6"/>
      <c r="F7" s="6"/>
      <c r="G7" s="6"/>
      <c r="H7" s="6"/>
      <c r="I7" s="3"/>
      <c r="J7" s="3"/>
      <c r="K7" s="3"/>
    </row>
    <row r="8" spans="1:11" ht="15.75">
      <c r="A8" s="25"/>
      <c r="B8" s="23"/>
      <c r="C8" s="23"/>
      <c r="D8" s="23"/>
      <c r="E8" s="23"/>
      <c r="F8" s="23"/>
      <c r="G8" s="23"/>
      <c r="H8" s="23"/>
      <c r="I8" s="24"/>
      <c r="J8" s="24"/>
      <c r="K8" s="24"/>
    </row>
    <row r="9" spans="1:11" ht="30.75">
      <c r="B9" s="8" t="s">
        <v>1334</v>
      </c>
      <c r="C9" s="3"/>
      <c r="D9" s="3"/>
      <c r="E9" s="3"/>
      <c r="F9" s="3"/>
      <c r="G9" s="3"/>
      <c r="H9" s="3"/>
      <c r="I9" s="3"/>
      <c r="J9" s="3"/>
      <c r="K9" s="3"/>
    </row>
    <row r="10" spans="1:11" ht="26.25">
      <c r="A10" s="25"/>
      <c r="B10" s="24"/>
      <c r="C10" s="2290" t="str">
        <f>[20]Macros!E5</f>
        <v>Utilities, Inc. of Florida - Mid County</v>
      </c>
      <c r="D10" s="2291"/>
      <c r="E10" s="2291"/>
      <c r="F10" s="2291"/>
      <c r="G10" s="2291"/>
      <c r="H10" s="2291"/>
      <c r="I10" s="2291"/>
      <c r="J10" s="2291"/>
      <c r="K10" s="2291"/>
    </row>
    <row r="11" spans="1:11">
      <c r="B11" s="3"/>
      <c r="C11" s="9"/>
      <c r="D11" s="9"/>
      <c r="E11" s="9"/>
      <c r="F11" s="9"/>
      <c r="G11" s="9"/>
      <c r="H11" s="3"/>
      <c r="I11" s="3"/>
      <c r="J11" s="3"/>
      <c r="K11" s="3"/>
    </row>
    <row r="12" spans="1:11" ht="26.25">
      <c r="B12" s="3"/>
      <c r="C12" s="9"/>
      <c r="D12" s="9"/>
      <c r="E12" s="2159" t="str">
        <f>[20]Macros!E6</f>
        <v>Docket No.: 160101-WS</v>
      </c>
      <c r="F12" s="9"/>
      <c r="G12" s="9"/>
      <c r="H12" s="3"/>
      <c r="I12" s="3"/>
      <c r="J12" s="3"/>
      <c r="K12" s="3"/>
    </row>
    <row r="13" spans="1:11">
      <c r="B13" s="3"/>
      <c r="C13" s="9"/>
      <c r="D13" s="9"/>
      <c r="E13" s="9"/>
      <c r="F13" s="9"/>
      <c r="G13" s="9"/>
      <c r="H13" s="3"/>
      <c r="I13" s="3"/>
      <c r="J13" s="3"/>
      <c r="K13" s="3"/>
    </row>
    <row r="14" spans="1:11" ht="60">
      <c r="B14" s="26" t="s">
        <v>1061</v>
      </c>
      <c r="C14" s="3"/>
      <c r="D14" s="3"/>
      <c r="E14" s="3"/>
      <c r="F14" s="3"/>
      <c r="G14" s="3"/>
      <c r="H14" s="3"/>
      <c r="I14" s="3"/>
      <c r="J14" s="3"/>
      <c r="K14" s="3"/>
    </row>
    <row r="15" spans="1:11">
      <c r="B15" s="3"/>
      <c r="C15" s="3"/>
      <c r="D15" s="3"/>
      <c r="E15" s="3"/>
      <c r="F15" s="3"/>
      <c r="G15" s="3"/>
      <c r="H15" s="3"/>
      <c r="I15" s="3"/>
      <c r="J15" s="3"/>
      <c r="K15" s="3"/>
    </row>
    <row r="16" spans="1:11">
      <c r="B16" s="3"/>
      <c r="C16" s="3"/>
      <c r="D16" s="3"/>
      <c r="E16" s="3"/>
      <c r="F16" s="3"/>
      <c r="G16" s="3"/>
      <c r="H16" s="3"/>
      <c r="I16" s="3"/>
      <c r="J16" s="3"/>
      <c r="K16" s="3"/>
    </row>
    <row r="17" spans="2:11">
      <c r="B17" s="3"/>
      <c r="C17" s="3"/>
      <c r="D17" s="3"/>
      <c r="E17" s="3"/>
      <c r="F17" s="3"/>
      <c r="G17" s="3"/>
      <c r="H17" s="3"/>
      <c r="I17" s="3"/>
      <c r="J17" s="3"/>
      <c r="K17" s="3"/>
    </row>
    <row r="18" spans="2:11">
      <c r="B18" s="3"/>
      <c r="C18" s="3"/>
      <c r="D18" s="3"/>
      <c r="E18" s="3"/>
      <c r="F18" s="3"/>
      <c r="G18" s="3"/>
      <c r="H18" s="3"/>
      <c r="I18" s="3"/>
      <c r="J18" s="3"/>
      <c r="K18" s="3"/>
    </row>
    <row r="19" spans="2:11">
      <c r="B19" s="3"/>
      <c r="C19" s="3"/>
      <c r="D19" s="3"/>
      <c r="E19" s="3"/>
      <c r="F19" s="3"/>
      <c r="G19" s="3"/>
      <c r="H19" s="3"/>
      <c r="I19" s="3"/>
      <c r="J19" s="3"/>
      <c r="K19" s="3"/>
    </row>
    <row r="20" spans="2:11">
      <c r="B20" s="3"/>
      <c r="C20" s="3"/>
      <c r="D20" s="3"/>
      <c r="E20" s="3"/>
      <c r="F20" s="3"/>
      <c r="G20" s="3"/>
      <c r="H20" s="3"/>
      <c r="I20" s="3"/>
      <c r="J20" s="3"/>
      <c r="K20" s="3"/>
    </row>
    <row r="21" spans="2:11">
      <c r="B21" s="3"/>
      <c r="C21" s="3"/>
      <c r="D21" s="3"/>
      <c r="E21" s="3"/>
      <c r="F21" s="3"/>
      <c r="G21" s="3"/>
      <c r="H21" s="3"/>
      <c r="I21" s="3"/>
      <c r="J21" s="3"/>
      <c r="K21" s="3"/>
    </row>
    <row r="22" spans="2:11">
      <c r="B22" s="3"/>
      <c r="C22" s="3"/>
      <c r="D22" s="3"/>
      <c r="E22" s="3"/>
      <c r="F22" s="3"/>
      <c r="G22" s="3"/>
      <c r="H22" s="3"/>
      <c r="I22" s="3"/>
      <c r="J22" s="3"/>
      <c r="K22" s="3"/>
    </row>
    <row r="23" spans="2:11">
      <c r="B23" s="3"/>
      <c r="C23" s="3"/>
      <c r="D23" s="3"/>
      <c r="E23" s="3"/>
      <c r="F23" s="3"/>
      <c r="G23" s="3"/>
      <c r="H23" s="3"/>
      <c r="I23" s="3"/>
      <c r="J23" s="3"/>
      <c r="K23" s="3"/>
    </row>
    <row r="24" spans="2:11">
      <c r="B24" s="3"/>
      <c r="C24" s="3"/>
      <c r="D24" s="3"/>
      <c r="E24" s="3"/>
      <c r="F24" s="3"/>
      <c r="G24" s="3"/>
      <c r="H24" s="3"/>
      <c r="I24" s="3"/>
      <c r="J24" s="3"/>
      <c r="K24" s="3"/>
    </row>
    <row r="25" spans="2:11">
      <c r="B25" s="3"/>
      <c r="C25" s="3"/>
      <c r="D25" s="3"/>
      <c r="E25" s="3"/>
      <c r="F25" s="3"/>
      <c r="G25" s="3"/>
      <c r="H25" s="3"/>
      <c r="I25" s="3"/>
      <c r="J25" s="3"/>
      <c r="K25" s="3"/>
    </row>
    <row r="26" spans="2:11">
      <c r="B26" s="3"/>
      <c r="C26" s="3"/>
      <c r="D26" s="3"/>
      <c r="E26" s="3"/>
      <c r="F26" s="3"/>
      <c r="G26" s="3"/>
      <c r="H26" s="3"/>
      <c r="I26" s="3"/>
      <c r="J26" s="3"/>
      <c r="K26" s="3"/>
    </row>
    <row r="27" spans="2:11">
      <c r="B27" s="3"/>
      <c r="C27" s="3"/>
      <c r="D27" s="3"/>
      <c r="E27" s="3"/>
      <c r="F27" s="3"/>
      <c r="G27" s="3"/>
      <c r="H27" s="3"/>
      <c r="I27" s="3"/>
      <c r="J27" s="3"/>
      <c r="K27" s="3"/>
    </row>
    <row r="28" spans="2:11">
      <c r="B28" s="3"/>
      <c r="C28" s="3"/>
      <c r="D28" s="3"/>
      <c r="E28" s="3"/>
      <c r="F28" s="3"/>
      <c r="G28" s="3"/>
      <c r="H28" s="3"/>
      <c r="I28" s="3"/>
      <c r="J28" s="3"/>
      <c r="K28" s="3"/>
    </row>
    <row r="29" spans="2:11">
      <c r="B29" s="3"/>
      <c r="C29" s="3"/>
      <c r="D29" s="3"/>
      <c r="E29" s="3"/>
      <c r="F29" s="3"/>
      <c r="G29" s="3"/>
      <c r="H29" s="3"/>
      <c r="I29" s="3"/>
      <c r="J29" s="3"/>
      <c r="K29" s="3"/>
    </row>
    <row r="30" spans="2:11">
      <c r="B30" s="3"/>
      <c r="C30" s="3"/>
      <c r="D30" s="3"/>
      <c r="E30" s="3"/>
      <c r="F30" s="3"/>
      <c r="G30" s="3"/>
      <c r="H30" s="3"/>
      <c r="I30" s="3"/>
      <c r="J30" s="3"/>
      <c r="K30" s="3"/>
    </row>
    <row r="31" spans="2:11">
      <c r="B31" s="3"/>
      <c r="C31" s="3"/>
      <c r="D31" s="3"/>
      <c r="E31" s="3"/>
      <c r="F31" s="3"/>
      <c r="G31" s="3"/>
      <c r="H31" s="3"/>
      <c r="I31" s="3"/>
      <c r="J31" s="3"/>
      <c r="K31" s="3"/>
    </row>
    <row r="32" spans="2:11">
      <c r="B32" s="3"/>
      <c r="C32" s="3"/>
      <c r="D32" s="3"/>
      <c r="E32" s="3"/>
      <c r="F32" s="3"/>
      <c r="G32" s="3"/>
      <c r="H32" s="3"/>
      <c r="I32" s="3"/>
      <c r="J32" s="3"/>
      <c r="K32" s="3"/>
    </row>
    <row r="33" spans="1:11">
      <c r="B33" s="3"/>
      <c r="C33" s="3"/>
      <c r="D33" s="3"/>
      <c r="E33" s="3"/>
      <c r="F33" s="3"/>
      <c r="G33" s="3"/>
      <c r="H33" s="3"/>
      <c r="I33" s="3"/>
      <c r="J33" s="3"/>
      <c r="K33" s="3"/>
    </row>
    <row r="34" spans="1:11">
      <c r="F34" s="2289"/>
      <c r="G34" s="2289"/>
      <c r="H34" s="2289"/>
      <c r="I34" s="2289"/>
      <c r="J34" s="2289"/>
      <c r="K34" s="2289"/>
    </row>
    <row r="35" spans="1:11">
      <c r="B35" s="3"/>
      <c r="C35" s="3"/>
      <c r="D35" s="3"/>
      <c r="E35" s="3"/>
      <c r="F35" s="3"/>
      <c r="G35" s="3"/>
      <c r="H35" s="3"/>
      <c r="I35" s="3"/>
      <c r="J35" s="3"/>
      <c r="K35" s="3"/>
    </row>
    <row r="36" spans="1:11">
      <c r="B36" s="3"/>
      <c r="C36" s="3"/>
      <c r="D36" s="3"/>
      <c r="E36" s="3"/>
      <c r="F36" s="3"/>
      <c r="G36" s="3"/>
      <c r="H36" s="3"/>
      <c r="I36" s="3"/>
      <c r="J36" s="3"/>
      <c r="K36" s="3"/>
    </row>
    <row r="37" spans="1:11" ht="27.75">
      <c r="A37" s="31"/>
      <c r="B37" s="29" t="s">
        <v>1335</v>
      </c>
      <c r="C37" s="29"/>
      <c r="D37" s="29"/>
      <c r="E37" s="29"/>
      <c r="F37" s="29"/>
      <c r="G37" s="29"/>
      <c r="H37" s="29"/>
      <c r="I37" s="30"/>
      <c r="J37" s="30"/>
      <c r="K37" s="30"/>
    </row>
    <row r="38" spans="1:11" ht="27.75">
      <c r="A38" s="31"/>
      <c r="B38" s="29"/>
      <c r="C38" s="29"/>
      <c r="D38" s="29"/>
      <c r="E38" s="29"/>
      <c r="F38" s="29"/>
      <c r="G38" s="29"/>
      <c r="H38" s="29"/>
      <c r="I38" s="30"/>
      <c r="J38" s="30"/>
      <c r="K38" s="30"/>
    </row>
    <row r="39" spans="1:11" ht="27.75">
      <c r="A39" s="31"/>
      <c r="B39" s="29" t="str">
        <f>[20]Macros!$E$15</f>
        <v>Test Year Ended: December 31, 2015</v>
      </c>
      <c r="C39" s="29"/>
      <c r="D39" s="29"/>
      <c r="E39" s="29"/>
      <c r="F39" s="29"/>
      <c r="G39" s="29"/>
      <c r="H39" s="29"/>
      <c r="I39" s="30"/>
      <c r="J39" s="30"/>
      <c r="K39" s="30"/>
    </row>
    <row r="40" spans="1:11" ht="22.5">
      <c r="B40" s="1"/>
      <c r="C40" s="1"/>
      <c r="D40" s="1"/>
      <c r="E40" s="1"/>
      <c r="F40" s="1"/>
      <c r="G40" s="1"/>
      <c r="H40" s="1"/>
      <c r="I40" s="3"/>
      <c r="J40" s="3"/>
      <c r="K40" s="3"/>
    </row>
    <row r="41" spans="1:11" ht="22.5">
      <c r="B41" s="1"/>
      <c r="C41" s="1"/>
      <c r="D41" s="1"/>
      <c r="E41" s="1"/>
      <c r="F41" s="1"/>
      <c r="G41" s="1"/>
      <c r="H41" s="1"/>
      <c r="I41" s="3"/>
      <c r="J41" s="3"/>
      <c r="K41" s="3"/>
    </row>
    <row r="42" spans="1:11" ht="22.5">
      <c r="B42" s="1"/>
      <c r="C42" s="1"/>
      <c r="D42" s="1"/>
      <c r="E42" s="1"/>
      <c r="F42" s="1"/>
      <c r="G42" s="1"/>
      <c r="H42" s="1"/>
      <c r="I42" s="3"/>
      <c r="J42" s="3"/>
      <c r="K42" s="3"/>
    </row>
    <row r="43" spans="1:11" ht="22.5">
      <c r="B43" s="1"/>
      <c r="C43" s="1"/>
      <c r="D43" s="1"/>
      <c r="E43" s="1"/>
      <c r="F43" s="1"/>
      <c r="G43" s="1"/>
      <c r="H43" s="1"/>
      <c r="I43" s="3"/>
      <c r="J43" s="3"/>
      <c r="K43" s="3"/>
    </row>
    <row r="44" spans="1:11" ht="22.5">
      <c r="B44" s="1"/>
      <c r="C44" s="1"/>
      <c r="D44" s="1"/>
      <c r="E44" s="1"/>
      <c r="F44" s="1"/>
      <c r="G44" s="1"/>
      <c r="H44" s="1"/>
      <c r="I44" s="3"/>
      <c r="J44" s="3"/>
      <c r="K44" s="3"/>
    </row>
    <row r="45" spans="1:11" ht="22.5">
      <c r="B45" s="1"/>
      <c r="C45" s="1"/>
      <c r="D45" s="1"/>
      <c r="E45" s="1"/>
      <c r="F45" s="1"/>
      <c r="G45" s="1"/>
      <c r="H45" s="1"/>
      <c r="I45" s="3"/>
      <c r="J45" s="3"/>
      <c r="K45" s="3"/>
    </row>
    <row r="46" spans="1:11">
      <c r="B46" s="3"/>
      <c r="C46" s="3"/>
      <c r="D46" s="3"/>
      <c r="E46" s="3"/>
      <c r="F46" s="3"/>
      <c r="G46" s="3"/>
      <c r="H46" s="3"/>
      <c r="I46" s="3"/>
      <c r="J46" s="3"/>
      <c r="K46" s="3"/>
    </row>
    <row r="47" spans="1:11">
      <c r="B47" s="10" t="s">
        <v>1350</v>
      </c>
      <c r="C47" s="3"/>
      <c r="D47" s="3"/>
      <c r="E47" s="3"/>
      <c r="F47" s="3"/>
      <c r="G47" s="3"/>
      <c r="H47" s="3"/>
      <c r="I47" s="3"/>
      <c r="J47" s="3"/>
      <c r="K47" s="3"/>
    </row>
  </sheetData>
  <mergeCells count="1">
    <mergeCell ref="C10:K10"/>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14">
    <pageSetUpPr fitToPage="1"/>
  </sheetPr>
  <dimension ref="A1:J263"/>
  <sheetViews>
    <sheetView view="pageBreakPreview" topLeftCell="A25" zoomScale="60" zoomScaleNormal="100" workbookViewId="0">
      <selection activeCell="L25" sqref="L1:N1048576"/>
    </sheetView>
  </sheetViews>
  <sheetFormatPr defaultColWidth="10.85546875" defaultRowHeight="12"/>
  <cols>
    <col min="1" max="1" width="5" style="211" customWidth="1"/>
    <col min="2" max="2" width="28.85546875" style="211" customWidth="1"/>
    <col min="3" max="3" width="1.7109375" style="211" customWidth="1"/>
    <col min="4" max="8" width="11.7109375" style="211" customWidth="1"/>
    <col min="9" max="9" width="10.42578125" style="211" customWidth="1"/>
    <col min="10" max="10" width="13" style="211" customWidth="1"/>
    <col min="11" max="16384" width="10.85546875" style="46"/>
  </cols>
  <sheetData>
    <row r="1" spans="1:10">
      <c r="A1" s="203" t="s">
        <v>58</v>
      </c>
      <c r="B1" s="203"/>
      <c r="C1" s="203"/>
      <c r="D1" s="203"/>
      <c r="E1" s="203"/>
      <c r="G1" s="1130"/>
      <c r="H1" s="778" t="s">
        <v>1209</v>
      </c>
      <c r="J1" s="203"/>
    </row>
    <row r="2" spans="1:10">
      <c r="A2" s="203" t="s">
        <v>75</v>
      </c>
      <c r="B2" s="203"/>
      <c r="C2" s="203"/>
      <c r="D2" s="203"/>
      <c r="E2" s="203"/>
      <c r="F2" s="1130"/>
      <c r="G2" s="1130"/>
      <c r="H2" s="1133" t="s">
        <v>475</v>
      </c>
      <c r="J2" s="203"/>
    </row>
    <row r="3" spans="1:10" ht="12" customHeight="1">
      <c r="A3" s="203" t="s">
        <v>2644</v>
      </c>
      <c r="B3" s="1131"/>
      <c r="C3" s="2298" t="s">
        <v>1308</v>
      </c>
      <c r="D3" s="2299"/>
      <c r="E3" s="2299"/>
      <c r="F3" s="2299"/>
      <c r="G3" s="2299"/>
      <c r="H3" s="778" t="s">
        <v>1455</v>
      </c>
      <c r="J3" s="203"/>
    </row>
    <row r="4" spans="1:10" ht="12" customHeight="1">
      <c r="A4" s="203" t="s">
        <v>2645</v>
      </c>
      <c r="B4" s="1131"/>
      <c r="C4" s="2299"/>
      <c r="D4" s="2299"/>
      <c r="E4" s="2299"/>
      <c r="F4" s="2299"/>
      <c r="G4" s="2299"/>
      <c r="H4" s="778" t="s">
        <v>2948</v>
      </c>
      <c r="J4" s="203"/>
    </row>
    <row r="5" spans="1:10" ht="12" customHeight="1">
      <c r="A5" s="203" t="s">
        <v>1935</v>
      </c>
      <c r="B5" s="203"/>
      <c r="C5" s="2299"/>
      <c r="D5" s="2299"/>
      <c r="E5" s="2299"/>
      <c r="F5" s="2299"/>
      <c r="G5" s="2299"/>
      <c r="H5" s="778"/>
      <c r="J5" s="203"/>
    </row>
    <row r="6" spans="1:10" ht="12" customHeight="1" thickBot="1">
      <c r="A6" s="140" t="s">
        <v>1343</v>
      </c>
      <c r="B6" s="1131"/>
      <c r="C6" s="2300"/>
      <c r="D6" s="2300"/>
      <c r="E6" s="2300"/>
      <c r="F6" s="2300"/>
      <c r="G6" s="2300"/>
      <c r="H6" s="778" t="s">
        <v>640</v>
      </c>
      <c r="J6" s="203"/>
    </row>
    <row r="7" spans="1:10" s="1158" customFormat="1">
      <c r="A7" s="1245"/>
      <c r="B7" s="1246" t="s">
        <v>914</v>
      </c>
      <c r="C7" s="1246"/>
      <c r="D7" s="1244">
        <v>-2</v>
      </c>
      <c r="E7" s="1247">
        <v>-3</v>
      </c>
      <c r="F7" s="1244">
        <v>-4</v>
      </c>
      <c r="G7" s="1244">
        <v>-5</v>
      </c>
      <c r="H7" s="1244">
        <v>-6</v>
      </c>
      <c r="I7" s="1244">
        <v>-7</v>
      </c>
      <c r="J7" s="1244">
        <v>-8</v>
      </c>
    </row>
    <row r="8" spans="1:10">
      <c r="A8" s="210" t="s">
        <v>53</v>
      </c>
      <c r="B8" s="987" t="s">
        <v>560</v>
      </c>
      <c r="C8" s="210"/>
      <c r="D8" s="210" t="s">
        <v>1397</v>
      </c>
      <c r="E8" s="210" t="s">
        <v>74</v>
      </c>
      <c r="F8" s="349" t="s">
        <v>1525</v>
      </c>
      <c r="G8" s="262"/>
      <c r="H8" s="262" t="s">
        <v>869</v>
      </c>
      <c r="I8" s="210" t="s">
        <v>974</v>
      </c>
      <c r="J8" s="262" t="s">
        <v>974</v>
      </c>
    </row>
    <row r="9" spans="1:10">
      <c r="A9" s="762" t="s">
        <v>730</v>
      </c>
      <c r="B9" s="762" t="s">
        <v>975</v>
      </c>
      <c r="C9" s="1135" t="s">
        <v>560</v>
      </c>
      <c r="D9" s="1124" t="s">
        <v>1896</v>
      </c>
      <c r="E9" s="1124" t="s">
        <v>1897</v>
      </c>
      <c r="F9" s="761" t="s">
        <v>1784</v>
      </c>
      <c r="G9" s="761" t="s">
        <v>1783</v>
      </c>
      <c r="H9" s="934" t="s">
        <v>976</v>
      </c>
      <c r="I9" s="762" t="s">
        <v>977</v>
      </c>
      <c r="J9" s="761" t="s">
        <v>978</v>
      </c>
    </row>
    <row r="10" spans="1:10">
      <c r="A10" s="281">
        <v>1</v>
      </c>
      <c r="B10" s="203" t="s">
        <v>979</v>
      </c>
      <c r="D10" s="202"/>
      <c r="E10" s="202"/>
      <c r="F10" s="215"/>
      <c r="G10" s="212"/>
      <c r="H10" s="212"/>
      <c r="I10" s="772"/>
      <c r="J10" s="212"/>
    </row>
    <row r="11" spans="1:10">
      <c r="A11" s="281">
        <v>2</v>
      </c>
      <c r="B11" s="211" t="s">
        <v>563</v>
      </c>
      <c r="D11" s="310">
        <v>-41162.269999999997</v>
      </c>
      <c r="E11" s="310">
        <v>-41126.99</v>
      </c>
      <c r="F11" s="1136">
        <v>-41149</v>
      </c>
      <c r="G11" s="1136"/>
      <c r="H11" s="1136">
        <v>-41149</v>
      </c>
      <c r="I11" s="772" t="s">
        <v>560</v>
      </c>
      <c r="J11" s="212" t="s">
        <v>560</v>
      </c>
    </row>
    <row r="12" spans="1:10">
      <c r="A12" s="281">
        <v>3</v>
      </c>
      <c r="B12" s="211" t="s">
        <v>564</v>
      </c>
      <c r="D12" s="202">
        <v>18.489999999999998</v>
      </c>
      <c r="E12" s="202">
        <v>20.79</v>
      </c>
      <c r="F12" s="771">
        <v>20</v>
      </c>
      <c r="G12" s="212"/>
      <c r="H12" s="212">
        <v>20</v>
      </c>
      <c r="I12" s="772" t="s">
        <v>560</v>
      </c>
      <c r="J12" s="212" t="s">
        <v>560</v>
      </c>
    </row>
    <row r="13" spans="1:10">
      <c r="A13" s="281">
        <v>4</v>
      </c>
      <c r="B13" s="211" t="s">
        <v>565</v>
      </c>
      <c r="D13" s="202">
        <v>0</v>
      </c>
      <c r="E13" s="202">
        <v>0</v>
      </c>
      <c r="F13" s="771">
        <v>0</v>
      </c>
      <c r="G13" s="212"/>
      <c r="H13" s="212">
        <v>0</v>
      </c>
      <c r="I13" s="772" t="s">
        <v>560</v>
      </c>
      <c r="J13" s="212" t="s">
        <v>560</v>
      </c>
    </row>
    <row r="14" spans="1:10">
      <c r="A14" s="281">
        <v>5</v>
      </c>
      <c r="B14" s="203" t="s">
        <v>566</v>
      </c>
      <c r="D14" s="202"/>
      <c r="E14" s="202"/>
      <c r="F14" s="771"/>
      <c r="G14" s="212"/>
      <c r="H14" s="212"/>
      <c r="I14" s="772" t="s">
        <v>560</v>
      </c>
      <c r="J14" s="212" t="s">
        <v>560</v>
      </c>
    </row>
    <row r="15" spans="1:10">
      <c r="A15" s="281">
        <v>6</v>
      </c>
      <c r="B15" s="211" t="s">
        <v>567</v>
      </c>
      <c r="D15" s="202">
        <v>0</v>
      </c>
      <c r="E15" s="202">
        <v>0</v>
      </c>
      <c r="F15" s="771">
        <v>0</v>
      </c>
      <c r="G15" s="212"/>
      <c r="H15" s="212">
        <v>0</v>
      </c>
      <c r="I15" s="772" t="s">
        <v>560</v>
      </c>
      <c r="J15" s="212" t="s">
        <v>560</v>
      </c>
    </row>
    <row r="16" spans="1:10">
      <c r="A16" s="281">
        <v>7</v>
      </c>
      <c r="B16" s="211" t="s">
        <v>568</v>
      </c>
      <c r="D16" s="202">
        <v>0</v>
      </c>
      <c r="E16" s="202">
        <v>0</v>
      </c>
      <c r="F16" s="771">
        <v>0</v>
      </c>
      <c r="G16" s="212"/>
      <c r="H16" s="212">
        <v>0</v>
      </c>
      <c r="I16" s="772" t="s">
        <v>560</v>
      </c>
      <c r="J16" s="212" t="s">
        <v>560</v>
      </c>
    </row>
    <row r="17" spans="1:10">
      <c r="A17" s="281">
        <v>8</v>
      </c>
      <c r="B17" s="709" t="s">
        <v>370</v>
      </c>
      <c r="D17" s="202">
        <v>0</v>
      </c>
      <c r="E17" s="202">
        <v>0</v>
      </c>
      <c r="F17" s="771">
        <v>0</v>
      </c>
      <c r="G17" s="212"/>
      <c r="H17" s="212">
        <v>0</v>
      </c>
      <c r="I17" s="772"/>
      <c r="J17" s="212"/>
    </row>
    <row r="18" spans="1:10">
      <c r="A18" s="281">
        <v>9</v>
      </c>
      <c r="B18" s="211" t="s">
        <v>569</v>
      </c>
      <c r="D18" s="202">
        <v>158184.42000000001</v>
      </c>
      <c r="E18" s="202">
        <v>166360</v>
      </c>
      <c r="F18" s="771">
        <v>162261</v>
      </c>
      <c r="G18" s="212">
        <v>-112822.22222222222</v>
      </c>
      <c r="H18" s="212">
        <v>49438.777777777781</v>
      </c>
      <c r="I18" s="772" t="s">
        <v>560</v>
      </c>
      <c r="J18" s="212" t="s">
        <v>560</v>
      </c>
    </row>
    <row r="19" spans="1:10">
      <c r="A19" s="281">
        <v>10</v>
      </c>
      <c r="B19" s="211" t="s">
        <v>570</v>
      </c>
      <c r="D19" s="202">
        <v>710673.34000000008</v>
      </c>
      <c r="E19" s="202">
        <v>761107.06</v>
      </c>
      <c r="F19" s="771">
        <v>736661</v>
      </c>
      <c r="G19" s="212">
        <v>-51444.444444444445</v>
      </c>
      <c r="H19" s="212">
        <v>685216.5555555555</v>
      </c>
      <c r="I19" s="772" t="s">
        <v>560</v>
      </c>
      <c r="J19" s="212" t="s">
        <v>560</v>
      </c>
    </row>
    <row r="20" spans="1:10">
      <c r="A20" s="281">
        <v>11</v>
      </c>
      <c r="B20" s="211" t="s">
        <v>571</v>
      </c>
      <c r="D20" s="202">
        <v>0</v>
      </c>
      <c r="E20" s="202">
        <v>0</v>
      </c>
      <c r="F20" s="771">
        <v>0</v>
      </c>
      <c r="G20" s="212"/>
      <c r="H20" s="212">
        <v>0</v>
      </c>
      <c r="I20" s="772" t="s">
        <v>560</v>
      </c>
      <c r="J20" s="212" t="s">
        <v>560</v>
      </c>
    </row>
    <row r="21" spans="1:10">
      <c r="A21" s="281">
        <v>12</v>
      </c>
      <c r="B21" s="211" t="s">
        <v>1104</v>
      </c>
      <c r="D21" s="202">
        <v>9706.82</v>
      </c>
      <c r="E21" s="202">
        <v>11685.18</v>
      </c>
      <c r="F21" s="771">
        <v>10694</v>
      </c>
      <c r="G21" s="212"/>
      <c r="H21" s="212">
        <v>10694</v>
      </c>
      <c r="I21" s="772" t="s">
        <v>560</v>
      </c>
      <c r="J21" s="212" t="s">
        <v>560</v>
      </c>
    </row>
    <row r="22" spans="1:10">
      <c r="A22" s="281">
        <v>13</v>
      </c>
      <c r="B22" s="211" t="s">
        <v>1105</v>
      </c>
      <c r="D22" s="202">
        <v>161.09</v>
      </c>
      <c r="E22" s="202">
        <v>-4706.24</v>
      </c>
      <c r="F22" s="771">
        <v>-3812</v>
      </c>
      <c r="G22" s="212">
        <v>8100</v>
      </c>
      <c r="H22" s="212">
        <v>4288</v>
      </c>
      <c r="I22" s="772" t="s">
        <v>560</v>
      </c>
      <c r="J22" s="212" t="s">
        <v>560</v>
      </c>
    </row>
    <row r="23" spans="1:10">
      <c r="A23" s="281">
        <v>14</v>
      </c>
      <c r="B23" s="211" t="s">
        <v>1106</v>
      </c>
      <c r="D23" s="202">
        <v>0</v>
      </c>
      <c r="E23" s="202">
        <v>0</v>
      </c>
      <c r="F23" s="771">
        <v>0</v>
      </c>
      <c r="G23" s="212"/>
      <c r="H23" s="212">
        <v>0</v>
      </c>
      <c r="I23" s="772" t="s">
        <v>560</v>
      </c>
      <c r="J23" s="212" t="s">
        <v>560</v>
      </c>
    </row>
    <row r="24" spans="1:10">
      <c r="A24" s="281">
        <v>15</v>
      </c>
      <c r="B24" s="211" t="s">
        <v>1107</v>
      </c>
      <c r="D24" s="202">
        <v>-3767.36</v>
      </c>
      <c r="E24" s="202">
        <v>-3687.92</v>
      </c>
      <c r="F24" s="771">
        <v>-3728</v>
      </c>
      <c r="G24" s="212"/>
      <c r="H24" s="212">
        <v>-3728</v>
      </c>
      <c r="I24" s="772"/>
      <c r="J24" s="212" t="s">
        <v>560</v>
      </c>
    </row>
    <row r="25" spans="1:10">
      <c r="A25" s="281">
        <v>16</v>
      </c>
      <c r="B25" s="203" t="s">
        <v>1108</v>
      </c>
      <c r="D25" s="202"/>
      <c r="E25" s="202"/>
      <c r="F25" s="771"/>
      <c r="G25" s="212"/>
      <c r="H25" s="212"/>
      <c r="I25" s="772"/>
      <c r="J25" s="212" t="s">
        <v>560</v>
      </c>
    </row>
    <row r="26" spans="1:10">
      <c r="A26" s="281">
        <v>17</v>
      </c>
      <c r="B26" s="211" t="s">
        <v>1109</v>
      </c>
      <c r="D26" s="202">
        <v>0</v>
      </c>
      <c r="E26" s="202">
        <v>0</v>
      </c>
      <c r="F26" s="771">
        <v>0</v>
      </c>
      <c r="G26" s="212"/>
      <c r="H26" s="212">
        <v>0</v>
      </c>
      <c r="I26" s="772"/>
      <c r="J26" s="212" t="s">
        <v>560</v>
      </c>
    </row>
    <row r="27" spans="1:10">
      <c r="A27" s="281">
        <v>18</v>
      </c>
      <c r="B27" s="211" t="s">
        <v>1110</v>
      </c>
      <c r="D27" s="202">
        <v>62723.519999999997</v>
      </c>
      <c r="E27" s="202">
        <v>16757.66</v>
      </c>
      <c r="F27" s="771">
        <v>35322</v>
      </c>
      <c r="G27" s="212"/>
      <c r="H27" s="212">
        <v>35322</v>
      </c>
      <c r="I27" s="772"/>
      <c r="J27" s="212" t="s">
        <v>560</v>
      </c>
    </row>
    <row r="28" spans="1:10">
      <c r="A28" s="281">
        <v>19</v>
      </c>
      <c r="B28" s="211" t="s">
        <v>1111</v>
      </c>
      <c r="D28" s="202">
        <v>0</v>
      </c>
      <c r="E28" s="202">
        <v>0</v>
      </c>
      <c r="F28" s="771">
        <v>0</v>
      </c>
      <c r="G28" s="212"/>
      <c r="H28" s="212">
        <v>0</v>
      </c>
      <c r="I28" s="772"/>
      <c r="J28" s="212" t="s">
        <v>560</v>
      </c>
    </row>
    <row r="29" spans="1:10">
      <c r="A29" s="281">
        <v>20</v>
      </c>
      <c r="B29" s="211" t="s">
        <v>1112</v>
      </c>
      <c r="D29" s="202">
        <v>-22604.36</v>
      </c>
      <c r="E29" s="202">
        <v>-18150.11</v>
      </c>
      <c r="F29" s="771">
        <v>-21505</v>
      </c>
      <c r="G29" s="212">
        <v>-72222.222222222219</v>
      </c>
      <c r="H29" s="212">
        <v>-93727.222222222219</v>
      </c>
      <c r="I29" s="772"/>
      <c r="J29" s="212" t="s">
        <v>560</v>
      </c>
    </row>
    <row r="30" spans="1:10">
      <c r="A30" s="281">
        <v>21</v>
      </c>
      <c r="B30" s="211" t="s">
        <v>1113</v>
      </c>
      <c r="D30" s="202">
        <v>2182.61</v>
      </c>
      <c r="E30" s="202">
        <v>2666.81</v>
      </c>
      <c r="F30" s="771">
        <v>2425</v>
      </c>
      <c r="G30" s="212"/>
      <c r="H30" s="212">
        <v>2425</v>
      </c>
      <c r="I30" s="772"/>
      <c r="J30" s="212" t="s">
        <v>560</v>
      </c>
    </row>
    <row r="31" spans="1:10">
      <c r="A31" s="281">
        <v>22</v>
      </c>
      <c r="B31" s="203" t="s">
        <v>922</v>
      </c>
      <c r="D31" s="202"/>
      <c r="E31" s="202"/>
      <c r="F31" s="771"/>
      <c r="G31" s="212"/>
      <c r="H31" s="212"/>
      <c r="I31" s="772"/>
      <c r="J31" s="212" t="s">
        <v>560</v>
      </c>
    </row>
    <row r="32" spans="1:10">
      <c r="A32" s="281">
        <v>23</v>
      </c>
      <c r="B32" s="211" t="s">
        <v>791</v>
      </c>
      <c r="D32" s="202">
        <v>0</v>
      </c>
      <c r="E32" s="202">
        <v>0</v>
      </c>
      <c r="F32" s="771">
        <v>0</v>
      </c>
      <c r="G32" s="212"/>
      <c r="H32" s="212">
        <v>0</v>
      </c>
      <c r="I32" s="772"/>
      <c r="J32" s="212" t="s">
        <v>560</v>
      </c>
    </row>
    <row r="33" spans="1:10">
      <c r="A33" s="281">
        <v>24</v>
      </c>
      <c r="B33" s="211" t="s">
        <v>1507</v>
      </c>
      <c r="D33" s="202">
        <v>2938.13</v>
      </c>
      <c r="E33" s="202">
        <v>5933.63</v>
      </c>
      <c r="F33" s="771">
        <v>4555</v>
      </c>
      <c r="G33" s="212"/>
      <c r="H33" s="212">
        <v>4555</v>
      </c>
      <c r="I33" s="772"/>
      <c r="J33" s="212" t="s">
        <v>560</v>
      </c>
    </row>
    <row r="34" spans="1:10">
      <c r="A34" s="281">
        <v>25</v>
      </c>
      <c r="B34" s="709" t="s">
        <v>1564</v>
      </c>
      <c r="D34" s="202">
        <v>77.069999999999993</v>
      </c>
      <c r="E34" s="202">
        <v>101.37</v>
      </c>
      <c r="F34" s="771">
        <v>87</v>
      </c>
      <c r="G34" s="212"/>
      <c r="H34" s="212">
        <v>87</v>
      </c>
      <c r="I34" s="772"/>
      <c r="J34" s="212"/>
    </row>
    <row r="35" spans="1:10">
      <c r="A35" s="281">
        <v>26</v>
      </c>
      <c r="B35" s="211" t="s">
        <v>1508</v>
      </c>
      <c r="D35" s="202">
        <v>969822.48</v>
      </c>
      <c r="E35" s="202">
        <v>1002429.49</v>
      </c>
      <c r="F35" s="771">
        <v>984361</v>
      </c>
      <c r="G35" s="212">
        <v>-523572.22222222225</v>
      </c>
      <c r="H35" s="212">
        <v>460788.77777777775</v>
      </c>
      <c r="I35" s="772"/>
      <c r="J35" s="212" t="s">
        <v>560</v>
      </c>
    </row>
    <row r="36" spans="1:10">
      <c r="A36" s="281">
        <v>27</v>
      </c>
      <c r="B36" s="211" t="s">
        <v>1509</v>
      </c>
      <c r="D36" s="202">
        <v>-31480.2</v>
      </c>
      <c r="E36" s="202">
        <v>-37540.879999999997</v>
      </c>
      <c r="F36" s="771">
        <v>-36176</v>
      </c>
      <c r="G36" s="212"/>
      <c r="H36" s="212">
        <v>-36176</v>
      </c>
      <c r="I36" s="772"/>
      <c r="J36" s="212" t="s">
        <v>560</v>
      </c>
    </row>
    <row r="37" spans="1:10">
      <c r="A37" s="281">
        <v>28</v>
      </c>
      <c r="B37" s="211" t="s">
        <v>1510</v>
      </c>
      <c r="D37" s="202">
        <v>-481.46</v>
      </c>
      <c r="E37" s="202">
        <v>-474.02</v>
      </c>
      <c r="F37" s="771">
        <v>-478</v>
      </c>
      <c r="G37" s="212"/>
      <c r="H37" s="212">
        <v>-478</v>
      </c>
      <c r="I37" s="772" t="s">
        <v>560</v>
      </c>
      <c r="J37" s="212" t="s">
        <v>560</v>
      </c>
    </row>
    <row r="38" spans="1:10">
      <c r="A38" s="281">
        <v>29</v>
      </c>
      <c r="B38" s="211" t="s">
        <v>1407</v>
      </c>
      <c r="D38" s="202">
        <v>1386.64</v>
      </c>
      <c r="E38" s="202">
        <v>1739.38</v>
      </c>
      <c r="F38" s="771">
        <v>1563</v>
      </c>
      <c r="G38" s="212"/>
      <c r="H38" s="212">
        <v>1563</v>
      </c>
      <c r="I38" s="772" t="s">
        <v>560</v>
      </c>
      <c r="J38" s="212" t="s">
        <v>560</v>
      </c>
    </row>
    <row r="39" spans="1:10">
      <c r="A39" s="281">
        <v>30</v>
      </c>
      <c r="B39" s="203" t="s">
        <v>1291</v>
      </c>
      <c r="D39" s="202"/>
      <c r="E39" s="202"/>
      <c r="F39" s="771"/>
      <c r="G39" s="212"/>
      <c r="H39" s="212"/>
      <c r="I39" s="772"/>
      <c r="J39" s="212"/>
    </row>
    <row r="40" spans="1:10">
      <c r="A40" s="281">
        <v>31</v>
      </c>
      <c r="B40" s="324" t="s">
        <v>1829</v>
      </c>
      <c r="D40" s="202">
        <v>20.12</v>
      </c>
      <c r="E40" s="202">
        <v>26.12</v>
      </c>
      <c r="F40" s="771">
        <v>23</v>
      </c>
      <c r="G40" s="212"/>
      <c r="H40" s="212">
        <v>23</v>
      </c>
      <c r="I40" s="772"/>
      <c r="J40" s="212"/>
    </row>
    <row r="41" spans="1:10">
      <c r="A41" s="281">
        <v>32</v>
      </c>
      <c r="B41" s="709" t="s">
        <v>1827</v>
      </c>
      <c r="D41" s="202">
        <v>0</v>
      </c>
      <c r="E41" s="202">
        <v>0</v>
      </c>
      <c r="F41" s="771">
        <v>0</v>
      </c>
      <c r="G41" s="212"/>
      <c r="H41" s="212">
        <v>0</v>
      </c>
      <c r="I41" s="772"/>
      <c r="J41" s="212"/>
    </row>
    <row r="42" spans="1:10">
      <c r="A42" s="281">
        <v>33</v>
      </c>
      <c r="B42" s="709" t="s">
        <v>1831</v>
      </c>
      <c r="D42" s="202">
        <v>0</v>
      </c>
      <c r="E42" s="202">
        <v>0</v>
      </c>
      <c r="F42" s="771">
        <v>0</v>
      </c>
      <c r="G42" s="212"/>
      <c r="H42" s="212">
        <v>0</v>
      </c>
      <c r="I42" s="772"/>
      <c r="J42" s="212"/>
    </row>
    <row r="43" spans="1:10">
      <c r="A43" s="281">
        <v>34</v>
      </c>
      <c r="B43" s="324" t="s">
        <v>396</v>
      </c>
      <c r="D43" s="202">
        <v>0</v>
      </c>
      <c r="E43" s="202">
        <v>0</v>
      </c>
      <c r="F43" s="771">
        <v>0</v>
      </c>
      <c r="G43" s="212"/>
      <c r="H43" s="212">
        <v>0</v>
      </c>
      <c r="I43" s="772"/>
      <c r="J43" s="212"/>
    </row>
    <row r="44" spans="1:10">
      <c r="A44" s="281">
        <v>35</v>
      </c>
      <c r="B44" s="324" t="s">
        <v>1785</v>
      </c>
      <c r="D44" s="202">
        <v>804.03</v>
      </c>
      <c r="E44" s="202">
        <v>1030.83</v>
      </c>
      <c r="F44" s="771">
        <v>917</v>
      </c>
      <c r="G44" s="212"/>
      <c r="H44" s="212">
        <v>917</v>
      </c>
      <c r="I44" s="772"/>
      <c r="J44" s="212"/>
    </row>
    <row r="45" spans="1:10">
      <c r="A45" s="281">
        <v>36</v>
      </c>
      <c r="B45" s="324" t="s">
        <v>2264</v>
      </c>
      <c r="D45" s="202">
        <v>567.80999999999995</v>
      </c>
      <c r="E45" s="202">
        <v>698.25</v>
      </c>
      <c r="F45" s="771">
        <v>633</v>
      </c>
      <c r="G45" s="212"/>
      <c r="H45" s="212">
        <v>633</v>
      </c>
      <c r="I45" s="772"/>
      <c r="J45" s="212"/>
    </row>
    <row r="46" spans="1:10">
      <c r="A46" s="281">
        <v>37</v>
      </c>
      <c r="B46" s="324" t="s">
        <v>372</v>
      </c>
      <c r="D46" s="202">
        <v>0</v>
      </c>
      <c r="E46" s="202">
        <v>0</v>
      </c>
      <c r="F46" s="771">
        <v>0</v>
      </c>
      <c r="G46" s="212"/>
      <c r="H46" s="212">
        <v>0</v>
      </c>
      <c r="I46" s="772"/>
      <c r="J46" s="212"/>
    </row>
    <row r="47" spans="1:10">
      <c r="A47" s="281">
        <v>38</v>
      </c>
      <c r="B47" s="324" t="s">
        <v>150</v>
      </c>
      <c r="D47" s="202">
        <v>0</v>
      </c>
      <c r="E47" s="202">
        <v>0</v>
      </c>
      <c r="F47" s="771">
        <v>0</v>
      </c>
      <c r="G47" s="212"/>
      <c r="H47" s="212">
        <v>0</v>
      </c>
      <c r="I47" s="772"/>
      <c r="J47" s="212"/>
    </row>
    <row r="48" spans="1:10">
      <c r="A48" s="281">
        <v>39</v>
      </c>
      <c r="B48" s="324" t="s">
        <v>151</v>
      </c>
      <c r="D48" s="202">
        <v>0</v>
      </c>
      <c r="E48" s="202">
        <v>0</v>
      </c>
      <c r="F48" s="771">
        <v>0</v>
      </c>
      <c r="G48" s="212"/>
      <c r="H48" s="212">
        <v>0</v>
      </c>
      <c r="I48" s="772"/>
      <c r="J48" s="212"/>
    </row>
    <row r="49" spans="1:10">
      <c r="A49" s="281">
        <v>40</v>
      </c>
      <c r="B49" s="203" t="s">
        <v>1172</v>
      </c>
      <c r="D49" s="202"/>
      <c r="E49" s="202"/>
      <c r="F49" s="771"/>
      <c r="G49" s="212"/>
      <c r="H49" s="212"/>
      <c r="I49" s="772" t="s">
        <v>560</v>
      </c>
      <c r="J49" s="212" t="s">
        <v>560</v>
      </c>
    </row>
    <row r="50" spans="1:10">
      <c r="A50" s="281">
        <v>41</v>
      </c>
      <c r="B50" s="324" t="s">
        <v>752</v>
      </c>
      <c r="D50" s="202">
        <v>0</v>
      </c>
      <c r="E50" s="202">
        <v>0</v>
      </c>
      <c r="F50" s="771">
        <v>0</v>
      </c>
      <c r="G50" s="212"/>
      <c r="H50" s="212">
        <v>0</v>
      </c>
      <c r="I50" s="772" t="s">
        <v>560</v>
      </c>
      <c r="J50" s="212" t="s">
        <v>560</v>
      </c>
    </row>
    <row r="51" spans="1:10">
      <c r="A51" s="281">
        <v>42</v>
      </c>
      <c r="B51" s="324" t="s">
        <v>753</v>
      </c>
      <c r="D51" s="202">
        <v>1623177.7200000002</v>
      </c>
      <c r="E51" s="202">
        <v>1699973.54</v>
      </c>
      <c r="F51" s="771">
        <v>1661467</v>
      </c>
      <c r="G51" s="212">
        <v>-47937.5</v>
      </c>
      <c r="H51" s="202">
        <v>1613529.5</v>
      </c>
      <c r="I51" s="772" t="s">
        <v>560</v>
      </c>
      <c r="J51" s="212" t="s">
        <v>560</v>
      </c>
    </row>
    <row r="52" spans="1:10">
      <c r="A52" s="281">
        <v>43</v>
      </c>
      <c r="B52" s="324" t="s">
        <v>754</v>
      </c>
      <c r="D52" s="202">
        <v>350531.06999999995</v>
      </c>
      <c r="E52" s="202">
        <v>389298.37</v>
      </c>
      <c r="F52" s="771">
        <v>369598</v>
      </c>
      <c r="G52" s="212">
        <v>5082.8333333333358</v>
      </c>
      <c r="H52" s="212">
        <v>374680.83333333331</v>
      </c>
      <c r="I52" s="772" t="s">
        <v>560</v>
      </c>
      <c r="J52" s="212" t="s">
        <v>560</v>
      </c>
    </row>
    <row r="53" spans="1:10">
      <c r="A53" s="281">
        <v>44</v>
      </c>
      <c r="B53" s="324" t="s">
        <v>755</v>
      </c>
      <c r="D53" s="202">
        <v>122304.84</v>
      </c>
      <c r="E53" s="202">
        <v>123096.91</v>
      </c>
      <c r="F53" s="771">
        <v>124102</v>
      </c>
      <c r="G53" s="212">
        <v>5711.5</v>
      </c>
      <c r="H53" s="212">
        <v>129813.5</v>
      </c>
      <c r="I53" s="772" t="s">
        <v>560</v>
      </c>
      <c r="J53" s="212" t="s">
        <v>560</v>
      </c>
    </row>
    <row r="54" spans="1:10">
      <c r="A54" s="281">
        <v>45</v>
      </c>
      <c r="B54" s="324" t="s">
        <v>757</v>
      </c>
      <c r="D54" s="202">
        <v>42991.07</v>
      </c>
      <c r="E54" s="202">
        <v>45806.41</v>
      </c>
      <c r="F54" s="771">
        <v>44385</v>
      </c>
      <c r="G54" s="212"/>
      <c r="H54" s="212">
        <v>44385</v>
      </c>
      <c r="I54" s="772" t="s">
        <v>560</v>
      </c>
      <c r="J54" s="212" t="s">
        <v>560</v>
      </c>
    </row>
    <row r="55" spans="1:10">
      <c r="A55" s="281">
        <v>46</v>
      </c>
      <c r="B55" s="1213" t="s">
        <v>758</v>
      </c>
      <c r="D55" s="202">
        <v>12575.17</v>
      </c>
      <c r="E55" s="202">
        <v>14133.49</v>
      </c>
      <c r="F55" s="771">
        <v>13353</v>
      </c>
      <c r="G55" s="212"/>
      <c r="H55" s="212">
        <v>13353</v>
      </c>
      <c r="I55" s="772" t="s">
        <v>560</v>
      </c>
      <c r="J55" s="212" t="s">
        <v>560</v>
      </c>
    </row>
    <row r="56" spans="1:10">
      <c r="A56" s="281">
        <v>47</v>
      </c>
      <c r="B56" s="324" t="s">
        <v>759</v>
      </c>
      <c r="D56" s="202">
        <v>1595.22</v>
      </c>
      <c r="E56" s="202">
        <v>-1071.83</v>
      </c>
      <c r="F56" s="771">
        <v>-726</v>
      </c>
      <c r="G56" s="212"/>
      <c r="H56" s="212">
        <v>-726</v>
      </c>
      <c r="I56" s="772"/>
      <c r="J56" s="212" t="s">
        <v>560</v>
      </c>
    </row>
    <row r="57" spans="1:10">
      <c r="A57" s="281">
        <v>48</v>
      </c>
      <c r="B57" s="324" t="s">
        <v>760</v>
      </c>
      <c r="D57" s="202">
        <v>2789.9</v>
      </c>
      <c r="E57" s="202">
        <v>3207.67</v>
      </c>
      <c r="F57" s="771">
        <v>2994</v>
      </c>
      <c r="G57" s="212"/>
      <c r="H57" s="212">
        <v>2994</v>
      </c>
      <c r="I57" s="772" t="s">
        <v>560</v>
      </c>
      <c r="J57" s="212" t="s">
        <v>560</v>
      </c>
    </row>
    <row r="58" spans="1:10">
      <c r="A58" s="281">
        <v>49</v>
      </c>
      <c r="B58" s="324" t="s">
        <v>761</v>
      </c>
      <c r="D58" s="202">
        <v>170.68</v>
      </c>
      <c r="E58" s="202">
        <v>262</v>
      </c>
      <c r="F58" s="771">
        <v>216</v>
      </c>
      <c r="G58" s="212"/>
      <c r="H58" s="212">
        <v>216</v>
      </c>
      <c r="I58" s="772" t="s">
        <v>560</v>
      </c>
      <c r="J58" s="212" t="s">
        <v>560</v>
      </c>
    </row>
    <row r="59" spans="1:10">
      <c r="A59" s="281">
        <v>50</v>
      </c>
      <c r="B59" s="709" t="s">
        <v>1155</v>
      </c>
      <c r="D59" s="202">
        <v>-1378.7</v>
      </c>
      <c r="E59" s="202">
        <v>-1378.7</v>
      </c>
      <c r="F59" s="771">
        <v>-1379</v>
      </c>
      <c r="G59" s="212"/>
      <c r="H59" s="212">
        <v>-1379</v>
      </c>
      <c r="I59" s="772"/>
      <c r="J59" s="212"/>
    </row>
    <row r="60" spans="1:10" ht="12.75" thickBot="1">
      <c r="A60" s="281">
        <v>51</v>
      </c>
      <c r="B60" s="265" t="s">
        <v>81</v>
      </c>
      <c r="D60" s="2281">
        <v>3974527.89</v>
      </c>
      <c r="E60" s="2281">
        <v>4138197.2700000005</v>
      </c>
      <c r="F60" s="2281">
        <v>4046684</v>
      </c>
      <c r="G60" s="2281">
        <v>-789104.27777777775</v>
      </c>
      <c r="H60" s="2281">
        <v>3257579.7222222225</v>
      </c>
      <c r="I60" s="772"/>
      <c r="J60" s="212"/>
    </row>
    <row r="61" spans="1:10" ht="12.75" thickTop="1"/>
    <row r="89" spans="1:2">
      <c r="A89" s="286"/>
      <c r="B89" s="286"/>
    </row>
    <row r="90" spans="1:2">
      <c r="A90" s="286"/>
      <c r="B90" s="286"/>
    </row>
    <row r="91" spans="1:2">
      <c r="A91" s="286"/>
      <c r="B91" s="286"/>
    </row>
    <row r="92" spans="1:2">
      <c r="A92" s="286"/>
      <c r="B92" s="286"/>
    </row>
    <row r="93" spans="1:2">
      <c r="A93" s="286"/>
      <c r="B93" s="286"/>
    </row>
    <row r="123" spans="1:2">
      <c r="A123" s="286"/>
      <c r="B123" s="286"/>
    </row>
    <row r="192" spans="1:1">
      <c r="A192" s="203"/>
    </row>
    <row r="209" spans="1:1">
      <c r="A209" s="286"/>
    </row>
    <row r="210" spans="1:1">
      <c r="A210" s="286"/>
    </row>
    <row r="211" spans="1:1">
      <c r="A211" s="286"/>
    </row>
    <row r="212" spans="1:1">
      <c r="A212" s="286"/>
    </row>
    <row r="213" spans="1:1">
      <c r="A213" s="286"/>
    </row>
    <row r="214" spans="1:1">
      <c r="A214" s="286"/>
    </row>
    <row r="215" spans="1:1">
      <c r="A215" s="286"/>
    </row>
    <row r="216" spans="1:1">
      <c r="A216" s="286"/>
    </row>
    <row r="217" spans="1:1">
      <c r="A217" s="286"/>
    </row>
    <row r="218" spans="1:1">
      <c r="A218" s="286"/>
    </row>
    <row r="219" spans="1:1">
      <c r="A219" s="286"/>
    </row>
    <row r="220" spans="1:1">
      <c r="A220" s="286"/>
    </row>
    <row r="221" spans="1:1">
      <c r="A221" s="286"/>
    </row>
    <row r="222" spans="1:1">
      <c r="A222" s="286"/>
    </row>
    <row r="223" spans="1:1">
      <c r="A223" s="286"/>
    </row>
    <row r="224" spans="1:1">
      <c r="A224" s="286"/>
    </row>
    <row r="225" spans="1:1">
      <c r="A225" s="286"/>
    </row>
    <row r="226" spans="1:1">
      <c r="A226" s="286"/>
    </row>
    <row r="227" spans="1:1">
      <c r="A227" s="286"/>
    </row>
    <row r="228" spans="1:1">
      <c r="A228" s="286"/>
    </row>
    <row r="229" spans="1:1">
      <c r="A229" s="286"/>
    </row>
    <row r="230" spans="1:1">
      <c r="A230" s="286"/>
    </row>
    <row r="231" spans="1:1">
      <c r="A231" s="286"/>
    </row>
    <row r="232" spans="1:1">
      <c r="A232" s="286"/>
    </row>
    <row r="233" spans="1:1">
      <c r="A233" s="286"/>
    </row>
    <row r="234" spans="1:1">
      <c r="A234" s="286"/>
    </row>
    <row r="235" spans="1:1">
      <c r="A235" s="286"/>
    </row>
    <row r="236" spans="1:1">
      <c r="A236" s="286"/>
    </row>
    <row r="237" spans="1:1">
      <c r="A237" s="286"/>
    </row>
    <row r="238" spans="1:1">
      <c r="A238" s="286"/>
    </row>
    <row r="239" spans="1:1">
      <c r="A239" s="286"/>
    </row>
    <row r="240" spans="1:1">
      <c r="A240" s="286"/>
    </row>
    <row r="241" spans="1:1">
      <c r="A241" s="286"/>
    </row>
    <row r="242" spans="1:1">
      <c r="A242" s="286"/>
    </row>
    <row r="243" spans="1:1">
      <c r="A243" s="286"/>
    </row>
    <row r="244" spans="1:1">
      <c r="A244" s="286"/>
    </row>
    <row r="245" spans="1:1">
      <c r="A245" s="286"/>
    </row>
    <row r="246" spans="1:1">
      <c r="A246" s="286"/>
    </row>
    <row r="247" spans="1:1">
      <c r="A247" s="286"/>
    </row>
    <row r="248" spans="1:1">
      <c r="A248" s="286"/>
    </row>
    <row r="249" spans="1:1">
      <c r="A249" s="286"/>
    </row>
    <row r="250" spans="1:1">
      <c r="A250" s="286"/>
    </row>
    <row r="251" spans="1:1">
      <c r="A251" s="286"/>
    </row>
    <row r="252" spans="1:1">
      <c r="A252" s="286"/>
    </row>
    <row r="253" spans="1:1">
      <c r="A253" s="286"/>
    </row>
    <row r="254" spans="1:1">
      <c r="A254" s="286"/>
    </row>
    <row r="255" spans="1:1">
      <c r="A255" s="286"/>
    </row>
    <row r="256" spans="1:1">
      <c r="A256" s="286"/>
    </row>
    <row r="257" spans="1:1">
      <c r="A257" s="286"/>
    </row>
    <row r="258" spans="1:1">
      <c r="A258" s="286"/>
    </row>
    <row r="259" spans="1:1">
      <c r="A259" s="286"/>
    </row>
    <row r="260" spans="1:1">
      <c r="A260" s="286"/>
    </row>
    <row r="261" spans="1:1">
      <c r="A261" s="286"/>
    </row>
    <row r="262" spans="1:1">
      <c r="A262" s="286"/>
    </row>
    <row r="263" spans="1:1">
      <c r="A263" s="286"/>
    </row>
  </sheetData>
  <mergeCells count="1">
    <mergeCell ref="C3:G6"/>
  </mergeCells>
  <phoneticPr fontId="27" type="noConversion"/>
  <printOptions horizontalCentered="1"/>
  <pageMargins left="0.75" right="0.5" top="0.75" bottom="0.5" header="0.25" footer="0.25"/>
  <pageSetup scale="80" orientation="portrait" r:id="rId1"/>
  <headerFooter alignWithMargins="0">
    <oddFooter xml:space="preserve">&amp;C&amp;"Garmond (W1),Bold"
</oddFooter>
  </headerFooter>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0">
    <pageSetUpPr fitToPage="1"/>
  </sheetPr>
  <dimension ref="A1:P58"/>
  <sheetViews>
    <sheetView workbookViewId="0">
      <selection sqref="A1:J1"/>
    </sheetView>
  </sheetViews>
  <sheetFormatPr defaultColWidth="9.140625" defaultRowHeight="12.75"/>
  <cols>
    <col min="1" max="1" width="7" style="1407" customWidth="1"/>
    <col min="2" max="2" width="38.85546875" style="1407" customWidth="1"/>
    <col min="3" max="3" width="18.7109375" style="1407" customWidth="1"/>
    <col min="4" max="4" width="2" style="1407" customWidth="1"/>
    <col min="5" max="5" width="18.5703125" style="1407" customWidth="1"/>
    <col min="6" max="6" width="2.7109375" style="1407" customWidth="1"/>
    <col min="7" max="7" width="11.85546875" style="1440" customWidth="1"/>
    <col min="8" max="8" width="2.7109375" style="1407" customWidth="1"/>
    <col min="9" max="9" width="14.85546875" style="1440" customWidth="1"/>
    <col min="10" max="10" width="2.7109375" style="1407" customWidth="1"/>
    <col min="11" max="11" width="3" style="1407" customWidth="1"/>
    <col min="12" max="12" width="12.85546875" style="1407" bestFit="1" customWidth="1"/>
    <col min="13" max="15" width="11.28515625" style="1407" bestFit="1" customWidth="1"/>
    <col min="16" max="16" width="11.42578125" style="1407" bestFit="1" customWidth="1"/>
    <col min="17" max="16384" width="9.140625" style="1407"/>
  </cols>
  <sheetData>
    <row r="1" spans="1:12">
      <c r="A1" s="2346"/>
      <c r="B1" s="2346"/>
      <c r="C1" s="2346"/>
      <c r="D1" s="2346"/>
      <c r="E1" s="2346"/>
      <c r="F1" s="2346"/>
      <c r="G1" s="2346"/>
      <c r="H1" s="2346"/>
      <c r="I1" s="2346"/>
      <c r="J1" s="2346"/>
    </row>
    <row r="2" spans="1:12">
      <c r="A2" s="2346" t="s">
        <v>1886</v>
      </c>
      <c r="B2" s="2346"/>
      <c r="C2" s="2346"/>
      <c r="D2" s="2346"/>
      <c r="E2" s="2346"/>
      <c r="F2" s="2346"/>
      <c r="G2" s="2346"/>
      <c r="H2" s="2346"/>
      <c r="I2" s="2346"/>
      <c r="J2" s="2346"/>
      <c r="K2" s="1408"/>
    </row>
    <row r="3" spans="1:12" ht="15">
      <c r="A3" s="2347" t="s">
        <v>1887</v>
      </c>
      <c r="B3" s="2347"/>
      <c r="C3" s="2347"/>
      <c r="D3" s="2347"/>
      <c r="E3" s="2347"/>
      <c r="F3" s="2347"/>
      <c r="G3" s="2347"/>
      <c r="H3" s="2347"/>
      <c r="I3" s="2347"/>
      <c r="J3" s="2347"/>
      <c r="K3" s="1409"/>
    </row>
    <row r="4" spans="1:12" ht="15">
      <c r="A4" s="2346" t="s">
        <v>1888</v>
      </c>
      <c r="B4" s="2346"/>
      <c r="C4" s="2346"/>
      <c r="D4" s="2346"/>
      <c r="E4" s="2346"/>
      <c r="F4" s="2346"/>
      <c r="G4" s="2346"/>
      <c r="H4" s="2346"/>
      <c r="I4" s="2346"/>
      <c r="J4" s="2346"/>
      <c r="K4" s="1409"/>
    </row>
    <row r="5" spans="1:12">
      <c r="A5" s="1410"/>
      <c r="B5" s="1410"/>
      <c r="C5" s="1411"/>
      <c r="D5" s="1411"/>
      <c r="E5" s="1410"/>
      <c r="F5" s="1410"/>
      <c r="G5" s="1412"/>
      <c r="H5" s="1410"/>
      <c r="I5" s="1412"/>
      <c r="J5" s="1408"/>
      <c r="K5" s="1408"/>
    </row>
    <row r="6" spans="1:12">
      <c r="A6" s="1410"/>
      <c r="B6" s="1410"/>
      <c r="C6" s="1410"/>
      <c r="D6" s="1410"/>
      <c r="E6" s="1410"/>
      <c r="F6" s="1410"/>
      <c r="G6" s="1412"/>
      <c r="H6" s="1410"/>
      <c r="I6" s="1412"/>
      <c r="J6" s="1408"/>
      <c r="K6" s="1408"/>
    </row>
    <row r="7" spans="1:12">
      <c r="A7" s="2348" t="s">
        <v>1889</v>
      </c>
      <c r="B7" s="2348"/>
      <c r="C7" s="2348"/>
      <c r="D7" s="2348"/>
      <c r="E7" s="2348"/>
      <c r="F7" s="2348"/>
      <c r="G7" s="2348"/>
      <c r="H7" s="2348"/>
      <c r="I7" s="2348"/>
      <c r="J7" s="2348"/>
      <c r="K7" s="1408"/>
    </row>
    <row r="8" spans="1:12">
      <c r="A8" s="1410"/>
      <c r="B8" s="1410"/>
      <c r="C8" s="1413" t="s">
        <v>914</v>
      </c>
      <c r="D8" s="1413"/>
      <c r="E8" s="1413" t="s">
        <v>915</v>
      </c>
      <c r="F8" s="1413"/>
      <c r="G8" s="1414" t="s">
        <v>916</v>
      </c>
      <c r="H8" s="1415"/>
      <c r="I8" s="1414" t="s">
        <v>917</v>
      </c>
      <c r="J8" s="1408"/>
      <c r="K8" s="1408"/>
    </row>
    <row r="9" spans="1:12">
      <c r="A9" s="1415" t="s">
        <v>53</v>
      </c>
      <c r="B9" s="1410"/>
      <c r="C9" s="1413"/>
      <c r="D9" s="1413"/>
      <c r="E9" s="1413"/>
      <c r="F9" s="1413"/>
      <c r="G9" s="1414" t="s">
        <v>615</v>
      </c>
      <c r="H9" s="1415"/>
      <c r="I9" s="1414" t="s">
        <v>616</v>
      </c>
      <c r="J9" s="1408"/>
      <c r="K9" s="1408"/>
    </row>
    <row r="10" spans="1:12" ht="15">
      <c r="A10" s="1416" t="s">
        <v>730</v>
      </c>
      <c r="B10" s="1417" t="s">
        <v>911</v>
      </c>
      <c r="C10" s="1416" t="s">
        <v>16</v>
      </c>
      <c r="D10" s="1416"/>
      <c r="E10" s="1416" t="s">
        <v>587</v>
      </c>
      <c r="F10" s="1418"/>
      <c r="G10" s="1419" t="s">
        <v>658</v>
      </c>
      <c r="H10" s="1418"/>
      <c r="I10" s="1419" t="s">
        <v>615</v>
      </c>
      <c r="J10" s="1408"/>
      <c r="K10" s="1408"/>
    </row>
    <row r="11" spans="1:12">
      <c r="A11" s="1420"/>
      <c r="B11" s="1408"/>
      <c r="C11" s="1408"/>
      <c r="D11" s="1408"/>
      <c r="E11" s="1408"/>
      <c r="F11" s="1408"/>
      <c r="G11" s="1421"/>
      <c r="H11" s="1408"/>
      <c r="I11" s="1421"/>
      <c r="J11" s="1408"/>
      <c r="K11" s="1408"/>
    </row>
    <row r="12" spans="1:12" ht="15">
      <c r="A12" s="1413">
        <v>1</v>
      </c>
      <c r="B12" s="1410" t="s">
        <v>514</v>
      </c>
      <c r="C12" s="2058">
        <f>+'D 1'!E15</f>
        <v>2618259.1997000002</v>
      </c>
      <c r="D12" s="1422"/>
      <c r="E12" s="1423">
        <f>+C12/$C$29</f>
        <v>0.46329999999490568</v>
      </c>
      <c r="F12" s="1424"/>
      <c r="G12" s="1425">
        <f>+'D 1'!I15</f>
        <v>6.6959321087948331E-2</v>
      </c>
      <c r="H12" s="1426"/>
      <c r="I12" s="1427">
        <f>IF(G12=0,"",ROUND((G12*E12),4))</f>
        <v>3.1E-2</v>
      </c>
      <c r="J12" s="1424"/>
      <c r="K12" s="1424"/>
      <c r="L12" s="1406"/>
    </row>
    <row r="13" spans="1:12" ht="15">
      <c r="A13" s="1413">
        <v>2</v>
      </c>
      <c r="B13" s="1410"/>
      <c r="C13" s="1422"/>
      <c r="D13" s="1422"/>
      <c r="E13" s="1423"/>
      <c r="F13" s="1424"/>
      <c r="G13" s="1425"/>
      <c r="H13" s="1426"/>
      <c r="I13" s="1427" t="str">
        <f t="shared" ref="I13:I27" si="0">IF(G13=0,"",ROUND((G13*E13),4))</f>
        <v/>
      </c>
      <c r="J13" s="1424"/>
      <c r="K13" s="1424"/>
      <c r="L13" s="1406"/>
    </row>
    <row r="14" spans="1:12" ht="15">
      <c r="A14" s="1413">
        <v>3</v>
      </c>
      <c r="B14" s="1410" t="s">
        <v>660</v>
      </c>
      <c r="C14" s="1422">
        <f>+'D 1'!E16</f>
        <v>248658.33110000001</v>
      </c>
      <c r="D14" s="1422"/>
      <c r="E14" s="1423">
        <f>+C14/$C$29</f>
        <v>4.4000000004034458E-2</v>
      </c>
      <c r="F14" s="1424"/>
      <c r="G14" s="1425">
        <f>+'D 1'!I16</f>
        <v>2.3220060000000001E-2</v>
      </c>
      <c r="H14" s="1426"/>
      <c r="I14" s="1427">
        <f t="shared" si="0"/>
        <v>1E-3</v>
      </c>
      <c r="J14" s="1424"/>
      <c r="K14" s="1424"/>
      <c r="L14" s="1406"/>
    </row>
    <row r="15" spans="1:12" ht="15">
      <c r="A15" s="1413">
        <v>4</v>
      </c>
      <c r="B15" s="1410"/>
      <c r="C15" s="1422"/>
      <c r="D15" s="1422"/>
      <c r="E15" s="1423"/>
      <c r="F15" s="1424"/>
      <c r="G15" s="1425"/>
      <c r="H15" s="1426"/>
      <c r="I15" s="1427" t="str">
        <f t="shared" si="0"/>
        <v/>
      </c>
      <c r="J15" s="1424"/>
      <c r="K15" s="1424"/>
      <c r="L15" s="1406"/>
    </row>
    <row r="16" spans="1:12" ht="15">
      <c r="A16" s="1413">
        <v>5</v>
      </c>
      <c r="B16" s="1410" t="s">
        <v>661</v>
      </c>
      <c r="C16" s="1422"/>
      <c r="D16" s="1422"/>
      <c r="E16" s="1423"/>
      <c r="F16" s="1424"/>
      <c r="G16" s="1425"/>
      <c r="H16" s="1426"/>
      <c r="I16" s="1427" t="str">
        <f t="shared" si="0"/>
        <v/>
      </c>
      <c r="J16" s="1424"/>
      <c r="K16" s="1424"/>
      <c r="L16" s="1406"/>
    </row>
    <row r="17" spans="1:12" ht="15">
      <c r="A17" s="1413">
        <v>6</v>
      </c>
      <c r="B17" s="1410"/>
      <c r="C17" s="1422"/>
      <c r="D17" s="1422"/>
      <c r="E17" s="1423"/>
      <c r="F17" s="1424"/>
      <c r="G17" s="1425"/>
      <c r="H17" s="1426"/>
      <c r="I17" s="1427" t="str">
        <f t="shared" si="0"/>
        <v/>
      </c>
      <c r="J17" s="1424"/>
      <c r="K17" s="1424"/>
      <c r="L17" s="1406"/>
    </row>
    <row r="18" spans="1:12" ht="15">
      <c r="A18" s="1413">
        <v>7</v>
      </c>
      <c r="B18" s="1410" t="s">
        <v>1118</v>
      </c>
      <c r="C18" s="1422">
        <f>+'D 1'!E19</f>
        <v>0</v>
      </c>
      <c r="D18" s="1422"/>
      <c r="E18" s="1423">
        <f>+C18/$C$29</f>
        <v>0</v>
      </c>
      <c r="F18" s="1424"/>
      <c r="G18" s="1425">
        <f>+'D 1'!I19</f>
        <v>0.02</v>
      </c>
      <c r="H18" s="1426"/>
      <c r="I18" s="1427">
        <f t="shared" si="0"/>
        <v>0</v>
      </c>
      <c r="J18" s="1424"/>
      <c r="K18" s="1424"/>
      <c r="L18" s="1406"/>
    </row>
    <row r="19" spans="1:12" ht="15">
      <c r="A19" s="1413">
        <v>8</v>
      </c>
      <c r="B19" s="1410"/>
      <c r="C19" s="1422"/>
      <c r="D19" s="1422"/>
      <c r="E19" s="1423"/>
      <c r="F19" s="1424"/>
      <c r="G19" s="1425"/>
      <c r="H19" s="1428"/>
      <c r="I19" s="1427" t="str">
        <f t="shared" si="0"/>
        <v/>
      </c>
      <c r="J19" s="1424"/>
      <c r="K19" s="1424"/>
      <c r="L19" s="1406"/>
    </row>
    <row r="20" spans="1:12" ht="15">
      <c r="A20" s="1413">
        <v>9</v>
      </c>
      <c r="B20" s="1410" t="s">
        <v>591</v>
      </c>
      <c r="C20" s="1422">
        <f>+'D 1'!E18</f>
        <v>2784408.1754999999</v>
      </c>
      <c r="D20" s="1422"/>
      <c r="E20" s="1423">
        <f>+C20/$C$29</f>
        <v>0.49270000000105996</v>
      </c>
      <c r="F20" s="1424"/>
      <c r="G20" s="1425">
        <f>+'D 1'!I18</f>
        <v>0.10397708544753399</v>
      </c>
      <c r="H20" s="1426"/>
      <c r="I20" s="1427">
        <f t="shared" si="0"/>
        <v>5.1200000000000002E-2</v>
      </c>
      <c r="J20" s="1424"/>
      <c r="K20" s="1424"/>
      <c r="L20" s="1406"/>
    </row>
    <row r="21" spans="1:12" ht="15">
      <c r="A21" s="1413">
        <v>10</v>
      </c>
      <c r="B21" s="1410"/>
      <c r="C21" s="1422"/>
      <c r="D21" s="1422"/>
      <c r="E21" s="1423"/>
      <c r="F21" s="1424"/>
      <c r="G21" s="1425"/>
      <c r="H21" s="1428"/>
      <c r="I21" s="1427" t="str">
        <f t="shared" si="0"/>
        <v/>
      </c>
      <c r="J21" s="1424"/>
      <c r="K21" s="1424"/>
      <c r="L21" s="1406"/>
    </row>
    <row r="22" spans="1:12" ht="15">
      <c r="A22" s="1413">
        <v>11</v>
      </c>
      <c r="B22" s="1410" t="s">
        <v>1133</v>
      </c>
      <c r="C22" s="1422">
        <f>+'D 1'!E20</f>
        <v>0</v>
      </c>
      <c r="D22" s="1422"/>
      <c r="E22" s="1423"/>
      <c r="F22" s="1424"/>
      <c r="G22" s="1425"/>
      <c r="H22" s="1426"/>
      <c r="I22" s="1427" t="str">
        <f t="shared" si="0"/>
        <v/>
      </c>
      <c r="J22" s="1424"/>
      <c r="K22" s="1424"/>
      <c r="L22" s="1406"/>
    </row>
    <row r="23" spans="1:12" ht="15">
      <c r="A23" s="1413">
        <v>12</v>
      </c>
      <c r="B23" s="1410"/>
      <c r="C23" s="1422"/>
      <c r="D23" s="1422"/>
      <c r="E23" s="1423"/>
      <c r="F23" s="1424"/>
      <c r="G23" s="1425"/>
      <c r="H23" s="1428"/>
      <c r="I23" s="1427" t="str">
        <f t="shared" si="0"/>
        <v/>
      </c>
      <c r="J23" s="1424"/>
      <c r="K23" s="1424"/>
      <c r="L23" s="1406"/>
    </row>
    <row r="24" spans="1:12" ht="15">
      <c r="A24" s="1413">
        <v>13</v>
      </c>
      <c r="B24" s="1410" t="s">
        <v>790</v>
      </c>
      <c r="C24" s="1429">
        <f>+'D 1'!E22</f>
        <v>0</v>
      </c>
      <c r="D24" s="1429"/>
      <c r="E24" s="1423">
        <f>+C24/$C$29</f>
        <v>0</v>
      </c>
      <c r="F24" s="1424"/>
      <c r="G24" s="1427"/>
      <c r="H24" s="1426"/>
      <c r="I24" s="1427" t="str">
        <f t="shared" si="0"/>
        <v/>
      </c>
      <c r="J24" s="1424"/>
      <c r="K24" s="1424"/>
      <c r="L24" s="1406"/>
    </row>
    <row r="25" spans="1:12" ht="15">
      <c r="A25" s="1413">
        <v>14</v>
      </c>
      <c r="B25" s="1410"/>
      <c r="C25" s="1422"/>
      <c r="D25" s="1422"/>
      <c r="E25" s="1423"/>
      <c r="F25" s="1424"/>
      <c r="G25" s="1425"/>
      <c r="H25" s="1428"/>
      <c r="I25" s="1427" t="str">
        <f t="shared" si="0"/>
        <v/>
      </c>
      <c r="J25" s="1424"/>
      <c r="K25" s="1424"/>
      <c r="L25" s="1406"/>
    </row>
    <row r="26" spans="1:12">
      <c r="A26" s="1413">
        <v>15</v>
      </c>
      <c r="B26" s="1410" t="s">
        <v>1298</v>
      </c>
      <c r="C26" s="1422"/>
      <c r="D26" s="1422"/>
      <c r="E26" s="1430" t="str">
        <f t="shared" ref="E26" si="1">IF(C26=0,"",(C26/$C$29*100))</f>
        <v/>
      </c>
      <c r="F26" s="1424"/>
      <c r="G26" s="1431"/>
      <c r="H26" s="1428"/>
      <c r="I26" s="1427" t="str">
        <f t="shared" si="0"/>
        <v/>
      </c>
      <c r="J26" s="1424"/>
      <c r="K26" s="1424"/>
      <c r="L26" s="1406"/>
    </row>
    <row r="27" spans="1:12">
      <c r="A27" s="1413">
        <v>16</v>
      </c>
      <c r="B27" s="1408"/>
      <c r="C27" s="1432" t="s">
        <v>911</v>
      </c>
      <c r="D27" s="1432"/>
      <c r="E27" s="1433"/>
      <c r="F27" s="1424"/>
      <c r="G27" s="1431"/>
      <c r="H27" s="1428"/>
      <c r="I27" s="1427" t="str">
        <f t="shared" si="0"/>
        <v/>
      </c>
      <c r="J27" s="1424"/>
      <c r="K27" s="1424"/>
      <c r="L27" s="1406"/>
    </row>
    <row r="28" spans="1:12">
      <c r="A28" s="1413">
        <v>17</v>
      </c>
      <c r="B28" s="1410"/>
      <c r="C28" s="1422"/>
      <c r="D28" s="1422"/>
      <c r="E28" s="1430"/>
      <c r="F28" s="1424"/>
      <c r="G28" s="1431"/>
      <c r="H28" s="1428"/>
      <c r="I28" s="1427"/>
      <c r="J28" s="1424"/>
      <c r="K28" s="1424"/>
      <c r="L28" s="1406"/>
    </row>
    <row r="29" spans="1:12" ht="13.5" thickBot="1">
      <c r="A29" s="1413">
        <v>18</v>
      </c>
      <c r="B29" s="1410" t="s">
        <v>81</v>
      </c>
      <c r="C29" s="1434">
        <f>SUM(C12:C26)</f>
        <v>5651325.7062999997</v>
      </c>
      <c r="D29" s="1434"/>
      <c r="E29" s="1435">
        <f>SUM(E11:E28)</f>
        <v>1</v>
      </c>
      <c r="F29" s="1424"/>
      <c r="G29" s="1431"/>
      <c r="H29" s="1428"/>
      <c r="I29" s="1436">
        <f>SUM(I11:I28)</f>
        <v>8.3199999999999996E-2</v>
      </c>
      <c r="J29" s="1424"/>
      <c r="K29" s="1424"/>
      <c r="L29" s="1406"/>
    </row>
    <row r="30" spans="1:12" ht="13.5" thickTop="1">
      <c r="A30" s="1413"/>
      <c r="B30" s="1408"/>
      <c r="C30" s="1437"/>
      <c r="D30" s="1437"/>
      <c r="E30" s="1430"/>
      <c r="F30" s="1424"/>
      <c r="G30" s="1438"/>
      <c r="H30" s="1424"/>
      <c r="I30" s="1438"/>
      <c r="J30" s="1424"/>
      <c r="K30" s="1424"/>
      <c r="L30" s="1406"/>
    </row>
    <row r="31" spans="1:12">
      <c r="E31" s="1439"/>
    </row>
    <row r="33" spans="1:16" s="1441" customFormat="1">
      <c r="A33" s="2348" t="s">
        <v>1890</v>
      </c>
      <c r="B33" s="2348"/>
      <c r="C33" s="2348"/>
      <c r="D33" s="2348"/>
      <c r="E33" s="2348"/>
      <c r="F33" s="2348"/>
      <c r="G33" s="2348"/>
      <c r="H33" s="2348"/>
      <c r="I33" s="2348"/>
      <c r="J33" s="2348"/>
      <c r="L33" s="2345" t="s">
        <v>1891</v>
      </c>
      <c r="M33" s="2345"/>
      <c r="N33" s="2345"/>
      <c r="O33" s="2345"/>
      <c r="P33" s="2345"/>
    </row>
    <row r="34" spans="1:16" s="1441" customFormat="1">
      <c r="A34" s="1410"/>
      <c r="B34" s="1410"/>
      <c r="C34" s="1413" t="s">
        <v>914</v>
      </c>
      <c r="D34" s="1413"/>
      <c r="E34" s="1413" t="s">
        <v>915</v>
      </c>
      <c r="F34" s="1413"/>
      <c r="G34" s="1414" t="s">
        <v>916</v>
      </c>
      <c r="H34" s="1415"/>
      <c r="I34" s="1414" t="s">
        <v>917</v>
      </c>
      <c r="J34" s="1410"/>
      <c r="L34" s="1442" t="s">
        <v>445</v>
      </c>
      <c r="M34" s="1442" t="s">
        <v>498</v>
      </c>
      <c r="N34" s="1442" t="s">
        <v>670</v>
      </c>
      <c r="O34" s="1442" t="s">
        <v>81</v>
      </c>
      <c r="P34" s="1443"/>
    </row>
    <row r="35" spans="1:16" s="1441" customFormat="1">
      <c r="A35" s="1415" t="s">
        <v>53</v>
      </c>
      <c r="B35" s="1410"/>
      <c r="C35" s="1413"/>
      <c r="D35" s="1413"/>
      <c r="E35" s="1413"/>
      <c r="F35" s="1413"/>
      <c r="G35" s="1414" t="s">
        <v>615</v>
      </c>
      <c r="H35" s="1415"/>
      <c r="I35" s="1414" t="s">
        <v>616</v>
      </c>
      <c r="J35" s="1410"/>
      <c r="L35" s="1444" t="s">
        <v>870</v>
      </c>
      <c r="M35" s="1445">
        <v>0</v>
      </c>
      <c r="N35" s="1445">
        <f>+C55</f>
        <v>5651325.7062999997</v>
      </c>
      <c r="O35" s="1445">
        <f>SUM(M35:N35)</f>
        <v>5651325.7062999997</v>
      </c>
      <c r="P35" s="1446" t="s">
        <v>17</v>
      </c>
    </row>
    <row r="36" spans="1:16" s="1441" customFormat="1" ht="15">
      <c r="A36" s="1416" t="s">
        <v>730</v>
      </c>
      <c r="B36" s="1417" t="s">
        <v>911</v>
      </c>
      <c r="C36" s="1416" t="s">
        <v>16</v>
      </c>
      <c r="D36" s="1416"/>
      <c r="E36" s="1416" t="s">
        <v>587</v>
      </c>
      <c r="F36" s="1418"/>
      <c r="G36" s="1419" t="s">
        <v>658</v>
      </c>
      <c r="H36" s="1418"/>
      <c r="I36" s="1419" t="s">
        <v>615</v>
      </c>
      <c r="J36" s="1410"/>
      <c r="L36" s="1447"/>
      <c r="M36" s="1448">
        <f>+ROUND(M35/O35,4)</f>
        <v>0</v>
      </c>
      <c r="N36" s="1448">
        <f>+ROUND(N35/O35,4)</f>
        <v>1</v>
      </c>
      <c r="O36" s="1448">
        <f>SUM(M36:N36)</f>
        <v>1</v>
      </c>
      <c r="P36" s="1449" t="s">
        <v>1892</v>
      </c>
    </row>
    <row r="37" spans="1:16" s="1441" customFormat="1">
      <c r="A37" s="1413"/>
      <c r="B37" s="1410"/>
      <c r="C37" s="1410"/>
      <c r="D37" s="1410"/>
      <c r="E37" s="1410"/>
      <c r="F37" s="1410"/>
      <c r="G37" s="1412"/>
      <c r="H37" s="1410"/>
      <c r="I37" s="1412"/>
      <c r="J37" s="1410"/>
      <c r="L37" s="1450"/>
      <c r="M37" s="1450"/>
      <c r="N37" s="1450"/>
      <c r="O37" s="1450"/>
      <c r="P37" s="1450"/>
    </row>
    <row r="38" spans="1:16" s="1441" customFormat="1">
      <c r="A38" s="1413">
        <v>1</v>
      </c>
      <c r="B38" s="1410" t="s">
        <v>514</v>
      </c>
      <c r="C38" s="1422">
        <f>+C12</f>
        <v>2618259.1997000002</v>
      </c>
      <c r="D38" s="1422"/>
      <c r="E38" s="1451">
        <f>IF(C38=0,"",C38/$C$55)</f>
        <v>0.46329999999490568</v>
      </c>
      <c r="F38" s="1452"/>
      <c r="G38" s="1451">
        <f>+G12</f>
        <v>6.6959321087948331E-2</v>
      </c>
      <c r="H38" s="1452"/>
      <c r="I38" s="1425">
        <f>+E38*G38</f>
        <v>3.102225345970535E-2</v>
      </c>
      <c r="J38" s="1452"/>
      <c r="L38" s="1453">
        <f>ROUND(+G38*C38,0)</f>
        <v>175317</v>
      </c>
      <c r="M38" s="1445">
        <f>+ROUND($L38*M$36,0)</f>
        <v>0</v>
      </c>
      <c r="N38" s="1445">
        <f>+ROUND($L38*N$36,0)</f>
        <v>175317</v>
      </c>
      <c r="O38" s="1453">
        <f>+M38+N38</f>
        <v>175317</v>
      </c>
      <c r="P38" s="1453"/>
    </row>
    <row r="39" spans="1:16" s="1441" customFormat="1">
      <c r="A39" s="1413">
        <v>2</v>
      </c>
      <c r="B39" s="1410"/>
      <c r="C39" s="1422"/>
      <c r="D39" s="1422"/>
      <c r="E39" s="1454" t="str">
        <f t="shared" ref="E39:E52" si="2">IF(C39=0,"",C39/$C$29*100)</f>
        <v/>
      </c>
      <c r="F39" s="1452"/>
      <c r="G39" s="1421"/>
      <c r="H39" s="1452"/>
      <c r="I39" s="1425"/>
      <c r="J39" s="1452"/>
      <c r="L39" s="1453"/>
      <c r="M39" s="1450"/>
      <c r="N39" s="1450"/>
      <c r="O39" s="1450"/>
      <c r="P39" s="1450"/>
    </row>
    <row r="40" spans="1:16" s="1441" customFormat="1">
      <c r="A40" s="1413">
        <v>3</v>
      </c>
      <c r="B40" s="1410" t="s">
        <v>660</v>
      </c>
      <c r="C40" s="1422">
        <f>+C14</f>
        <v>248658.33110000001</v>
      </c>
      <c r="D40" s="1422"/>
      <c r="E40" s="1451">
        <f>IF(C40=0,"",C40/$C$55)</f>
        <v>4.4000000004034458E-2</v>
      </c>
      <c r="F40" s="1452"/>
      <c r="G40" s="1451">
        <f>+G14</f>
        <v>2.3220060000000001E-2</v>
      </c>
      <c r="H40" s="1452"/>
      <c r="I40" s="1425">
        <f t="shared" ref="I40:I50" si="3">+E40*G40</f>
        <v>1.0216826400936804E-3</v>
      </c>
      <c r="J40" s="1452"/>
      <c r="L40" s="1453">
        <f>ROUND(+G40*C40,0)</f>
        <v>5774</v>
      </c>
      <c r="M40" s="1445">
        <f>+ROUND($L40*M$36,0)</f>
        <v>0</v>
      </c>
      <c r="N40" s="1445">
        <f>+ROUND($L40*N$36,0)</f>
        <v>5774</v>
      </c>
      <c r="O40" s="1453">
        <f>+M40+N40</f>
        <v>5774</v>
      </c>
      <c r="P40" s="1453"/>
    </row>
    <row r="41" spans="1:16" s="1441" customFormat="1">
      <c r="A41" s="1413">
        <v>4</v>
      </c>
      <c r="B41" s="1410"/>
      <c r="C41" s="1422"/>
      <c r="D41" s="1422"/>
      <c r="E41" s="1454" t="str">
        <f t="shared" si="2"/>
        <v/>
      </c>
      <c r="F41" s="1452"/>
      <c r="G41" s="1421"/>
      <c r="H41" s="1452"/>
      <c r="I41" s="1425"/>
      <c r="J41" s="1452"/>
      <c r="L41" s="1453"/>
      <c r="M41" s="1450"/>
      <c r="N41" s="1450"/>
      <c r="O41" s="1450"/>
      <c r="P41" s="1450"/>
    </row>
    <row r="42" spans="1:16" s="1441" customFormat="1">
      <c r="A42" s="1413">
        <v>5</v>
      </c>
      <c r="B42" s="1410" t="s">
        <v>661</v>
      </c>
      <c r="C42" s="1422">
        <f>+C16</f>
        <v>0</v>
      </c>
      <c r="D42" s="1422"/>
      <c r="E42" s="1454" t="str">
        <f t="shared" si="2"/>
        <v/>
      </c>
      <c r="F42" s="1452"/>
      <c r="G42" s="1421"/>
      <c r="H42" s="1452"/>
      <c r="I42" s="1425"/>
      <c r="J42" s="1452"/>
      <c r="L42" s="1453"/>
      <c r="M42" s="1450"/>
      <c r="N42" s="1450"/>
      <c r="O42" s="1450"/>
      <c r="P42" s="1450"/>
    </row>
    <row r="43" spans="1:16" s="1441" customFormat="1">
      <c r="A43" s="1413">
        <v>6</v>
      </c>
      <c r="B43" s="1410"/>
      <c r="C43" s="1422"/>
      <c r="D43" s="1422"/>
      <c r="E43" s="1454" t="str">
        <f t="shared" si="2"/>
        <v/>
      </c>
      <c r="F43" s="1452"/>
      <c r="G43" s="1421"/>
      <c r="H43" s="1452"/>
      <c r="I43" s="1425"/>
      <c r="J43" s="1452"/>
      <c r="L43" s="1453"/>
      <c r="M43" s="1450"/>
      <c r="N43" s="1450"/>
      <c r="O43" s="1450"/>
      <c r="P43" s="1450"/>
    </row>
    <row r="44" spans="1:16" s="1441" customFormat="1">
      <c r="A44" s="1413">
        <v>7</v>
      </c>
      <c r="B44" s="1410" t="s">
        <v>1118</v>
      </c>
      <c r="C44" s="1422">
        <f>+C18</f>
        <v>0</v>
      </c>
      <c r="D44" s="1422"/>
      <c r="E44" s="1451">
        <f>IF(C44=0,0,C44/$C$55)</f>
        <v>0</v>
      </c>
      <c r="F44" s="1452"/>
      <c r="G44" s="1451">
        <f>+G18</f>
        <v>0.02</v>
      </c>
      <c r="H44" s="1452"/>
      <c r="I44" s="1425">
        <f t="shared" si="3"/>
        <v>0</v>
      </c>
      <c r="J44" s="1452"/>
      <c r="L44" s="1453">
        <f>ROUND(+G44*C44,0)</f>
        <v>0</v>
      </c>
      <c r="M44" s="1445">
        <f>+ROUND($L44*M$36,0)</f>
        <v>0</v>
      </c>
      <c r="N44" s="1445">
        <f>+ROUND($L44*N$36,0)</f>
        <v>0</v>
      </c>
      <c r="O44" s="1453">
        <f>+M44+N44</f>
        <v>0</v>
      </c>
      <c r="P44" s="1453"/>
    </row>
    <row r="45" spans="1:16" s="1441" customFormat="1">
      <c r="A45" s="1413">
        <v>8</v>
      </c>
      <c r="B45" s="1410"/>
      <c r="C45" s="1422"/>
      <c r="D45" s="1422"/>
      <c r="E45" s="1454" t="str">
        <f t="shared" si="2"/>
        <v/>
      </c>
      <c r="F45" s="1452"/>
      <c r="G45" s="1455"/>
      <c r="H45" s="1452"/>
      <c r="I45" s="1425"/>
      <c r="J45" s="1452"/>
      <c r="L45" s="1453"/>
      <c r="M45" s="1450"/>
      <c r="N45" s="1450"/>
      <c r="O45" s="1450"/>
      <c r="P45" s="1450"/>
    </row>
    <row r="46" spans="1:16" s="1441" customFormat="1">
      <c r="A46" s="1413">
        <v>9</v>
      </c>
      <c r="B46" s="1410" t="s">
        <v>591</v>
      </c>
      <c r="C46" s="1422">
        <f>+C20</f>
        <v>2784408.1754999999</v>
      </c>
      <c r="D46" s="1422"/>
      <c r="E46" s="1451">
        <f>IF(C46=0,"",C46/$C$55)</f>
        <v>0.49270000000105996</v>
      </c>
      <c r="F46" s="1452"/>
      <c r="G46" s="1456">
        <f>+G$20/(1-0.3763)</f>
        <v>0.16671009371097323</v>
      </c>
      <c r="H46" s="1452"/>
      <c r="I46" s="1425">
        <f t="shared" si="3"/>
        <v>8.2138063171573211E-2</v>
      </c>
      <c r="J46" s="1452"/>
      <c r="L46" s="1453"/>
      <c r="M46" s="1450"/>
      <c r="N46" s="1450"/>
      <c r="O46" s="1450"/>
      <c r="P46" s="1450"/>
    </row>
    <row r="47" spans="1:16" s="1441" customFormat="1">
      <c r="A47" s="1413">
        <v>10</v>
      </c>
      <c r="B47" s="1410"/>
      <c r="C47" s="1422"/>
      <c r="D47" s="1422"/>
      <c r="E47" s="1454" t="str">
        <f t="shared" si="2"/>
        <v/>
      </c>
      <c r="F47" s="1452"/>
      <c r="G47" s="1455"/>
      <c r="H47" s="1452"/>
      <c r="I47" s="1425"/>
      <c r="J47" s="1452"/>
      <c r="L47" s="1453"/>
      <c r="M47" s="1450"/>
      <c r="N47" s="1450"/>
      <c r="O47" s="1450"/>
      <c r="P47" s="1450"/>
    </row>
    <row r="48" spans="1:16" s="1441" customFormat="1">
      <c r="A48" s="1413">
        <v>11</v>
      </c>
      <c r="B48" s="1410" t="s">
        <v>1133</v>
      </c>
      <c r="C48" s="1422">
        <f>+C22</f>
        <v>0</v>
      </c>
      <c r="D48" s="1422"/>
      <c r="E48" s="1454" t="str">
        <f t="shared" si="2"/>
        <v/>
      </c>
      <c r="F48" s="1452"/>
      <c r="G48" s="1451">
        <f>+G22</f>
        <v>0</v>
      </c>
      <c r="H48" s="1452"/>
      <c r="I48" s="1425"/>
      <c r="J48" s="1452"/>
      <c r="L48" s="1453"/>
      <c r="M48" s="1450"/>
      <c r="N48" s="1450"/>
      <c r="O48" s="1450"/>
      <c r="P48" s="1450"/>
    </row>
    <row r="49" spans="1:16" s="1441" customFormat="1">
      <c r="A49" s="1413">
        <v>12</v>
      </c>
      <c r="B49" s="1410"/>
      <c r="C49" s="1422"/>
      <c r="D49" s="1422"/>
      <c r="E49" s="1454" t="str">
        <f t="shared" si="2"/>
        <v/>
      </c>
      <c r="F49" s="1452"/>
      <c r="G49" s="1455"/>
      <c r="H49" s="1452"/>
      <c r="I49" s="1425"/>
      <c r="J49" s="1452"/>
      <c r="L49" s="1453"/>
      <c r="M49" s="1450"/>
      <c r="N49" s="1450"/>
      <c r="O49" s="1450"/>
      <c r="P49" s="1450"/>
    </row>
    <row r="50" spans="1:16" s="1441" customFormat="1">
      <c r="A50" s="1413">
        <v>13</v>
      </c>
      <c r="B50" s="1410" t="s">
        <v>790</v>
      </c>
      <c r="C50" s="1429">
        <f>+C24</f>
        <v>0</v>
      </c>
      <c r="D50" s="1429"/>
      <c r="E50" s="1451">
        <f>IF(C50=0,0,C50/$C$55)</f>
        <v>0</v>
      </c>
      <c r="F50" s="1452"/>
      <c r="G50" s="1451">
        <f>+G24</f>
        <v>0</v>
      </c>
      <c r="H50" s="1452"/>
      <c r="I50" s="1425">
        <f t="shared" si="3"/>
        <v>0</v>
      </c>
      <c r="J50" s="1452"/>
      <c r="L50" s="1453"/>
      <c r="M50" s="1450"/>
      <c r="N50" s="1450"/>
      <c r="O50" s="1450"/>
      <c r="P50" s="1450"/>
    </row>
    <row r="51" spans="1:16" s="1441" customFormat="1">
      <c r="A51" s="1413">
        <v>14</v>
      </c>
      <c r="B51" s="1410"/>
      <c r="C51" s="1422"/>
      <c r="D51" s="1422"/>
      <c r="E51" s="1454" t="str">
        <f t="shared" si="2"/>
        <v/>
      </c>
      <c r="F51" s="1452"/>
      <c r="G51" s="1457"/>
      <c r="H51" s="1452"/>
      <c r="I51" s="1425"/>
      <c r="J51" s="1452"/>
      <c r="L51" s="1453"/>
      <c r="M51" s="1450"/>
      <c r="N51" s="1450"/>
      <c r="O51" s="1450"/>
      <c r="P51" s="1450"/>
    </row>
    <row r="52" spans="1:16" s="1441" customFormat="1">
      <c r="A52" s="1413">
        <v>15</v>
      </c>
      <c r="B52" s="1410" t="s">
        <v>1298</v>
      </c>
      <c r="C52" s="1458">
        <f>+C26</f>
        <v>0</v>
      </c>
      <c r="D52" s="1458"/>
      <c r="E52" s="1454" t="str">
        <f t="shared" si="2"/>
        <v/>
      </c>
      <c r="F52" s="1452"/>
      <c r="G52" s="1457"/>
      <c r="H52" s="1452"/>
      <c r="I52" s="1425" t="str">
        <f t="shared" ref="I52:I53" si="4">IF(G52=0,"",ROUND((G52*E52),4))</f>
        <v/>
      </c>
      <c r="J52" s="1452"/>
      <c r="L52" s="1453"/>
      <c r="M52" s="1450"/>
      <c r="N52" s="1450"/>
      <c r="O52" s="1450"/>
      <c r="P52" s="1450"/>
    </row>
    <row r="53" spans="1:16" s="1441" customFormat="1">
      <c r="A53" s="1413">
        <v>16</v>
      </c>
      <c r="B53" s="1410"/>
      <c r="C53" s="1459" t="s">
        <v>911</v>
      </c>
      <c r="D53" s="1459"/>
      <c r="E53" s="1460"/>
      <c r="F53" s="1452"/>
      <c r="G53" s="1457"/>
      <c r="H53" s="1452"/>
      <c r="I53" s="1425" t="str">
        <f t="shared" si="4"/>
        <v/>
      </c>
      <c r="J53" s="1452"/>
      <c r="L53" s="1461"/>
      <c r="M53" s="1461"/>
      <c r="N53" s="1461"/>
      <c r="O53" s="1461"/>
      <c r="P53" s="1461"/>
    </row>
    <row r="54" spans="1:16" s="1441" customFormat="1">
      <c r="A54" s="1413">
        <v>17</v>
      </c>
      <c r="B54" s="1410"/>
      <c r="C54" s="1458"/>
      <c r="D54" s="1458"/>
      <c r="E54" s="1454"/>
      <c r="F54" s="1452"/>
      <c r="G54" s="1457"/>
      <c r="H54" s="1452"/>
      <c r="I54" s="1462"/>
      <c r="J54" s="1452"/>
      <c r="L54" s="1453"/>
      <c r="M54" s="1450"/>
      <c r="N54" s="1450"/>
      <c r="O54" s="1450"/>
      <c r="P54" s="1450"/>
    </row>
    <row r="55" spans="1:16" s="1441" customFormat="1" ht="13.5" thickBot="1">
      <c r="A55" s="1413">
        <v>18</v>
      </c>
      <c r="B55" s="1410" t="s">
        <v>81</v>
      </c>
      <c r="C55" s="1434">
        <f>SUM(C38:C52)</f>
        <v>5651325.7062999997</v>
      </c>
      <c r="D55" s="1434"/>
      <c r="E55" s="1435">
        <f>SUM(E37:E54)</f>
        <v>1</v>
      </c>
      <c r="F55" s="1452"/>
      <c r="G55" s="1457"/>
      <c r="H55" s="1452"/>
      <c r="I55" s="1463">
        <f>SUM(I37:I54)</f>
        <v>0.11418199927137224</v>
      </c>
      <c r="J55" s="1452"/>
      <c r="L55" s="1464">
        <f>SUM(L38:L53)</f>
        <v>181091</v>
      </c>
      <c r="M55" s="1464">
        <f>SUM(M38:M53)</f>
        <v>0</v>
      </c>
      <c r="N55" s="1464">
        <f>SUM(N38:N53)</f>
        <v>181091</v>
      </c>
      <c r="O55" s="1464">
        <f>SUM(O38:O53)</f>
        <v>181091</v>
      </c>
      <c r="P55" s="1464"/>
    </row>
    <row r="56" spans="1:16" s="1441" customFormat="1" ht="13.5" thickTop="1">
      <c r="A56" s="1413"/>
      <c r="B56" s="1410"/>
      <c r="C56" s="1410"/>
      <c r="D56" s="1410"/>
      <c r="E56" s="1454"/>
      <c r="F56" s="1452"/>
      <c r="G56" s="1412"/>
      <c r="H56" s="1452"/>
      <c r="I56" s="1412"/>
      <c r="J56" s="1452"/>
      <c r="L56" s="1465"/>
    </row>
    <row r="58" spans="1:16">
      <c r="I58" s="1466"/>
    </row>
  </sheetData>
  <mergeCells count="7">
    <mergeCell ref="L33:P33"/>
    <mergeCell ref="A1:J1"/>
    <mergeCell ref="A2:J2"/>
    <mergeCell ref="A3:J3"/>
    <mergeCell ref="A4:J4"/>
    <mergeCell ref="A7:J7"/>
    <mergeCell ref="A33:J33"/>
  </mergeCells>
  <pageMargins left="0.75" right="0.75" top="1" bottom="1" header="0.5" footer="0.5"/>
  <pageSetup scale="61" orientation="landscape" r:id="rId1"/>
  <headerFooter alignWithMargins="0">
    <oddFooter>&amp;L&amp;8&amp;Z&amp;F &amp;A&amp;R&amp;8&amp;D &amp;T</oddFooter>
  </headerFooter>
  <legacy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2">
    <pageSetUpPr fitToPage="1"/>
  </sheetPr>
  <dimension ref="A1:P414"/>
  <sheetViews>
    <sheetView topLeftCell="A399" workbookViewId="0">
      <selection activeCell="A405" sqref="A405"/>
    </sheetView>
  </sheetViews>
  <sheetFormatPr defaultColWidth="9.140625" defaultRowHeight="12"/>
  <cols>
    <col min="1" max="1" width="12.140625" style="1697" customWidth="1"/>
    <col min="2" max="2" width="1.7109375" style="1703" customWidth="1"/>
    <col min="3" max="3" width="34.7109375" style="1703" customWidth="1"/>
    <col min="4" max="4" width="1.7109375" style="1703" customWidth="1"/>
    <col min="5" max="5" width="9.5703125" style="1706" bestFit="1" customWidth="1"/>
    <col min="6" max="6" width="1.7109375" style="1703" customWidth="1"/>
    <col min="7" max="7" width="8.7109375" style="1693" customWidth="1"/>
    <col min="8" max="8" width="1.7109375" style="1703" customWidth="1"/>
    <col min="9" max="9" width="34.7109375" style="1703" customWidth="1"/>
    <col min="10" max="10" width="1.7109375" style="1703" customWidth="1"/>
    <col min="11" max="11" width="12.7109375" style="1706" bestFit="1" customWidth="1"/>
    <col min="12" max="12" width="1.7109375" style="1703" customWidth="1"/>
    <col min="13" max="13" width="7.28515625" style="1693" customWidth="1"/>
    <col min="14" max="14" width="9.5703125" style="1694" bestFit="1" customWidth="1"/>
    <col min="15" max="15" width="27.85546875" style="1698" customWidth="1"/>
    <col min="16" max="16384" width="9.140625" style="1703"/>
  </cols>
  <sheetData>
    <row r="1" spans="1:15" s="1691" customFormat="1">
      <c r="A1" s="1689" t="e">
        <f>+COMPANY</f>
        <v>#REF!</v>
      </c>
      <c r="B1" s="1690"/>
      <c r="E1" s="1692"/>
      <c r="G1" s="1693"/>
      <c r="K1" s="1692"/>
      <c r="M1" s="1693"/>
      <c r="N1" s="1694"/>
      <c r="O1" s="1698"/>
    </row>
    <row r="2" spans="1:15" s="1691" customFormat="1">
      <c r="A2" s="1695" t="e">
        <f>+DOCKET</f>
        <v>#REF!</v>
      </c>
      <c r="B2" s="1690"/>
      <c r="E2" s="1692"/>
      <c r="G2" s="1693"/>
      <c r="K2" s="1692"/>
      <c r="M2" s="1693"/>
      <c r="N2" s="1694"/>
      <c r="O2" s="1698"/>
    </row>
    <row r="3" spans="1:15" s="1691" customFormat="1">
      <c r="A3" s="1689" t="s">
        <v>2315</v>
      </c>
      <c r="B3" s="1690"/>
      <c r="E3" s="1692"/>
      <c r="G3" s="1693"/>
      <c r="K3" s="1692"/>
      <c r="M3" s="1693"/>
      <c r="N3" s="1694"/>
      <c r="O3" s="1698"/>
    </row>
    <row r="4" spans="1:15" s="1691" customFormat="1">
      <c r="A4" s="1695" t="e">
        <f>+_TY1</f>
        <v>#REF!</v>
      </c>
      <c r="E4" s="1692"/>
      <c r="G4" s="1693"/>
      <c r="K4" s="1692"/>
      <c r="M4" s="1693"/>
      <c r="N4" s="1694"/>
      <c r="O4" s="1698"/>
    </row>
    <row r="5" spans="1:15" s="1698" customFormat="1" ht="48">
      <c r="A5" s="1696" t="s">
        <v>2316</v>
      </c>
      <c r="B5" s="1697"/>
      <c r="C5" s="1697" t="s">
        <v>731</v>
      </c>
      <c r="E5" s="1699" t="s">
        <v>978</v>
      </c>
      <c r="G5" s="1700" t="s">
        <v>2317</v>
      </c>
      <c r="I5" s="1697" t="s">
        <v>731</v>
      </c>
      <c r="K5" s="1699" t="s">
        <v>978</v>
      </c>
      <c r="M5" s="1700" t="s">
        <v>2318</v>
      </c>
      <c r="N5" s="1700" t="s">
        <v>2224</v>
      </c>
      <c r="O5" s="1697"/>
    </row>
    <row r="6" spans="1:15">
      <c r="A6" s="1701"/>
      <c r="B6" s="1701"/>
      <c r="C6" s="1701"/>
      <c r="D6" s="1701"/>
      <c r="E6" s="1701"/>
      <c r="F6" s="1701"/>
      <c r="G6" s="1701"/>
      <c r="H6" s="1701"/>
      <c r="I6" s="1701"/>
      <c r="J6" s="1701"/>
      <c r="K6" s="1702"/>
      <c r="L6" s="1701"/>
      <c r="M6" s="1701"/>
    </row>
    <row r="7" spans="1:15">
      <c r="A7" s="1693" t="s">
        <v>2319</v>
      </c>
      <c r="B7" s="1704"/>
      <c r="C7" s="1704" t="s">
        <v>2320</v>
      </c>
      <c r="D7" s="1704"/>
      <c r="E7" s="1705">
        <f>+'A 6'!D13</f>
        <v>2350.34</v>
      </c>
      <c r="G7" s="1693">
        <v>351</v>
      </c>
      <c r="I7" s="1704" t="s">
        <v>2320</v>
      </c>
      <c r="K7" s="1706">
        <v>2350</v>
      </c>
      <c r="M7" s="1693" t="s">
        <v>2321</v>
      </c>
      <c r="N7" s="1707"/>
    </row>
    <row r="8" spans="1:15" ht="12.75" thickBot="1">
      <c r="A8" s="1696"/>
      <c r="B8" s="1704"/>
      <c r="C8" s="1704"/>
      <c r="D8" s="1704"/>
      <c r="E8" s="1708">
        <f>+E7</f>
        <v>2350.34</v>
      </c>
      <c r="K8" s="1708">
        <f>+K7</f>
        <v>2350</v>
      </c>
      <c r="N8" s="1709">
        <f>E8-K8</f>
        <v>0.34000000000014552</v>
      </c>
    </row>
    <row r="9" spans="1:15" ht="12.75" thickTop="1">
      <c r="A9" s="1696"/>
      <c r="B9" s="1704"/>
      <c r="C9" s="1704"/>
      <c r="D9" s="1704"/>
      <c r="E9" s="1705"/>
      <c r="K9" s="1705"/>
      <c r="N9" s="1709"/>
    </row>
    <row r="10" spans="1:15">
      <c r="A10" s="1693" t="s">
        <v>2322</v>
      </c>
      <c r="B10" s="1704"/>
      <c r="C10" s="1704" t="s">
        <v>1945</v>
      </c>
      <c r="D10" s="1704"/>
      <c r="E10" s="1705">
        <f>+'A 6'!D14</f>
        <v>102.84</v>
      </c>
      <c r="G10" s="1693">
        <v>352</v>
      </c>
      <c r="I10" s="1704" t="s">
        <v>1945</v>
      </c>
      <c r="K10" s="1706">
        <v>103</v>
      </c>
      <c r="M10" s="1693" t="s">
        <v>2321</v>
      </c>
      <c r="N10" s="1707"/>
    </row>
    <row r="11" spans="1:15" ht="12.75" thickBot="1">
      <c r="A11" s="1696"/>
      <c r="B11" s="1704"/>
      <c r="C11" s="1704"/>
      <c r="D11" s="1704"/>
      <c r="E11" s="1708">
        <f>+E10</f>
        <v>102.84</v>
      </c>
      <c r="K11" s="1708">
        <f>+K10</f>
        <v>103</v>
      </c>
      <c r="M11" s="1710"/>
      <c r="N11" s="1709">
        <f>E11-K11</f>
        <v>-0.15999999999999659</v>
      </c>
    </row>
    <row r="12" spans="1:15" ht="12.75" thickTop="1">
      <c r="A12" s="1696"/>
      <c r="B12" s="1704"/>
      <c r="C12" s="1704"/>
      <c r="D12" s="1704"/>
      <c r="E12" s="1705"/>
    </row>
    <row r="13" spans="1:15">
      <c r="A13" s="1693" t="s">
        <v>2323</v>
      </c>
      <c r="B13" s="1704"/>
      <c r="C13" s="1704" t="s">
        <v>2324</v>
      </c>
      <c r="D13" s="1704"/>
      <c r="E13" s="1705">
        <f>+'A 6'!D17</f>
        <v>0</v>
      </c>
      <c r="N13" s="1709"/>
    </row>
    <row r="14" spans="1:15">
      <c r="A14" s="1693" t="s">
        <v>2325</v>
      </c>
      <c r="B14" s="1704"/>
      <c r="C14" s="1704" t="s">
        <v>2324</v>
      </c>
      <c r="D14" s="1704"/>
      <c r="E14" s="1705">
        <f>+'A 6'!D28</f>
        <v>0</v>
      </c>
    </row>
    <row r="15" spans="1:15">
      <c r="A15" s="1693" t="s">
        <v>2326</v>
      </c>
      <c r="B15" s="1704"/>
      <c r="C15" s="1704" t="s">
        <v>2324</v>
      </c>
      <c r="D15" s="1704"/>
      <c r="E15" s="1705">
        <f>+'A 6'!D34</f>
        <v>18403.25</v>
      </c>
      <c r="N15" s="1707"/>
    </row>
    <row r="16" spans="1:15">
      <c r="A16" s="1693" t="s">
        <v>2327</v>
      </c>
      <c r="B16" s="1704"/>
      <c r="C16" s="1704" t="s">
        <v>2324</v>
      </c>
      <c r="D16" s="1704"/>
      <c r="E16" s="1705">
        <f>+'A 6'!D42</f>
        <v>0</v>
      </c>
      <c r="N16" s="1707"/>
    </row>
    <row r="17" spans="1:14">
      <c r="A17" s="1693" t="s">
        <v>2328</v>
      </c>
      <c r="B17" s="1704"/>
      <c r="C17" s="1704" t="s">
        <v>2324</v>
      </c>
      <c r="D17" s="1704"/>
      <c r="E17" s="1705"/>
      <c r="I17" s="1704"/>
      <c r="K17" s="1705"/>
      <c r="N17" s="1707"/>
    </row>
    <row r="18" spans="1:14">
      <c r="A18" s="1693" t="s">
        <v>2329</v>
      </c>
      <c r="B18" s="1704"/>
      <c r="C18" s="1704" t="s">
        <v>2324</v>
      </c>
      <c r="D18" s="1704"/>
      <c r="E18" s="1705">
        <f>+'A 6'!D53</f>
        <v>1150.73</v>
      </c>
      <c r="G18" s="1693">
        <v>353</v>
      </c>
      <c r="I18" s="1704" t="s">
        <v>2324</v>
      </c>
      <c r="K18" s="1706">
        <v>19554</v>
      </c>
      <c r="M18" s="1693" t="s">
        <v>2321</v>
      </c>
      <c r="N18" s="1707"/>
    </row>
    <row r="19" spans="1:14" ht="12.75" thickBot="1">
      <c r="A19" s="1693"/>
      <c r="B19" s="1704"/>
      <c r="C19" s="1704"/>
      <c r="D19" s="1704"/>
      <c r="E19" s="1708">
        <f>SUM(E13:E18)</f>
        <v>19553.98</v>
      </c>
      <c r="K19" s="1708">
        <f>+K18</f>
        <v>19554</v>
      </c>
      <c r="N19" s="1709">
        <f>E19-K19</f>
        <v>-2.0000000000436557E-2</v>
      </c>
    </row>
    <row r="20" spans="1:14" ht="12.75" thickTop="1">
      <c r="B20" s="1704"/>
      <c r="C20" s="1704"/>
      <c r="D20" s="1704"/>
      <c r="E20" s="1705"/>
      <c r="N20" s="1707"/>
    </row>
    <row r="21" spans="1:14">
      <c r="A21" s="1693" t="s">
        <v>2330</v>
      </c>
      <c r="B21" s="1704"/>
      <c r="C21" s="1704" t="s">
        <v>2331</v>
      </c>
      <c r="D21" s="1704"/>
      <c r="E21" s="1705">
        <f>+'A 6'!D18</f>
        <v>0</v>
      </c>
      <c r="N21" s="1707"/>
    </row>
    <row r="22" spans="1:14">
      <c r="A22" s="1693" t="s">
        <v>2332</v>
      </c>
      <c r="B22" s="1704"/>
      <c r="C22" s="1704" t="s">
        <v>2331</v>
      </c>
      <c r="D22" s="1704"/>
      <c r="E22" s="1705">
        <f>+'A 6'!D29</f>
        <v>598892.46</v>
      </c>
      <c r="N22" s="1707"/>
    </row>
    <row r="23" spans="1:14">
      <c r="A23" s="1693" t="s">
        <v>2333</v>
      </c>
      <c r="B23" s="1704"/>
      <c r="C23" s="1704" t="s">
        <v>2331</v>
      </c>
      <c r="D23" s="1704"/>
      <c r="E23" s="1705">
        <f>+'A 6'!D35</f>
        <v>167756.37</v>
      </c>
      <c r="N23" s="1707"/>
    </row>
    <row r="24" spans="1:14">
      <c r="A24" s="1693" t="s">
        <v>2334</v>
      </c>
      <c r="B24" s="1704"/>
      <c r="C24" s="1704" t="s">
        <v>2331</v>
      </c>
      <c r="D24" s="1704"/>
      <c r="E24" s="1705">
        <f>+'A 6'!D43</f>
        <v>193</v>
      </c>
      <c r="N24" s="1707"/>
    </row>
    <row r="25" spans="1:14">
      <c r="A25" s="1693" t="s">
        <v>2335</v>
      </c>
      <c r="B25" s="1704"/>
      <c r="C25" s="1704" t="s">
        <v>2331</v>
      </c>
      <c r="D25" s="1704"/>
      <c r="E25" s="1705"/>
      <c r="N25" s="1707"/>
    </row>
    <row r="26" spans="1:14">
      <c r="A26" s="1693" t="s">
        <v>2336</v>
      </c>
      <c r="B26" s="1704"/>
      <c r="C26" s="1704" t="s">
        <v>2331</v>
      </c>
      <c r="D26" s="1704"/>
      <c r="E26" s="1705">
        <f>+'A 6'!D54</f>
        <v>2549434.61</v>
      </c>
      <c r="N26" s="1707"/>
    </row>
    <row r="27" spans="1:14">
      <c r="A27" s="1693"/>
      <c r="B27" s="1704"/>
      <c r="C27" s="1704"/>
      <c r="D27" s="1704"/>
      <c r="K27" s="1705">
        <v>3316276</v>
      </c>
    </row>
    <row r="28" spans="1:14" ht="12.75" thickBot="1">
      <c r="A28" s="1693"/>
      <c r="B28" s="1704"/>
      <c r="C28" s="1704"/>
      <c r="D28" s="1704"/>
      <c r="E28" s="1708">
        <f>SUM(E21:E27)</f>
        <v>3316276.44</v>
      </c>
      <c r="G28" s="1693">
        <v>354</v>
      </c>
      <c r="I28" s="1704" t="s">
        <v>2331</v>
      </c>
      <c r="K28" s="1708">
        <f>+K27</f>
        <v>3316276</v>
      </c>
      <c r="M28" s="1693" t="s">
        <v>2321</v>
      </c>
      <c r="N28" s="1709">
        <f>E28-K28</f>
        <v>0.43999999994412065</v>
      </c>
    </row>
    <row r="29" spans="1:14" ht="12.75" thickTop="1">
      <c r="A29" s="1693"/>
      <c r="B29" s="1704"/>
      <c r="C29" s="1704"/>
      <c r="D29" s="1704"/>
      <c r="E29" s="1705"/>
      <c r="I29" s="1704"/>
      <c r="N29" s="1707"/>
    </row>
    <row r="30" spans="1:14">
      <c r="A30" s="1693" t="s">
        <v>2337</v>
      </c>
      <c r="B30" s="1704"/>
      <c r="C30" s="1704" t="s">
        <v>2338</v>
      </c>
      <c r="D30" s="1704"/>
      <c r="E30" s="1705">
        <f>+'A 6'!D55</f>
        <v>426570.62000000005</v>
      </c>
      <c r="N30" s="1707"/>
    </row>
    <row r="31" spans="1:14">
      <c r="A31" s="1693" t="s">
        <v>2339</v>
      </c>
      <c r="B31" s="1704"/>
      <c r="C31" s="1704" t="s">
        <v>2340</v>
      </c>
      <c r="D31" s="1704"/>
      <c r="E31" s="1705"/>
      <c r="G31" s="1693">
        <v>390</v>
      </c>
      <c r="I31" s="1704" t="s">
        <v>2338</v>
      </c>
      <c r="K31" s="1706">
        <v>426571</v>
      </c>
      <c r="M31" s="1693" t="s">
        <v>2321</v>
      </c>
    </row>
    <row r="32" spans="1:14" ht="12.75" thickBot="1">
      <c r="A32" s="1693"/>
      <c r="B32" s="1704"/>
      <c r="C32" s="1704"/>
      <c r="D32" s="1704"/>
      <c r="E32" s="1708">
        <f>+E30+E31</f>
        <v>426570.62000000005</v>
      </c>
      <c r="K32" s="1708">
        <f>+K31</f>
        <v>426571</v>
      </c>
      <c r="N32" s="1709">
        <f>E32-K32</f>
        <v>-0.37999999994644895</v>
      </c>
    </row>
    <row r="33" spans="1:15" ht="12.75" thickTop="1">
      <c r="A33" s="1693"/>
      <c r="B33" s="1704"/>
      <c r="C33" s="1704"/>
      <c r="D33" s="1704"/>
      <c r="E33" s="1705"/>
      <c r="K33" s="1705"/>
    </row>
    <row r="34" spans="1:15">
      <c r="A34" s="1693" t="s">
        <v>2341</v>
      </c>
      <c r="B34" s="1704"/>
      <c r="C34" s="1704" t="s">
        <v>2342</v>
      </c>
      <c r="D34" s="1704"/>
      <c r="E34" s="1705">
        <f>+'A 6'!D58</f>
        <v>48274.329999999994</v>
      </c>
      <c r="N34" s="1707"/>
    </row>
    <row r="35" spans="1:15">
      <c r="A35" s="1693" t="s">
        <v>2343</v>
      </c>
      <c r="B35" s="1704"/>
      <c r="C35" s="1704" t="s">
        <v>2344</v>
      </c>
      <c r="D35" s="1704"/>
      <c r="E35" s="1705"/>
      <c r="G35" s="1693">
        <v>393</v>
      </c>
      <c r="I35" s="1704" t="s">
        <v>2342</v>
      </c>
      <c r="K35" s="1706">
        <v>48274</v>
      </c>
      <c r="M35" s="1693" t="s">
        <v>2321</v>
      </c>
    </row>
    <row r="36" spans="1:15" ht="12.75" thickBot="1">
      <c r="A36" s="1693"/>
      <c r="B36" s="1704"/>
      <c r="C36" s="1704"/>
      <c r="D36" s="1704"/>
      <c r="E36" s="1708">
        <f>+E34+E35</f>
        <v>48274.329999999994</v>
      </c>
      <c r="I36" s="1704"/>
      <c r="K36" s="1708">
        <f>+K35</f>
        <v>48274</v>
      </c>
      <c r="N36" s="1709">
        <f>E36-K36</f>
        <v>0.32999999999447027</v>
      </c>
    </row>
    <row r="37" spans="1:15" ht="12.75" thickTop="1">
      <c r="A37" s="1693"/>
      <c r="B37" s="1704"/>
      <c r="C37" s="1704"/>
      <c r="D37" s="1704"/>
      <c r="E37" s="1705"/>
      <c r="I37" s="1704"/>
      <c r="N37" s="1707"/>
    </row>
    <row r="38" spans="1:15">
      <c r="A38" s="1693" t="s">
        <v>2345</v>
      </c>
      <c r="B38" s="1704"/>
      <c r="C38" s="1704" t="s">
        <v>2346</v>
      </c>
      <c r="D38" s="1704"/>
      <c r="E38" s="1705">
        <f>+'A 6'!D61</f>
        <v>4847.6799999999994</v>
      </c>
      <c r="N38" s="1707"/>
    </row>
    <row r="39" spans="1:15">
      <c r="A39" s="1693" t="s">
        <v>2347</v>
      </c>
      <c r="B39" s="1704"/>
      <c r="C39" s="1704" t="s">
        <v>2346</v>
      </c>
      <c r="D39" s="1704"/>
      <c r="E39" s="1705"/>
      <c r="G39" s="1693">
        <v>396</v>
      </c>
      <c r="I39" s="1704" t="s">
        <v>2346</v>
      </c>
      <c r="K39" s="1706">
        <v>4848</v>
      </c>
      <c r="M39" s="1693" t="s">
        <v>2321</v>
      </c>
      <c r="N39" s="1707"/>
    </row>
    <row r="40" spans="1:15" ht="12.75" thickBot="1">
      <c r="A40" s="1693"/>
      <c r="B40" s="1704"/>
      <c r="C40" s="1704"/>
      <c r="D40" s="1704"/>
      <c r="E40" s="1708">
        <f>+E38+E39</f>
        <v>4847.6799999999994</v>
      </c>
      <c r="I40" s="1704"/>
      <c r="K40" s="1708">
        <f>+K39</f>
        <v>4848</v>
      </c>
      <c r="N40" s="1709">
        <f>E40-K40</f>
        <v>-0.32000000000061846</v>
      </c>
    </row>
    <row r="41" spans="1:15" ht="12.75" thickTop="1">
      <c r="A41" s="1693"/>
      <c r="B41" s="1704"/>
      <c r="C41" s="1704"/>
      <c r="D41" s="1704"/>
      <c r="E41" s="1705"/>
      <c r="I41" s="1704"/>
      <c r="K41" s="1705"/>
      <c r="N41" s="1707"/>
    </row>
    <row r="42" spans="1:15">
      <c r="A42" s="1701" t="s">
        <v>2348</v>
      </c>
      <c r="B42" s="1704"/>
      <c r="C42" s="1704" t="s">
        <v>2349</v>
      </c>
      <c r="D42" s="1704"/>
      <c r="E42" s="1705">
        <f>+'A 6'!D63</f>
        <v>48532</v>
      </c>
      <c r="G42" s="1693">
        <v>398</v>
      </c>
      <c r="I42" s="1704" t="s">
        <v>2349</v>
      </c>
      <c r="K42" s="1706">
        <v>48532</v>
      </c>
      <c r="M42" s="1693" t="s">
        <v>2321</v>
      </c>
      <c r="N42" s="1709"/>
    </row>
    <row r="43" spans="1:15">
      <c r="A43" s="1693" t="s">
        <v>2350</v>
      </c>
      <c r="B43" s="1704"/>
      <c r="C43" s="1704" t="s">
        <v>2351</v>
      </c>
      <c r="D43" s="1704"/>
      <c r="E43" s="1705"/>
      <c r="I43" s="1704"/>
      <c r="N43" s="1709"/>
    </row>
    <row r="44" spans="1:15" ht="12.75" thickBot="1">
      <c r="A44" s="1701"/>
      <c r="B44" s="1704"/>
      <c r="C44" s="1704"/>
      <c r="D44" s="1704"/>
      <c r="E44" s="1708">
        <f>+E42+E43</f>
        <v>48532</v>
      </c>
      <c r="I44" s="1704"/>
      <c r="K44" s="1708">
        <f>+K43+K42</f>
        <v>48532</v>
      </c>
      <c r="N44" s="1709">
        <f>E44-K44</f>
        <v>0</v>
      </c>
    </row>
    <row r="45" spans="1:15" ht="12.75" thickTop="1">
      <c r="A45" s="1701"/>
      <c r="B45" s="1704"/>
      <c r="C45" s="1704"/>
      <c r="D45" s="1704"/>
      <c r="E45" s="1711"/>
      <c r="I45" s="1704"/>
      <c r="N45" s="1709"/>
    </row>
    <row r="46" spans="1:15">
      <c r="A46" s="1693" t="s">
        <v>2352</v>
      </c>
      <c r="B46" s="1704"/>
      <c r="C46" s="1704" t="s">
        <v>2353</v>
      </c>
      <c r="D46" s="1704"/>
      <c r="E46" s="1705">
        <f>+'A 6'!D19</f>
        <v>0</v>
      </c>
      <c r="N46" s="1709"/>
    </row>
    <row r="47" spans="1:15">
      <c r="A47" s="1693" t="s">
        <v>2354</v>
      </c>
      <c r="B47" s="1704"/>
      <c r="C47" s="1704" t="s">
        <v>2353</v>
      </c>
      <c r="D47" s="1704"/>
      <c r="E47" s="1705">
        <f>+'A 6'!D36</f>
        <v>953.28</v>
      </c>
      <c r="G47" s="1693">
        <v>355</v>
      </c>
      <c r="I47" s="1704" t="s">
        <v>2353</v>
      </c>
      <c r="K47" s="1706">
        <v>0</v>
      </c>
      <c r="M47" s="1693" t="s">
        <v>2321</v>
      </c>
      <c r="N47" s="1709"/>
    </row>
    <row r="48" spans="1:15" ht="24.75" thickBot="1">
      <c r="A48" s="1693"/>
      <c r="B48" s="1704"/>
      <c r="C48" s="1704"/>
      <c r="D48" s="1704"/>
      <c r="E48" s="1708">
        <f>+E46+E47</f>
        <v>953.28</v>
      </c>
      <c r="K48" s="1708">
        <f>+K47</f>
        <v>0</v>
      </c>
      <c r="N48" s="1709">
        <f>E48-K48</f>
        <v>953.28</v>
      </c>
      <c r="O48" s="1698" t="s">
        <v>2628</v>
      </c>
    </row>
    <row r="49" spans="1:15" ht="12.75" thickTop="1">
      <c r="A49" s="1693"/>
      <c r="B49" s="1704"/>
      <c r="C49" s="1704"/>
      <c r="D49" s="1704"/>
      <c r="E49" s="1705"/>
      <c r="K49" s="1705"/>
      <c r="N49" s="1709"/>
    </row>
    <row r="50" spans="1:15">
      <c r="A50" s="1696"/>
      <c r="B50" s="1704"/>
      <c r="C50" s="1704"/>
      <c r="D50" s="1704"/>
      <c r="E50" s="1705"/>
      <c r="N50" s="1707"/>
    </row>
    <row r="51" spans="1:15">
      <c r="A51" s="1693" t="s">
        <v>2355</v>
      </c>
      <c r="B51" s="1704"/>
      <c r="C51" s="1704" t="s">
        <v>2356</v>
      </c>
      <c r="D51" s="1704"/>
      <c r="E51" s="1705">
        <f>+'A 6'!D20</f>
        <v>248969.19</v>
      </c>
      <c r="G51" s="1693">
        <v>360</v>
      </c>
      <c r="I51" s="1704" t="s">
        <v>2356</v>
      </c>
      <c r="K51" s="1706">
        <v>248969</v>
      </c>
      <c r="M51" s="1693" t="s">
        <v>2321</v>
      </c>
      <c r="N51" s="1709"/>
    </row>
    <row r="52" spans="1:15" ht="12.75" thickBot="1">
      <c r="A52" s="1693"/>
      <c r="B52" s="1704"/>
      <c r="C52" s="1704"/>
      <c r="D52" s="1704"/>
      <c r="E52" s="1708">
        <f>+E51</f>
        <v>248969.19</v>
      </c>
      <c r="K52" s="1708">
        <f>+K51</f>
        <v>248969</v>
      </c>
      <c r="N52" s="1709">
        <f>E52-K52</f>
        <v>0.19000000000232831</v>
      </c>
    </row>
    <row r="53" spans="1:15" ht="12.75" thickTop="1">
      <c r="A53" s="1693"/>
      <c r="B53" s="1704"/>
      <c r="C53" s="1704"/>
      <c r="D53" s="1704"/>
      <c r="E53" s="1705"/>
      <c r="I53" s="1704"/>
      <c r="N53" s="1709"/>
    </row>
    <row r="54" spans="1:15">
      <c r="A54" s="1693" t="s">
        <v>2357</v>
      </c>
      <c r="B54" s="1704"/>
      <c r="C54" s="1704" t="s">
        <v>2358</v>
      </c>
      <c r="D54" s="1704"/>
      <c r="E54" s="1705">
        <f>+'A 6'!D23</f>
        <v>135174.92000000001</v>
      </c>
      <c r="G54" s="1712">
        <v>363</v>
      </c>
      <c r="I54" s="1704" t="s">
        <v>2358</v>
      </c>
      <c r="K54" s="1706">
        <v>135175</v>
      </c>
      <c r="M54" s="1693" t="s">
        <v>2321</v>
      </c>
    </row>
    <row r="55" spans="1:15" ht="12.75" thickBot="1">
      <c r="A55" s="1696"/>
      <c r="B55" s="1704"/>
      <c r="C55" s="1704"/>
      <c r="D55" s="1704"/>
      <c r="E55" s="1708">
        <f>+E54</f>
        <v>135174.92000000001</v>
      </c>
      <c r="K55" s="1708">
        <f>+K54</f>
        <v>135175</v>
      </c>
      <c r="N55" s="1709">
        <f>E55-K55</f>
        <v>-7.9999999987194315E-2</v>
      </c>
    </row>
    <row r="56" spans="1:15" ht="12.75" thickTop="1">
      <c r="A56" s="1693"/>
      <c r="B56" s="1704"/>
      <c r="C56" s="1704"/>
      <c r="D56" s="1704"/>
      <c r="E56" s="1705"/>
    </row>
    <row r="57" spans="1:15">
      <c r="A57" s="1693" t="s">
        <v>2359</v>
      </c>
      <c r="B57" s="1704"/>
      <c r="C57" s="1704" t="s">
        <v>2360</v>
      </c>
      <c r="D57" s="1704"/>
      <c r="E57" s="1705">
        <f>+'A 6'!D21</f>
        <v>2567155.31</v>
      </c>
      <c r="G57" s="1693">
        <v>361</v>
      </c>
      <c r="I57" s="1704" t="s">
        <v>2360</v>
      </c>
      <c r="K57" s="1706">
        <v>2386836</v>
      </c>
      <c r="M57" s="1693" t="s">
        <v>2321</v>
      </c>
      <c r="N57" s="1707"/>
    </row>
    <row r="58" spans="1:15">
      <c r="A58" s="1693" t="s">
        <v>2359</v>
      </c>
      <c r="B58" s="1704"/>
      <c r="C58" s="1704" t="s">
        <v>2361</v>
      </c>
      <c r="D58" s="1704"/>
      <c r="E58" s="1705"/>
      <c r="G58" s="1693">
        <v>361</v>
      </c>
      <c r="I58" s="1704" t="s">
        <v>2361</v>
      </c>
      <c r="K58" s="1706">
        <v>180320</v>
      </c>
      <c r="M58" s="1693" t="s">
        <v>2321</v>
      </c>
      <c r="N58" s="1707"/>
    </row>
    <row r="59" spans="1:15" ht="12.75" thickBot="1">
      <c r="A59" s="1696"/>
      <c r="B59" s="1704"/>
      <c r="C59" s="1704"/>
      <c r="D59" s="1704"/>
      <c r="E59" s="1708">
        <f>+E57+E58</f>
        <v>2567155.31</v>
      </c>
      <c r="K59" s="1708">
        <f>+K57+K58</f>
        <v>2567156</v>
      </c>
      <c r="N59" s="1709">
        <f>E59-K59</f>
        <v>-0.68999999994412065</v>
      </c>
      <c r="O59" s="1698" t="s">
        <v>2629</v>
      </c>
    </row>
    <row r="60" spans="1:15" ht="12.75" thickTop="1">
      <c r="A60" s="1696"/>
      <c r="B60" s="1704"/>
      <c r="C60" s="1704"/>
      <c r="D60" s="1704"/>
      <c r="E60" s="1705"/>
      <c r="K60" s="1705"/>
    </row>
    <row r="61" spans="1:15">
      <c r="A61" s="1712" t="s">
        <v>2362</v>
      </c>
      <c r="B61" s="1704"/>
      <c r="C61" s="1704" t="s">
        <v>2363</v>
      </c>
      <c r="D61" s="1704"/>
      <c r="E61" s="1705">
        <f>+'A 6'!D24</f>
        <v>5715.54</v>
      </c>
      <c r="G61" s="1693">
        <v>364</v>
      </c>
      <c r="I61" s="1704" t="s">
        <v>2363</v>
      </c>
      <c r="K61" s="1706">
        <v>5716</v>
      </c>
      <c r="M61" s="1693" t="s">
        <v>2321</v>
      </c>
      <c r="N61" s="1707"/>
    </row>
    <row r="62" spans="1:15" ht="12.75" thickBot="1">
      <c r="A62" s="1696"/>
      <c r="B62" s="1704"/>
      <c r="C62" s="1704"/>
      <c r="D62" s="1704"/>
      <c r="E62" s="1708">
        <f>+E61</f>
        <v>5715.54</v>
      </c>
      <c r="K62" s="1708">
        <f>+K61</f>
        <v>5716</v>
      </c>
      <c r="N62" s="1709">
        <f>E62-K62</f>
        <v>-0.46000000000003638</v>
      </c>
    </row>
    <row r="63" spans="1:15" ht="12.75" thickTop="1">
      <c r="A63" s="1696"/>
      <c r="B63" s="1704"/>
      <c r="C63" s="1704"/>
      <c r="D63" s="1704"/>
      <c r="E63" s="1705"/>
      <c r="K63" s="1705"/>
      <c r="N63" s="1709"/>
    </row>
    <row r="64" spans="1:15">
      <c r="A64" s="1712" t="s">
        <v>2364</v>
      </c>
      <c r="B64" s="1704"/>
      <c r="C64" s="1704" t="s">
        <v>1881</v>
      </c>
      <c r="D64" s="1704"/>
      <c r="E64" s="1705">
        <f>+'A 6'!D50</f>
        <v>0</v>
      </c>
      <c r="G64" s="1693">
        <v>366</v>
      </c>
      <c r="I64" s="1704" t="s">
        <v>1881</v>
      </c>
      <c r="K64" s="1705">
        <v>0</v>
      </c>
      <c r="N64" s="1709"/>
    </row>
    <row r="65" spans="1:14" ht="12.75" thickBot="1">
      <c r="A65" s="1712"/>
      <c r="B65" s="1704"/>
      <c r="C65" s="1704"/>
      <c r="D65" s="1704"/>
      <c r="E65" s="1708">
        <f>+E64</f>
        <v>0</v>
      </c>
      <c r="K65" s="1708">
        <f>+K64</f>
        <v>0</v>
      </c>
      <c r="N65" s="1709">
        <f>E65-K65</f>
        <v>0</v>
      </c>
    </row>
    <row r="66" spans="1:14" ht="12.75" thickTop="1">
      <c r="A66" s="1712"/>
      <c r="B66" s="1704"/>
      <c r="C66" s="1704"/>
      <c r="D66" s="1704"/>
      <c r="E66" s="1705"/>
      <c r="K66" s="1705"/>
      <c r="N66" s="1709"/>
    </row>
    <row r="67" spans="1:14">
      <c r="A67" s="1712" t="s">
        <v>2365</v>
      </c>
      <c r="B67" s="1704"/>
      <c r="C67" s="1704" t="s">
        <v>2366</v>
      </c>
      <c r="D67" s="1704"/>
      <c r="E67" s="1705">
        <f>+'A 6'!D51</f>
        <v>0</v>
      </c>
      <c r="G67" s="1693">
        <v>367</v>
      </c>
      <c r="I67" s="1704" t="s">
        <v>2366</v>
      </c>
      <c r="K67" s="1705">
        <v>0</v>
      </c>
      <c r="N67" s="1709"/>
    </row>
    <row r="68" spans="1:14" ht="12.75" thickBot="1">
      <c r="A68" s="1712"/>
      <c r="B68" s="1704"/>
      <c r="C68" s="1704"/>
      <c r="D68" s="1704"/>
      <c r="E68" s="1708">
        <f>+E67</f>
        <v>0</v>
      </c>
      <c r="K68" s="1708">
        <f>+K67</f>
        <v>0</v>
      </c>
      <c r="N68" s="1709">
        <f>E68-K68</f>
        <v>0</v>
      </c>
    </row>
    <row r="69" spans="1:14" ht="12.75" thickTop="1">
      <c r="A69" s="1712"/>
      <c r="B69" s="1704"/>
      <c r="C69" s="1704"/>
      <c r="D69" s="1704"/>
      <c r="E69" s="1705"/>
      <c r="K69" s="1705"/>
      <c r="N69" s="1709"/>
    </row>
    <row r="70" spans="1:14">
      <c r="A70" s="1712" t="s">
        <v>2367</v>
      </c>
      <c r="B70" s="1704"/>
      <c r="C70" s="1704" t="s">
        <v>2368</v>
      </c>
      <c r="D70" s="1704"/>
      <c r="E70" s="1705">
        <f>+'A 6'!D30</f>
        <v>0</v>
      </c>
      <c r="G70" s="1693">
        <v>370</v>
      </c>
      <c r="I70" s="1704" t="s">
        <v>2368</v>
      </c>
      <c r="K70" s="1705">
        <v>0</v>
      </c>
      <c r="M70" s="1693" t="s">
        <v>2321</v>
      </c>
    </row>
    <row r="71" spans="1:14" ht="12.75" thickBot="1">
      <c r="A71" s="1712"/>
      <c r="B71" s="1704"/>
      <c r="C71" s="1704"/>
      <c r="D71" s="1704"/>
      <c r="E71" s="1708">
        <f>+E70</f>
        <v>0</v>
      </c>
      <c r="K71" s="1708">
        <f>+K70</f>
        <v>0</v>
      </c>
      <c r="N71" s="1709">
        <f>E71-K71</f>
        <v>0</v>
      </c>
    </row>
    <row r="72" spans="1:14" ht="12.75" thickTop="1">
      <c r="A72" s="1712"/>
      <c r="B72" s="1704"/>
      <c r="C72" s="1704"/>
      <c r="D72" s="1704"/>
      <c r="E72" s="1705"/>
      <c r="K72" s="1705"/>
      <c r="N72" s="1709"/>
    </row>
    <row r="73" spans="1:14">
      <c r="A73" s="1693" t="s">
        <v>2369</v>
      </c>
      <c r="B73" s="1704"/>
      <c r="C73" s="1704" t="s">
        <v>2370</v>
      </c>
      <c r="D73" s="1704"/>
      <c r="E73" s="1705">
        <f>+'A 6'!D31</f>
        <v>247690.16</v>
      </c>
      <c r="N73" s="1707"/>
    </row>
    <row r="74" spans="1:14">
      <c r="A74" s="1693" t="s">
        <v>2371</v>
      </c>
      <c r="B74" s="1704"/>
      <c r="C74" s="1704" t="s">
        <v>2370</v>
      </c>
      <c r="D74" s="1704"/>
      <c r="E74" s="1705">
        <f>+'A 6'!D44</f>
        <v>0</v>
      </c>
      <c r="N74" s="1709"/>
    </row>
    <row r="75" spans="1:14">
      <c r="A75" s="1693" t="s">
        <v>2372</v>
      </c>
      <c r="B75" s="1704"/>
      <c r="C75" s="1704" t="s">
        <v>2370</v>
      </c>
      <c r="D75" s="1704"/>
      <c r="E75" s="1705">
        <f>+'A 6'!D45</f>
        <v>0</v>
      </c>
      <c r="G75" s="1693">
        <v>371</v>
      </c>
      <c r="I75" s="1704" t="s">
        <v>2370</v>
      </c>
      <c r="K75" s="1706">
        <v>247690</v>
      </c>
      <c r="M75" s="1693" t="s">
        <v>2321</v>
      </c>
    </row>
    <row r="76" spans="1:14" ht="12.75" thickBot="1">
      <c r="A76" s="1696"/>
      <c r="B76" s="1704"/>
      <c r="C76" s="1704"/>
      <c r="D76" s="1704"/>
      <c r="E76" s="1708">
        <f>SUM(E73:E75)</f>
        <v>247690.16</v>
      </c>
      <c r="I76" s="1704"/>
      <c r="K76" s="1708">
        <f>+K75</f>
        <v>247690</v>
      </c>
      <c r="N76" s="1709">
        <f>E76-K76</f>
        <v>0.16000000000349246</v>
      </c>
    </row>
    <row r="77" spans="1:14" ht="12.75" thickTop="1">
      <c r="A77" s="1696"/>
      <c r="B77" s="1704"/>
      <c r="C77" s="1704"/>
      <c r="D77" s="1704"/>
      <c r="E77" s="1705"/>
      <c r="I77" s="1707"/>
    </row>
    <row r="78" spans="1:14">
      <c r="A78" s="1693" t="s">
        <v>2373</v>
      </c>
      <c r="B78" s="1704"/>
      <c r="C78" s="1704" t="s">
        <v>2374</v>
      </c>
      <c r="D78" s="1704"/>
      <c r="E78" s="1705">
        <f>+'A 6'!D47</f>
        <v>9861.34</v>
      </c>
      <c r="G78" s="1693">
        <v>375</v>
      </c>
      <c r="I78" s="1713" t="s">
        <v>2374</v>
      </c>
      <c r="K78" s="1706">
        <v>9861</v>
      </c>
      <c r="M78" s="1693" t="s">
        <v>2321</v>
      </c>
    </row>
    <row r="79" spans="1:14">
      <c r="A79" s="1701" t="s">
        <v>2375</v>
      </c>
      <c r="B79" s="1704"/>
      <c r="C79" s="1704" t="s">
        <v>2376</v>
      </c>
      <c r="D79" s="1704"/>
      <c r="E79" s="1705">
        <f>+'A 6'!D46</f>
        <v>0</v>
      </c>
      <c r="G79" s="1693">
        <v>374</v>
      </c>
      <c r="I79" s="1704" t="s">
        <v>2376</v>
      </c>
      <c r="K79" s="1706">
        <v>0</v>
      </c>
      <c r="M79" s="1693" t="s">
        <v>2321</v>
      </c>
    </row>
    <row r="80" spans="1:14" ht="12.75" thickBot="1">
      <c r="A80" s="1696"/>
      <c r="B80" s="1704"/>
      <c r="C80" s="1704"/>
      <c r="D80" s="1704"/>
      <c r="E80" s="1708">
        <f>+E78+E79</f>
        <v>9861.34</v>
      </c>
      <c r="K80" s="1708">
        <f>+K78+K79</f>
        <v>9861</v>
      </c>
      <c r="N80" s="1709">
        <f>E80-K80</f>
        <v>0.34000000000014552</v>
      </c>
    </row>
    <row r="81" spans="1:14" ht="12.75" thickTop="1">
      <c r="A81" s="1696"/>
      <c r="B81" s="1704"/>
      <c r="C81" s="1704"/>
      <c r="D81" s="1704"/>
      <c r="E81" s="1705"/>
      <c r="N81" s="1707"/>
    </row>
    <row r="82" spans="1:14">
      <c r="A82" s="1693" t="s">
        <v>2377</v>
      </c>
      <c r="B82" s="1704"/>
      <c r="C82" s="1704" t="s">
        <v>2378</v>
      </c>
      <c r="D82" s="1704"/>
      <c r="E82" s="1714">
        <f>+'A 6'!D37</f>
        <v>1018738.52</v>
      </c>
      <c r="N82" s="1709"/>
    </row>
    <row r="83" spans="1:14">
      <c r="A83" s="1693" t="s">
        <v>2622</v>
      </c>
      <c r="B83" s="1704"/>
      <c r="C83" s="1704" t="s">
        <v>2378</v>
      </c>
      <c r="D83" s="1704"/>
      <c r="E83" s="1705">
        <f>+'A 6'!D48</f>
        <v>2347.39</v>
      </c>
      <c r="G83" s="1693">
        <v>380</v>
      </c>
      <c r="I83" s="1704" t="s">
        <v>2378</v>
      </c>
      <c r="K83" s="1706">
        <v>1021086</v>
      </c>
      <c r="M83" s="1693" t="s">
        <v>2321</v>
      </c>
    </row>
    <row r="84" spans="1:14" ht="12.75" thickBot="1">
      <c r="A84" s="1693"/>
      <c r="B84" s="1704"/>
      <c r="C84" s="1704"/>
      <c r="D84" s="1704"/>
      <c r="E84" s="1708">
        <f>+E82+E83</f>
        <v>1021085.91</v>
      </c>
      <c r="K84" s="1708">
        <f>+K83</f>
        <v>1021086</v>
      </c>
      <c r="N84" s="1709">
        <f>E84-K84</f>
        <v>-8.999999996740371E-2</v>
      </c>
    </row>
    <row r="85" spans="1:14" ht="12.75" thickTop="1">
      <c r="A85" s="1696"/>
      <c r="B85" s="1704"/>
      <c r="C85" s="1704"/>
      <c r="D85" s="1704"/>
      <c r="E85" s="1714"/>
      <c r="K85" s="1705"/>
      <c r="N85" s="1707"/>
    </row>
    <row r="86" spans="1:14">
      <c r="A86" s="1693" t="s">
        <v>2379</v>
      </c>
      <c r="B86" s="1704"/>
      <c r="C86" s="1704" t="s">
        <v>2380</v>
      </c>
      <c r="D86" s="1704"/>
      <c r="E86" s="1714">
        <f>+'A 6'!D38</f>
        <v>67203.92</v>
      </c>
      <c r="K86" s="1705"/>
      <c r="N86" s="1707"/>
    </row>
    <row r="87" spans="1:14">
      <c r="A87" s="1693" t="s">
        <v>2381</v>
      </c>
      <c r="B87" s="1704"/>
      <c r="C87" s="1704" t="s">
        <v>2380</v>
      </c>
      <c r="D87" s="1704"/>
      <c r="E87" s="1714"/>
      <c r="G87" s="1693">
        <v>381</v>
      </c>
      <c r="I87" s="1704" t="s">
        <v>2380</v>
      </c>
      <c r="K87" s="1706">
        <v>67204</v>
      </c>
      <c r="M87" s="1693" t="s">
        <v>2321</v>
      </c>
      <c r="N87" s="1709"/>
    </row>
    <row r="88" spans="1:14" ht="12.75" thickBot="1">
      <c r="A88" s="1693"/>
      <c r="B88" s="1704"/>
      <c r="C88" s="1704"/>
      <c r="D88" s="1704"/>
      <c r="E88" s="1708">
        <f>+E86+E87</f>
        <v>67203.92</v>
      </c>
      <c r="K88" s="1708">
        <f>+K87</f>
        <v>67204</v>
      </c>
      <c r="N88" s="1709">
        <f>E88-K88</f>
        <v>-8.000000000174623E-2</v>
      </c>
    </row>
    <row r="89" spans="1:14" ht="12.75" thickTop="1">
      <c r="A89" s="1696"/>
      <c r="B89" s="1704"/>
      <c r="C89" s="1704"/>
      <c r="D89" s="1704"/>
      <c r="E89" s="1714"/>
      <c r="N89" s="1707"/>
    </row>
    <row r="90" spans="1:14">
      <c r="A90" s="1693" t="s">
        <v>2382</v>
      </c>
      <c r="B90" s="1704"/>
      <c r="C90" s="1704" t="s">
        <v>2383</v>
      </c>
      <c r="D90" s="1704"/>
      <c r="E90" s="1714">
        <f>+'A 6'!D39</f>
        <v>221.52</v>
      </c>
      <c r="G90" s="1693">
        <v>382</v>
      </c>
      <c r="I90" s="1704" t="s">
        <v>2383</v>
      </c>
      <c r="K90" s="1706">
        <v>222</v>
      </c>
      <c r="M90" s="1693" t="s">
        <v>2321</v>
      </c>
      <c r="N90" s="1707"/>
    </row>
    <row r="91" spans="1:14" ht="12.75" thickBot="1">
      <c r="A91" s="1696"/>
      <c r="B91" s="1704"/>
      <c r="C91" s="1704"/>
      <c r="D91" s="1704"/>
      <c r="E91" s="1708">
        <f>+E90</f>
        <v>221.52</v>
      </c>
      <c r="K91" s="1708">
        <f>+K90</f>
        <v>222</v>
      </c>
      <c r="N91" s="1709">
        <f>E91-K91</f>
        <v>-0.47999999999998977</v>
      </c>
    </row>
    <row r="92" spans="1:14" ht="12.75" thickTop="1">
      <c r="A92" s="1696"/>
      <c r="B92" s="1704"/>
      <c r="C92" s="1704"/>
      <c r="D92" s="1704"/>
      <c r="E92" s="1705"/>
      <c r="N92" s="1715"/>
    </row>
    <row r="93" spans="1:14">
      <c r="A93" s="1693" t="s">
        <v>2384</v>
      </c>
      <c r="B93" s="1704"/>
      <c r="C93" s="1704" t="s">
        <v>2385</v>
      </c>
      <c r="D93" s="1704"/>
      <c r="E93" s="1705">
        <f>+'A 6'!D56</f>
        <v>156433.26</v>
      </c>
      <c r="G93" s="1693">
        <v>391</v>
      </c>
      <c r="I93" s="1704" t="s">
        <v>1946</v>
      </c>
      <c r="K93" s="1706">
        <v>156433</v>
      </c>
      <c r="M93" s="1693" t="s">
        <v>2321</v>
      </c>
      <c r="N93" s="1707"/>
    </row>
    <row r="94" spans="1:14" ht="12.75" thickBot="1">
      <c r="A94" s="1693"/>
      <c r="B94" s="1704"/>
      <c r="C94" s="1704"/>
      <c r="D94" s="1704"/>
      <c r="E94" s="1708">
        <f>+E93</f>
        <v>156433.26</v>
      </c>
      <c r="K94" s="1708">
        <f>+K93</f>
        <v>156433</v>
      </c>
      <c r="N94" s="1709">
        <f>E94-K94</f>
        <v>0.26000000000931323</v>
      </c>
    </row>
    <row r="95" spans="1:14" ht="12.75" thickTop="1">
      <c r="A95" s="1696"/>
      <c r="B95" s="1704"/>
      <c r="C95" s="1704"/>
      <c r="D95" s="1704"/>
      <c r="E95" s="1705"/>
      <c r="N95" s="1715"/>
    </row>
    <row r="96" spans="1:14">
      <c r="A96" s="1701" t="s">
        <v>2386</v>
      </c>
      <c r="B96" s="1704"/>
      <c r="C96" s="1704" t="s">
        <v>2387</v>
      </c>
      <c r="D96" s="1704"/>
      <c r="E96" s="1705">
        <f>+'A 6'!D59</f>
        <v>23508.28</v>
      </c>
      <c r="N96" s="1709"/>
    </row>
    <row r="97" spans="1:15">
      <c r="A97" s="1693" t="s">
        <v>2388</v>
      </c>
      <c r="B97" s="1704"/>
      <c r="C97" s="1704" t="s">
        <v>2387</v>
      </c>
      <c r="D97" s="1704"/>
      <c r="E97" s="1705"/>
      <c r="G97" s="1693">
        <v>394</v>
      </c>
      <c r="I97" s="1704" t="s">
        <v>2387</v>
      </c>
      <c r="K97" s="1706">
        <v>23508</v>
      </c>
      <c r="M97" s="1693" t="s">
        <v>2321</v>
      </c>
    </row>
    <row r="98" spans="1:15" ht="12.75" thickBot="1">
      <c r="A98" s="1696"/>
      <c r="B98" s="1704"/>
      <c r="C98" s="1704"/>
      <c r="D98" s="1704"/>
      <c r="E98" s="1708">
        <f>+E96+E97</f>
        <v>23508.28</v>
      </c>
      <c r="K98" s="1708">
        <f>+K97</f>
        <v>23508</v>
      </c>
      <c r="N98" s="1709">
        <f>E98-K98</f>
        <v>0.27999999999883585</v>
      </c>
    </row>
    <row r="99" spans="1:15" ht="12.75" thickTop="1">
      <c r="A99" s="1696"/>
      <c r="B99" s="1704"/>
      <c r="C99" s="1704"/>
      <c r="D99" s="1704"/>
      <c r="E99" s="1705"/>
      <c r="K99" s="1705"/>
      <c r="N99" s="1707"/>
    </row>
    <row r="100" spans="1:15">
      <c r="A100" s="1701" t="s">
        <v>2389</v>
      </c>
      <c r="B100" s="1704"/>
      <c r="C100" s="1704" t="s">
        <v>2390</v>
      </c>
      <c r="D100" s="1704"/>
      <c r="E100" s="1705">
        <f>+'A 6'!D60</f>
        <v>2869.64</v>
      </c>
      <c r="G100" s="1693">
        <v>395</v>
      </c>
      <c r="I100" s="1704" t="s">
        <v>2390</v>
      </c>
      <c r="K100" s="1706">
        <v>2870</v>
      </c>
      <c r="M100" s="1693" t="s">
        <v>2321</v>
      </c>
    </row>
    <row r="101" spans="1:15">
      <c r="A101" s="1693" t="s">
        <v>2391</v>
      </c>
      <c r="B101" s="1704"/>
      <c r="C101" s="1704" t="s">
        <v>2390</v>
      </c>
      <c r="D101" s="1704"/>
      <c r="E101" s="1705"/>
      <c r="K101" s="1705"/>
    </row>
    <row r="102" spans="1:15" ht="12.75" thickBot="1">
      <c r="A102" s="1696"/>
      <c r="B102" s="1704"/>
      <c r="C102" s="1704"/>
      <c r="D102" s="1704"/>
      <c r="E102" s="1708">
        <f>+E101+E100</f>
        <v>2869.64</v>
      </c>
      <c r="K102" s="1708">
        <f>+K100</f>
        <v>2870</v>
      </c>
      <c r="N102" s="1709">
        <f>E102-K102</f>
        <v>-0.36000000000012733</v>
      </c>
    </row>
    <row r="103" spans="1:15" ht="12.75" thickTop="1">
      <c r="A103" s="1696"/>
      <c r="B103" s="1704"/>
      <c r="C103" s="1704"/>
      <c r="D103" s="1704"/>
      <c r="E103" s="1705"/>
      <c r="N103" s="1707"/>
    </row>
    <row r="104" spans="1:15">
      <c r="A104" s="1701" t="s">
        <v>2392</v>
      </c>
      <c r="B104" s="1704"/>
      <c r="C104" s="1704" t="s">
        <v>2393</v>
      </c>
      <c r="D104" s="1704"/>
      <c r="E104" s="1705">
        <f>+'A 6'!D62</f>
        <v>1369.21</v>
      </c>
      <c r="G104" s="1693">
        <v>397</v>
      </c>
      <c r="I104" s="1704" t="s">
        <v>2393</v>
      </c>
      <c r="K104" s="1706">
        <v>2322</v>
      </c>
      <c r="M104" s="1693" t="s">
        <v>2321</v>
      </c>
      <c r="N104" s="1707"/>
    </row>
    <row r="105" spans="1:15">
      <c r="A105" s="1693" t="s">
        <v>2394</v>
      </c>
      <c r="B105" s="1704"/>
      <c r="C105" s="1704" t="s">
        <v>2393</v>
      </c>
      <c r="D105" s="1704"/>
      <c r="E105" s="1705"/>
      <c r="I105" s="1704"/>
      <c r="N105" s="1707"/>
    </row>
    <row r="106" spans="1:15" ht="24.75" thickBot="1">
      <c r="A106" s="1696"/>
      <c r="B106" s="1704"/>
      <c r="C106" s="1704"/>
      <c r="D106" s="1704"/>
      <c r="E106" s="1708">
        <f>+E104+E105</f>
        <v>1369.21</v>
      </c>
      <c r="K106" s="1708">
        <f>+K104</f>
        <v>2322</v>
      </c>
      <c r="N106" s="1709">
        <f>E106-K106</f>
        <v>-952.79</v>
      </c>
      <c r="O106" s="1698" t="s">
        <v>2627</v>
      </c>
    </row>
    <row r="107" spans="1:15" ht="12.75" thickTop="1">
      <c r="A107" s="1696"/>
      <c r="B107" s="1704"/>
      <c r="C107" s="1704"/>
      <c r="D107" s="1704"/>
      <c r="E107" s="1714"/>
      <c r="N107" s="1715"/>
    </row>
    <row r="108" spans="1:15">
      <c r="A108" s="1701" t="s">
        <v>2395</v>
      </c>
      <c r="B108" s="1704"/>
      <c r="C108" s="1704" t="s">
        <v>2396</v>
      </c>
      <c r="D108" s="1704"/>
      <c r="E108" s="1705"/>
      <c r="K108" s="1705"/>
    </row>
    <row r="109" spans="1:15">
      <c r="A109" s="1701" t="s">
        <v>2397</v>
      </c>
      <c r="B109" s="1704"/>
      <c r="C109" s="1704" t="s">
        <v>2396</v>
      </c>
      <c r="D109" s="1704"/>
      <c r="E109" s="1705">
        <f>+'A 6'!D26</f>
        <v>1430.57</v>
      </c>
      <c r="K109" s="1705"/>
    </row>
    <row r="110" spans="1:15">
      <c r="A110" s="1701" t="s">
        <v>2398</v>
      </c>
      <c r="B110" s="1704"/>
      <c r="C110" s="1704" t="s">
        <v>2396</v>
      </c>
      <c r="D110" s="1704"/>
      <c r="E110" s="1705">
        <f>+'A 6'!D32</f>
        <v>8716.56</v>
      </c>
      <c r="K110" s="1705"/>
      <c r="N110" s="1709"/>
    </row>
    <row r="111" spans="1:15">
      <c r="A111" s="1701" t="s">
        <v>2399</v>
      </c>
      <c r="B111" s="1704"/>
      <c r="C111" s="1704" t="s">
        <v>2396</v>
      </c>
      <c r="D111" s="1704"/>
      <c r="E111" s="1705">
        <f>+'A 6'!D40</f>
        <v>6369.04</v>
      </c>
      <c r="K111" s="1705"/>
      <c r="N111" s="1709"/>
    </row>
    <row r="112" spans="1:15">
      <c r="A112" s="1701" t="s">
        <v>2400</v>
      </c>
      <c r="B112" s="1704"/>
      <c r="C112" s="1704" t="s">
        <v>2396</v>
      </c>
      <c r="D112" s="1704"/>
      <c r="E112" s="1705"/>
      <c r="I112" s="1704"/>
      <c r="K112" s="1705"/>
      <c r="N112" s="1709"/>
    </row>
    <row r="113" spans="1:16">
      <c r="A113" s="1701" t="s">
        <v>2401</v>
      </c>
      <c r="B113" s="1704"/>
      <c r="C113" s="1704" t="s">
        <v>2396</v>
      </c>
      <c r="D113" s="1704"/>
      <c r="E113" s="1705">
        <f>+'A 6'!D49</f>
        <v>0</v>
      </c>
      <c r="G113" s="1693">
        <v>389</v>
      </c>
      <c r="I113" s="1704" t="s">
        <v>2396</v>
      </c>
      <c r="K113" s="1706">
        <v>16516</v>
      </c>
      <c r="M113" s="1693" t="s">
        <v>2321</v>
      </c>
      <c r="N113" s="1709"/>
    </row>
    <row r="114" spans="1:16" ht="12.75" thickBot="1">
      <c r="A114" s="1696"/>
      <c r="B114" s="1704"/>
      <c r="C114" s="1704"/>
      <c r="D114" s="1704"/>
      <c r="E114" s="1708">
        <f>SUM(E108:E113)</f>
        <v>16516.169999999998</v>
      </c>
      <c r="K114" s="1708">
        <f>+K113</f>
        <v>16516</v>
      </c>
      <c r="N114" s="1709">
        <f>E114-K114</f>
        <v>0.16999999999825377</v>
      </c>
    </row>
    <row r="115" spans="1:16" ht="12.75" thickTop="1">
      <c r="A115" s="1696"/>
      <c r="B115" s="1704"/>
      <c r="C115" s="1704"/>
      <c r="D115" s="1704"/>
      <c r="E115" s="1705"/>
      <c r="K115" s="1705"/>
    </row>
    <row r="116" spans="1:16">
      <c r="A116" s="1696"/>
      <c r="B116" s="1704"/>
      <c r="C116" s="1716" t="s">
        <v>2402</v>
      </c>
      <c r="D116" s="1717"/>
      <c r="E116" s="1718">
        <f>SUM(E7:E114)/2</f>
        <v>8371235.8799999999</v>
      </c>
      <c r="F116" s="1719"/>
      <c r="G116" s="1720"/>
      <c r="H116" s="1719"/>
      <c r="I116" s="1695" t="s">
        <v>2403</v>
      </c>
      <c r="J116" s="1719"/>
      <c r="K116" s="1718">
        <f>SUM(K7:K115)/2</f>
        <v>8371236</v>
      </c>
      <c r="N116" s="1760">
        <f>E116-K116</f>
        <v>-0.12000000011175871</v>
      </c>
      <c r="O116" s="1761"/>
    </row>
    <row r="117" spans="1:16">
      <c r="A117" s="1696"/>
      <c r="B117" s="1704"/>
      <c r="C117" s="1716"/>
      <c r="D117" s="1717"/>
      <c r="E117" s="1718"/>
      <c r="F117" s="1719"/>
      <c r="G117" s="1755"/>
      <c r="H117" s="1719"/>
      <c r="I117" s="1695"/>
      <c r="J117" s="1719"/>
      <c r="K117" s="1718"/>
      <c r="N117" s="1709"/>
    </row>
    <row r="118" spans="1:16">
      <c r="A118" s="1693" t="s">
        <v>2404</v>
      </c>
      <c r="B118" s="1704"/>
      <c r="C118" s="1703" t="s">
        <v>2405</v>
      </c>
      <c r="D118" s="1704"/>
      <c r="E118" s="1705">
        <f>'A 10'!E35</f>
        <v>1002429.49</v>
      </c>
      <c r="P118" s="1704"/>
    </row>
    <row r="119" spans="1:16">
      <c r="A119" s="1693" t="s">
        <v>2623</v>
      </c>
      <c r="B119" s="1704"/>
      <c r="C119" s="1703" t="s">
        <v>2405</v>
      </c>
      <c r="D119" s="1704"/>
      <c r="E119" s="1705">
        <f>'A 10'!E45</f>
        <v>698.25</v>
      </c>
      <c r="G119" s="1693">
        <v>380</v>
      </c>
      <c r="I119" s="1703" t="str">
        <f>C119</f>
        <v>Accum Depr Treatment and Disposal Equipment</v>
      </c>
      <c r="K119" s="1706">
        <v>1003128</v>
      </c>
      <c r="M119" s="1693" t="s">
        <v>2406</v>
      </c>
      <c r="N119" s="1709"/>
      <c r="P119" s="1704"/>
    </row>
    <row r="120" spans="1:16" ht="12.75" thickBot="1">
      <c r="A120" s="1696"/>
      <c r="B120" s="1704"/>
      <c r="C120" s="1704"/>
      <c r="D120" s="1704"/>
      <c r="E120" s="1708">
        <f>+E118+E119</f>
        <v>1003127.74</v>
      </c>
      <c r="K120" s="1708">
        <f>+K119</f>
        <v>1003128</v>
      </c>
      <c r="N120" s="1709">
        <f>+E120-K120</f>
        <v>-0.26000000000931323</v>
      </c>
      <c r="P120" s="1704"/>
    </row>
    <row r="121" spans="1:16" ht="12.75" thickTop="1">
      <c r="A121" s="1696"/>
      <c r="B121" s="1704"/>
      <c r="C121" s="1704"/>
      <c r="D121" s="1704"/>
      <c r="E121" s="1705"/>
      <c r="N121" s="1709"/>
      <c r="P121" s="1704"/>
    </row>
    <row r="122" spans="1:16">
      <c r="A122" s="1693" t="s">
        <v>2407</v>
      </c>
      <c r="B122" s="1704"/>
      <c r="C122" s="1703" t="s">
        <v>2408</v>
      </c>
      <c r="D122" s="1704"/>
      <c r="E122" s="1705">
        <f>'A 10'!E17</f>
        <v>0</v>
      </c>
      <c r="P122" s="1704"/>
    </row>
    <row r="123" spans="1:16">
      <c r="A123" s="1693" t="s">
        <v>2409</v>
      </c>
      <c r="B123" s="1704"/>
      <c r="C123" s="1703" t="s">
        <v>2408</v>
      </c>
      <c r="D123" s="1704"/>
      <c r="E123" s="1705"/>
      <c r="P123" s="1704"/>
    </row>
    <row r="124" spans="1:16">
      <c r="A124" s="1693" t="s">
        <v>2410</v>
      </c>
      <c r="B124" s="1704"/>
      <c r="C124" s="1703" t="s">
        <v>2408</v>
      </c>
      <c r="D124" s="1704"/>
      <c r="E124" s="1705">
        <f>'A 10'!E34</f>
        <v>101.37</v>
      </c>
      <c r="P124" s="1704"/>
    </row>
    <row r="125" spans="1:16">
      <c r="A125" s="1693" t="s">
        <v>2411</v>
      </c>
      <c r="B125" s="1704"/>
      <c r="C125" s="1703" t="s">
        <v>2408</v>
      </c>
      <c r="D125" s="1704"/>
      <c r="E125" s="1705"/>
      <c r="P125" s="1704"/>
    </row>
    <row r="126" spans="1:16">
      <c r="A126" s="1693" t="s">
        <v>2412</v>
      </c>
      <c r="B126" s="1704"/>
      <c r="C126" s="1703" t="s">
        <v>2408</v>
      </c>
      <c r="D126" s="1704"/>
      <c r="E126" s="1705"/>
      <c r="G126" s="1693">
        <v>355</v>
      </c>
      <c r="I126" s="1703" t="str">
        <f>C126</f>
        <v>Accum Depr Power Generation Equipment</v>
      </c>
      <c r="K126" s="1706">
        <v>101</v>
      </c>
      <c r="M126" s="1693" t="s">
        <v>2406</v>
      </c>
      <c r="P126" s="1704"/>
    </row>
    <row r="127" spans="1:16" ht="12.75" thickBot="1">
      <c r="A127" s="1696"/>
      <c r="B127" s="1704"/>
      <c r="C127" s="1704"/>
      <c r="D127" s="1704"/>
      <c r="E127" s="1708">
        <f>SUM(E122:E126)</f>
        <v>101.37</v>
      </c>
      <c r="K127" s="1708">
        <f>+K126</f>
        <v>101</v>
      </c>
      <c r="N127" s="1709">
        <f>+E127-K127</f>
        <v>0.37000000000000455</v>
      </c>
      <c r="P127" s="1704"/>
    </row>
    <row r="128" spans="1:16" ht="12.75" thickTop="1">
      <c r="A128" s="1696"/>
      <c r="B128" s="1704"/>
      <c r="C128" s="1704"/>
      <c r="D128" s="1704"/>
      <c r="E128" s="1705"/>
      <c r="P128" s="1704"/>
    </row>
    <row r="129" spans="1:16">
      <c r="A129" s="1701" t="s">
        <v>2413</v>
      </c>
      <c r="B129" s="1704"/>
      <c r="C129" s="1703" t="s">
        <v>2414</v>
      </c>
      <c r="D129" s="1704"/>
      <c r="E129" s="1705">
        <f>+'A 10'!E47</f>
        <v>0</v>
      </c>
      <c r="G129" s="1693">
        <v>366</v>
      </c>
      <c r="I129" s="1703" t="str">
        <f>C129</f>
        <v>Accum Depr Reuse Services</v>
      </c>
      <c r="K129" s="1706">
        <v>0</v>
      </c>
      <c r="M129" s="1693" t="s">
        <v>2406</v>
      </c>
      <c r="P129" s="1704"/>
    </row>
    <row r="130" spans="1:16">
      <c r="A130" s="1701" t="s">
        <v>2415</v>
      </c>
      <c r="B130" s="1704"/>
      <c r="C130" s="1703" t="s">
        <v>2416</v>
      </c>
      <c r="D130" s="1704"/>
      <c r="E130" s="1705">
        <f>+'A 10'!E48</f>
        <v>0</v>
      </c>
      <c r="G130" s="1693">
        <v>367</v>
      </c>
      <c r="I130" s="1703" t="str">
        <f>C130</f>
        <v>Accum Depr Reuse Meters and Meter Installations</v>
      </c>
      <c r="K130" s="1706">
        <v>0</v>
      </c>
      <c r="M130" s="1693" t="s">
        <v>2406</v>
      </c>
      <c r="P130" s="1704"/>
    </row>
    <row r="131" spans="1:16" ht="12.75" thickBot="1">
      <c r="A131" s="1696"/>
      <c r="B131" s="1704"/>
      <c r="C131" s="1704"/>
      <c r="D131" s="1704"/>
      <c r="E131" s="1708">
        <f>+E129+E130</f>
        <v>0</v>
      </c>
      <c r="K131" s="1708">
        <f>+K129+K130</f>
        <v>0</v>
      </c>
      <c r="N131" s="1709">
        <f>+E131-K131</f>
        <v>0</v>
      </c>
      <c r="P131" s="1704"/>
    </row>
    <row r="132" spans="1:16" ht="12.75" thickTop="1">
      <c r="A132" s="1696"/>
      <c r="B132" s="1704"/>
      <c r="C132" s="1704"/>
      <c r="D132" s="1704"/>
      <c r="E132" s="1705"/>
      <c r="P132" s="1704"/>
    </row>
    <row r="133" spans="1:16">
      <c r="A133" s="1693" t="s">
        <v>2417</v>
      </c>
      <c r="B133" s="1704"/>
      <c r="C133" s="1721" t="s">
        <v>2418</v>
      </c>
      <c r="D133" s="1704"/>
      <c r="E133" s="1705">
        <f>'A 10'!E43</f>
        <v>0</v>
      </c>
      <c r="P133" s="1704"/>
    </row>
    <row r="134" spans="1:16">
      <c r="A134" s="1693" t="s">
        <v>2419</v>
      </c>
      <c r="B134" s="1704"/>
      <c r="C134" s="1694" t="s">
        <v>2420</v>
      </c>
      <c r="D134" s="1704"/>
      <c r="E134" s="1705">
        <f>'A 10'!E44</f>
        <v>1030.83</v>
      </c>
      <c r="G134" s="1693">
        <v>375</v>
      </c>
      <c r="I134" s="1703" t="str">
        <f>C134</f>
        <v>Accum Depr Reuse T &amp; D  System</v>
      </c>
      <c r="K134" s="1706">
        <v>1031</v>
      </c>
      <c r="M134" s="1693" t="s">
        <v>2406</v>
      </c>
      <c r="P134" s="1704"/>
    </row>
    <row r="135" spans="1:16" ht="12.75" thickBot="1">
      <c r="A135" s="1696"/>
      <c r="B135" s="1704"/>
      <c r="C135" s="1704"/>
      <c r="D135" s="1704"/>
      <c r="E135" s="1708">
        <f>+E133+E134</f>
        <v>1030.83</v>
      </c>
      <c r="K135" s="1708">
        <f>+K134</f>
        <v>1031</v>
      </c>
      <c r="N135" s="1709">
        <f>+E135-K135</f>
        <v>-0.17000000000007276</v>
      </c>
      <c r="P135" s="1704"/>
    </row>
    <row r="136" spans="1:16" ht="12.75" thickTop="1">
      <c r="A136" s="1696"/>
      <c r="B136" s="1704"/>
      <c r="C136" s="1704"/>
      <c r="D136" s="1704"/>
      <c r="E136" s="1705"/>
      <c r="K136" s="1705"/>
      <c r="N136" s="1709"/>
      <c r="P136" s="1704"/>
    </row>
    <row r="137" spans="1:16">
      <c r="A137" s="1693" t="s">
        <v>2421</v>
      </c>
      <c r="B137" s="1704"/>
      <c r="C137" s="1694" t="s">
        <v>2422</v>
      </c>
      <c r="D137" s="1704"/>
      <c r="E137" s="1705">
        <f>'A 10'!E11</f>
        <v>-41126.99</v>
      </c>
      <c r="G137" s="1693">
        <v>351</v>
      </c>
      <c r="I137" s="1703" t="str">
        <f>C137</f>
        <v>Accum Depr Organization</v>
      </c>
      <c r="K137" s="1706">
        <v>-41127</v>
      </c>
      <c r="M137" s="1693" t="s">
        <v>2406</v>
      </c>
      <c r="N137" s="1709"/>
      <c r="P137" s="1704"/>
    </row>
    <row r="138" spans="1:16" ht="12.75" thickBot="1">
      <c r="A138" s="1696"/>
      <c r="B138" s="1704"/>
      <c r="C138" s="1704"/>
      <c r="D138" s="1704"/>
      <c r="E138" s="1708">
        <f>+E137</f>
        <v>-41126.99</v>
      </c>
      <c r="K138" s="1708">
        <f>+K137</f>
        <v>-41127</v>
      </c>
      <c r="N138" s="1709">
        <f>+E138-K138</f>
        <v>1.0000000002037268E-2</v>
      </c>
      <c r="P138" s="1704"/>
    </row>
    <row r="139" spans="1:16" ht="12.75" thickTop="1">
      <c r="A139" s="1696"/>
      <c r="B139" s="1704"/>
      <c r="C139" s="1704"/>
      <c r="D139" s="1704"/>
      <c r="E139" s="1705"/>
      <c r="K139" s="1705"/>
      <c r="N139" s="1709"/>
      <c r="P139" s="1704"/>
    </row>
    <row r="140" spans="1:16">
      <c r="A140" s="1693" t="s">
        <v>2423</v>
      </c>
      <c r="B140" s="1704"/>
      <c r="C140" s="1721" t="s">
        <v>2424</v>
      </c>
      <c r="D140" s="1704"/>
      <c r="E140" s="1705">
        <f>'A 10'!E12</f>
        <v>20.79</v>
      </c>
      <c r="G140" s="1693">
        <v>352</v>
      </c>
      <c r="I140" s="1703" t="str">
        <f>C140</f>
        <v>Accum Depr Franchises</v>
      </c>
      <c r="K140" s="1706">
        <v>21</v>
      </c>
      <c r="M140" s="1693" t="s">
        <v>2406</v>
      </c>
      <c r="N140" s="1709"/>
      <c r="P140" s="1704"/>
    </row>
    <row r="141" spans="1:16" ht="12.75" thickBot="1">
      <c r="A141" s="1696"/>
      <c r="B141" s="1704"/>
      <c r="C141" s="1704"/>
      <c r="D141" s="1704"/>
      <c r="E141" s="1708">
        <f>+E140</f>
        <v>20.79</v>
      </c>
      <c r="K141" s="1708">
        <f>+K140</f>
        <v>21</v>
      </c>
      <c r="N141" s="1709">
        <f>+E141-K141</f>
        <v>-0.21000000000000085</v>
      </c>
      <c r="P141" s="1704"/>
    </row>
    <row r="142" spans="1:16" ht="12.75" thickTop="1">
      <c r="A142" s="1696"/>
      <c r="B142" s="1704"/>
      <c r="C142" s="1704"/>
      <c r="D142" s="1704"/>
      <c r="E142" s="1705"/>
      <c r="K142" s="1705"/>
      <c r="N142" s="1709"/>
      <c r="P142" s="1704"/>
    </row>
    <row r="143" spans="1:16">
      <c r="A143" s="1693" t="s">
        <v>2425</v>
      </c>
      <c r="B143" s="1704"/>
      <c r="C143" s="1703" t="s">
        <v>2426</v>
      </c>
      <c r="D143" s="1704"/>
      <c r="E143" s="1705">
        <f>'A 10'!E16</f>
        <v>0</v>
      </c>
      <c r="K143" s="1705"/>
      <c r="N143" s="1709"/>
      <c r="P143" s="1704"/>
    </row>
    <row r="144" spans="1:16">
      <c r="A144" s="1693" t="s">
        <v>2427</v>
      </c>
      <c r="B144" s="1704"/>
      <c r="C144" s="1703" t="s">
        <v>2426</v>
      </c>
      <c r="D144" s="1704"/>
      <c r="E144" s="1705">
        <f>'A 10'!E27</f>
        <v>16757.66</v>
      </c>
      <c r="K144" s="1705"/>
      <c r="N144" s="1709"/>
      <c r="P144" s="1704"/>
    </row>
    <row r="145" spans="1:16">
      <c r="A145" s="1693" t="s">
        <v>2428</v>
      </c>
      <c r="B145" s="1704"/>
      <c r="C145" s="1703" t="s">
        <v>2426</v>
      </c>
      <c r="D145" s="1704"/>
      <c r="E145" s="1705">
        <f>'A 10'!E33</f>
        <v>5933.63</v>
      </c>
      <c r="K145" s="1705"/>
      <c r="N145" s="1709"/>
      <c r="P145" s="1704"/>
    </row>
    <row r="146" spans="1:16">
      <c r="A146" s="1693" t="s">
        <v>2429</v>
      </c>
      <c r="B146" s="1704"/>
      <c r="C146" s="1703" t="s">
        <v>2426</v>
      </c>
      <c r="D146" s="1704"/>
      <c r="E146" s="1705"/>
      <c r="K146" s="1705"/>
      <c r="N146" s="1709"/>
      <c r="P146" s="1704"/>
    </row>
    <row r="147" spans="1:16">
      <c r="A147" s="1693" t="s">
        <v>2430</v>
      </c>
      <c r="B147" s="1704"/>
      <c r="C147" s="1703" t="s">
        <v>2426</v>
      </c>
      <c r="D147" s="1704"/>
      <c r="E147" s="1705">
        <f>'A 10'!E40</f>
        <v>26.12</v>
      </c>
      <c r="K147" s="1705"/>
      <c r="N147" s="1709"/>
      <c r="P147" s="1704"/>
    </row>
    <row r="148" spans="1:16">
      <c r="A148" s="1693" t="s">
        <v>2431</v>
      </c>
      <c r="B148" s="1704"/>
      <c r="C148" s="1703" t="s">
        <v>2426</v>
      </c>
      <c r="D148" s="1704"/>
      <c r="E148" s="1705">
        <f>'A 10'!E51</f>
        <v>1699973.54</v>
      </c>
      <c r="N148" s="1709"/>
      <c r="P148" s="1704"/>
    </row>
    <row r="149" spans="1:16">
      <c r="A149" s="1693" t="s">
        <v>2432</v>
      </c>
      <c r="B149" s="1704"/>
      <c r="C149" s="1703" t="s">
        <v>2426</v>
      </c>
      <c r="D149" s="1704"/>
      <c r="E149" s="1705"/>
      <c r="G149" s="1693">
        <v>354</v>
      </c>
      <c r="I149" s="1703" t="str">
        <f>C149</f>
        <v>Accum Depr Structures and Improvements</v>
      </c>
      <c r="K149" s="1706">
        <v>1722691</v>
      </c>
      <c r="M149" s="1693" t="s">
        <v>2406</v>
      </c>
      <c r="N149" s="1709"/>
      <c r="P149" s="1704"/>
    </row>
    <row r="150" spans="1:16" ht="12.75" thickBot="1">
      <c r="A150" s="1696"/>
      <c r="B150" s="1704"/>
      <c r="C150" s="1704"/>
      <c r="D150" s="1704"/>
      <c r="E150" s="1708">
        <f>SUM(E143:E149)</f>
        <v>1722690.95</v>
      </c>
      <c r="K150" s="1708">
        <f>+K149</f>
        <v>1722691</v>
      </c>
      <c r="N150" s="1709">
        <f>+E150-K150</f>
        <v>-5.0000000046566129E-2</v>
      </c>
      <c r="P150" s="1704"/>
    </row>
    <row r="151" spans="1:16" ht="12.75" thickTop="1">
      <c r="A151" s="1696"/>
      <c r="B151" s="1704"/>
      <c r="C151" s="1704"/>
      <c r="D151" s="1704"/>
      <c r="E151" s="1705"/>
      <c r="K151" s="1705"/>
      <c r="N151" s="1709"/>
      <c r="P151" s="1704"/>
    </row>
    <row r="152" spans="1:16">
      <c r="A152" s="1693" t="s">
        <v>2433</v>
      </c>
      <c r="B152" s="1704"/>
      <c r="C152" s="1703" t="s">
        <v>2434</v>
      </c>
      <c r="D152" s="1704"/>
      <c r="E152" s="1705">
        <f>'A 10'!E21</f>
        <v>11685.18</v>
      </c>
      <c r="G152" s="1693">
        <v>363</v>
      </c>
      <c r="I152" s="1703" t="str">
        <f>C152</f>
        <v>Accum Depr Services to Customers</v>
      </c>
      <c r="K152" s="1706">
        <v>11685</v>
      </c>
      <c r="M152" s="1693" t="s">
        <v>2406</v>
      </c>
      <c r="N152" s="1709"/>
      <c r="P152" s="1704"/>
    </row>
    <row r="153" spans="1:16">
      <c r="A153" s="1693" t="s">
        <v>2435</v>
      </c>
      <c r="B153" s="1704"/>
      <c r="C153" s="1703" t="s">
        <v>2436</v>
      </c>
      <c r="D153" s="1704"/>
      <c r="E153" s="1705">
        <f>'A 10'!E18</f>
        <v>166360</v>
      </c>
      <c r="G153" s="1693">
        <v>360</v>
      </c>
      <c r="I153" s="1703" t="str">
        <f>C153</f>
        <v>Accum Depr Collection Sewers - Force</v>
      </c>
      <c r="K153" s="1706">
        <v>166360</v>
      </c>
      <c r="M153" s="1693" t="s">
        <v>2406</v>
      </c>
      <c r="N153" s="1709"/>
      <c r="P153" s="1704"/>
    </row>
    <row r="154" spans="1:16" ht="12.75" thickBot="1">
      <c r="A154" s="1693"/>
      <c r="B154" s="1704"/>
      <c r="D154" s="1704"/>
      <c r="E154" s="1708">
        <f>+E152+E153</f>
        <v>178045.18</v>
      </c>
      <c r="K154" s="1708">
        <f>+K152+K153</f>
        <v>178045</v>
      </c>
      <c r="N154" s="1709">
        <f>+E154-K154</f>
        <v>0.17999999999301508</v>
      </c>
      <c r="P154" s="1704"/>
    </row>
    <row r="155" spans="1:16" ht="12.75" thickTop="1">
      <c r="A155" s="1693"/>
      <c r="B155" s="1704"/>
      <c r="D155" s="1704"/>
      <c r="E155" s="1705"/>
      <c r="N155" s="1709"/>
      <c r="P155" s="1704"/>
    </row>
    <row r="156" spans="1:16">
      <c r="A156" s="1693" t="s">
        <v>2437</v>
      </c>
      <c r="B156" s="1704"/>
      <c r="C156" s="1703" t="s">
        <v>2438</v>
      </c>
      <c r="D156" s="1704"/>
      <c r="E156" s="1705">
        <f>'A 10'!E19</f>
        <v>761107.06</v>
      </c>
      <c r="G156" s="1693">
        <v>361</v>
      </c>
      <c r="I156" s="1703" t="str">
        <f>C156</f>
        <v>Accum Depr Collection Sewers - Gravity</v>
      </c>
      <c r="K156" s="1706">
        <v>761107</v>
      </c>
      <c r="M156" s="1693" t="s">
        <v>2406</v>
      </c>
      <c r="N156" s="1709"/>
      <c r="P156" s="1704"/>
    </row>
    <row r="157" spans="1:16" ht="12.75" thickBot="1">
      <c r="A157" s="1696"/>
      <c r="B157" s="1704"/>
      <c r="C157" s="1704"/>
      <c r="D157" s="1704"/>
      <c r="E157" s="1708">
        <f>+E156</f>
        <v>761107.06</v>
      </c>
      <c r="K157" s="1708">
        <f>+K156</f>
        <v>761107</v>
      </c>
      <c r="N157" s="1709">
        <f>+E157-K157</f>
        <v>6.0000000055879354E-2</v>
      </c>
      <c r="P157" s="1704"/>
    </row>
    <row r="158" spans="1:16" ht="12.75" thickTop="1">
      <c r="A158" s="1696"/>
      <c r="B158" s="1704"/>
      <c r="C158" s="1704"/>
      <c r="D158" s="1704"/>
      <c r="E158" s="1705"/>
      <c r="K158" s="1705"/>
      <c r="N158" s="1709"/>
      <c r="P158" s="1704"/>
    </row>
    <row r="159" spans="1:16">
      <c r="A159" s="1693" t="s">
        <v>2439</v>
      </c>
      <c r="B159" s="1704"/>
      <c r="C159" s="1704" t="s">
        <v>2368</v>
      </c>
      <c r="D159" s="1704"/>
      <c r="E159" s="1705">
        <f>'A 10'!E28</f>
        <v>0</v>
      </c>
      <c r="G159" s="1693">
        <v>370</v>
      </c>
      <c r="I159" s="1703" t="s">
        <v>2440</v>
      </c>
      <c r="K159" s="1705">
        <v>0</v>
      </c>
      <c r="N159" s="1709"/>
      <c r="P159" s="1704"/>
    </row>
    <row r="160" spans="1:16" ht="12.75" thickBot="1">
      <c r="A160" s="1696"/>
      <c r="B160" s="1704"/>
      <c r="C160" s="1704"/>
      <c r="D160" s="1704"/>
      <c r="E160" s="1708">
        <f>+E159</f>
        <v>0</v>
      </c>
      <c r="K160" s="1708">
        <f>+K159</f>
        <v>0</v>
      </c>
      <c r="M160" s="1693" t="s">
        <v>2406</v>
      </c>
      <c r="N160" s="1709">
        <f>+E160-K160</f>
        <v>0</v>
      </c>
      <c r="P160" s="1704"/>
    </row>
    <row r="161" spans="1:16" ht="12.75" thickTop="1">
      <c r="A161" s="1696"/>
      <c r="B161" s="1704"/>
      <c r="C161" s="1704"/>
      <c r="D161" s="1704"/>
      <c r="E161" s="1705"/>
      <c r="K161" s="1705"/>
      <c r="N161" s="1709"/>
      <c r="P161" s="1704"/>
    </row>
    <row r="162" spans="1:16">
      <c r="A162" s="1693" t="s">
        <v>2441</v>
      </c>
      <c r="B162" s="1704"/>
      <c r="C162" s="1703" t="s">
        <v>2442</v>
      </c>
      <c r="D162" s="1704"/>
      <c r="E162" s="1705">
        <f>'A 10'!E29</f>
        <v>-18150.11</v>
      </c>
      <c r="K162" s="1705"/>
      <c r="N162" s="1709"/>
      <c r="P162" s="1704"/>
    </row>
    <row r="163" spans="1:16">
      <c r="A163" s="1693" t="s">
        <v>2443</v>
      </c>
      <c r="B163" s="1704"/>
      <c r="C163" s="1703" t="s">
        <v>2442</v>
      </c>
      <c r="D163" s="1704"/>
      <c r="E163" s="1705">
        <f>'A 10'!E41</f>
        <v>0</v>
      </c>
      <c r="K163" s="1705"/>
      <c r="N163" s="1709"/>
      <c r="P163" s="1704"/>
    </row>
    <row r="164" spans="1:16">
      <c r="A164" s="1693" t="s">
        <v>2444</v>
      </c>
      <c r="B164" s="1704"/>
      <c r="C164" s="1703" t="s">
        <v>2442</v>
      </c>
      <c r="D164" s="1704"/>
      <c r="E164" s="1705">
        <f>'A 10'!E42</f>
        <v>0</v>
      </c>
      <c r="G164" s="1693">
        <v>371</v>
      </c>
      <c r="I164" s="1703" t="str">
        <f>C164</f>
        <v>Accum Depr Pumping Equipment</v>
      </c>
      <c r="K164" s="1706">
        <v>-18150</v>
      </c>
      <c r="M164" s="1693" t="s">
        <v>2406</v>
      </c>
      <c r="N164" s="1709"/>
      <c r="P164" s="1704"/>
    </row>
    <row r="165" spans="1:16" ht="12.75" thickBot="1">
      <c r="A165" s="1696"/>
      <c r="B165" s="1704"/>
      <c r="C165" s="1704"/>
      <c r="D165" s="1704"/>
      <c r="E165" s="1708">
        <f>+E162+E163+E164</f>
        <v>-18150.11</v>
      </c>
      <c r="K165" s="1708">
        <f>+K164</f>
        <v>-18150</v>
      </c>
      <c r="N165" s="1709">
        <f>+E165-K165</f>
        <v>-0.11000000000058208</v>
      </c>
      <c r="P165" s="1704"/>
    </row>
    <row r="166" spans="1:16" ht="12.75" thickTop="1">
      <c r="A166" s="1696"/>
      <c r="B166" s="1704"/>
      <c r="C166" s="1704"/>
      <c r="D166" s="1704"/>
      <c r="E166" s="1705"/>
      <c r="K166" s="1705"/>
      <c r="N166" s="1709"/>
      <c r="P166" s="1704"/>
    </row>
    <row r="167" spans="1:16">
      <c r="A167" s="1693" t="s">
        <v>2445</v>
      </c>
      <c r="B167" s="1704"/>
      <c r="C167" s="1703" t="s">
        <v>2446</v>
      </c>
      <c r="D167" s="1704"/>
      <c r="E167" s="1705">
        <f>'A 10'!E52</f>
        <v>389298.37</v>
      </c>
      <c r="G167" s="1693">
        <v>390</v>
      </c>
      <c r="I167" s="1703" t="str">
        <f>C167</f>
        <v>Accum Depr Office Furniture and Equipment</v>
      </c>
      <c r="K167" s="1706">
        <v>389298</v>
      </c>
      <c r="M167" s="1693" t="s">
        <v>2406</v>
      </c>
      <c r="N167" s="1709"/>
      <c r="P167" s="1704"/>
    </row>
    <row r="168" spans="1:16">
      <c r="A168" s="1693" t="s">
        <v>2447</v>
      </c>
      <c r="B168" s="1704"/>
      <c r="C168" s="1704" t="s">
        <v>2448</v>
      </c>
      <c r="D168" s="1704"/>
      <c r="E168" s="1705"/>
      <c r="N168" s="1709"/>
      <c r="P168" s="1704"/>
    </row>
    <row r="169" spans="1:16" ht="12.75" thickBot="1">
      <c r="A169" s="1696"/>
      <c r="B169" s="1704"/>
      <c r="C169" s="1704"/>
      <c r="D169" s="1704"/>
      <c r="E169" s="1708">
        <f>+E167+E168</f>
        <v>389298.37</v>
      </c>
      <c r="K169" s="1708">
        <f>+K167</f>
        <v>389298</v>
      </c>
      <c r="N169" s="1709">
        <f>+E169-K169</f>
        <v>0.36999999999534339</v>
      </c>
      <c r="P169" s="1704"/>
    </row>
    <row r="170" spans="1:16" ht="12.75" thickTop="1">
      <c r="A170" s="1693"/>
      <c r="E170" s="1703"/>
      <c r="P170" s="1704"/>
    </row>
    <row r="171" spans="1:16">
      <c r="A171" s="1701" t="s">
        <v>2449</v>
      </c>
      <c r="B171" s="1704"/>
      <c r="C171" s="1703" t="s">
        <v>2450</v>
      </c>
      <c r="D171" s="1704"/>
      <c r="E171" s="1705">
        <f>'A 10'!E53</f>
        <v>123096.91</v>
      </c>
      <c r="P171" s="1704"/>
    </row>
    <row r="172" spans="1:16">
      <c r="A172" s="1693" t="s">
        <v>2451</v>
      </c>
      <c r="B172" s="1704"/>
      <c r="C172" s="1704" t="s">
        <v>2452</v>
      </c>
      <c r="D172" s="1704"/>
      <c r="E172" s="1705"/>
      <c r="G172" s="1693">
        <v>391</v>
      </c>
      <c r="I172" s="1703" t="str">
        <f>C172</f>
        <v>A/D Transportation Equipment - Allocation</v>
      </c>
      <c r="K172" s="1706">
        <v>123097</v>
      </c>
      <c r="M172" s="1693" t="s">
        <v>2406</v>
      </c>
      <c r="P172" s="1704"/>
    </row>
    <row r="173" spans="1:16" ht="12.75" thickBot="1">
      <c r="A173" s="1696"/>
      <c r="B173" s="1704"/>
      <c r="C173" s="1704"/>
      <c r="D173" s="1704"/>
      <c r="E173" s="1708">
        <f>+E171+E172</f>
        <v>123096.91</v>
      </c>
      <c r="K173" s="1708">
        <f>+K172</f>
        <v>123097</v>
      </c>
      <c r="N173" s="1709">
        <f>+E173-K173</f>
        <v>-8.999999999650754E-2</v>
      </c>
      <c r="P173" s="1704"/>
    </row>
    <row r="174" spans="1:16" ht="12.75" thickTop="1">
      <c r="A174" s="1701"/>
      <c r="B174" s="1704"/>
      <c r="D174" s="1704"/>
      <c r="E174" s="1705"/>
      <c r="P174" s="1704"/>
    </row>
    <row r="175" spans="1:16">
      <c r="A175" s="1693" t="s">
        <v>2453</v>
      </c>
      <c r="B175" s="1704"/>
      <c r="C175" s="1703" t="s">
        <v>2454</v>
      </c>
      <c r="D175" s="1704"/>
      <c r="E175" s="1705">
        <f>'A 10'!E54</f>
        <v>45806.41</v>
      </c>
      <c r="P175" s="1704"/>
    </row>
    <row r="176" spans="1:16">
      <c r="A176" s="1693" t="s">
        <v>2455</v>
      </c>
      <c r="B176" s="1704"/>
      <c r="C176" s="1704" t="s">
        <v>2456</v>
      </c>
      <c r="D176" s="1704"/>
      <c r="E176" s="1705"/>
      <c r="G176" s="1712">
        <v>393</v>
      </c>
      <c r="I176" s="1703" t="str">
        <f>C176</f>
        <v>A/D Tools, Shop &amp; Garage Equipment</v>
      </c>
      <c r="K176" s="1706">
        <v>45806</v>
      </c>
      <c r="M176" s="1693" t="s">
        <v>2406</v>
      </c>
      <c r="P176" s="1704"/>
    </row>
    <row r="177" spans="1:16" ht="12.75" thickBot="1">
      <c r="A177" s="1696"/>
      <c r="B177" s="1704"/>
      <c r="C177" s="1704"/>
      <c r="D177" s="1704"/>
      <c r="E177" s="1708">
        <f>+E175+E176</f>
        <v>45806.41</v>
      </c>
      <c r="K177" s="1708">
        <f>+K176</f>
        <v>45806</v>
      </c>
      <c r="N177" s="1709">
        <f>+E177-K177</f>
        <v>0.41000000000349246</v>
      </c>
      <c r="P177" s="1704"/>
    </row>
    <row r="178" spans="1:16" ht="12.75" thickTop="1">
      <c r="A178" s="1693"/>
      <c r="B178" s="1704"/>
      <c r="D178" s="1704"/>
      <c r="E178" s="1705"/>
      <c r="G178" s="1712"/>
      <c r="P178" s="1704"/>
    </row>
    <row r="179" spans="1:16">
      <c r="A179" s="1701" t="s">
        <v>2457</v>
      </c>
      <c r="B179" s="1704"/>
      <c r="C179" s="1703" t="s">
        <v>2458</v>
      </c>
      <c r="D179" s="1704"/>
      <c r="E179" s="1705">
        <f>'A 10'!E55</f>
        <v>14133.49</v>
      </c>
      <c r="P179" s="1704"/>
    </row>
    <row r="180" spans="1:16">
      <c r="A180" s="1693" t="s">
        <v>2459</v>
      </c>
      <c r="B180" s="1704"/>
      <c r="C180" s="1703" t="s">
        <v>2458</v>
      </c>
      <c r="D180" s="1704"/>
      <c r="E180" s="1705"/>
      <c r="G180" s="1693">
        <v>394</v>
      </c>
      <c r="I180" s="1703" t="str">
        <f>C180</f>
        <v>Accum Depr Laboratory Equipment</v>
      </c>
      <c r="K180" s="1706">
        <v>14133</v>
      </c>
      <c r="M180" s="1693" t="s">
        <v>2406</v>
      </c>
      <c r="P180" s="1704"/>
    </row>
    <row r="181" spans="1:16" ht="12.75" thickBot="1">
      <c r="A181" s="1696"/>
      <c r="B181" s="1704"/>
      <c r="C181" s="1704"/>
      <c r="D181" s="1704"/>
      <c r="E181" s="1708">
        <f>+E179+E180</f>
        <v>14133.49</v>
      </c>
      <c r="K181" s="1708">
        <f>+K180</f>
        <v>14133</v>
      </c>
      <c r="N181" s="1709">
        <f>+E181-K181</f>
        <v>0.48999999999978172</v>
      </c>
      <c r="P181" s="1704"/>
    </row>
    <row r="182" spans="1:16" ht="12.75" thickTop="1">
      <c r="A182" s="1696"/>
      <c r="B182" s="1704"/>
      <c r="C182" s="1704"/>
      <c r="D182" s="1704"/>
      <c r="E182" s="1705"/>
      <c r="K182" s="1705"/>
      <c r="N182" s="1709"/>
      <c r="P182" s="1704"/>
    </row>
    <row r="183" spans="1:16">
      <c r="A183" s="1693" t="s">
        <v>2460</v>
      </c>
      <c r="B183" s="1704"/>
      <c r="C183" s="1703" t="s">
        <v>2461</v>
      </c>
      <c r="D183" s="1704"/>
      <c r="E183" s="1705">
        <f>'A 10'!E56</f>
        <v>-1071.83</v>
      </c>
      <c r="P183" s="1704"/>
    </row>
    <row r="184" spans="1:16">
      <c r="A184" s="1693" t="s">
        <v>2462</v>
      </c>
      <c r="B184" s="1704"/>
      <c r="C184" s="1704" t="s">
        <v>2463</v>
      </c>
      <c r="D184" s="1704"/>
      <c r="E184" s="1705"/>
      <c r="G184" s="1693">
        <v>395</v>
      </c>
      <c r="H184" s="1704"/>
      <c r="I184" s="1703" t="s">
        <v>2461</v>
      </c>
      <c r="K184" s="1706">
        <v>-1072</v>
      </c>
      <c r="M184" s="1693" t="s">
        <v>2406</v>
      </c>
      <c r="P184" s="1704"/>
    </row>
    <row r="185" spans="1:16" ht="12.75" thickBot="1">
      <c r="A185" s="1693"/>
      <c r="D185" s="1704"/>
      <c r="E185" s="1708">
        <f>+E183+E184</f>
        <v>-1071.83</v>
      </c>
      <c r="K185" s="1708">
        <f>+K184</f>
        <v>-1072</v>
      </c>
      <c r="N185" s="1709">
        <f>+E185-K185</f>
        <v>0.17000000000007276</v>
      </c>
      <c r="P185" s="1704"/>
    </row>
    <row r="186" spans="1:16" ht="12.75" thickTop="1">
      <c r="A186" s="1701"/>
      <c r="B186" s="1704"/>
      <c r="D186" s="1704"/>
      <c r="E186" s="1705"/>
      <c r="P186" s="1704"/>
    </row>
    <row r="187" spans="1:16">
      <c r="A187" s="1693" t="s">
        <v>2464</v>
      </c>
      <c r="B187" s="1704"/>
      <c r="C187" s="1703" t="s">
        <v>2465</v>
      </c>
      <c r="D187" s="1704"/>
      <c r="E187" s="1705">
        <f>'A 10'!E57</f>
        <v>3207.67</v>
      </c>
      <c r="P187" s="1704"/>
    </row>
    <row r="188" spans="1:16">
      <c r="A188" s="1693" t="s">
        <v>2466</v>
      </c>
      <c r="B188" s="1704"/>
      <c r="C188" s="1704" t="s">
        <v>2467</v>
      </c>
      <c r="D188" s="1704"/>
      <c r="E188" s="1705"/>
      <c r="G188" s="1693">
        <v>396</v>
      </c>
      <c r="I188" s="1703" t="str">
        <f>C188</f>
        <v>A/D Communication Equipment</v>
      </c>
      <c r="K188" s="1706">
        <v>3208</v>
      </c>
      <c r="M188" s="1693" t="s">
        <v>2406</v>
      </c>
      <c r="P188" s="1704"/>
    </row>
    <row r="189" spans="1:16" ht="12.75" thickBot="1">
      <c r="A189" s="1696"/>
      <c r="B189" s="1704"/>
      <c r="C189" s="1704"/>
      <c r="D189" s="1704"/>
      <c r="E189" s="1708">
        <f>+E187+E188</f>
        <v>3207.67</v>
      </c>
      <c r="K189" s="1708">
        <f>+K188</f>
        <v>3208</v>
      </c>
      <c r="N189" s="1709">
        <f>+E189-K189</f>
        <v>-0.32999999999992724</v>
      </c>
      <c r="P189" s="1704"/>
    </row>
    <row r="190" spans="1:16" ht="12.75" thickTop="1">
      <c r="A190" s="1693"/>
      <c r="B190" s="1704"/>
      <c r="D190" s="1704"/>
      <c r="E190" s="1705"/>
      <c r="P190" s="1704"/>
    </row>
    <row r="191" spans="1:16">
      <c r="A191" s="1701" t="s">
        <v>2624</v>
      </c>
      <c r="B191" s="1704"/>
      <c r="C191" s="1703" t="s">
        <v>2468</v>
      </c>
      <c r="D191" s="1704"/>
      <c r="E191" s="1705">
        <f>'A 10'!E59</f>
        <v>-1378.7</v>
      </c>
      <c r="G191" s="1693">
        <v>398</v>
      </c>
      <c r="I191" s="1703" t="str">
        <f>C191</f>
        <v>Accum Depr Other Tangible Plant</v>
      </c>
      <c r="K191" s="1706">
        <v>-1379</v>
      </c>
      <c r="M191" s="1693" t="s">
        <v>2406</v>
      </c>
      <c r="P191" s="1704"/>
    </row>
    <row r="192" spans="1:16" ht="12.75" thickBot="1">
      <c r="A192" s="1696"/>
      <c r="B192" s="1704"/>
      <c r="C192" s="1704"/>
      <c r="D192" s="1704"/>
      <c r="E192" s="1708">
        <f>+E191</f>
        <v>-1378.7</v>
      </c>
      <c r="K192" s="1708">
        <f>+K191</f>
        <v>-1379</v>
      </c>
      <c r="N192" s="1709">
        <f>+E192-K192</f>
        <v>0.29999999999995453</v>
      </c>
      <c r="P192" s="1704"/>
    </row>
    <row r="193" spans="1:16" ht="12.75" thickTop="1">
      <c r="A193" s="1696"/>
      <c r="B193" s="1704"/>
      <c r="C193" s="1704"/>
      <c r="D193" s="1704"/>
      <c r="E193" s="1705"/>
      <c r="K193" s="1705"/>
      <c r="N193" s="1709"/>
      <c r="P193" s="1704"/>
    </row>
    <row r="194" spans="1:16">
      <c r="A194" s="1722" t="s">
        <v>2469</v>
      </c>
      <c r="B194" s="1704"/>
      <c r="C194" s="1704" t="s">
        <v>2470</v>
      </c>
      <c r="D194" s="1704"/>
      <c r="E194" s="1705">
        <f>'A 10'!E22</f>
        <v>-4706.24</v>
      </c>
      <c r="G194" s="1693">
        <v>364</v>
      </c>
      <c r="I194" s="1703" t="str">
        <f>C194</f>
        <v>A/D Flow Measuring Devices</v>
      </c>
      <c r="K194" s="1706">
        <v>-4706</v>
      </c>
      <c r="P194" s="1704"/>
    </row>
    <row r="195" spans="1:16" ht="12.75" thickBot="1">
      <c r="B195" s="1704"/>
      <c r="C195" s="1696"/>
      <c r="D195" s="1704"/>
      <c r="E195" s="1708">
        <f>+E194</f>
        <v>-4706.24</v>
      </c>
      <c r="K195" s="1708">
        <f>+K194</f>
        <v>-4706</v>
      </c>
      <c r="N195" s="1709">
        <f>+E195-K195</f>
        <v>-0.23999999999978172</v>
      </c>
      <c r="P195" s="1704"/>
    </row>
    <row r="196" spans="1:16" ht="12.75" thickTop="1">
      <c r="B196" s="1704"/>
      <c r="C196" s="1696"/>
      <c r="D196" s="1704"/>
      <c r="E196" s="1705"/>
      <c r="P196" s="1704"/>
    </row>
    <row r="197" spans="1:16">
      <c r="A197" s="1701" t="s">
        <v>2471</v>
      </c>
      <c r="B197" s="1704"/>
      <c r="C197" s="1703" t="s">
        <v>2472</v>
      </c>
      <c r="D197" s="1704"/>
      <c r="E197" s="1705">
        <f>'A 10'!E58</f>
        <v>262</v>
      </c>
      <c r="P197" s="1704"/>
    </row>
    <row r="198" spans="1:16">
      <c r="A198" s="1693" t="s">
        <v>2473</v>
      </c>
      <c r="B198" s="1704"/>
      <c r="C198" s="1704" t="s">
        <v>2474</v>
      </c>
      <c r="D198" s="1704"/>
      <c r="E198" s="1705"/>
      <c r="G198" s="1693">
        <v>397</v>
      </c>
      <c r="I198" s="1703" t="str">
        <f>C198</f>
        <v>A/D Miscellaneous Equipment</v>
      </c>
      <c r="K198" s="1706">
        <v>262</v>
      </c>
      <c r="M198" s="1693" t="s">
        <v>2406</v>
      </c>
      <c r="P198" s="1704"/>
    </row>
    <row r="199" spans="1:16" ht="12.75" thickBot="1">
      <c r="A199" s="1696"/>
      <c r="B199" s="1704"/>
      <c r="C199" s="1698"/>
      <c r="D199" s="1704"/>
      <c r="E199" s="1708">
        <f>+E197+E198</f>
        <v>262</v>
      </c>
      <c r="K199" s="1708">
        <f>+K198</f>
        <v>262</v>
      </c>
      <c r="N199" s="1709">
        <f>+E199-K199</f>
        <v>0</v>
      </c>
      <c r="P199" s="1704"/>
    </row>
    <row r="200" spans="1:16" ht="12.75" thickTop="1">
      <c r="A200" s="1701"/>
      <c r="B200" s="1704"/>
      <c r="C200" s="1696"/>
      <c r="D200" s="1704"/>
      <c r="E200" s="1705"/>
      <c r="I200" s="1723"/>
      <c r="P200" s="1704"/>
    </row>
    <row r="201" spans="1:16">
      <c r="A201" s="1693" t="s">
        <v>2475</v>
      </c>
      <c r="B201" s="1704"/>
      <c r="C201" s="1703" t="s">
        <v>2476</v>
      </c>
      <c r="D201" s="1704"/>
      <c r="E201" s="1705">
        <f>'A 10'!E36</f>
        <v>-37540.879999999997</v>
      </c>
      <c r="P201" s="1704"/>
    </row>
    <row r="202" spans="1:16">
      <c r="A202" s="1693" t="s">
        <v>2477</v>
      </c>
      <c r="B202" s="1704"/>
      <c r="C202" s="1703" t="s">
        <v>2476</v>
      </c>
      <c r="D202" s="1704"/>
      <c r="E202" s="1705"/>
      <c r="G202" s="1693">
        <v>381</v>
      </c>
      <c r="I202" s="1703" t="str">
        <f>C202</f>
        <v>Accum Depr Plant Sewers</v>
      </c>
      <c r="K202" s="1706">
        <v>-37541</v>
      </c>
      <c r="M202" s="1693" t="s">
        <v>2406</v>
      </c>
      <c r="P202" s="1704"/>
    </row>
    <row r="203" spans="1:16" ht="12.75" thickBot="1">
      <c r="A203" s="1696"/>
      <c r="B203" s="1704"/>
      <c r="C203" s="1696"/>
      <c r="D203" s="1704"/>
      <c r="E203" s="1708">
        <f>+E201+E202</f>
        <v>-37540.879999999997</v>
      </c>
      <c r="K203" s="1708">
        <f>+K202</f>
        <v>-37541</v>
      </c>
      <c r="N203" s="1709">
        <f>+E203-K203</f>
        <v>0.12000000000261934</v>
      </c>
      <c r="P203" s="1704"/>
    </row>
    <row r="204" spans="1:16" ht="12.75" thickTop="1">
      <c r="A204" s="1696"/>
      <c r="B204" s="1704"/>
      <c r="C204" s="1696"/>
      <c r="D204" s="1704"/>
      <c r="E204" s="1705"/>
      <c r="P204" s="1704"/>
    </row>
    <row r="205" spans="1:16">
      <c r="A205" s="1693" t="s">
        <v>2478</v>
      </c>
      <c r="B205" s="1704"/>
      <c r="C205" s="1703" t="s">
        <v>2479</v>
      </c>
      <c r="D205" s="1704"/>
      <c r="E205" s="1705">
        <f>'A 10'!E37</f>
        <v>-474.02</v>
      </c>
      <c r="G205" s="1693">
        <v>382</v>
      </c>
      <c r="I205" s="1703" t="str">
        <f>C205</f>
        <v>Accum Depr Outfall Sewer Lines</v>
      </c>
      <c r="K205" s="1706">
        <v>-474</v>
      </c>
      <c r="M205" s="1693" t="s">
        <v>2406</v>
      </c>
      <c r="P205" s="1704"/>
    </row>
    <row r="206" spans="1:16" ht="12.75" thickBot="1">
      <c r="B206" s="1704"/>
      <c r="D206" s="1704"/>
      <c r="E206" s="1708">
        <f>+E205</f>
        <v>-474.02</v>
      </c>
      <c r="K206" s="1708">
        <f>+K205</f>
        <v>-474</v>
      </c>
      <c r="N206" s="1709">
        <f>+E206-K206</f>
        <v>-1.999999999998181E-2</v>
      </c>
      <c r="P206" s="1704"/>
    </row>
    <row r="207" spans="1:16" ht="12.75" thickTop="1">
      <c r="B207" s="1704"/>
      <c r="D207" s="1704"/>
      <c r="E207" s="1705"/>
      <c r="P207" s="1704"/>
    </row>
    <row r="208" spans="1:16">
      <c r="A208" s="1701" t="s">
        <v>2480</v>
      </c>
      <c r="B208" s="1704"/>
      <c r="C208" s="1703" t="s">
        <v>2481</v>
      </c>
      <c r="D208" s="1704"/>
      <c r="E208" s="1705"/>
      <c r="P208" s="1704"/>
    </row>
    <row r="209" spans="1:16">
      <c r="A209" s="1701" t="s">
        <v>2482</v>
      </c>
      <c r="B209" s="1704"/>
      <c r="C209" s="1703" t="s">
        <v>2481</v>
      </c>
      <c r="D209" s="1704"/>
      <c r="E209" s="1705">
        <f>'A 10'!E24</f>
        <v>-3687.92</v>
      </c>
      <c r="N209" s="1709"/>
      <c r="P209" s="1704"/>
    </row>
    <row r="210" spans="1:16">
      <c r="A210" s="1701" t="s">
        <v>2483</v>
      </c>
      <c r="B210" s="1704"/>
      <c r="C210" s="1703" t="s">
        <v>2481</v>
      </c>
      <c r="D210" s="1704"/>
      <c r="E210" s="1705">
        <f>'A 10'!E30</f>
        <v>2666.81</v>
      </c>
      <c r="P210" s="1704"/>
    </row>
    <row r="211" spans="1:16">
      <c r="A211" s="1701" t="s">
        <v>2484</v>
      </c>
      <c r="B211" s="1704"/>
      <c r="C211" s="1703" t="s">
        <v>2481</v>
      </c>
      <c r="D211" s="1704"/>
      <c r="E211" s="1705">
        <f>'A 10'!E38</f>
        <v>1739.38</v>
      </c>
      <c r="P211" s="1704"/>
    </row>
    <row r="212" spans="1:16">
      <c r="A212" s="1701" t="s">
        <v>2485</v>
      </c>
      <c r="B212" s="1704"/>
      <c r="C212" s="1703" t="s">
        <v>2481</v>
      </c>
      <c r="D212" s="1704"/>
      <c r="E212" s="1705">
        <f>'A 10'!E46</f>
        <v>0</v>
      </c>
      <c r="P212" s="1704"/>
    </row>
    <row r="213" spans="1:16">
      <c r="A213" s="1701" t="s">
        <v>2486</v>
      </c>
      <c r="B213" s="1704"/>
      <c r="C213" s="1703" t="s">
        <v>2481</v>
      </c>
      <c r="D213" s="1704"/>
      <c r="E213" s="1705"/>
      <c r="G213" s="1693">
        <v>389</v>
      </c>
      <c r="I213" s="1703" t="str">
        <f>C213</f>
        <v>Accum Depr Other Plant Miscellaneous Equipment</v>
      </c>
      <c r="K213" s="1706">
        <v>718</v>
      </c>
      <c r="M213" s="1693" t="s">
        <v>2406</v>
      </c>
      <c r="P213" s="1704"/>
    </row>
    <row r="214" spans="1:16" ht="12.75" thickBot="1">
      <c r="A214" s="1693"/>
      <c r="B214" s="1704"/>
      <c r="C214" s="1704"/>
      <c r="D214" s="1704"/>
      <c r="E214" s="1724">
        <f>SUM(E208:E213)</f>
        <v>718.27</v>
      </c>
      <c r="K214" s="1708">
        <f>+K213</f>
        <v>718</v>
      </c>
      <c r="N214" s="1709">
        <f>+E214-K214</f>
        <v>0.26999999999998181</v>
      </c>
    </row>
    <row r="215" spans="1:16">
      <c r="A215" s="1693"/>
      <c r="B215" s="1704"/>
      <c r="C215" s="1714"/>
      <c r="D215" s="1704"/>
      <c r="E215" s="1705"/>
      <c r="K215" s="1705"/>
      <c r="N215" s="1709"/>
    </row>
    <row r="216" spans="1:16" s="1719" customFormat="1">
      <c r="A216" s="1720"/>
      <c r="B216" s="1717"/>
      <c r="C216" s="1716" t="s">
        <v>2487</v>
      </c>
      <c r="D216" s="1717"/>
      <c r="E216" s="1718">
        <f>SUM(E118:E215)/2</f>
        <v>4138198.2700000005</v>
      </c>
      <c r="G216" s="1720"/>
      <c r="I216" s="1695" t="s">
        <v>2488</v>
      </c>
      <c r="K216" s="1718">
        <f>SUM(K118:K215)/2</f>
        <v>4138197</v>
      </c>
      <c r="M216" s="1720"/>
      <c r="N216" s="1760">
        <f>+E216-K216</f>
        <v>1.2700000004842877</v>
      </c>
      <c r="O216" s="1766" t="s">
        <v>2629</v>
      </c>
    </row>
    <row r="217" spans="1:16" s="1704" customFormat="1">
      <c r="A217" s="1701"/>
      <c r="E217" s="1705"/>
      <c r="G217" s="1756"/>
      <c r="K217" s="1705"/>
      <c r="M217" s="1701"/>
      <c r="N217" s="1725"/>
      <c r="O217" s="1762"/>
    </row>
    <row r="218" spans="1:16">
      <c r="A218" s="1701" t="s">
        <v>2489</v>
      </c>
      <c r="B218" s="1704"/>
      <c r="C218" s="1703" t="s">
        <v>2490</v>
      </c>
      <c r="D218" s="1704"/>
      <c r="E218" s="1705">
        <f>+'B 6'!O13</f>
        <v>230773.72</v>
      </c>
      <c r="G218" s="1693">
        <v>701</v>
      </c>
      <c r="I218" s="1703" t="str">
        <f>C218</f>
        <v>Salaries &amp; Wages - Employees</v>
      </c>
      <c r="K218" s="1705">
        <v>230774</v>
      </c>
      <c r="M218" s="1712" t="s">
        <v>2491</v>
      </c>
    </row>
    <row r="219" spans="1:16" ht="12.75" thickBot="1">
      <c r="A219" s="1701"/>
      <c r="B219" s="1704"/>
      <c r="D219" s="1704"/>
      <c r="E219" s="1708">
        <f>+E218</f>
        <v>230773.72</v>
      </c>
      <c r="K219" s="1708">
        <f>+K218</f>
        <v>230774</v>
      </c>
      <c r="M219" s="1712"/>
      <c r="N219" s="1709">
        <f>E219-K219</f>
        <v>-0.27999999999883585</v>
      </c>
    </row>
    <row r="220" spans="1:16" ht="12.75" thickTop="1">
      <c r="A220" s="1701"/>
      <c r="B220" s="1704"/>
      <c r="D220" s="1704"/>
      <c r="E220" s="1705"/>
      <c r="K220" s="1705"/>
      <c r="M220" s="1712"/>
    </row>
    <row r="221" spans="1:16">
      <c r="A221" s="1701" t="s">
        <v>2492</v>
      </c>
      <c r="B221" s="1704"/>
      <c r="C221" s="1703" t="s">
        <v>2493</v>
      </c>
      <c r="D221" s="1704"/>
      <c r="E221" s="1705">
        <f>+'B 6'!O14</f>
        <v>10610.31</v>
      </c>
      <c r="G221" s="1693">
        <v>703</v>
      </c>
      <c r="I221" s="1703" t="str">
        <f>C221</f>
        <v>Salaries &amp; Wages - Officers, Etc.</v>
      </c>
      <c r="K221" s="1705">
        <v>10610</v>
      </c>
      <c r="M221" s="1712" t="s">
        <v>2491</v>
      </c>
    </row>
    <row r="222" spans="1:16" ht="12.75" thickBot="1">
      <c r="A222" s="1701"/>
      <c r="B222" s="1704"/>
      <c r="D222" s="1704"/>
      <c r="E222" s="1708">
        <f>+E221</f>
        <v>10610.31</v>
      </c>
      <c r="I222" s="1707"/>
      <c r="K222" s="1708">
        <f>+K221</f>
        <v>10610</v>
      </c>
      <c r="M222" s="1712"/>
      <c r="N222" s="1709">
        <f>E222-K222</f>
        <v>0.30999999999949068</v>
      </c>
    </row>
    <row r="223" spans="1:16" ht="12.75" thickTop="1">
      <c r="A223" s="1701"/>
      <c r="B223" s="1704"/>
      <c r="D223" s="1704"/>
      <c r="E223" s="1705"/>
      <c r="I223" s="1707"/>
      <c r="K223" s="1705"/>
      <c r="M223" s="1712"/>
    </row>
    <row r="224" spans="1:16">
      <c r="A224" s="1701" t="s">
        <v>2494</v>
      </c>
      <c r="B224" s="1704"/>
      <c r="C224" s="1703" t="s">
        <v>2495</v>
      </c>
      <c r="D224" s="1704"/>
      <c r="E224" s="1705">
        <f>+'B 6'!O15</f>
        <v>75938.64</v>
      </c>
      <c r="G224" s="1693">
        <v>704</v>
      </c>
      <c r="I224" s="1703" t="str">
        <f>C224</f>
        <v>Employee Pensions &amp; Benefits</v>
      </c>
      <c r="K224" s="1705">
        <v>75939</v>
      </c>
      <c r="M224" s="1712" t="s">
        <v>2491</v>
      </c>
      <c r="N224" s="1709">
        <f>E224-K224</f>
        <v>-0.36000000000058208</v>
      </c>
    </row>
    <row r="225" spans="1:14" ht="12.75" thickBot="1">
      <c r="A225" s="1701"/>
      <c r="B225" s="1704"/>
      <c r="D225" s="1704"/>
      <c r="E225" s="1708">
        <f>+E224</f>
        <v>75938.64</v>
      </c>
      <c r="K225" s="1708">
        <f>+K224</f>
        <v>75939</v>
      </c>
      <c r="N225" s="1709"/>
    </row>
    <row r="226" spans="1:14" ht="12.75" thickTop="1">
      <c r="A226" s="1701"/>
      <c r="B226" s="1704"/>
      <c r="D226" s="1704"/>
      <c r="E226" s="1705"/>
      <c r="K226" s="1705"/>
      <c r="N226" s="1709"/>
    </row>
    <row r="227" spans="1:14">
      <c r="A227" s="1701" t="s">
        <v>2496</v>
      </c>
      <c r="B227" s="1704"/>
      <c r="C227" s="1703" t="s">
        <v>2497</v>
      </c>
      <c r="D227" s="1704"/>
      <c r="E227" s="1705">
        <f>+'B 6'!O16</f>
        <v>0</v>
      </c>
      <c r="G227" s="1693">
        <v>710</v>
      </c>
      <c r="I227" s="1703" t="str">
        <f>C227</f>
        <v>Purchased Sewage Treatment</v>
      </c>
      <c r="K227" s="1705">
        <v>0</v>
      </c>
      <c r="M227" s="1712" t="s">
        <v>2491</v>
      </c>
    </row>
    <row r="228" spans="1:14" ht="12.75" thickBot="1">
      <c r="A228" s="1701"/>
      <c r="B228" s="1704"/>
      <c r="D228" s="1704"/>
      <c r="E228" s="1708">
        <f>+E227</f>
        <v>0</v>
      </c>
      <c r="K228" s="1708">
        <f>+K227</f>
        <v>0</v>
      </c>
      <c r="N228" s="1709">
        <f>E228-K228</f>
        <v>0</v>
      </c>
    </row>
    <row r="229" spans="1:14" ht="12.75" thickTop="1">
      <c r="A229" s="1701"/>
      <c r="B229" s="1704"/>
      <c r="D229" s="1704"/>
      <c r="E229" s="1705"/>
      <c r="K229" s="1705"/>
    </row>
    <row r="230" spans="1:14">
      <c r="A230" s="1701" t="s">
        <v>2498</v>
      </c>
      <c r="B230" s="1704"/>
      <c r="C230" s="1703" t="s">
        <v>1245</v>
      </c>
      <c r="D230" s="1704"/>
      <c r="E230" s="1705">
        <f>+'B 6'!O17</f>
        <v>172030.86</v>
      </c>
      <c r="G230" s="1693">
        <v>711</v>
      </c>
      <c r="I230" s="1703" t="str">
        <f>C230</f>
        <v>Sludge Removal Expense</v>
      </c>
      <c r="K230" s="1705">
        <v>172031</v>
      </c>
      <c r="M230" s="1712" t="s">
        <v>2491</v>
      </c>
    </row>
    <row r="231" spans="1:14" ht="12.75" thickBot="1">
      <c r="A231" s="1701"/>
      <c r="B231" s="1704"/>
      <c r="D231" s="1704"/>
      <c r="E231" s="1708">
        <f>+E230</f>
        <v>172030.86</v>
      </c>
      <c r="K231" s="1708">
        <f>+K230</f>
        <v>172031</v>
      </c>
      <c r="M231" s="1712"/>
      <c r="N231" s="1709">
        <f>E231-K231</f>
        <v>-0.14000000001396984</v>
      </c>
    </row>
    <row r="232" spans="1:14" ht="12.75" thickTop="1">
      <c r="A232" s="1701"/>
      <c r="B232" s="1704"/>
      <c r="D232" s="1704"/>
      <c r="E232" s="1705"/>
      <c r="K232" s="1705"/>
      <c r="M232" s="1712"/>
    </row>
    <row r="233" spans="1:14">
      <c r="A233" s="1701" t="s">
        <v>2499</v>
      </c>
      <c r="B233" s="1704"/>
      <c r="C233" s="1703" t="s">
        <v>2500</v>
      </c>
      <c r="D233" s="1704"/>
      <c r="E233" s="1705">
        <f>+'B 6'!O18</f>
        <v>161901.23000000001</v>
      </c>
      <c r="G233" s="1693">
        <v>715</v>
      </c>
      <c r="I233" s="1703" t="str">
        <f>C233</f>
        <v>Purchased Power</v>
      </c>
      <c r="K233" s="1705">
        <v>161901</v>
      </c>
      <c r="M233" s="1712" t="s">
        <v>2491</v>
      </c>
    </row>
    <row r="234" spans="1:14" ht="12.75" thickBot="1">
      <c r="A234" s="1701"/>
      <c r="B234" s="1704"/>
      <c r="D234" s="1704"/>
      <c r="E234" s="1708">
        <f>+E233</f>
        <v>161901.23000000001</v>
      </c>
      <c r="K234" s="1708">
        <f>+K233</f>
        <v>161901</v>
      </c>
      <c r="M234" s="1712"/>
      <c r="N234" s="1709">
        <f>E234-K234</f>
        <v>0.23000000001047738</v>
      </c>
    </row>
    <row r="235" spans="1:14" ht="12.75" thickTop="1">
      <c r="A235" s="1701"/>
      <c r="B235" s="1704"/>
      <c r="D235" s="1704"/>
      <c r="E235" s="1705"/>
      <c r="K235" s="1705"/>
      <c r="M235" s="1712"/>
    </row>
    <row r="236" spans="1:14">
      <c r="A236" s="1701" t="s">
        <v>2501</v>
      </c>
      <c r="B236" s="1704"/>
      <c r="C236" s="1703" t="s">
        <v>2502</v>
      </c>
      <c r="D236" s="1704"/>
      <c r="E236" s="1705">
        <f>+'B 6'!O19</f>
        <v>0</v>
      </c>
      <c r="G236" s="1693">
        <v>716</v>
      </c>
      <c r="I236" s="1703" t="str">
        <f>C236</f>
        <v>Fuel for Power Purchased</v>
      </c>
      <c r="K236" s="1705">
        <v>0</v>
      </c>
      <c r="M236" s="1712" t="s">
        <v>2491</v>
      </c>
    </row>
    <row r="237" spans="1:14" ht="12.75" thickBot="1">
      <c r="A237" s="1701"/>
      <c r="B237" s="1704"/>
      <c r="D237" s="1704"/>
      <c r="E237" s="1708">
        <f>+E236</f>
        <v>0</v>
      </c>
      <c r="K237" s="1708">
        <f>+K236</f>
        <v>0</v>
      </c>
      <c r="M237" s="1712"/>
      <c r="N237" s="1709">
        <f>E237-K237</f>
        <v>0</v>
      </c>
    </row>
    <row r="238" spans="1:14" ht="12.75" thickTop="1">
      <c r="A238" s="1701"/>
      <c r="B238" s="1704"/>
      <c r="D238" s="1704"/>
      <c r="E238" s="1705"/>
      <c r="K238" s="1705"/>
      <c r="M238" s="1712"/>
    </row>
    <row r="239" spans="1:14">
      <c r="A239" s="1701" t="s">
        <v>2503</v>
      </c>
      <c r="B239" s="1704"/>
      <c r="C239" s="1703" t="s">
        <v>2504</v>
      </c>
      <c r="D239" s="1704"/>
      <c r="E239" s="1705">
        <f>+'B 6'!O20</f>
        <v>164303.09</v>
      </c>
      <c r="G239" s="1693">
        <v>718</v>
      </c>
      <c r="I239" s="1703" t="str">
        <f>C239</f>
        <v>Chemicals</v>
      </c>
      <c r="K239" s="1705">
        <v>164303</v>
      </c>
      <c r="M239" s="1712" t="s">
        <v>2491</v>
      </c>
      <c r="N239" s="1709"/>
    </row>
    <row r="240" spans="1:14" ht="12.75" thickBot="1">
      <c r="A240" s="1701"/>
      <c r="B240" s="1704"/>
      <c r="D240" s="1704"/>
      <c r="E240" s="1708">
        <f>+E239</f>
        <v>164303.09</v>
      </c>
      <c r="K240" s="1708">
        <f>+K239</f>
        <v>164303</v>
      </c>
      <c r="M240" s="1712"/>
      <c r="N240" s="1709">
        <f>E240-K240</f>
        <v>8.999999999650754E-2</v>
      </c>
    </row>
    <row r="241" spans="1:14" ht="12.75" thickTop="1">
      <c r="A241" s="1701"/>
      <c r="B241" s="1704"/>
      <c r="D241" s="1704"/>
      <c r="E241" s="1705"/>
      <c r="K241" s="1705"/>
      <c r="M241" s="1712"/>
    </row>
    <row r="242" spans="1:14">
      <c r="A242" s="1701" t="s">
        <v>2505</v>
      </c>
      <c r="B242" s="1704"/>
      <c r="C242" s="1703" t="s">
        <v>920</v>
      </c>
      <c r="D242" s="1704"/>
      <c r="E242" s="1705">
        <f>+'B 6'!O21</f>
        <v>76954.66</v>
      </c>
      <c r="G242" s="1693">
        <v>720</v>
      </c>
      <c r="I242" s="1703" t="str">
        <f>C242</f>
        <v>Materials &amp; Supplies</v>
      </c>
      <c r="K242" s="1705">
        <v>76955</v>
      </c>
      <c r="M242" s="1712" t="s">
        <v>2491</v>
      </c>
    </row>
    <row r="243" spans="1:14" ht="12.75" thickBot="1">
      <c r="A243" s="1701"/>
      <c r="B243" s="1704"/>
      <c r="D243" s="1704"/>
      <c r="E243" s="1708">
        <f>+E242</f>
        <v>76954.66</v>
      </c>
      <c r="K243" s="1708">
        <f>+K242</f>
        <v>76955</v>
      </c>
      <c r="M243" s="1712"/>
      <c r="N243" s="1709">
        <f>E243-K243</f>
        <v>-0.33999999999650754</v>
      </c>
    </row>
    <row r="244" spans="1:14" ht="12.75" thickTop="1">
      <c r="A244" s="1701"/>
      <c r="B244" s="1704"/>
      <c r="D244" s="1704"/>
      <c r="E244" s="1705"/>
      <c r="K244" s="1705"/>
      <c r="M244" s="1712"/>
    </row>
    <row r="245" spans="1:14">
      <c r="A245" s="1701" t="s">
        <v>2506</v>
      </c>
      <c r="B245" s="1704"/>
      <c r="C245" s="1703" t="s">
        <v>2507</v>
      </c>
      <c r="D245" s="1704"/>
      <c r="E245" s="1705">
        <f>+'B 6'!O22</f>
        <v>6805.98</v>
      </c>
      <c r="G245" s="1693">
        <v>731</v>
      </c>
      <c r="I245" s="1703" t="str">
        <f>C245</f>
        <v>Contractual Services - Engr.</v>
      </c>
      <c r="K245" s="1705">
        <v>6806</v>
      </c>
      <c r="M245" s="1712" t="s">
        <v>2491</v>
      </c>
      <c r="N245" s="1709"/>
    </row>
    <row r="246" spans="1:14" ht="12.75" thickBot="1">
      <c r="A246" s="1701"/>
      <c r="B246" s="1704"/>
      <c r="D246" s="1704"/>
      <c r="E246" s="1708">
        <f>+E245</f>
        <v>6805.98</v>
      </c>
      <c r="K246" s="1708">
        <f>+K245</f>
        <v>6806</v>
      </c>
      <c r="N246" s="1709">
        <f>E246-K246</f>
        <v>-2.0000000000436557E-2</v>
      </c>
    </row>
    <row r="247" spans="1:14" ht="12.75" thickTop="1">
      <c r="A247" s="1701"/>
      <c r="B247" s="1704"/>
      <c r="D247" s="1704"/>
      <c r="E247" s="1705"/>
      <c r="K247" s="1705"/>
    </row>
    <row r="248" spans="1:14">
      <c r="A248" s="1701" t="s">
        <v>2508</v>
      </c>
      <c r="C248" s="1703" t="s">
        <v>1246</v>
      </c>
      <c r="E248" s="1705">
        <f>+'B 6'!O23</f>
        <v>9007.0299999999988</v>
      </c>
      <c r="G248" s="1693">
        <v>732</v>
      </c>
      <c r="I248" s="1703" t="str">
        <f>C248</f>
        <v>Contractual Services - Acct.</v>
      </c>
      <c r="K248" s="1705">
        <v>9007</v>
      </c>
      <c r="M248" s="1712" t="s">
        <v>2491</v>
      </c>
    </row>
    <row r="249" spans="1:14" ht="12.75" thickBot="1">
      <c r="A249" s="1701"/>
      <c r="E249" s="1708">
        <f>+E248</f>
        <v>9007.0299999999988</v>
      </c>
      <c r="K249" s="1708">
        <f>+K248</f>
        <v>9007</v>
      </c>
      <c r="N249" s="1709">
        <f>E249-K249</f>
        <v>2.9999999998835847E-2</v>
      </c>
    </row>
    <row r="250" spans="1:14" ht="12.75" thickTop="1">
      <c r="A250" s="1701"/>
      <c r="E250" s="1705"/>
      <c r="K250" s="1705"/>
    </row>
    <row r="251" spans="1:14">
      <c r="A251" s="1701" t="s">
        <v>2509</v>
      </c>
      <c r="B251" s="1704"/>
      <c r="C251" s="1703" t="s">
        <v>1248</v>
      </c>
      <c r="D251" s="1704"/>
      <c r="E251" s="1705">
        <f>+'B 6'!O24</f>
        <v>-107.84</v>
      </c>
      <c r="G251" s="1693">
        <v>733</v>
      </c>
      <c r="I251" s="1703" t="str">
        <f>C251</f>
        <v>Contractual Services - Legal</v>
      </c>
      <c r="K251" s="1705">
        <v>-108</v>
      </c>
      <c r="M251" s="1712" t="s">
        <v>2491</v>
      </c>
      <c r="N251" s="1709"/>
    </row>
    <row r="252" spans="1:14" ht="12.75" thickBot="1">
      <c r="A252" s="1701"/>
      <c r="B252" s="1704"/>
      <c r="D252" s="1704"/>
      <c r="E252" s="1708">
        <f>+E251</f>
        <v>-107.84</v>
      </c>
      <c r="K252" s="1708">
        <f>+K251</f>
        <v>-108</v>
      </c>
      <c r="M252" s="1712"/>
      <c r="N252" s="1709">
        <f>E252-K252</f>
        <v>0.15999999999999659</v>
      </c>
    </row>
    <row r="253" spans="1:14" ht="12.75" thickTop="1">
      <c r="A253" s="1701"/>
      <c r="B253" s="1704"/>
      <c r="D253" s="1704"/>
      <c r="E253" s="1705"/>
      <c r="K253" s="1705"/>
      <c r="M253" s="1712"/>
    </row>
    <row r="254" spans="1:14">
      <c r="A254" s="1701" t="s">
        <v>2510</v>
      </c>
      <c r="B254" s="1704"/>
      <c r="C254" s="1703" t="s">
        <v>2511</v>
      </c>
      <c r="D254" s="1704"/>
      <c r="E254" s="1705">
        <f>+'B 6'!O25</f>
        <v>0</v>
      </c>
      <c r="G254" s="1693">
        <v>734</v>
      </c>
      <c r="I254" s="1703" t="str">
        <f>C254</f>
        <v>Contractual Services - Mgmt. Fees</v>
      </c>
      <c r="K254" s="1705">
        <v>0</v>
      </c>
      <c r="M254" s="1712" t="s">
        <v>2491</v>
      </c>
      <c r="N254" s="1709"/>
    </row>
    <row r="255" spans="1:14" ht="12.75" thickBot="1">
      <c r="A255" s="1701"/>
      <c r="B255" s="1704"/>
      <c r="D255" s="1704"/>
      <c r="E255" s="1708">
        <f>+E254</f>
        <v>0</v>
      </c>
      <c r="K255" s="1708">
        <f>+K254</f>
        <v>0</v>
      </c>
      <c r="N255" s="1709">
        <f>E255-K255</f>
        <v>0</v>
      </c>
    </row>
    <row r="256" spans="1:14" ht="12.75" thickTop="1">
      <c r="A256" s="1701"/>
      <c r="B256" s="1704"/>
      <c r="D256" s="1704"/>
      <c r="E256" s="1705"/>
      <c r="K256" s="1705"/>
    </row>
    <row r="257" spans="1:14">
      <c r="A257" s="1701" t="s">
        <v>2512</v>
      </c>
      <c r="C257" s="1726" t="s">
        <v>1249</v>
      </c>
      <c r="E257" s="1705">
        <f>+'B 6'!O26</f>
        <v>0</v>
      </c>
      <c r="G257" s="1693">
        <v>735</v>
      </c>
      <c r="I257" s="1703" t="str">
        <f>C257</f>
        <v>Contractual Services - Testing</v>
      </c>
      <c r="K257" s="1705">
        <v>0</v>
      </c>
      <c r="M257" s="1712" t="s">
        <v>2491</v>
      </c>
      <c r="N257" s="1709"/>
    </row>
    <row r="258" spans="1:14" ht="12.75" thickBot="1">
      <c r="A258" s="1701"/>
      <c r="C258" s="1726"/>
      <c r="E258" s="1708">
        <f>+E257</f>
        <v>0</v>
      </c>
      <c r="K258" s="1708">
        <f>+K257</f>
        <v>0</v>
      </c>
      <c r="N258" s="1709">
        <f>E258-K258</f>
        <v>0</v>
      </c>
    </row>
    <row r="259" spans="1:14" ht="12.75" thickTop="1">
      <c r="A259" s="1701"/>
      <c r="C259" s="1726"/>
      <c r="E259" s="1705"/>
      <c r="K259" s="1705"/>
    </row>
    <row r="260" spans="1:14">
      <c r="A260" s="1701" t="s">
        <v>2513</v>
      </c>
      <c r="B260" s="1704"/>
      <c r="C260" s="1726" t="s">
        <v>1250</v>
      </c>
      <c r="D260" s="1704"/>
      <c r="E260" s="1705">
        <f>+'B 6'!O27</f>
        <v>33143.79</v>
      </c>
      <c r="G260" s="1693">
        <v>736</v>
      </c>
      <c r="I260" s="1703" t="str">
        <f>C260</f>
        <v>Contractual Services - Other</v>
      </c>
      <c r="K260" s="1705">
        <v>33144</v>
      </c>
      <c r="M260" s="1712" t="s">
        <v>2491</v>
      </c>
      <c r="N260" s="1709"/>
    </row>
    <row r="261" spans="1:14" ht="12.75" thickBot="1">
      <c r="A261" s="1701"/>
      <c r="B261" s="1704"/>
      <c r="C261" s="1726"/>
      <c r="D261" s="1704"/>
      <c r="E261" s="1708">
        <f>+E260</f>
        <v>33143.79</v>
      </c>
      <c r="K261" s="1708">
        <f>+K260</f>
        <v>33144</v>
      </c>
      <c r="M261" s="1712"/>
      <c r="N261" s="1709">
        <f>E261-K261</f>
        <v>-0.20999999999912689</v>
      </c>
    </row>
    <row r="262" spans="1:14" ht="12.75" thickTop="1">
      <c r="A262" s="1701"/>
      <c r="B262" s="1704"/>
      <c r="C262" s="1726"/>
      <c r="D262" s="1704"/>
      <c r="E262" s="1705"/>
      <c r="K262" s="1705"/>
      <c r="M262" s="1712"/>
    </row>
    <row r="263" spans="1:14">
      <c r="A263" s="1701" t="s">
        <v>2514</v>
      </c>
      <c r="B263" s="1704"/>
      <c r="C263" s="1703" t="s">
        <v>2515</v>
      </c>
      <c r="D263" s="1704"/>
      <c r="E263" s="1705">
        <f>+'B 6'!O28</f>
        <v>289.49</v>
      </c>
      <c r="G263" s="1693">
        <v>741</v>
      </c>
      <c r="I263" s="1703" t="str">
        <f>C263</f>
        <v>Rental of Building/Real Prop.</v>
      </c>
      <c r="K263" s="1705">
        <v>289</v>
      </c>
      <c r="M263" s="1712" t="s">
        <v>2491</v>
      </c>
      <c r="N263" s="1709"/>
    </row>
    <row r="264" spans="1:14" ht="12.75" thickBot="1">
      <c r="A264" s="1701"/>
      <c r="B264" s="1704"/>
      <c r="D264" s="1704"/>
      <c r="E264" s="1708">
        <f>+E263</f>
        <v>289.49</v>
      </c>
      <c r="K264" s="1708">
        <f>+K263</f>
        <v>289</v>
      </c>
      <c r="N264" s="1709">
        <f>E264-K264</f>
        <v>0.49000000000000909</v>
      </c>
    </row>
    <row r="265" spans="1:14" ht="12.75" thickTop="1">
      <c r="A265" s="1701"/>
      <c r="B265" s="1704"/>
      <c r="D265" s="1704"/>
      <c r="E265" s="1705"/>
      <c r="K265" s="1705"/>
    </row>
    <row r="266" spans="1:14">
      <c r="A266" s="1701" t="s">
        <v>2516</v>
      </c>
      <c r="B266" s="1704"/>
      <c r="C266" s="1703" t="s">
        <v>2517</v>
      </c>
      <c r="D266" s="1704"/>
      <c r="E266" s="1705">
        <f>+'B 6'!O29</f>
        <v>43.51</v>
      </c>
      <c r="G266" s="1693">
        <v>742</v>
      </c>
      <c r="I266" s="1703" t="str">
        <f>C266</f>
        <v>Rental of Equipment</v>
      </c>
      <c r="K266" s="1705">
        <v>44</v>
      </c>
      <c r="M266" s="1712" t="s">
        <v>2491</v>
      </c>
    </row>
    <row r="267" spans="1:14" ht="12.75" thickBot="1">
      <c r="A267" s="1701"/>
      <c r="B267" s="1704"/>
      <c r="D267" s="1704"/>
      <c r="E267" s="1708">
        <f>+E266</f>
        <v>43.51</v>
      </c>
      <c r="K267" s="1708">
        <f>+K266</f>
        <v>44</v>
      </c>
      <c r="N267" s="1709">
        <f>E267-K267</f>
        <v>-0.49000000000000199</v>
      </c>
    </row>
    <row r="268" spans="1:14" ht="12.75" thickTop="1">
      <c r="A268" s="1701"/>
      <c r="B268" s="1704"/>
      <c r="D268" s="1704"/>
      <c r="E268" s="1705"/>
      <c r="K268" s="1705"/>
    </row>
    <row r="269" spans="1:14">
      <c r="A269" s="1701" t="s">
        <v>2518</v>
      </c>
      <c r="B269" s="1704"/>
      <c r="C269" s="1703" t="s">
        <v>2519</v>
      </c>
      <c r="D269" s="1704"/>
      <c r="E269" s="1705">
        <f>+'B 6'!O30</f>
        <v>14353.37</v>
      </c>
      <c r="G269" s="1693">
        <v>750</v>
      </c>
      <c r="I269" s="1703" t="str">
        <f>C269</f>
        <v>Transportation Expenses</v>
      </c>
      <c r="K269" s="1705">
        <v>14353</v>
      </c>
      <c r="M269" s="1712" t="s">
        <v>2491</v>
      </c>
      <c r="N269" s="1709"/>
    </row>
    <row r="270" spans="1:14" ht="12.75" thickBot="1">
      <c r="A270" s="1701"/>
      <c r="B270" s="1704"/>
      <c r="D270" s="1704"/>
      <c r="E270" s="1708">
        <f>+E269</f>
        <v>14353.37</v>
      </c>
      <c r="K270" s="1708">
        <f>+K269</f>
        <v>14353</v>
      </c>
      <c r="M270" s="1712"/>
      <c r="N270" s="1709">
        <f>E270-K270</f>
        <v>0.37000000000080036</v>
      </c>
    </row>
    <row r="271" spans="1:14" ht="12.75" thickTop="1">
      <c r="A271" s="1701"/>
      <c r="B271" s="1704"/>
      <c r="D271" s="1704"/>
      <c r="E271" s="1705"/>
      <c r="K271" s="1705"/>
      <c r="M271" s="1712"/>
    </row>
    <row r="272" spans="1:14">
      <c r="A272" s="1701" t="s">
        <v>2520</v>
      </c>
      <c r="B272" s="1704"/>
      <c r="C272" s="1703" t="s">
        <v>2521</v>
      </c>
      <c r="D272" s="1704"/>
      <c r="E272" s="1705">
        <f>+'B 6'!O31</f>
        <v>0</v>
      </c>
      <c r="G272" s="1693">
        <v>756</v>
      </c>
      <c r="I272" s="1703" t="str">
        <f>C272</f>
        <v>Insurance - Vehicle</v>
      </c>
      <c r="K272" s="1705">
        <v>0</v>
      </c>
      <c r="M272" s="1712" t="s">
        <v>2491</v>
      </c>
      <c r="N272" s="1709"/>
    </row>
    <row r="273" spans="1:14" ht="12.75" thickBot="1">
      <c r="A273" s="1701"/>
      <c r="B273" s="1704"/>
      <c r="D273" s="1704"/>
      <c r="E273" s="1708">
        <f>+E272</f>
        <v>0</v>
      </c>
      <c r="K273" s="1708">
        <f>+K272</f>
        <v>0</v>
      </c>
      <c r="N273" s="1709">
        <f>E273-K273</f>
        <v>0</v>
      </c>
    </row>
    <row r="274" spans="1:14" ht="12.75" thickTop="1">
      <c r="A274" s="1701"/>
      <c r="B274" s="1704"/>
      <c r="D274" s="1704"/>
      <c r="E274" s="1705"/>
      <c r="K274" s="1705"/>
    </row>
    <row r="275" spans="1:14">
      <c r="A275" s="1701" t="s">
        <v>2522</v>
      </c>
      <c r="B275" s="1704"/>
      <c r="C275" s="1703" t="s">
        <v>2523</v>
      </c>
      <c r="D275" s="1704"/>
      <c r="E275" s="1705">
        <f>+'B 6'!O32</f>
        <v>27326.42</v>
      </c>
      <c r="G275" s="1693">
        <v>757</v>
      </c>
      <c r="I275" s="1703" t="str">
        <f>C275</f>
        <v>Insurance - General Liability</v>
      </c>
      <c r="K275" s="1705">
        <v>27326</v>
      </c>
      <c r="M275" s="1712" t="s">
        <v>2491</v>
      </c>
      <c r="N275" s="1709"/>
    </row>
    <row r="276" spans="1:14" ht="12.75" thickBot="1">
      <c r="A276" s="1701"/>
      <c r="B276" s="1704"/>
      <c r="D276" s="1704"/>
      <c r="E276" s="1708">
        <f>+E275</f>
        <v>27326.42</v>
      </c>
      <c r="K276" s="1708">
        <f>+K275</f>
        <v>27326</v>
      </c>
      <c r="N276" s="1709">
        <f>E276-K276</f>
        <v>0.41999999999825377</v>
      </c>
    </row>
    <row r="277" spans="1:14" ht="12.75" thickTop="1">
      <c r="A277" s="1701"/>
      <c r="B277" s="1704"/>
      <c r="D277" s="1704"/>
      <c r="E277" s="1705"/>
      <c r="K277" s="1705"/>
    </row>
    <row r="278" spans="1:14">
      <c r="A278" s="1701" t="s">
        <v>2524</v>
      </c>
      <c r="B278" s="1704"/>
      <c r="C278" s="1703" t="s">
        <v>2525</v>
      </c>
      <c r="D278" s="1704"/>
      <c r="E278" s="1705">
        <f>+'B 6'!O33</f>
        <v>0</v>
      </c>
      <c r="G278" s="1693">
        <v>758</v>
      </c>
      <c r="I278" s="1703" t="str">
        <f>C278</f>
        <v>Insurance - Workman's Comp.</v>
      </c>
      <c r="K278" s="1705">
        <v>0</v>
      </c>
      <c r="M278" s="1712" t="s">
        <v>2491</v>
      </c>
    </row>
    <row r="279" spans="1:14" ht="12.75" thickBot="1">
      <c r="A279" s="1701"/>
      <c r="B279" s="1704"/>
      <c r="D279" s="1704"/>
      <c r="E279" s="1708">
        <f>+E278</f>
        <v>0</v>
      </c>
      <c r="K279" s="1708">
        <f>+K278</f>
        <v>0</v>
      </c>
      <c r="M279" s="1712"/>
      <c r="N279" s="1709">
        <f>E279-K279</f>
        <v>0</v>
      </c>
    </row>
    <row r="280" spans="1:14" ht="12.75" thickTop="1">
      <c r="A280" s="1701"/>
      <c r="B280" s="1704"/>
      <c r="D280" s="1704"/>
      <c r="E280" s="1705"/>
      <c r="K280" s="1705"/>
      <c r="M280" s="1712"/>
    </row>
    <row r="281" spans="1:14">
      <c r="A281" s="1701" t="s">
        <v>2526</v>
      </c>
      <c r="B281" s="1704"/>
      <c r="C281" s="1703" t="s">
        <v>1252</v>
      </c>
      <c r="D281" s="1704"/>
      <c r="E281" s="1705">
        <f>+'B 6'!O34</f>
        <v>5979.64</v>
      </c>
      <c r="G281" s="1693">
        <v>759</v>
      </c>
      <c r="I281" s="1703" t="str">
        <f>C281</f>
        <v>Insurance - Other</v>
      </c>
      <c r="K281" s="1705">
        <v>5980</v>
      </c>
      <c r="M281" s="1712" t="s">
        <v>2491</v>
      </c>
      <c r="N281" s="1709"/>
    </row>
    <row r="282" spans="1:14" ht="12.75" thickBot="1">
      <c r="A282" s="1701"/>
      <c r="B282" s="1704"/>
      <c r="D282" s="1704"/>
      <c r="E282" s="1708">
        <f>+E281</f>
        <v>5979.64</v>
      </c>
      <c r="K282" s="1708">
        <f>+K281</f>
        <v>5980</v>
      </c>
      <c r="N282" s="1709">
        <f>E282-K282</f>
        <v>-0.35999999999967258</v>
      </c>
    </row>
    <row r="283" spans="1:14" ht="12.75" thickTop="1">
      <c r="A283" s="1701"/>
      <c r="B283" s="1704"/>
      <c r="D283" s="1704"/>
      <c r="E283" s="1705"/>
      <c r="K283" s="1705"/>
      <c r="N283" s="1709"/>
    </row>
    <row r="284" spans="1:14">
      <c r="A284" s="1701" t="s">
        <v>2527</v>
      </c>
      <c r="B284" s="1704"/>
      <c r="C284" s="1703" t="s">
        <v>2528</v>
      </c>
      <c r="D284" s="1704"/>
      <c r="E284" s="1705">
        <f>+'B 6'!O35</f>
        <v>0</v>
      </c>
      <c r="G284" s="1693">
        <v>760</v>
      </c>
      <c r="I284" s="1703" t="str">
        <f>C284</f>
        <v>Advertising Expense</v>
      </c>
      <c r="K284" s="1705">
        <v>0</v>
      </c>
      <c r="M284" s="1712" t="s">
        <v>2491</v>
      </c>
    </row>
    <row r="285" spans="1:14" ht="12.75" thickBot="1">
      <c r="A285" s="1701"/>
      <c r="B285" s="1704"/>
      <c r="D285" s="1704"/>
      <c r="E285" s="1708">
        <f>+E284</f>
        <v>0</v>
      </c>
      <c r="K285" s="1708">
        <f>+K284</f>
        <v>0</v>
      </c>
      <c r="N285" s="1709">
        <f>E285-K285</f>
        <v>0</v>
      </c>
    </row>
    <row r="286" spans="1:14" ht="12.75" thickTop="1">
      <c r="A286" s="1701"/>
      <c r="B286" s="1704"/>
      <c r="D286" s="1704"/>
      <c r="E286" s="1705"/>
      <c r="K286" s="1705"/>
    </row>
    <row r="287" spans="1:14">
      <c r="A287" s="1701" t="s">
        <v>2529</v>
      </c>
      <c r="B287" s="1704"/>
      <c r="C287" s="1703" t="s">
        <v>2530</v>
      </c>
      <c r="D287" s="1704"/>
      <c r="E287" s="1705">
        <f>+'B 6'!O36</f>
        <v>0</v>
      </c>
      <c r="G287" s="1693">
        <v>766</v>
      </c>
      <c r="I287" s="1703" t="str">
        <f>C287</f>
        <v>Reg. Comm. Exp. - Rate Case Amort.</v>
      </c>
      <c r="K287" s="1705">
        <v>0</v>
      </c>
      <c r="M287" s="1712" t="s">
        <v>2491</v>
      </c>
      <c r="N287" s="1709"/>
    </row>
    <row r="288" spans="1:14" ht="12.75" thickBot="1">
      <c r="A288" s="1701"/>
      <c r="B288" s="1704"/>
      <c r="D288" s="1704"/>
      <c r="E288" s="1708">
        <f>+E287</f>
        <v>0</v>
      </c>
      <c r="K288" s="1708">
        <f>+K287</f>
        <v>0</v>
      </c>
      <c r="M288" s="1712"/>
      <c r="N288" s="1709">
        <f>E288-K288</f>
        <v>0</v>
      </c>
    </row>
    <row r="289" spans="1:15" ht="12.75" thickTop="1">
      <c r="A289" s="1701"/>
      <c r="B289" s="1704"/>
      <c r="D289" s="1704"/>
      <c r="E289" s="1705"/>
      <c r="K289" s="1705"/>
      <c r="M289" s="1712"/>
    </row>
    <row r="290" spans="1:15">
      <c r="A290" s="1701" t="s">
        <v>2531</v>
      </c>
      <c r="B290" s="1704"/>
      <c r="C290" s="1703" t="s">
        <v>2532</v>
      </c>
      <c r="D290" s="1704"/>
      <c r="E290" s="1705">
        <f>+'B 6'!O37</f>
        <v>927.84</v>
      </c>
      <c r="G290" s="1693">
        <v>767</v>
      </c>
      <c r="I290" s="1703" t="str">
        <f>C290</f>
        <v>Reg. Comm. Exp. - Other</v>
      </c>
      <c r="K290" s="1705">
        <v>928</v>
      </c>
      <c r="M290" s="1712" t="s">
        <v>2491</v>
      </c>
      <c r="N290" s="1709"/>
    </row>
    <row r="291" spans="1:15" ht="12.75" thickBot="1">
      <c r="A291" s="1701"/>
      <c r="B291" s="1704"/>
      <c r="D291" s="1704"/>
      <c r="E291" s="1708">
        <f>+E290</f>
        <v>927.84</v>
      </c>
      <c r="K291" s="1708">
        <f>+K290</f>
        <v>928</v>
      </c>
      <c r="N291" s="1709">
        <f>E291-K291</f>
        <v>-0.15999999999996817</v>
      </c>
    </row>
    <row r="292" spans="1:15" ht="12.75" thickTop="1">
      <c r="A292" s="1701"/>
      <c r="B292" s="1704"/>
      <c r="D292" s="1704"/>
      <c r="E292" s="1705"/>
      <c r="K292" s="1705"/>
    </row>
    <row r="293" spans="1:15">
      <c r="A293" s="1701" t="s">
        <v>2533</v>
      </c>
      <c r="B293" s="1704"/>
      <c r="C293" s="1703" t="s">
        <v>1253</v>
      </c>
      <c r="D293" s="1704"/>
      <c r="E293" s="1705">
        <f>+'B 6'!O38</f>
        <v>144.36000000000013</v>
      </c>
      <c r="G293" s="1693">
        <v>770</v>
      </c>
      <c r="I293" s="1703" t="str">
        <f>C293</f>
        <v>Bad Debt Expense</v>
      </c>
      <c r="K293" s="1705">
        <v>144</v>
      </c>
      <c r="M293" s="1712" t="s">
        <v>2491</v>
      </c>
      <c r="N293" s="1709"/>
    </row>
    <row r="294" spans="1:15" ht="12.75" thickBot="1">
      <c r="A294" s="1701"/>
      <c r="B294" s="1704"/>
      <c r="D294" s="1704"/>
      <c r="E294" s="1708">
        <f>+E293</f>
        <v>144.36000000000013</v>
      </c>
      <c r="K294" s="1708">
        <f>+K293</f>
        <v>144</v>
      </c>
      <c r="N294" s="1709">
        <f>E294-K294</f>
        <v>0.36000000000012733</v>
      </c>
    </row>
    <row r="295" spans="1:15" ht="12.75" thickTop="1">
      <c r="A295" s="1701"/>
      <c r="B295" s="1704"/>
      <c r="D295" s="1704"/>
      <c r="E295" s="1705"/>
      <c r="K295" s="1705"/>
    </row>
    <row r="296" spans="1:15">
      <c r="A296" s="1701" t="s">
        <v>2534</v>
      </c>
      <c r="B296" s="1704"/>
      <c r="C296" s="1703" t="s">
        <v>2535</v>
      </c>
      <c r="D296" s="1704"/>
      <c r="E296" s="1705">
        <f>+'B 6'!O39</f>
        <v>93428.650000000009</v>
      </c>
      <c r="G296" s="1693">
        <v>775</v>
      </c>
      <c r="I296" s="1703" t="str">
        <f>C296</f>
        <v>Miscellaneous Expenses</v>
      </c>
      <c r="K296" s="1705">
        <v>93429</v>
      </c>
      <c r="M296" s="1712" t="s">
        <v>2491</v>
      </c>
    </row>
    <row r="297" spans="1:15" ht="12.75" thickBot="1">
      <c r="A297" s="1693"/>
      <c r="B297" s="1704"/>
      <c r="C297" s="1704"/>
      <c r="D297" s="1704"/>
      <c r="E297" s="1708">
        <f>+E296</f>
        <v>93428.650000000009</v>
      </c>
      <c r="K297" s="1708">
        <f>+K296</f>
        <v>93429</v>
      </c>
      <c r="N297" s="1709">
        <f>E297-K297</f>
        <v>-0.34999999999126885</v>
      </c>
    </row>
    <row r="298" spans="1:15" ht="12.75" thickTop="1">
      <c r="A298" s="1701"/>
      <c r="B298" s="1704"/>
      <c r="D298" s="1704"/>
      <c r="E298" s="1705"/>
    </row>
    <row r="299" spans="1:15" s="1719" customFormat="1">
      <c r="A299" s="1727"/>
      <c r="B299" s="1717"/>
      <c r="C299" s="1695" t="s">
        <v>2536</v>
      </c>
      <c r="D299" s="1717"/>
      <c r="E299" s="1718">
        <f>SUM(E218:E298)/2</f>
        <v>1083854.75</v>
      </c>
      <c r="G299" s="1720"/>
      <c r="I299" s="1695" t="s">
        <v>2537</v>
      </c>
      <c r="K299" s="1718">
        <f>SUM(K218:K298)/2</f>
        <v>1083855</v>
      </c>
      <c r="M299" s="1720"/>
      <c r="N299" s="1718">
        <f>SUM(N218:N298)</f>
        <v>-0.24999999999587175</v>
      </c>
      <c r="O299" s="1761"/>
    </row>
    <row r="300" spans="1:15">
      <c r="A300" s="1701"/>
      <c r="B300" s="1704"/>
      <c r="D300" s="1704"/>
      <c r="E300" s="1705"/>
    </row>
    <row r="301" spans="1:15">
      <c r="A301" s="1701"/>
      <c r="B301" s="1704"/>
      <c r="C301" s="1719" t="s">
        <v>1880</v>
      </c>
      <c r="D301" s="1704"/>
      <c r="E301" s="1703"/>
      <c r="G301" s="1703"/>
      <c r="K301" s="1703"/>
    </row>
    <row r="302" spans="1:15">
      <c r="A302" s="1701" t="s">
        <v>818</v>
      </c>
      <c r="B302" s="1704"/>
      <c r="C302" s="211" t="s">
        <v>824</v>
      </c>
      <c r="D302" s="1704"/>
      <c r="E302" s="1705">
        <f>-'A 12'!D34</f>
        <v>-126544.31</v>
      </c>
      <c r="K302" s="1705"/>
      <c r="N302" s="1709"/>
    </row>
    <row r="303" spans="1:15">
      <c r="A303" s="1701" t="s">
        <v>818</v>
      </c>
      <c r="B303" s="1704"/>
      <c r="C303" s="211" t="s">
        <v>825</v>
      </c>
      <c r="D303" s="1704"/>
      <c r="E303" s="1705">
        <f>-'A 12'!D36</f>
        <v>-693558.96</v>
      </c>
      <c r="K303" s="1705"/>
      <c r="N303" s="1709"/>
    </row>
    <row r="304" spans="1:15">
      <c r="A304" s="1701" t="s">
        <v>818</v>
      </c>
      <c r="B304" s="1704"/>
      <c r="C304" s="211" t="s">
        <v>531</v>
      </c>
      <c r="D304" s="1704"/>
      <c r="E304" s="1705">
        <f>-'A 12'!D38</f>
        <v>-1914424.0299999998</v>
      </c>
      <c r="K304" s="1705"/>
      <c r="N304" s="1709"/>
    </row>
    <row r="305" spans="1:15">
      <c r="A305" s="1701" t="s">
        <v>818</v>
      </c>
      <c r="B305" s="1704"/>
      <c r="C305" s="1703" t="s">
        <v>1325</v>
      </c>
      <c r="D305" s="1704"/>
      <c r="E305" s="1705">
        <f>-'A 12'!D40</f>
        <v>-419965.93</v>
      </c>
    </row>
    <row r="306" spans="1:15">
      <c r="A306" s="1701"/>
      <c r="B306" s="1704"/>
      <c r="D306" s="1704"/>
      <c r="E306" s="1705"/>
      <c r="G306" s="1693">
        <v>271</v>
      </c>
      <c r="I306" s="1703" t="s">
        <v>36</v>
      </c>
      <c r="K306" s="1705">
        <v>-3154493</v>
      </c>
      <c r="M306" s="1693" t="s">
        <v>2538</v>
      </c>
      <c r="O306" s="1763"/>
    </row>
    <row r="307" spans="1:15" ht="12.75" thickBot="1">
      <c r="A307" s="1701" t="s">
        <v>818</v>
      </c>
      <c r="B307" s="1704"/>
      <c r="C307" s="1695" t="s">
        <v>2539</v>
      </c>
      <c r="D307" s="1704"/>
      <c r="E307" s="1708">
        <f>SUM(E302:E306)</f>
        <v>-3154493.23</v>
      </c>
      <c r="K307" s="1708">
        <f>+K306</f>
        <v>-3154493</v>
      </c>
      <c r="N307" s="1709">
        <f>+K307-E307</f>
        <v>0.22999999998137355</v>
      </c>
      <c r="O307" s="1763"/>
    </row>
    <row r="308" spans="1:15" ht="12.75" thickTop="1">
      <c r="A308" s="1701"/>
      <c r="B308" s="1704"/>
      <c r="D308" s="1704"/>
      <c r="E308" s="1705"/>
    </row>
    <row r="309" spans="1:15">
      <c r="A309" s="1701"/>
      <c r="B309" s="1704"/>
      <c r="C309" s="1719" t="s">
        <v>2540</v>
      </c>
      <c r="D309" s="1704"/>
      <c r="E309" s="1705"/>
    </row>
    <row r="310" spans="1:15">
      <c r="A310" s="1701" t="s">
        <v>819</v>
      </c>
      <c r="B310" s="1704"/>
      <c r="C310" s="211" t="s">
        <v>824</v>
      </c>
      <c r="D310" s="1704"/>
      <c r="E310" s="1705">
        <f>+'A 14'!D34</f>
        <v>8462.81</v>
      </c>
    </row>
    <row r="311" spans="1:15">
      <c r="A311" s="1701" t="s">
        <v>819</v>
      </c>
      <c r="B311" s="1704"/>
      <c r="C311" s="211" t="s">
        <v>825</v>
      </c>
      <c r="D311" s="1704"/>
      <c r="E311" s="1705">
        <f>+'A 14'!D36</f>
        <v>198140.49000000002</v>
      </c>
    </row>
    <row r="312" spans="1:15">
      <c r="A312" s="1701" t="s">
        <v>819</v>
      </c>
      <c r="B312" s="1704"/>
      <c r="C312" s="211" t="s">
        <v>531</v>
      </c>
      <c r="D312" s="1704"/>
      <c r="E312" s="1705">
        <f>+'A 14'!D38</f>
        <v>2071633.4100000001</v>
      </c>
    </row>
    <row r="313" spans="1:15">
      <c r="A313" s="1701" t="s">
        <v>819</v>
      </c>
      <c r="B313" s="1704"/>
      <c r="C313" s="211" t="s">
        <v>1325</v>
      </c>
      <c r="D313" s="1704"/>
      <c r="E313" s="1705">
        <f>+'A 14'!D40</f>
        <v>129475.55</v>
      </c>
    </row>
    <row r="314" spans="1:15">
      <c r="A314" s="1701"/>
      <c r="B314" s="1704"/>
      <c r="D314" s="1704"/>
      <c r="E314" s="1705"/>
      <c r="G314" s="1693">
        <v>272</v>
      </c>
      <c r="I314" s="1703" t="s">
        <v>2541</v>
      </c>
      <c r="K314" s="1705">
        <v>2407712</v>
      </c>
    </row>
    <row r="315" spans="1:15" ht="12.75" thickBot="1">
      <c r="A315" s="1701" t="s">
        <v>819</v>
      </c>
      <c r="B315" s="1704"/>
      <c r="C315" s="1695" t="s">
        <v>2542</v>
      </c>
      <c r="D315" s="1704"/>
      <c r="E315" s="1708">
        <f>SUM(E310:E314)</f>
        <v>2407712.2599999998</v>
      </c>
      <c r="K315" s="1708">
        <f>+K314</f>
        <v>2407712</v>
      </c>
      <c r="M315" s="1693" t="s">
        <v>2538</v>
      </c>
      <c r="N315" s="1709">
        <f>+K315-E315</f>
        <v>-0.25999999977648258</v>
      </c>
    </row>
    <row r="316" spans="1:15" ht="12.75" thickTop="1">
      <c r="A316" s="1701"/>
      <c r="B316" s="1704"/>
      <c r="D316" s="1704"/>
      <c r="E316" s="1705"/>
    </row>
    <row r="317" spans="1:15">
      <c r="A317" s="1701" t="s">
        <v>2543</v>
      </c>
      <c r="B317" s="1704"/>
      <c r="C317" s="1703" t="s">
        <v>1124</v>
      </c>
      <c r="D317" s="1704"/>
      <c r="E317" s="1705">
        <f>+'A 18'!G12</f>
        <v>8371235.8799999999</v>
      </c>
      <c r="G317" s="1693" t="s">
        <v>2544</v>
      </c>
      <c r="I317" s="1728" t="s">
        <v>2545</v>
      </c>
      <c r="J317" s="1704"/>
      <c r="K317" s="1705">
        <v>8469099</v>
      </c>
      <c r="M317" s="1693" t="s">
        <v>2546</v>
      </c>
    </row>
    <row r="318" spans="1:15">
      <c r="A318" s="1701" t="s">
        <v>2547</v>
      </c>
      <c r="B318" s="1704"/>
      <c r="C318" s="1728" t="s">
        <v>1127</v>
      </c>
      <c r="D318" s="1704"/>
      <c r="E318" s="1705">
        <f>+'A 18'!G13</f>
        <v>97863.549999999901</v>
      </c>
      <c r="J318" s="1704"/>
      <c r="K318" s="1705"/>
    </row>
    <row r="319" spans="1:15">
      <c r="A319" s="1701" t="s">
        <v>2548</v>
      </c>
      <c r="B319" s="1704"/>
      <c r="C319" s="1703" t="s">
        <v>722</v>
      </c>
      <c r="D319" s="1704"/>
      <c r="E319" s="1705">
        <f>+'A 18'!G14</f>
        <v>45879.72</v>
      </c>
      <c r="G319" s="1693" t="s">
        <v>2626</v>
      </c>
      <c r="I319" s="1729" t="s">
        <v>722</v>
      </c>
      <c r="J319" s="1704"/>
      <c r="K319" s="1705">
        <v>45880</v>
      </c>
      <c r="M319" s="1693" t="s">
        <v>2546</v>
      </c>
    </row>
    <row r="320" spans="1:15">
      <c r="A320" s="1701" t="s">
        <v>2549</v>
      </c>
      <c r="B320" s="1704"/>
      <c r="C320" s="1703" t="s">
        <v>724</v>
      </c>
      <c r="D320" s="1704"/>
      <c r="E320" s="1705">
        <f>+'A 18'!G17</f>
        <v>-4138198.2699999986</v>
      </c>
      <c r="G320" s="1693" t="s">
        <v>2550</v>
      </c>
      <c r="I320" s="1703" t="s">
        <v>724</v>
      </c>
      <c r="J320" s="1704"/>
      <c r="K320" s="1705">
        <v>-4138199</v>
      </c>
      <c r="M320" s="1693" t="s">
        <v>2546</v>
      </c>
      <c r="N320" s="1709"/>
      <c r="O320" s="1761"/>
    </row>
    <row r="321" spans="1:15">
      <c r="A321" s="1703"/>
      <c r="D321" s="1704"/>
      <c r="E321" s="1705"/>
      <c r="J321" s="1704"/>
      <c r="K321" s="1705"/>
      <c r="N321" s="1709"/>
    </row>
    <row r="322" spans="1:15" ht="12.75" thickBot="1">
      <c r="A322" s="1701" t="s">
        <v>2551</v>
      </c>
      <c r="B322" s="1704"/>
      <c r="C322" s="1703" t="s">
        <v>725</v>
      </c>
      <c r="D322" s="1704"/>
      <c r="E322" s="1708">
        <f>+E317+E319+E320+E318</f>
        <v>4376780.8800000008</v>
      </c>
      <c r="I322" s="1729" t="s">
        <v>2552</v>
      </c>
      <c r="J322" s="1704"/>
      <c r="K322" s="1708">
        <f>SUM(K317:K321)</f>
        <v>4376780</v>
      </c>
      <c r="M322" s="1693" t="s">
        <v>2546</v>
      </c>
      <c r="N322" s="1709">
        <f>+K322-E322</f>
        <v>-0.88000000081956387</v>
      </c>
      <c r="O322" s="1766" t="s">
        <v>2629</v>
      </c>
    </row>
    <row r="323" spans="1:15" ht="12.75" thickTop="1">
      <c r="A323" s="1701"/>
      <c r="B323" s="1704"/>
      <c r="D323" s="1704"/>
      <c r="E323" s="1705"/>
      <c r="I323" s="1705"/>
      <c r="J323" s="1704"/>
      <c r="K323" s="1705"/>
    </row>
    <row r="324" spans="1:15">
      <c r="A324" s="1701" t="s">
        <v>2553</v>
      </c>
      <c r="B324" s="1704"/>
      <c r="C324" s="1703" t="s">
        <v>997</v>
      </c>
      <c r="D324" s="1704"/>
      <c r="E324" s="1705">
        <f>+'A 18'!G21</f>
        <v>0</v>
      </c>
      <c r="G324" s="1693">
        <v>131</v>
      </c>
      <c r="I324" s="1729" t="s">
        <v>997</v>
      </c>
      <c r="J324" s="1704"/>
      <c r="K324" s="1705">
        <v>0</v>
      </c>
      <c r="M324" s="1693" t="s">
        <v>2546</v>
      </c>
    </row>
    <row r="325" spans="1:15" ht="12.75" thickBot="1">
      <c r="A325" s="1701"/>
      <c r="B325" s="1704"/>
      <c r="D325" s="1704"/>
      <c r="E325" s="1708">
        <f>+E324</f>
        <v>0</v>
      </c>
      <c r="I325" s="1729"/>
      <c r="J325" s="1704"/>
      <c r="K325" s="1708">
        <f>+K324</f>
        <v>0</v>
      </c>
      <c r="N325" s="1709">
        <f>+K325-E325</f>
        <v>0</v>
      </c>
    </row>
    <row r="326" spans="1:15" ht="12.75" thickTop="1">
      <c r="A326" s="1701"/>
      <c r="B326" s="1704"/>
      <c r="D326" s="1704"/>
      <c r="E326" s="1705"/>
      <c r="I326" s="1729"/>
      <c r="J326" s="1704"/>
      <c r="K326" s="1705"/>
    </row>
    <row r="327" spans="1:15">
      <c r="A327" s="1701" t="s">
        <v>2554</v>
      </c>
      <c r="B327" s="1704"/>
      <c r="C327" s="1703" t="s">
        <v>2555</v>
      </c>
      <c r="D327" s="1704"/>
      <c r="E327" s="1705">
        <f>+'A 18'!G22</f>
        <v>395526.38</v>
      </c>
      <c r="I327" s="1705"/>
      <c r="J327" s="1704"/>
      <c r="K327" s="1705"/>
    </row>
    <row r="328" spans="1:15">
      <c r="A328" s="1701" t="s">
        <v>2556</v>
      </c>
      <c r="B328" s="1704"/>
      <c r="C328" s="1703" t="s">
        <v>919</v>
      </c>
      <c r="D328" s="1704"/>
      <c r="E328" s="1705">
        <f>+'A 18'!G28</f>
        <v>-34</v>
      </c>
      <c r="I328" s="1705"/>
      <c r="J328" s="1704"/>
      <c r="K328" s="1705"/>
    </row>
    <row r="329" spans="1:15" ht="24.75" thickBot="1">
      <c r="A329" s="1701"/>
      <c r="B329" s="1704"/>
      <c r="D329" s="1704"/>
      <c r="E329" s="1708">
        <f>+E327+E328</f>
        <v>395492.38</v>
      </c>
      <c r="G329" s="1693" t="s">
        <v>2557</v>
      </c>
      <c r="I329" s="1730" t="s">
        <v>2625</v>
      </c>
      <c r="J329" s="1704"/>
      <c r="K329" s="1705">
        <v>395492</v>
      </c>
      <c r="M329" s="1693" t="s">
        <v>2546</v>
      </c>
      <c r="N329" s="1709"/>
    </row>
    <row r="330" spans="1:15" ht="13.5" thickTop="1" thickBot="1">
      <c r="A330" s="1701"/>
      <c r="B330" s="1704"/>
      <c r="D330" s="1704"/>
      <c r="E330" s="1705"/>
      <c r="I330" s="1705"/>
      <c r="J330" s="1704"/>
      <c r="K330" s="1708">
        <f>+K329</f>
        <v>395492</v>
      </c>
      <c r="N330" s="1709">
        <f>+K330-E329</f>
        <v>-0.38000000000465661</v>
      </c>
    </row>
    <row r="331" spans="1:15" ht="12.75" thickTop="1">
      <c r="A331" s="1701"/>
      <c r="B331" s="1704"/>
      <c r="D331" s="1704"/>
      <c r="E331" s="1705"/>
      <c r="I331" s="1705"/>
      <c r="J331" s="1704"/>
      <c r="K331" s="1705"/>
      <c r="N331" s="1709"/>
    </row>
    <row r="332" spans="1:15">
      <c r="A332" s="1701" t="s">
        <v>2558</v>
      </c>
      <c r="B332" s="1704"/>
      <c r="C332" s="1703" t="s">
        <v>684</v>
      </c>
      <c r="D332" s="1704"/>
      <c r="E332" s="1705">
        <f>+'A 18'!G24</f>
        <v>1871199.94</v>
      </c>
      <c r="G332" s="1693">
        <v>145</v>
      </c>
      <c r="I332" s="1729" t="s">
        <v>2559</v>
      </c>
      <c r="J332" s="1704"/>
      <c r="K332" s="1705">
        <v>1871200</v>
      </c>
      <c r="M332" s="1693" t="s">
        <v>2546</v>
      </c>
      <c r="N332" s="1709"/>
    </row>
    <row r="333" spans="1:15" ht="12.75" thickBot="1">
      <c r="A333" s="1701"/>
      <c r="B333" s="1704"/>
      <c r="D333" s="1704"/>
      <c r="E333" s="1708">
        <f>+E332</f>
        <v>1871199.94</v>
      </c>
      <c r="I333" s="1729"/>
      <c r="J333" s="1704"/>
      <c r="K333" s="1708">
        <f>+K332</f>
        <v>1871200</v>
      </c>
      <c r="N333" s="1709">
        <f>+K333-E333</f>
        <v>6.0000000055879354E-2</v>
      </c>
    </row>
    <row r="334" spans="1:15" ht="12.75" thickTop="1">
      <c r="A334" s="1701"/>
      <c r="B334" s="1704"/>
      <c r="D334" s="1704"/>
      <c r="E334" s="1705"/>
      <c r="I334" s="1729"/>
      <c r="J334" s="1704"/>
      <c r="K334" s="1705"/>
      <c r="N334" s="1709"/>
    </row>
    <row r="335" spans="1:15">
      <c r="A335" s="1701" t="s">
        <v>2560</v>
      </c>
      <c r="B335" s="1704"/>
      <c r="C335" s="1703" t="s">
        <v>920</v>
      </c>
      <c r="D335" s="1704"/>
      <c r="E335" s="1705">
        <f>+'A 18'!G29</f>
        <v>32691</v>
      </c>
      <c r="G335" s="1693" t="s">
        <v>2561</v>
      </c>
      <c r="I335" s="1729" t="s">
        <v>2562</v>
      </c>
      <c r="J335" s="1704"/>
      <c r="K335" s="1705">
        <v>32691</v>
      </c>
      <c r="M335" s="1693" t="s">
        <v>2546</v>
      </c>
      <c r="N335" s="1709"/>
    </row>
    <row r="336" spans="1:15" ht="12.75" thickBot="1">
      <c r="A336" s="1701"/>
      <c r="B336" s="1704"/>
      <c r="D336" s="1704"/>
      <c r="E336" s="1708">
        <f>+E335</f>
        <v>32691</v>
      </c>
      <c r="I336" s="1705"/>
      <c r="J336" s="1704"/>
      <c r="K336" s="1708">
        <f>+K335</f>
        <v>32691</v>
      </c>
      <c r="N336" s="1709"/>
    </row>
    <row r="337" spans="1:15" ht="12.75" thickTop="1">
      <c r="A337" s="1701"/>
      <c r="B337" s="1704"/>
      <c r="D337" s="1704"/>
      <c r="E337" s="1705"/>
      <c r="I337" s="1705"/>
      <c r="J337" s="1704"/>
      <c r="K337" s="1705"/>
      <c r="N337" s="1709">
        <f>+K337-E337</f>
        <v>0</v>
      </c>
    </row>
    <row r="338" spans="1:15">
      <c r="A338" s="1701" t="s">
        <v>2563</v>
      </c>
      <c r="B338" s="1704"/>
      <c r="C338" s="1703" t="s">
        <v>607</v>
      </c>
      <c r="D338" s="1704"/>
      <c r="E338" s="1705">
        <f>+'A 18'!G30</f>
        <v>60</v>
      </c>
      <c r="G338" s="1693">
        <v>132</v>
      </c>
      <c r="I338" s="1729" t="s">
        <v>2564</v>
      </c>
      <c r="J338" s="1704"/>
      <c r="K338" s="1705">
        <v>60</v>
      </c>
    </row>
    <row r="339" spans="1:15" ht="12.75" thickBot="1">
      <c r="A339" s="1701"/>
      <c r="B339" s="1704"/>
      <c r="D339" s="1704"/>
      <c r="E339" s="1708">
        <f>+E338</f>
        <v>60</v>
      </c>
      <c r="G339" s="1693">
        <v>162</v>
      </c>
      <c r="I339" s="1729" t="s">
        <v>2565</v>
      </c>
      <c r="J339" s="1704"/>
      <c r="K339" s="1705">
        <v>0</v>
      </c>
      <c r="M339" s="1693" t="s">
        <v>2546</v>
      </c>
      <c r="N339" s="1709"/>
    </row>
    <row r="340" spans="1:15" ht="12.75" thickTop="1">
      <c r="A340" s="1701"/>
      <c r="B340" s="1704"/>
      <c r="D340" s="1704"/>
      <c r="E340" s="1705"/>
      <c r="I340" s="1705"/>
      <c r="J340" s="1704"/>
      <c r="K340" s="1705"/>
    </row>
    <row r="341" spans="1:15" ht="12.75" thickBot="1">
      <c r="A341" s="1701" t="s">
        <v>2566</v>
      </c>
      <c r="B341" s="1704"/>
      <c r="C341" s="1703" t="s">
        <v>608</v>
      </c>
      <c r="D341" s="1704"/>
      <c r="E341" s="1731">
        <f>+E325+E329+E333+E336+E339</f>
        <v>2299443.3199999998</v>
      </c>
      <c r="I341" s="1732" t="s">
        <v>2567</v>
      </c>
      <c r="J341" s="1717"/>
      <c r="K341" s="1731">
        <f>+K325+K330+K333+K336+K339+K338</f>
        <v>2299443</v>
      </c>
      <c r="N341" s="1709">
        <f>+K341-E341</f>
        <v>-0.31999999983236194</v>
      </c>
      <c r="O341" s="1761"/>
    </row>
    <row r="342" spans="1:15" ht="12.75" thickTop="1">
      <c r="A342" s="1701"/>
      <c r="B342" s="1704"/>
      <c r="D342" s="1704"/>
      <c r="E342" s="1705"/>
      <c r="I342" s="1705"/>
      <c r="J342" s="1704"/>
      <c r="K342" s="1705"/>
    </row>
    <row r="343" spans="1:15">
      <c r="A343" s="1701" t="s">
        <v>2568</v>
      </c>
      <c r="B343" s="1704"/>
      <c r="C343" s="1703" t="s">
        <v>1129</v>
      </c>
      <c r="D343" s="1704"/>
      <c r="E343" s="1705">
        <f>+'A 18'!G35</f>
        <v>0</v>
      </c>
      <c r="G343" s="1693">
        <v>183</v>
      </c>
      <c r="I343" s="1729" t="s">
        <v>2569</v>
      </c>
      <c r="J343" s="1704"/>
      <c r="K343" s="1705">
        <v>0</v>
      </c>
      <c r="M343" s="1693" t="s">
        <v>2570</v>
      </c>
      <c r="N343" s="1709"/>
    </row>
    <row r="344" spans="1:15" ht="12.75" thickBot="1">
      <c r="A344" s="1701"/>
      <c r="B344" s="1704"/>
      <c r="D344" s="1704"/>
      <c r="E344" s="1708">
        <f>+E343</f>
        <v>0</v>
      </c>
      <c r="I344" s="1705"/>
      <c r="J344" s="1704"/>
      <c r="K344" s="1708">
        <f>+K343</f>
        <v>0</v>
      </c>
      <c r="N344" s="1709">
        <f>+K344-E344</f>
        <v>0</v>
      </c>
    </row>
    <row r="345" spans="1:15" ht="12.75" thickTop="1">
      <c r="A345" s="1701"/>
      <c r="B345" s="1704"/>
      <c r="D345" s="1704"/>
      <c r="E345" s="1705"/>
      <c r="I345" s="1705"/>
      <c r="J345" s="1704"/>
      <c r="K345" s="1705"/>
    </row>
    <row r="346" spans="1:15">
      <c r="A346" s="1701" t="s">
        <v>2571</v>
      </c>
      <c r="B346" s="1704"/>
      <c r="C346" s="1703" t="s">
        <v>1130</v>
      </c>
      <c r="D346" s="1704"/>
      <c r="E346" s="1705">
        <v>0</v>
      </c>
      <c r="I346" s="1705"/>
      <c r="J346" s="1704"/>
      <c r="K346" s="1705"/>
    </row>
    <row r="347" spans="1:15">
      <c r="A347" s="1701" t="s">
        <v>2572</v>
      </c>
      <c r="B347" s="1704"/>
      <c r="C347" s="1703" t="s">
        <v>1337</v>
      </c>
      <c r="D347" s="1704"/>
      <c r="E347" s="1705">
        <f>+'A 18'!G38</f>
        <v>6944.9999999999709</v>
      </c>
      <c r="I347" s="1705"/>
      <c r="J347" s="1704"/>
      <c r="K347" s="1705"/>
    </row>
    <row r="348" spans="1:15">
      <c r="A348" s="1701" t="s">
        <v>2573</v>
      </c>
      <c r="B348" s="1704"/>
      <c r="C348" s="1703" t="s">
        <v>1338</v>
      </c>
      <c r="D348" s="1704"/>
      <c r="E348" s="1705">
        <f>+'A 18'!G39</f>
        <v>29136.529999999992</v>
      </c>
      <c r="G348" s="1693">
        <v>186</v>
      </c>
      <c r="I348" s="1729" t="s">
        <v>2574</v>
      </c>
      <c r="J348" s="1704"/>
      <c r="K348" s="1705">
        <v>36082</v>
      </c>
      <c r="M348" s="1693" t="s">
        <v>2570</v>
      </c>
      <c r="N348" s="1709"/>
    </row>
    <row r="349" spans="1:15" ht="12.75" thickBot="1">
      <c r="A349" s="1701"/>
      <c r="B349" s="1704"/>
      <c r="D349" s="1704"/>
      <c r="E349" s="1708">
        <f>+E347+E348</f>
        <v>36081.529999999962</v>
      </c>
      <c r="I349" s="1705"/>
      <c r="J349" s="1704"/>
      <c r="K349" s="1708">
        <f>+K348</f>
        <v>36082</v>
      </c>
      <c r="N349" s="1709">
        <f>E349-K349</f>
        <v>-0.47000000003754394</v>
      </c>
    </row>
    <row r="350" spans="1:15" ht="12.75" thickTop="1">
      <c r="A350" s="1701"/>
      <c r="B350" s="1704"/>
      <c r="D350" s="1704"/>
      <c r="E350" s="1705"/>
      <c r="I350" s="1705"/>
      <c r="J350" s="1704"/>
      <c r="K350" s="1705"/>
      <c r="N350" s="1709"/>
    </row>
    <row r="351" spans="1:15">
      <c r="A351" s="1701"/>
      <c r="B351" s="1704"/>
      <c r="D351" s="1704"/>
      <c r="E351" s="1705"/>
      <c r="G351" s="1693">
        <v>190</v>
      </c>
      <c r="I351" s="1705" t="s">
        <v>1385</v>
      </c>
      <c r="J351" s="1704"/>
      <c r="K351" s="1705">
        <v>-10821</v>
      </c>
      <c r="M351" s="1693" t="s">
        <v>2570</v>
      </c>
      <c r="N351" s="1709"/>
    </row>
    <row r="352" spans="1:15" ht="24.75" thickBot="1">
      <c r="A352" s="1701"/>
      <c r="B352" s="1704"/>
      <c r="D352" s="1704"/>
      <c r="E352" s="1705"/>
      <c r="K352" s="1708">
        <f>+K351</f>
        <v>-10821</v>
      </c>
      <c r="N352" s="1709">
        <f>+K352-E352</f>
        <v>-10821</v>
      </c>
      <c r="O352" s="1698" t="s">
        <v>2575</v>
      </c>
    </row>
    <row r="353" spans="1:15" ht="12.75" thickTop="1">
      <c r="A353" s="1701" t="s">
        <v>2576</v>
      </c>
      <c r="B353" s="1704"/>
      <c r="C353" s="1703" t="s">
        <v>1341</v>
      </c>
      <c r="D353" s="1704"/>
      <c r="E353" s="1705"/>
      <c r="I353" s="1705"/>
      <c r="J353" s="1704"/>
      <c r="K353" s="1705"/>
      <c r="N353" s="1709"/>
    </row>
    <row r="354" spans="1:15" ht="36.75" thickBot="1">
      <c r="A354" s="1693"/>
      <c r="B354" s="1704"/>
      <c r="C354" s="1704"/>
      <c r="D354" s="1704"/>
      <c r="E354" s="1731">
        <f>+E322+E341+E349</f>
        <v>6712305.7300000014</v>
      </c>
      <c r="I354" s="1733" t="s">
        <v>2577</v>
      </c>
      <c r="J354" s="1717"/>
      <c r="K354" s="1731">
        <f>+K322+K341+K349+K352</f>
        <v>6701484</v>
      </c>
      <c r="M354" s="1693" t="s">
        <v>2570</v>
      </c>
      <c r="N354" s="1709">
        <f>+E354-K354</f>
        <v>10821.730000001378</v>
      </c>
      <c r="O354" s="1698" t="s">
        <v>2578</v>
      </c>
    </row>
    <row r="355" spans="1:15" ht="12.75" thickTop="1">
      <c r="A355" s="1701"/>
      <c r="B355" s="1704"/>
      <c r="D355" s="1704"/>
      <c r="E355" s="1705"/>
      <c r="I355" s="1705"/>
      <c r="J355" s="1704"/>
    </row>
    <row r="356" spans="1:15">
      <c r="A356" s="1701" t="s">
        <v>2579</v>
      </c>
      <c r="B356" s="1704"/>
      <c r="C356" s="1703" t="s">
        <v>577</v>
      </c>
      <c r="D356" s="1704"/>
      <c r="E356" s="1705">
        <f>+'A 19'!G12</f>
        <v>500</v>
      </c>
      <c r="G356" s="1693">
        <v>201</v>
      </c>
      <c r="I356" s="1703" t="s">
        <v>577</v>
      </c>
      <c r="J356" s="1704"/>
      <c r="K356" s="1705">
        <v>500</v>
      </c>
      <c r="M356" s="1693" t="s">
        <v>2580</v>
      </c>
      <c r="N356" s="1709">
        <f t="shared" ref="N356:N370" si="0">+E356-K356</f>
        <v>0</v>
      </c>
    </row>
    <row r="357" spans="1:15">
      <c r="A357" s="1701" t="s">
        <v>2581</v>
      </c>
      <c r="B357" s="1704"/>
      <c r="C357" s="1703" t="s">
        <v>1302</v>
      </c>
      <c r="D357" s="1704"/>
      <c r="E357" s="1705">
        <f>+'A 19'!G14</f>
        <v>4910301.01</v>
      </c>
      <c r="G357" s="1693">
        <v>211</v>
      </c>
      <c r="I357" s="1703" t="s">
        <v>1302</v>
      </c>
      <c r="J357" s="1704"/>
      <c r="K357" s="1705">
        <v>4910301</v>
      </c>
      <c r="M357" s="1693" t="s">
        <v>2580</v>
      </c>
      <c r="N357" s="1709">
        <f t="shared" si="0"/>
        <v>9.9999997764825821E-3</v>
      </c>
    </row>
    <row r="358" spans="1:15">
      <c r="A358" s="1701" t="s">
        <v>2582</v>
      </c>
      <c r="B358" s="1704"/>
      <c r="C358" s="1703" t="s">
        <v>1303</v>
      </c>
      <c r="D358" s="1704"/>
      <c r="E358" s="1705">
        <f>+'A 19'!G15</f>
        <v>399634.84000000183</v>
      </c>
      <c r="G358" s="1712" t="s">
        <v>2583</v>
      </c>
      <c r="I358" s="1703" t="s">
        <v>1303</v>
      </c>
      <c r="J358" s="1704"/>
      <c r="K358" s="1705">
        <v>399635</v>
      </c>
      <c r="M358" s="1693" t="s">
        <v>2580</v>
      </c>
      <c r="N358" s="1709">
        <f t="shared" si="0"/>
        <v>-0.15999999816995114</v>
      </c>
    </row>
    <row r="359" spans="1:15">
      <c r="A359" s="1703"/>
      <c r="D359" s="1704"/>
      <c r="E359" s="1705"/>
      <c r="J359" s="1704"/>
      <c r="K359" s="1705"/>
      <c r="N359" s="1709">
        <f t="shared" si="0"/>
        <v>0</v>
      </c>
    </row>
    <row r="360" spans="1:15" ht="12.75" thickBot="1">
      <c r="A360" s="1701" t="s">
        <v>2584</v>
      </c>
      <c r="B360" s="1704"/>
      <c r="C360" s="1703" t="s">
        <v>1305</v>
      </c>
      <c r="D360" s="1704"/>
      <c r="E360" s="1708">
        <f>SUM(E356:E359)</f>
        <v>5310435.8500000015</v>
      </c>
      <c r="I360" s="1703" t="s">
        <v>1305</v>
      </c>
      <c r="J360" s="1704"/>
      <c r="K360" s="1708">
        <f>SUM(K356:K359)</f>
        <v>5310436</v>
      </c>
      <c r="M360" s="1693" t="s">
        <v>2580</v>
      </c>
      <c r="N360" s="1709">
        <f t="shared" si="0"/>
        <v>-0.14999999850988388</v>
      </c>
    </row>
    <row r="361" spans="1:15" ht="12.75" thickTop="1">
      <c r="A361" s="1701"/>
      <c r="B361" s="1704"/>
      <c r="D361" s="1704"/>
      <c r="E361" s="1705"/>
      <c r="I361" s="1705"/>
      <c r="J361" s="1704"/>
      <c r="K361" s="1705"/>
      <c r="N361" s="1709">
        <f t="shared" si="0"/>
        <v>0</v>
      </c>
    </row>
    <row r="362" spans="1:15">
      <c r="A362" s="1701" t="s">
        <v>2585</v>
      </c>
      <c r="B362" s="1704"/>
      <c r="C362" s="1703" t="s">
        <v>2586</v>
      </c>
      <c r="D362" s="1704"/>
      <c r="E362" s="1705">
        <f>+'A 19'!G22</f>
        <v>477238.98</v>
      </c>
      <c r="G362" s="1693">
        <v>223</v>
      </c>
      <c r="I362" s="1703" t="s">
        <v>2586</v>
      </c>
      <c r="J362" s="1704"/>
      <c r="K362" s="1705">
        <v>477239</v>
      </c>
      <c r="M362" s="1693" t="s">
        <v>2580</v>
      </c>
      <c r="N362" s="1709">
        <f t="shared" si="0"/>
        <v>-2.0000000018626451E-2</v>
      </c>
    </row>
    <row r="363" spans="1:15" ht="12.75" thickBot="1">
      <c r="A363" s="1701"/>
      <c r="B363" s="1704"/>
      <c r="D363" s="1704"/>
      <c r="E363" s="1708">
        <f>+E362</f>
        <v>477238.98</v>
      </c>
      <c r="I363" s="1729"/>
      <c r="J363" s="1704"/>
      <c r="K363" s="1708">
        <f>+K362</f>
        <v>477239</v>
      </c>
      <c r="N363" s="1709">
        <f t="shared" si="0"/>
        <v>-2.0000000018626451E-2</v>
      </c>
    </row>
    <row r="364" spans="1:15" ht="12.75" thickTop="1">
      <c r="A364" s="1701"/>
      <c r="B364" s="1704"/>
      <c r="D364" s="1704"/>
      <c r="E364" s="1705"/>
      <c r="I364" s="1729"/>
      <c r="J364" s="1704"/>
      <c r="K364" s="1705"/>
      <c r="N364" s="1709">
        <f t="shared" si="0"/>
        <v>0</v>
      </c>
    </row>
    <row r="365" spans="1:15">
      <c r="A365" s="1701" t="s">
        <v>2587</v>
      </c>
      <c r="B365" s="1704"/>
      <c r="C365" s="1703" t="s">
        <v>787</v>
      </c>
      <c r="D365" s="1704"/>
      <c r="E365" s="1705">
        <f>+'A 19'!G27</f>
        <v>109912.94</v>
      </c>
      <c r="G365" s="1693">
        <v>231</v>
      </c>
      <c r="I365" s="1703" t="s">
        <v>787</v>
      </c>
      <c r="J365" s="1704"/>
      <c r="K365" s="1705">
        <v>109913</v>
      </c>
      <c r="M365" s="1693" t="s">
        <v>2580</v>
      </c>
      <c r="N365" s="1709">
        <f t="shared" si="0"/>
        <v>-5.9999999997671694E-2</v>
      </c>
    </row>
    <row r="366" spans="1:15">
      <c r="A366" s="1701" t="s">
        <v>2588</v>
      </c>
      <c r="B366" s="1704"/>
      <c r="C366" s="1703" t="s">
        <v>2589</v>
      </c>
      <c r="D366" s="1704"/>
      <c r="E366" s="1705">
        <f>+'A 19'!G29</f>
        <v>-178082.21</v>
      </c>
      <c r="G366" s="1693">
        <v>233</v>
      </c>
      <c r="I366" s="1703" t="s">
        <v>2589</v>
      </c>
      <c r="J366" s="1704"/>
      <c r="K366" s="1705">
        <v>-178082</v>
      </c>
      <c r="M366" s="1693" t="s">
        <v>2580</v>
      </c>
      <c r="N366" s="1709">
        <f t="shared" si="0"/>
        <v>-0.20999999999185093</v>
      </c>
    </row>
    <row r="367" spans="1:15">
      <c r="A367" s="1701" t="s">
        <v>2590</v>
      </c>
      <c r="B367" s="1704"/>
      <c r="C367" s="1703" t="s">
        <v>1118</v>
      </c>
      <c r="D367" s="1704"/>
      <c r="E367" s="1705">
        <f>+'A 19'!G30</f>
        <v>0</v>
      </c>
      <c r="G367" s="1693">
        <v>235</v>
      </c>
      <c r="I367" s="1703" t="s">
        <v>1118</v>
      </c>
      <c r="J367" s="1704"/>
      <c r="K367" s="1705">
        <v>0</v>
      </c>
      <c r="M367" s="1693" t="s">
        <v>2580</v>
      </c>
      <c r="N367" s="1709">
        <f t="shared" si="0"/>
        <v>0</v>
      </c>
    </row>
    <row r="368" spans="1:15">
      <c r="A368" s="1701" t="s">
        <v>2591</v>
      </c>
      <c r="B368" s="1704"/>
      <c r="C368" s="1703" t="s">
        <v>1119</v>
      </c>
      <c r="D368" s="1704"/>
      <c r="E368" s="1705">
        <f>+'A 19'!G31</f>
        <v>108345.19</v>
      </c>
      <c r="G368" s="1693">
        <v>236</v>
      </c>
      <c r="I368" s="1703" t="s">
        <v>1119</v>
      </c>
      <c r="J368" s="1704"/>
      <c r="K368" s="1705">
        <v>108345</v>
      </c>
      <c r="M368" s="1693" t="s">
        <v>2580</v>
      </c>
      <c r="N368" s="1709">
        <f t="shared" si="0"/>
        <v>0.19000000000232831</v>
      </c>
    </row>
    <row r="369" spans="1:15">
      <c r="A369" s="1701" t="s">
        <v>2592</v>
      </c>
      <c r="B369" s="1704"/>
      <c r="C369" s="1703" t="s">
        <v>2593</v>
      </c>
      <c r="D369" s="1704"/>
      <c r="E369" s="1705">
        <f>+'A 19'!G33</f>
        <v>0.5</v>
      </c>
      <c r="G369" s="1693">
        <v>237</v>
      </c>
      <c r="I369" s="1703" t="s">
        <v>2593</v>
      </c>
      <c r="J369" s="1704"/>
      <c r="K369" s="1705">
        <v>1</v>
      </c>
      <c r="M369" s="1693" t="s">
        <v>2580</v>
      </c>
      <c r="N369" s="1709">
        <f t="shared" si="0"/>
        <v>-0.5</v>
      </c>
      <c r="O369" s="1766" t="s">
        <v>2629</v>
      </c>
    </row>
    <row r="370" spans="1:15">
      <c r="A370" s="1701" t="s">
        <v>2594</v>
      </c>
      <c r="B370" s="1704"/>
      <c r="C370" s="1703" t="s">
        <v>991</v>
      </c>
      <c r="D370" s="1704"/>
      <c r="E370" s="1705"/>
      <c r="I370" s="1703" t="s">
        <v>991</v>
      </c>
      <c r="J370" s="1704"/>
      <c r="K370" s="1705"/>
      <c r="M370" s="1693" t="s">
        <v>2580</v>
      </c>
      <c r="N370" s="1709">
        <f t="shared" si="0"/>
        <v>0</v>
      </c>
    </row>
    <row r="371" spans="1:15" ht="12.75" thickBot="1">
      <c r="A371" s="1701" t="s">
        <v>2595</v>
      </c>
      <c r="B371" s="1704"/>
      <c r="C371" s="1703" t="s">
        <v>992</v>
      </c>
      <c r="D371" s="1704"/>
      <c r="E371" s="1708">
        <f>SUM(E365:E370)</f>
        <v>40176.420000000013</v>
      </c>
      <c r="I371" s="1703" t="s">
        <v>992</v>
      </c>
      <c r="J371" s="1704"/>
      <c r="K371" s="1708">
        <f>SUM(K365:K370)</f>
        <v>40177</v>
      </c>
      <c r="M371" s="1693" t="s">
        <v>2580</v>
      </c>
      <c r="N371" s="1709">
        <f>+K371-E371</f>
        <v>0.57999999998719431</v>
      </c>
      <c r="O371" s="1766" t="s">
        <v>2629</v>
      </c>
    </row>
    <row r="372" spans="1:15" ht="12.75" thickTop="1">
      <c r="A372" s="1701"/>
      <c r="B372" s="1704"/>
      <c r="D372" s="1704"/>
      <c r="E372" s="1705"/>
      <c r="K372" s="1703"/>
      <c r="N372" s="1709"/>
    </row>
    <row r="373" spans="1:15">
      <c r="A373" s="1701" t="s">
        <v>2596</v>
      </c>
      <c r="B373" s="1704"/>
      <c r="C373" s="1703" t="s">
        <v>2597</v>
      </c>
      <c r="D373" s="1704"/>
      <c r="E373" s="1705">
        <f>+'A 19'!G46</f>
        <v>3154493.23</v>
      </c>
      <c r="G373" s="1693">
        <v>271</v>
      </c>
      <c r="I373" s="1703" t="s">
        <v>2597</v>
      </c>
      <c r="J373" s="1704"/>
      <c r="K373" s="1758">
        <f>-K306</f>
        <v>3154493</v>
      </c>
      <c r="L373" s="1759"/>
      <c r="M373" s="1693" t="s">
        <v>2538</v>
      </c>
      <c r="N373" s="1709">
        <f>+K373-E373</f>
        <v>-0.22999999998137355</v>
      </c>
      <c r="O373" s="1764"/>
    </row>
    <row r="374" spans="1:15" ht="12.75" thickBot="1">
      <c r="A374" s="1701"/>
      <c r="B374" s="1704"/>
      <c r="D374" s="1704"/>
      <c r="E374" s="1708">
        <f>+E373</f>
        <v>3154493.23</v>
      </c>
      <c r="I374" s="1729"/>
      <c r="J374" s="1704"/>
      <c r="K374" s="1708">
        <f>+K373</f>
        <v>3154493</v>
      </c>
      <c r="N374" s="1709"/>
    </row>
    <row r="375" spans="1:15" ht="12.75" thickTop="1">
      <c r="A375" s="1701"/>
      <c r="B375" s="1704"/>
      <c r="D375" s="1704"/>
      <c r="E375" s="1705"/>
      <c r="I375" s="1729"/>
      <c r="J375" s="1704"/>
      <c r="K375" s="1705"/>
      <c r="N375" s="1709"/>
    </row>
    <row r="376" spans="1:15">
      <c r="A376" s="1701" t="s">
        <v>2598</v>
      </c>
      <c r="B376" s="1704"/>
      <c r="C376" s="1703" t="s">
        <v>2599</v>
      </c>
      <c r="D376" s="1704"/>
      <c r="E376" s="1705">
        <f>+'A 19'!G47</f>
        <v>-2407712.2600000002</v>
      </c>
      <c r="G376" s="1693">
        <v>272</v>
      </c>
      <c r="I376" s="1703" t="s">
        <v>2599</v>
      </c>
      <c r="J376" s="1704"/>
      <c r="K376" s="1705">
        <f>-K314</f>
        <v>-2407712</v>
      </c>
      <c r="M376" s="1693" t="s">
        <v>2538</v>
      </c>
      <c r="N376" s="1709">
        <f>+K376-E376</f>
        <v>0.26000000024214387</v>
      </c>
    </row>
    <row r="377" spans="1:15" ht="12.75" thickBot="1">
      <c r="A377" s="1701"/>
      <c r="B377" s="1704"/>
      <c r="D377" s="1704"/>
      <c r="E377" s="1708">
        <f>+E376</f>
        <v>-2407712.2600000002</v>
      </c>
      <c r="I377" s="1705"/>
      <c r="J377" s="1704"/>
      <c r="K377" s="1708">
        <f>+K376</f>
        <v>-2407712</v>
      </c>
      <c r="N377" s="1709"/>
    </row>
    <row r="378" spans="1:15" ht="12.75" thickTop="1">
      <c r="A378" s="1701"/>
      <c r="B378" s="1704"/>
      <c r="D378" s="1704"/>
      <c r="E378" s="1705"/>
      <c r="I378" s="1705"/>
      <c r="J378" s="1704"/>
      <c r="K378" s="1705"/>
      <c r="N378" s="1709"/>
    </row>
    <row r="379" spans="1:15" ht="24">
      <c r="A379" s="1701" t="s">
        <v>2600</v>
      </c>
      <c r="B379" s="1704"/>
      <c r="C379" s="1703" t="s">
        <v>1385</v>
      </c>
      <c r="D379" s="1704"/>
      <c r="E379" s="1705">
        <f>+'A 19'!G49</f>
        <v>137673.51</v>
      </c>
      <c r="G379" s="1693" t="s">
        <v>2601</v>
      </c>
      <c r="I379" s="1703" t="s">
        <v>1385</v>
      </c>
      <c r="J379" s="1704"/>
      <c r="K379" s="1705">
        <f>195091-68239</f>
        <v>126852</v>
      </c>
      <c r="M379" s="1693" t="s">
        <v>2538</v>
      </c>
      <c r="N379" s="1709">
        <f>+K379-E379</f>
        <v>-10821.510000000009</v>
      </c>
      <c r="O379" s="1698" t="s">
        <v>2602</v>
      </c>
    </row>
    <row r="380" spans="1:15" ht="12.75" thickBot="1">
      <c r="A380" s="1701"/>
      <c r="B380" s="1704"/>
      <c r="D380" s="1704"/>
      <c r="E380" s="1705"/>
      <c r="I380" s="1705"/>
      <c r="J380" s="1704"/>
      <c r="K380" s="1708">
        <f>+K379</f>
        <v>126852</v>
      </c>
      <c r="N380" s="1709"/>
    </row>
    <row r="381" spans="1:15" ht="12.75" thickTop="1">
      <c r="A381" s="1701"/>
      <c r="B381" s="1704"/>
      <c r="D381" s="1704"/>
      <c r="E381" s="1705"/>
      <c r="I381" s="1705"/>
      <c r="J381" s="1704"/>
      <c r="K381" s="1705"/>
    </row>
    <row r="382" spans="1:15" ht="36.75" thickBot="1">
      <c r="A382" s="1701" t="s">
        <v>2603</v>
      </c>
      <c r="B382" s="1704"/>
      <c r="C382" s="1703" t="s">
        <v>2604</v>
      </c>
      <c r="D382" s="1704"/>
      <c r="E382" s="1731">
        <f>+E363+E371+E374+E377+E360+E379</f>
        <v>6712305.7300000004</v>
      </c>
      <c r="I382" s="1732" t="s">
        <v>2567</v>
      </c>
      <c r="J382" s="1717"/>
      <c r="K382" s="1731">
        <f>+K363+K371+K374+K377+K380+K360</f>
        <v>6701485</v>
      </c>
      <c r="N382" s="1709">
        <f>+E382-K382</f>
        <v>10820.730000000447</v>
      </c>
      <c r="O382" s="1698" t="s">
        <v>2578</v>
      </c>
    </row>
    <row r="383" spans="1:15" ht="12.75" thickTop="1">
      <c r="A383" s="1701"/>
      <c r="B383" s="1704"/>
      <c r="D383" s="1704"/>
      <c r="E383" s="1705"/>
      <c r="I383" s="1705"/>
      <c r="J383" s="1704"/>
      <c r="K383" s="1705"/>
      <c r="O383" s="1761"/>
    </row>
    <row r="384" spans="1:15">
      <c r="A384" s="1734" t="s">
        <v>2605</v>
      </c>
      <c r="B384" s="1704"/>
      <c r="C384" s="1703" t="s">
        <v>2606</v>
      </c>
      <c r="D384" s="1704"/>
      <c r="E384" s="1705">
        <f>+'B 2'!C17</f>
        <v>1933425.6500000001</v>
      </c>
      <c r="F384" s="1704"/>
      <c r="G384" s="1701">
        <v>400</v>
      </c>
      <c r="H384" s="1704"/>
      <c r="I384" s="1703" t="s">
        <v>2606</v>
      </c>
      <c r="J384" s="1704"/>
      <c r="K384" s="1705">
        <v>1933426</v>
      </c>
      <c r="L384" s="1704"/>
      <c r="M384" s="1693" t="s">
        <v>2607</v>
      </c>
    </row>
    <row r="385" spans="1:15" ht="12.75" thickBot="1">
      <c r="A385" s="1734"/>
      <c r="B385" s="1704"/>
      <c r="D385" s="1704"/>
      <c r="E385" s="1708">
        <f>+E384</f>
        <v>1933425.6500000001</v>
      </c>
      <c r="F385" s="1704"/>
      <c r="G385" s="1701"/>
      <c r="H385" s="1704"/>
      <c r="J385" s="1704"/>
      <c r="K385" s="1708">
        <f>+K384</f>
        <v>1933426</v>
      </c>
      <c r="L385" s="1704"/>
      <c r="M385" s="1701"/>
      <c r="N385" s="1709">
        <f>E385-K385</f>
        <v>-0.34999999986030161</v>
      </c>
    </row>
    <row r="386" spans="1:15" ht="12.75" thickTop="1">
      <c r="B386" s="1704"/>
      <c r="D386" s="1704"/>
      <c r="E386" s="1705"/>
      <c r="F386" s="1704"/>
      <c r="G386" s="1701"/>
      <c r="H386" s="1704"/>
      <c r="J386" s="1704"/>
      <c r="K386" s="1705"/>
      <c r="L386" s="1704"/>
      <c r="M386" s="1701"/>
    </row>
    <row r="387" spans="1:15">
      <c r="A387" s="1734" t="s">
        <v>2608</v>
      </c>
      <c r="B387" s="1704"/>
      <c r="C387" s="1703" t="s">
        <v>461</v>
      </c>
      <c r="D387" s="1704"/>
      <c r="E387" s="1705">
        <f>+'B 2'!C19</f>
        <v>1083854.75</v>
      </c>
      <c r="F387" s="1704"/>
      <c r="G387" s="1701">
        <v>401</v>
      </c>
      <c r="H387" s="1704"/>
      <c r="I387" s="1703" t="s">
        <v>461</v>
      </c>
      <c r="J387" s="1704"/>
      <c r="K387" s="1705">
        <v>1083855</v>
      </c>
      <c r="L387" s="1704"/>
      <c r="M387" s="1693" t="s">
        <v>2607</v>
      </c>
      <c r="N387" s="1709">
        <f>E387-K387</f>
        <v>-0.25</v>
      </c>
    </row>
    <row r="388" spans="1:15" ht="12.75" thickBot="1">
      <c r="A388" s="1734"/>
      <c r="B388" s="1704"/>
      <c r="D388" s="1704"/>
      <c r="E388" s="1708">
        <f>+E387</f>
        <v>1083854.75</v>
      </c>
      <c r="F388" s="1704"/>
      <c r="G388" s="1701"/>
      <c r="H388" s="1704"/>
      <c r="J388" s="1704"/>
      <c r="K388" s="1708">
        <f>+K387</f>
        <v>1083855</v>
      </c>
      <c r="L388" s="1704"/>
      <c r="M388" s="1701"/>
      <c r="N388" s="1709"/>
    </row>
    <row r="389" spans="1:15" ht="12.75" thickTop="1">
      <c r="B389" s="1704"/>
      <c r="D389" s="1704"/>
      <c r="E389" s="1705"/>
      <c r="F389" s="1704"/>
      <c r="G389" s="1701"/>
      <c r="H389" s="1704"/>
      <c r="J389" s="1704"/>
      <c r="K389" s="1705"/>
      <c r="L389" s="1704"/>
      <c r="M389" s="1701"/>
    </row>
    <row r="390" spans="1:15">
      <c r="A390" s="1734" t="s">
        <v>2609</v>
      </c>
      <c r="B390" s="1704"/>
      <c r="C390" s="1703" t="s">
        <v>462</v>
      </c>
      <c r="D390" s="1704"/>
      <c r="E390" s="1705">
        <f>+'B 2'!C21+'B 2'!C23</f>
        <v>212843.41</v>
      </c>
      <c r="F390" s="1704"/>
      <c r="G390" s="1701">
        <v>403</v>
      </c>
      <c r="H390" s="1704"/>
      <c r="I390" s="1703" t="s">
        <v>462</v>
      </c>
      <c r="J390" s="1704"/>
      <c r="K390" s="1705">
        <v>212843</v>
      </c>
      <c r="L390" s="1704"/>
      <c r="M390" s="1693" t="s">
        <v>2607</v>
      </c>
    </row>
    <row r="391" spans="1:15" ht="12.75" thickBot="1">
      <c r="A391" s="1734"/>
      <c r="B391" s="1704"/>
      <c r="D391" s="1704"/>
      <c r="E391" s="1708">
        <f>+E390</f>
        <v>212843.41</v>
      </c>
      <c r="F391" s="1704"/>
      <c r="G391" s="1701"/>
      <c r="H391" s="1704"/>
      <c r="J391" s="1704"/>
      <c r="K391" s="1708">
        <f>+K390</f>
        <v>212843</v>
      </c>
      <c r="L391" s="1704"/>
      <c r="M391" s="1701"/>
      <c r="N391" s="1709">
        <f>E391-K391</f>
        <v>0.41000000000349246</v>
      </c>
      <c r="O391" s="1765"/>
    </row>
    <row r="392" spans="1:15" ht="12.75" thickTop="1">
      <c r="A392" s="1734"/>
      <c r="B392" s="1704"/>
      <c r="D392" s="1704"/>
      <c r="E392" s="1705"/>
      <c r="F392" s="1704"/>
      <c r="G392" s="1701"/>
      <c r="H392" s="1704"/>
      <c r="J392" s="1704"/>
      <c r="K392" s="1705"/>
      <c r="L392" s="1704"/>
      <c r="M392" s="1701"/>
    </row>
    <row r="393" spans="1:15">
      <c r="A393" s="1734" t="s">
        <v>2610</v>
      </c>
      <c r="B393" s="1704"/>
      <c r="C393" s="1703" t="s">
        <v>464</v>
      </c>
      <c r="D393" s="1704"/>
      <c r="E393" s="1705">
        <f>+'B 2'!C25</f>
        <v>116456.81</v>
      </c>
      <c r="F393" s="1704"/>
      <c r="G393" s="1701">
        <v>408</v>
      </c>
      <c r="H393" s="1704"/>
      <c r="I393" s="1703" t="s">
        <v>464</v>
      </c>
      <c r="J393" s="1704"/>
      <c r="K393" s="1705">
        <v>116458</v>
      </c>
      <c r="L393" s="1704"/>
      <c r="M393" s="1693" t="s">
        <v>2607</v>
      </c>
    </row>
    <row r="394" spans="1:15" ht="12.75" thickBot="1">
      <c r="A394" s="1734"/>
      <c r="B394" s="1704"/>
      <c r="D394" s="1704"/>
      <c r="E394" s="1708">
        <f>+E393:E393</f>
        <v>116456.81</v>
      </c>
      <c r="F394" s="1704"/>
      <c r="G394" s="1701"/>
      <c r="H394" s="1704"/>
      <c r="J394" s="1704"/>
      <c r="K394" s="1708">
        <f>+K393</f>
        <v>116458</v>
      </c>
      <c r="L394" s="1704"/>
      <c r="M394" s="1701"/>
      <c r="N394" s="1709">
        <f>E394-K394</f>
        <v>-1.1900000000023283</v>
      </c>
      <c r="O394" s="1766" t="s">
        <v>2629</v>
      </c>
    </row>
    <row r="395" spans="1:15" ht="12.75" thickTop="1">
      <c r="B395" s="1704"/>
      <c r="D395" s="1704"/>
      <c r="E395" s="1705"/>
      <c r="F395" s="1704"/>
      <c r="G395" s="1701"/>
      <c r="H395" s="1704"/>
      <c r="J395" s="1704"/>
      <c r="K395" s="1705"/>
      <c r="L395" s="1704"/>
      <c r="M395" s="1701"/>
      <c r="N395" s="1709"/>
    </row>
    <row r="396" spans="1:15">
      <c r="A396" s="1703"/>
      <c r="E396" s="1703"/>
      <c r="F396" s="1704"/>
      <c r="G396" s="1693">
        <v>409.1</v>
      </c>
      <c r="H396" s="1704"/>
      <c r="I396" s="1703" t="s">
        <v>1283</v>
      </c>
      <c r="J396" s="1704"/>
      <c r="K396" s="1705">
        <v>4470</v>
      </c>
      <c r="L396" s="1704"/>
      <c r="M396" s="1693" t="s">
        <v>2607</v>
      </c>
    </row>
    <row r="397" spans="1:15">
      <c r="A397" s="1734"/>
      <c r="B397" s="1704"/>
      <c r="D397" s="1704"/>
      <c r="E397" s="1705"/>
      <c r="F397" s="1704"/>
      <c r="G397" s="1693">
        <v>410.1</v>
      </c>
      <c r="H397" s="1704"/>
      <c r="I397" s="1703" t="s">
        <v>2611</v>
      </c>
      <c r="J397" s="1704"/>
      <c r="K397" s="1705">
        <v>97659</v>
      </c>
      <c r="L397" s="1704"/>
      <c r="M397" s="1693" t="s">
        <v>2607</v>
      </c>
    </row>
    <row r="398" spans="1:15">
      <c r="A398" s="1734" t="s">
        <v>2612</v>
      </c>
      <c r="B398" s="1704"/>
      <c r="C398" s="1703" t="s">
        <v>467</v>
      </c>
      <c r="D398" s="1704"/>
      <c r="E398" s="1705">
        <f>+'B 2'!C27</f>
        <v>119897.98</v>
      </c>
      <c r="F398" s="1704"/>
      <c r="G398" s="1693">
        <v>410.11</v>
      </c>
      <c r="H398" s="1704"/>
      <c r="I398" s="1703" t="s">
        <v>2613</v>
      </c>
      <c r="J398" s="1704"/>
      <c r="K398" s="1705">
        <v>17768</v>
      </c>
      <c r="L398" s="1704"/>
      <c r="M398" s="1693" t="s">
        <v>2607</v>
      </c>
    </row>
    <row r="399" spans="1:15" ht="12.75" thickBot="1">
      <c r="A399" s="1734"/>
      <c r="B399" s="1704"/>
      <c r="D399" s="1704"/>
      <c r="E399" s="1708">
        <f>+E398</f>
        <v>119897.98</v>
      </c>
      <c r="F399" s="1704"/>
      <c r="G399" s="1701"/>
      <c r="H399" s="1704"/>
      <c r="J399" s="1704"/>
      <c r="K399" s="1708">
        <f>+K396+K397+K398</f>
        <v>119897</v>
      </c>
      <c r="L399" s="1704"/>
      <c r="M399" s="1701"/>
      <c r="N399" s="1709">
        <f>E399-K399</f>
        <v>0.97999999999592546</v>
      </c>
      <c r="O399" s="1766" t="s">
        <v>2629</v>
      </c>
    </row>
    <row r="400" spans="1:15" ht="12.75" thickTop="1">
      <c r="B400" s="1704"/>
      <c r="D400" s="1704"/>
      <c r="E400" s="1705"/>
      <c r="F400" s="1704"/>
      <c r="G400" s="1701"/>
      <c r="H400" s="1704"/>
      <c r="J400" s="1704"/>
      <c r="K400" s="1705"/>
      <c r="L400" s="1704"/>
      <c r="M400" s="1701"/>
    </row>
    <row r="401" spans="1:15">
      <c r="A401" s="1701"/>
      <c r="B401" s="1704"/>
      <c r="D401" s="1704"/>
      <c r="E401" s="1705"/>
    </row>
    <row r="402" spans="1:15">
      <c r="A402" s="1701" t="s">
        <v>2614</v>
      </c>
      <c r="B402" s="1735"/>
      <c r="C402" s="1736" t="s">
        <v>2615</v>
      </c>
      <c r="D402" s="1735"/>
      <c r="E402" s="1705">
        <f>-'Rev &amp; other exp'!Q97</f>
        <v>499.4</v>
      </c>
      <c r="F402" s="1737"/>
      <c r="G402" s="1693">
        <v>414</v>
      </c>
      <c r="I402" s="1703" t="s">
        <v>2615</v>
      </c>
      <c r="K402" s="1706">
        <v>499</v>
      </c>
      <c r="M402" s="1693" t="s">
        <v>2607</v>
      </c>
    </row>
    <row r="403" spans="1:15" ht="12.75" thickBot="1">
      <c r="A403" s="1738"/>
      <c r="B403" s="1735"/>
      <c r="C403" s="1737"/>
      <c r="D403" s="1735"/>
      <c r="E403" s="1708">
        <f>+E402</f>
        <v>499.4</v>
      </c>
      <c r="F403" s="1737"/>
      <c r="K403" s="1708">
        <f>+K402</f>
        <v>499</v>
      </c>
      <c r="N403" s="1709">
        <f>E403-K403</f>
        <v>0.39999999999997726</v>
      </c>
    </row>
    <row r="404" spans="1:15" ht="12.75" thickTop="1">
      <c r="A404" s="1738"/>
      <c r="B404" s="1735"/>
      <c r="C404" s="1737"/>
      <c r="D404" s="1735"/>
      <c r="E404" s="1705"/>
      <c r="F404" s="1737"/>
      <c r="K404" s="1705"/>
      <c r="N404" s="1709"/>
    </row>
    <row r="405" spans="1:15">
      <c r="A405" s="1739" t="s">
        <v>2616</v>
      </c>
      <c r="B405" s="1740"/>
      <c r="C405" s="1741" t="s">
        <v>530</v>
      </c>
      <c r="D405" s="1740"/>
      <c r="E405" s="1742">
        <f>-'C 4'!C13</f>
        <v>20818.25</v>
      </c>
      <c r="F405" s="1741"/>
      <c r="G405" s="1743">
        <v>420</v>
      </c>
      <c r="H405" s="1741"/>
      <c r="I405" s="1741" t="s">
        <v>2617</v>
      </c>
      <c r="J405" s="1741"/>
      <c r="K405" s="1742">
        <v>20818</v>
      </c>
      <c r="L405" s="1741"/>
      <c r="M405" s="1693" t="s">
        <v>2607</v>
      </c>
      <c r="N405" s="1744"/>
      <c r="O405" s="1766"/>
    </row>
    <row r="406" spans="1:15" ht="12.75" thickBot="1">
      <c r="A406" s="1739"/>
      <c r="B406" s="1740"/>
      <c r="C406" s="1741"/>
      <c r="D406" s="1740"/>
      <c r="E406" s="1708">
        <f>+E405</f>
        <v>20818.25</v>
      </c>
      <c r="F406" s="1741"/>
      <c r="G406" s="1743"/>
      <c r="H406" s="1741"/>
      <c r="I406" s="1741"/>
      <c r="J406" s="1741"/>
      <c r="K406" s="1708">
        <f>+K405</f>
        <v>20818</v>
      </c>
      <c r="L406" s="1741"/>
      <c r="M406" s="1743"/>
      <c r="N406" s="1709">
        <f>E406-K406</f>
        <v>0.25</v>
      </c>
      <c r="O406" s="1766"/>
    </row>
    <row r="407" spans="1:15" ht="12.75" thickTop="1">
      <c r="A407" s="1739"/>
      <c r="B407" s="1740"/>
      <c r="C407" s="1741"/>
      <c r="D407" s="1740"/>
      <c r="E407" s="1742"/>
      <c r="F407" s="1741"/>
      <c r="G407" s="1743"/>
      <c r="H407" s="1741"/>
      <c r="I407" s="1741"/>
      <c r="J407" s="1741"/>
      <c r="K407" s="1742"/>
      <c r="L407" s="1741"/>
      <c r="M407" s="1743"/>
      <c r="N407" s="1744"/>
      <c r="O407" s="1766"/>
    </row>
    <row r="408" spans="1:15">
      <c r="A408" s="1739" t="s">
        <v>2618</v>
      </c>
      <c r="B408" s="1740"/>
      <c r="C408" s="1741" t="s">
        <v>598</v>
      </c>
      <c r="D408" s="1740"/>
      <c r="E408" s="1742">
        <f>+'C 3'!C23</f>
        <v>111210.4</v>
      </c>
      <c r="F408" s="1741"/>
      <c r="G408" s="1743"/>
      <c r="H408" s="1741"/>
      <c r="I408" s="1741"/>
      <c r="J408" s="1741"/>
      <c r="K408" s="1742"/>
      <c r="L408" s="1741"/>
      <c r="M408" s="1743"/>
      <c r="N408" s="1744"/>
      <c r="O408" s="1766"/>
    </row>
    <row r="409" spans="1:15">
      <c r="A409" s="1739" t="s">
        <v>2618</v>
      </c>
      <c r="B409" s="1740"/>
      <c r="C409" s="1741" t="s">
        <v>1309</v>
      </c>
      <c r="D409" s="1740"/>
      <c r="E409" s="1742">
        <f>+'C 3'!C21</f>
        <v>789.69999999999993</v>
      </c>
      <c r="F409" s="1741"/>
      <c r="G409" s="1743">
        <v>427</v>
      </c>
      <c r="H409" s="1741"/>
      <c r="I409" s="1741" t="s">
        <v>2619</v>
      </c>
      <c r="J409" s="1741"/>
      <c r="K409" s="1742">
        <v>112000</v>
      </c>
      <c r="L409" s="1741"/>
      <c r="M409" s="1693" t="s">
        <v>2620</v>
      </c>
      <c r="N409" s="1744"/>
      <c r="O409" s="1766"/>
    </row>
    <row r="410" spans="1:15" ht="12.75" thickBot="1">
      <c r="A410" s="1739"/>
      <c r="B410" s="1740"/>
      <c r="C410" s="1741"/>
      <c r="D410" s="1740"/>
      <c r="E410" s="1708">
        <f>+E408+E409</f>
        <v>112000.09999999999</v>
      </c>
      <c r="F410" s="1741"/>
      <c r="G410" s="1743"/>
      <c r="H410" s="1741"/>
      <c r="I410" s="1741"/>
      <c r="J410" s="1741"/>
      <c r="K410" s="1708">
        <f>+K408+K409</f>
        <v>112000</v>
      </c>
      <c r="L410" s="1741"/>
      <c r="M410" s="1743"/>
      <c r="N410" s="1709">
        <f>E410-K410</f>
        <v>9.9999999991268851E-2</v>
      </c>
      <c r="O410" s="1766"/>
    </row>
    <row r="411" spans="1:15" ht="12.75" thickTop="1">
      <c r="A411" s="1739"/>
      <c r="B411" s="1740"/>
      <c r="C411" s="1741"/>
      <c r="D411" s="1740"/>
      <c r="E411" s="1742"/>
      <c r="F411" s="1741"/>
      <c r="G411" s="1743"/>
      <c r="H411" s="1741"/>
      <c r="I411" s="1741"/>
      <c r="J411" s="1741"/>
      <c r="K411" s="1742"/>
      <c r="L411" s="1741"/>
      <c r="M411" s="1743"/>
      <c r="N411" s="1744"/>
      <c r="O411" s="1766"/>
    </row>
    <row r="412" spans="1:15">
      <c r="A412" s="1739"/>
      <c r="B412" s="1740"/>
      <c r="C412" s="1741"/>
      <c r="D412" s="1740"/>
      <c r="E412" s="1742"/>
      <c r="F412" s="1741"/>
      <c r="G412" s="1743"/>
      <c r="H412" s="1741"/>
      <c r="I412" s="1741"/>
      <c r="J412" s="1741"/>
      <c r="K412" s="1745"/>
      <c r="L412" s="1741"/>
      <c r="M412" s="1743"/>
      <c r="N412" s="1746"/>
      <c r="O412" s="1766"/>
    </row>
    <row r="413" spans="1:15" s="1719" customFormat="1">
      <c r="A413" s="1747"/>
      <c r="B413" s="1748"/>
      <c r="C413" s="1749" t="s">
        <v>2621</v>
      </c>
      <c r="D413" s="1748"/>
      <c r="E413" s="1750"/>
      <c r="F413" s="1749"/>
      <c r="G413" s="1743"/>
      <c r="H413" s="1749"/>
      <c r="I413" s="1749"/>
      <c r="J413" s="1749"/>
      <c r="K413" s="1751"/>
      <c r="L413" s="1749"/>
      <c r="M413" s="1752"/>
      <c r="N413" s="1753"/>
      <c r="O413" s="1767"/>
    </row>
    <row r="414" spans="1:15">
      <c r="A414" s="1754"/>
      <c r="B414" s="1741"/>
      <c r="C414" s="1741"/>
      <c r="D414" s="1741"/>
      <c r="E414" s="1745"/>
      <c r="F414" s="1741"/>
      <c r="G414" s="1743"/>
      <c r="H414" s="1741"/>
      <c r="I414" s="1741"/>
      <c r="J414" s="1741"/>
      <c r="K414" s="1745"/>
      <c r="L414" s="1741"/>
      <c r="M414" s="1743"/>
      <c r="N414" s="1746"/>
      <c r="O414" s="1766"/>
    </row>
  </sheetData>
  <pageMargins left="0.7" right="0.7" top="0.75" bottom="0.75" header="0.3" footer="0.3"/>
  <pageSetup scale="74" fitToHeight="9" orientation="landscape" horizontalDpi="4294967293" verticalDpi="4294967293" r:id="rId1"/>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3"/>
  <dimension ref="A1:X151"/>
  <sheetViews>
    <sheetView workbookViewId="0">
      <selection activeCell="D34" sqref="D34"/>
    </sheetView>
  </sheetViews>
  <sheetFormatPr defaultRowHeight="12.75"/>
  <cols>
    <col min="1" max="1" width="30.28515625" customWidth="1"/>
    <col min="2" max="2" width="10.85546875" customWidth="1"/>
    <col min="3" max="3" width="9.85546875" bestFit="1" customWidth="1"/>
    <col min="4" max="4" width="10.7109375" customWidth="1"/>
    <col min="5" max="5" width="9.85546875" bestFit="1" customWidth="1"/>
    <col min="6" max="6" width="11.28515625" bestFit="1" customWidth="1"/>
    <col min="7" max="7" width="9.85546875" bestFit="1" customWidth="1"/>
    <col min="8" max="8" width="10.7109375" customWidth="1"/>
    <col min="9" max="9" width="9.7109375" bestFit="1" customWidth="1"/>
    <col min="10" max="10" width="10" customWidth="1"/>
    <col min="11" max="11" width="9.85546875" bestFit="1" customWidth="1"/>
    <col min="12" max="13" width="9.85546875" customWidth="1"/>
    <col min="14" max="14" width="10.85546875" customWidth="1"/>
    <col min="15" max="15" width="9.85546875" bestFit="1" customWidth="1"/>
    <col min="16" max="16" width="8.140625" customWidth="1"/>
    <col min="17" max="17" width="9.85546875" bestFit="1" customWidth="1"/>
    <col min="18" max="18" width="9.28515625" customWidth="1"/>
    <col min="19" max="19" width="9.85546875" bestFit="1" customWidth="1"/>
    <col min="20" max="21" width="9.85546875" customWidth="1"/>
    <col min="22" max="22" width="20.85546875" customWidth="1"/>
    <col min="23" max="23" width="0" hidden="1" customWidth="1"/>
    <col min="24" max="24" width="10.7109375" bestFit="1" customWidth="1"/>
  </cols>
  <sheetData>
    <row r="1" spans="1:24">
      <c r="A1" s="1020" t="s">
        <v>2657</v>
      </c>
      <c r="D1" s="1795"/>
      <c r="E1" s="1795"/>
      <c r="F1" s="1796"/>
      <c r="G1" s="1795"/>
      <c r="H1" s="1796"/>
      <c r="I1" s="1797"/>
      <c r="L1" s="1798"/>
      <c r="M1" s="1799"/>
      <c r="P1" s="1795"/>
      <c r="Q1" s="1797"/>
      <c r="R1" s="1795"/>
      <c r="S1" s="1799"/>
      <c r="T1" s="1795"/>
      <c r="U1" s="1800"/>
      <c r="V1" s="1801"/>
      <c r="W1" s="1020"/>
    </row>
    <row r="2" spans="1:24">
      <c r="A2" s="1020" t="s">
        <v>2658</v>
      </c>
      <c r="D2" s="1795"/>
      <c r="E2" s="1795"/>
      <c r="F2" s="1796"/>
      <c r="G2" s="1795"/>
      <c r="H2" s="1796"/>
      <c r="I2" s="1797"/>
      <c r="L2" s="1798"/>
      <c r="M2" s="1799"/>
      <c r="P2" s="1795"/>
      <c r="Q2" s="1797"/>
      <c r="R2" s="1795"/>
      <c r="S2" s="1799"/>
      <c r="T2" s="1795"/>
      <c r="U2" s="1800"/>
      <c r="V2" s="1801"/>
      <c r="W2" s="1020"/>
    </row>
    <row r="3" spans="1:24">
      <c r="A3" t="s">
        <v>2659</v>
      </c>
      <c r="D3" s="1795"/>
      <c r="E3" s="1795"/>
      <c r="F3" s="1796"/>
      <c r="G3" s="1795"/>
      <c r="H3" s="1796"/>
      <c r="I3" s="1797"/>
      <c r="L3" s="1798"/>
      <c r="M3" s="1799"/>
      <c r="P3" s="1795"/>
      <c r="Q3" s="1797"/>
      <c r="R3" s="1795"/>
      <c r="S3" s="1799"/>
      <c r="T3" s="1795"/>
      <c r="U3" s="1800"/>
      <c r="V3" s="1801"/>
      <c r="W3" s="1020"/>
    </row>
    <row r="4" spans="1:24">
      <c r="A4" t="s">
        <v>2660</v>
      </c>
      <c r="D4" s="1795"/>
      <c r="E4" s="1795"/>
      <c r="F4" s="1796"/>
      <c r="G4" s="1795"/>
      <c r="H4" s="1796"/>
      <c r="I4" s="1797"/>
      <c r="L4" s="1798"/>
      <c r="M4" s="1799"/>
      <c r="P4" s="1795"/>
      <c r="Q4" s="1797"/>
      <c r="R4" s="1795"/>
      <c r="S4" s="1799"/>
      <c r="T4" s="1795"/>
      <c r="U4" s="1800"/>
      <c r="V4" s="1801"/>
      <c r="W4" s="1020"/>
    </row>
    <row r="5" spans="1:24">
      <c r="A5" t="s">
        <v>2661</v>
      </c>
      <c r="D5" s="1795"/>
      <c r="E5" s="1795"/>
      <c r="F5" s="1796"/>
      <c r="G5" s="1795"/>
      <c r="H5" s="1796"/>
      <c r="I5" s="1797"/>
      <c r="L5" s="1798"/>
      <c r="M5" s="1799"/>
      <c r="P5" s="1795"/>
      <c r="Q5" s="1797"/>
      <c r="R5" s="1795"/>
      <c r="S5" s="1799"/>
      <c r="T5" s="1795"/>
      <c r="U5" s="1800"/>
      <c r="V5" s="1801"/>
      <c r="W5" s="1020"/>
    </row>
    <row r="6" spans="1:24">
      <c r="D6" s="1795"/>
      <c r="E6" s="1795"/>
      <c r="F6" s="1796"/>
      <c r="G6" s="1795"/>
      <c r="H6" s="1796"/>
      <c r="I6" s="1797"/>
      <c r="L6" s="1798"/>
      <c r="M6" s="1799"/>
      <c r="P6" s="1795"/>
      <c r="Q6" s="1797"/>
      <c r="R6" s="1795"/>
      <c r="S6" s="1799"/>
      <c r="T6" s="1795"/>
      <c r="U6" s="1800"/>
      <c r="V6" s="1801"/>
      <c r="W6" s="1020"/>
    </row>
    <row r="7" spans="1:24">
      <c r="B7" s="2350" t="s">
        <v>2662</v>
      </c>
      <c r="C7" s="2350"/>
      <c r="D7" s="2352" t="s">
        <v>2663</v>
      </c>
      <c r="E7" s="2352"/>
      <c r="F7" s="2352" t="s">
        <v>2664</v>
      </c>
      <c r="G7" s="2352"/>
      <c r="H7" s="2351" t="s">
        <v>2665</v>
      </c>
      <c r="I7" s="2352"/>
      <c r="J7" s="2349" t="s">
        <v>2666</v>
      </c>
      <c r="K7" s="2350"/>
      <c r="L7" s="2354" t="s">
        <v>2667</v>
      </c>
      <c r="M7" s="2353"/>
      <c r="N7" s="2349" t="s">
        <v>2668</v>
      </c>
      <c r="O7" s="2350"/>
      <c r="P7" s="2351" t="s">
        <v>2669</v>
      </c>
      <c r="Q7" s="2352"/>
      <c r="R7" s="2353" t="s">
        <v>2670</v>
      </c>
      <c r="S7" s="2353"/>
      <c r="T7" s="1802" t="s">
        <v>2671</v>
      </c>
      <c r="U7" s="1803" t="s">
        <v>2672</v>
      </c>
      <c r="V7" s="1801"/>
      <c r="W7" s="1020"/>
      <c r="X7" s="1804" t="s">
        <v>2673</v>
      </c>
    </row>
    <row r="8" spans="1:24" ht="15.75">
      <c r="B8" s="2349" t="s">
        <v>2674</v>
      </c>
      <c r="C8" s="2350"/>
      <c r="D8" s="2352" t="s">
        <v>2675</v>
      </c>
      <c r="E8" s="2352"/>
      <c r="F8" s="2351" t="s">
        <v>2674</v>
      </c>
      <c r="G8" s="2352"/>
      <c r="H8" s="2351" t="s">
        <v>2676</v>
      </c>
      <c r="I8" s="2352"/>
      <c r="J8" s="2349" t="s">
        <v>2677</v>
      </c>
      <c r="K8" s="2350"/>
      <c r="L8" s="2349" t="s">
        <v>2678</v>
      </c>
      <c r="M8" s="2350"/>
      <c r="N8" s="2349" t="s">
        <v>2679</v>
      </c>
      <c r="O8" s="2350"/>
      <c r="P8" s="2351" t="s">
        <v>2680</v>
      </c>
      <c r="Q8" s="2352"/>
      <c r="R8" s="2352" t="s">
        <v>2681</v>
      </c>
      <c r="S8" s="2352"/>
      <c r="T8" s="1805"/>
      <c r="U8" s="1803" t="s">
        <v>2682</v>
      </c>
      <c r="V8" s="1806" t="s">
        <v>2683</v>
      </c>
      <c r="W8" s="1020" t="s">
        <v>2684</v>
      </c>
      <c r="X8" s="1804" t="s">
        <v>2685</v>
      </c>
    </row>
    <row r="9" spans="1:24" ht="13.5" thickBot="1">
      <c r="A9" s="1807" t="s">
        <v>2686</v>
      </c>
      <c r="B9" s="1807" t="s">
        <v>2687</v>
      </c>
      <c r="C9" s="1807" t="s">
        <v>2688</v>
      </c>
      <c r="D9" s="1808" t="s">
        <v>2687</v>
      </c>
      <c r="E9" s="1808" t="s">
        <v>2688</v>
      </c>
      <c r="F9" s="1809" t="s">
        <v>2687</v>
      </c>
      <c r="G9" s="1808" t="s">
        <v>2688</v>
      </c>
      <c r="H9" s="1810" t="s">
        <v>2689</v>
      </c>
      <c r="I9" s="1811" t="s">
        <v>2688</v>
      </c>
      <c r="J9" s="1812" t="s">
        <v>2690</v>
      </c>
      <c r="K9" s="1807" t="s">
        <v>2688</v>
      </c>
      <c r="L9" s="1813" t="s">
        <v>2691</v>
      </c>
      <c r="M9" s="1814" t="s">
        <v>2692</v>
      </c>
      <c r="N9" s="1815" t="s">
        <v>2693</v>
      </c>
      <c r="O9" s="1807" t="s">
        <v>2688</v>
      </c>
      <c r="P9" s="1812" t="s">
        <v>2690</v>
      </c>
      <c r="Q9" s="1811" t="s">
        <v>2688</v>
      </c>
      <c r="R9" s="1812" t="s">
        <v>2694</v>
      </c>
      <c r="S9" s="1816" t="s">
        <v>2688</v>
      </c>
      <c r="T9" s="1808"/>
      <c r="U9" s="1817" t="s">
        <v>2695</v>
      </c>
      <c r="V9" s="1818"/>
      <c r="W9" s="1815" t="s">
        <v>2696</v>
      </c>
      <c r="X9" s="1819"/>
    </row>
    <row r="10" spans="1:24">
      <c r="A10" s="1820">
        <v>42006</v>
      </c>
      <c r="B10" s="1821"/>
      <c r="C10" s="1822"/>
      <c r="D10" s="1822">
        <v>275</v>
      </c>
      <c r="E10" s="1822">
        <v>2.75</v>
      </c>
      <c r="F10" s="1823"/>
      <c r="G10" s="1822"/>
      <c r="H10" s="1823"/>
      <c r="I10" s="1824"/>
      <c r="J10" s="1822"/>
      <c r="K10" s="1822"/>
      <c r="L10" s="1825"/>
      <c r="M10" s="1826"/>
      <c r="N10" s="1821"/>
      <c r="O10" s="1822"/>
      <c r="P10" s="1822"/>
      <c r="Q10" s="1824"/>
      <c r="R10" s="1822"/>
      <c r="S10" s="1826"/>
      <c r="T10" s="1826"/>
      <c r="U10" s="1827"/>
      <c r="V10" s="1828">
        <f t="shared" ref="V10:V73" si="0">B10*C10+D10*E10+F10*G10+H10*I10+J10*K10+L10*M10+N10*O10+P10*Q10+R10*S10+T10+U10</f>
        <v>756.25</v>
      </c>
      <c r="W10" s="1020"/>
    </row>
    <row r="11" spans="1:24">
      <c r="A11" s="1820">
        <v>42006</v>
      </c>
      <c r="B11" s="1829">
        <v>1250</v>
      </c>
      <c r="C11" s="1830">
        <v>1.3</v>
      </c>
      <c r="D11" s="1831"/>
      <c r="E11" s="1831"/>
      <c r="F11" s="1832"/>
      <c r="G11" s="1831"/>
      <c r="H11" s="1832"/>
      <c r="I11" s="1833"/>
      <c r="J11" s="1831"/>
      <c r="K11" s="1831"/>
      <c r="L11" s="1834"/>
      <c r="M11" s="1830"/>
      <c r="N11" s="1829"/>
      <c r="O11" s="1831"/>
      <c r="P11" s="1831"/>
      <c r="Q11" s="1833"/>
      <c r="R11" s="1831"/>
      <c r="S11" s="1830"/>
      <c r="T11" s="1830"/>
      <c r="U11" s="1835"/>
      <c r="V11" s="1828">
        <f t="shared" si="0"/>
        <v>1625</v>
      </c>
      <c r="W11" s="1020">
        <v>56</v>
      </c>
      <c r="X11" s="1020"/>
    </row>
    <row r="12" spans="1:24">
      <c r="A12" s="1836">
        <v>42013</v>
      </c>
      <c r="B12" s="1837">
        <v>550</v>
      </c>
      <c r="C12" s="1838">
        <v>1.3</v>
      </c>
      <c r="D12" s="1839"/>
      <c r="E12" s="1839"/>
      <c r="F12" s="1840"/>
      <c r="G12" s="1841"/>
      <c r="H12" s="1840"/>
      <c r="I12" s="1842"/>
      <c r="J12" s="1837"/>
      <c r="K12" s="1841"/>
      <c r="L12" s="1843"/>
      <c r="M12" s="1838"/>
      <c r="N12" s="1837"/>
      <c r="O12" s="1841"/>
      <c r="P12" s="1837"/>
      <c r="Q12" s="1842"/>
      <c r="R12" s="1841"/>
      <c r="S12" s="1838"/>
      <c r="T12" s="1838"/>
      <c r="U12" s="1844"/>
      <c r="V12" s="1845">
        <f t="shared" si="0"/>
        <v>715</v>
      </c>
      <c r="W12" s="1020">
        <v>1</v>
      </c>
    </row>
    <row r="13" spans="1:24">
      <c r="A13" s="1820">
        <v>42017</v>
      </c>
      <c r="B13" s="1821"/>
      <c r="C13" s="1822"/>
      <c r="D13" s="1822"/>
      <c r="E13" s="1822"/>
      <c r="F13" s="1823"/>
      <c r="G13" s="1822"/>
      <c r="H13" s="1823"/>
      <c r="I13" s="1824"/>
      <c r="J13" s="1822"/>
      <c r="K13" s="1822"/>
      <c r="L13" s="1825"/>
      <c r="M13" s="1826"/>
      <c r="N13" s="1821"/>
      <c r="O13" s="1822"/>
      <c r="P13" s="1822">
        <v>40</v>
      </c>
      <c r="Q13" s="1824">
        <v>3.2974999999999999</v>
      </c>
      <c r="R13" s="1822"/>
      <c r="S13" s="1826"/>
      <c r="T13" s="1826">
        <v>25.9</v>
      </c>
      <c r="U13" s="1827">
        <v>9.24</v>
      </c>
      <c r="V13" s="1828">
        <f t="shared" si="0"/>
        <v>167.04000000000002</v>
      </c>
      <c r="W13" s="1020">
        <v>59</v>
      </c>
    </row>
    <row r="14" spans="1:24">
      <c r="A14" s="1820">
        <v>42018</v>
      </c>
      <c r="B14" s="1829"/>
      <c r="C14" s="1830"/>
      <c r="D14" s="1831"/>
      <c r="E14" s="1831"/>
      <c r="F14" s="1832"/>
      <c r="G14" s="1831"/>
      <c r="H14" s="1832"/>
      <c r="I14" s="1833"/>
      <c r="J14" s="1831"/>
      <c r="K14" s="1831"/>
      <c r="L14" s="1834">
        <v>1</v>
      </c>
      <c r="M14" s="1830">
        <v>220</v>
      </c>
      <c r="N14" s="1829"/>
      <c r="O14" s="1831"/>
      <c r="P14" s="1831"/>
      <c r="Q14" s="1833"/>
      <c r="R14" s="1831"/>
      <c r="S14" s="1830"/>
      <c r="T14" s="1830"/>
      <c r="U14" s="1835">
        <v>15.4</v>
      </c>
      <c r="V14" s="1828">
        <f t="shared" si="0"/>
        <v>235.4</v>
      </c>
      <c r="W14" s="1020">
        <v>3</v>
      </c>
      <c r="X14" s="1020"/>
    </row>
    <row r="15" spans="1:24">
      <c r="A15" s="1836">
        <v>42020</v>
      </c>
      <c r="B15" s="1837"/>
      <c r="C15" s="1838"/>
      <c r="D15" s="1839">
        <v>200</v>
      </c>
      <c r="E15" s="1839">
        <v>2.75</v>
      </c>
      <c r="F15" s="1840"/>
      <c r="G15" s="1841"/>
      <c r="H15" s="1840"/>
      <c r="I15" s="1842"/>
      <c r="J15" s="1837"/>
      <c r="K15" s="1841"/>
      <c r="L15" s="1843"/>
      <c r="M15" s="1838"/>
      <c r="N15" s="1837"/>
      <c r="O15" s="1841"/>
      <c r="P15" s="1837"/>
      <c r="Q15" s="1842"/>
      <c r="R15" s="1841"/>
      <c r="S15" s="1838"/>
      <c r="T15" s="1838"/>
      <c r="U15" s="1844"/>
      <c r="V15" s="1845">
        <f t="shared" si="0"/>
        <v>550</v>
      </c>
      <c r="W15" s="1020">
        <v>2</v>
      </c>
    </row>
    <row r="16" spans="1:24">
      <c r="A16" s="1820">
        <v>42020</v>
      </c>
      <c r="B16" s="1821">
        <v>900</v>
      </c>
      <c r="C16" s="1822">
        <v>1.3</v>
      </c>
      <c r="D16" s="1822"/>
      <c r="E16" s="1822"/>
      <c r="F16" s="1823"/>
      <c r="G16" s="1822"/>
      <c r="H16" s="1823"/>
      <c r="I16" s="1824"/>
      <c r="J16" s="1822"/>
      <c r="K16" s="1822"/>
      <c r="L16" s="1825"/>
      <c r="M16" s="1826"/>
      <c r="N16" s="1821"/>
      <c r="O16" s="1822"/>
      <c r="P16" s="1822"/>
      <c r="Q16" s="1824"/>
      <c r="R16" s="1822"/>
      <c r="S16" s="1826"/>
      <c r="T16" s="1826"/>
      <c r="U16" s="1827"/>
      <c r="V16" s="1828">
        <f t="shared" si="0"/>
        <v>1170</v>
      </c>
      <c r="W16" s="1020">
        <v>58</v>
      </c>
    </row>
    <row r="17" spans="1:24">
      <c r="A17" s="1820">
        <v>42025</v>
      </c>
      <c r="B17" s="1829"/>
      <c r="C17" s="1830"/>
      <c r="D17" s="1831"/>
      <c r="E17" s="1831"/>
      <c r="F17" s="1832"/>
      <c r="G17" s="1831"/>
      <c r="H17" s="1832"/>
      <c r="I17" s="1833"/>
      <c r="J17" s="1831">
        <v>450</v>
      </c>
      <c r="K17" s="1831">
        <v>1.72</v>
      </c>
      <c r="L17" s="1834"/>
      <c r="M17" s="1830"/>
      <c r="N17" s="1829"/>
      <c r="O17" s="1831"/>
      <c r="P17" s="1831"/>
      <c r="Q17" s="1833"/>
      <c r="R17" s="1831"/>
      <c r="S17" s="1830"/>
      <c r="T17" s="1830"/>
      <c r="U17" s="1835">
        <v>50.31</v>
      </c>
      <c r="V17" s="1828">
        <f t="shared" si="0"/>
        <v>824.31</v>
      </c>
      <c r="W17" s="1020">
        <v>60</v>
      </c>
      <c r="X17" s="1020"/>
    </row>
    <row r="18" spans="1:24">
      <c r="A18" s="1836">
        <v>42025</v>
      </c>
      <c r="B18" s="1837"/>
      <c r="C18" s="1838"/>
      <c r="D18" s="1839"/>
      <c r="E18" s="1839"/>
      <c r="F18" s="1840"/>
      <c r="G18" s="1841"/>
      <c r="H18" s="1840">
        <v>45920</v>
      </c>
      <c r="I18" s="1842">
        <v>0.1825</v>
      </c>
      <c r="J18" s="1837"/>
      <c r="K18" s="1841"/>
      <c r="L18" s="1843"/>
      <c r="M18" s="1838"/>
      <c r="N18" s="1837"/>
      <c r="O18" s="1841"/>
      <c r="P18" s="1837"/>
      <c r="Q18" s="1842"/>
      <c r="R18" s="1841"/>
      <c r="S18" s="1838"/>
      <c r="T18" s="1838"/>
      <c r="U18" s="1844">
        <v>544.73</v>
      </c>
      <c r="V18" s="1845">
        <f t="shared" si="0"/>
        <v>8925.1299999999992</v>
      </c>
      <c r="W18" s="1020">
        <v>6</v>
      </c>
    </row>
    <row r="19" spans="1:24">
      <c r="A19" s="1820">
        <v>42027</v>
      </c>
      <c r="B19" s="1821">
        <v>650</v>
      </c>
      <c r="C19" s="1822">
        <v>1.3</v>
      </c>
      <c r="D19" s="1822"/>
      <c r="E19" s="1822"/>
      <c r="F19" s="1823"/>
      <c r="G19" s="1822"/>
      <c r="H19" s="1823"/>
      <c r="I19" s="1824"/>
      <c r="J19" s="1822"/>
      <c r="K19" s="1822"/>
      <c r="L19" s="1825"/>
      <c r="M19" s="1826"/>
      <c r="N19" s="1821"/>
      <c r="O19" s="1822"/>
      <c r="P19" s="1822"/>
      <c r="Q19" s="1824"/>
      <c r="R19" s="1822"/>
      <c r="S19" s="1826"/>
      <c r="T19" s="1826"/>
      <c r="U19" s="1827"/>
      <c r="V19" s="1828">
        <f t="shared" si="0"/>
        <v>845</v>
      </c>
      <c r="W19" s="1020">
        <v>5</v>
      </c>
    </row>
    <row r="20" spans="1:24">
      <c r="A20" s="1820">
        <v>42034</v>
      </c>
      <c r="B20" s="1829"/>
      <c r="C20" s="1830"/>
      <c r="D20" s="1831">
        <v>210</v>
      </c>
      <c r="E20" s="1831">
        <v>2.75</v>
      </c>
      <c r="F20" s="1832"/>
      <c r="G20" s="1831"/>
      <c r="H20" s="1832"/>
      <c r="I20" s="1833"/>
      <c r="J20" s="1831"/>
      <c r="K20" s="1831"/>
      <c r="L20" s="1834"/>
      <c r="M20" s="1830"/>
      <c r="N20" s="1829"/>
      <c r="O20" s="1831"/>
      <c r="P20" s="1831"/>
      <c r="Q20" s="1833"/>
      <c r="R20" s="1831"/>
      <c r="S20" s="1830"/>
      <c r="T20" s="1830"/>
      <c r="U20" s="1835"/>
      <c r="V20" s="1828">
        <f t="shared" si="0"/>
        <v>577.5</v>
      </c>
      <c r="W20" s="1020">
        <v>61</v>
      </c>
      <c r="X20" s="1020"/>
    </row>
    <row r="21" spans="1:24">
      <c r="A21" s="1836">
        <v>42034</v>
      </c>
      <c r="B21" s="1837">
        <v>750</v>
      </c>
      <c r="C21" s="1838">
        <v>1.3</v>
      </c>
      <c r="D21" s="1839"/>
      <c r="E21" s="1839"/>
      <c r="F21" s="1840"/>
      <c r="G21" s="1841"/>
      <c r="H21" s="1840"/>
      <c r="I21" s="1842"/>
      <c r="J21" s="1837"/>
      <c r="K21" s="1841"/>
      <c r="L21" s="1843"/>
      <c r="M21" s="1838"/>
      <c r="N21" s="1837"/>
      <c r="O21" s="1841"/>
      <c r="P21" s="1837"/>
      <c r="Q21" s="1842"/>
      <c r="R21" s="1841"/>
      <c r="S21" s="1838"/>
      <c r="T21" s="1838"/>
      <c r="U21" s="1844"/>
      <c r="V21" s="1845">
        <f t="shared" si="0"/>
        <v>975</v>
      </c>
      <c r="W21" s="1020"/>
      <c r="X21" s="1846">
        <f>SUM(V10:V21)</f>
        <v>17365.629999999997</v>
      </c>
    </row>
    <row r="22" spans="1:24">
      <c r="A22" s="1847">
        <v>42041</v>
      </c>
      <c r="B22" s="1848">
        <v>750</v>
      </c>
      <c r="C22">
        <v>1.3</v>
      </c>
      <c r="D22" s="1795"/>
      <c r="E22" s="1795"/>
      <c r="F22" s="1796"/>
      <c r="G22" s="1795"/>
      <c r="H22" s="1796"/>
      <c r="I22" s="1797"/>
      <c r="L22" s="1798"/>
      <c r="M22" s="1799"/>
      <c r="N22" s="1848"/>
      <c r="P22" s="1795"/>
      <c r="Q22" s="1797"/>
      <c r="R22" s="1795"/>
      <c r="S22" s="1799"/>
      <c r="T22" s="1799"/>
      <c r="U22" s="1800"/>
      <c r="V22" s="1801">
        <f t="shared" si="0"/>
        <v>975</v>
      </c>
      <c r="W22" s="1020">
        <v>4</v>
      </c>
    </row>
    <row r="23" spans="1:24">
      <c r="A23" s="1847">
        <v>42048</v>
      </c>
      <c r="B23" s="1849"/>
      <c r="C23" s="1850"/>
      <c r="D23" s="1260">
        <v>220</v>
      </c>
      <c r="E23" s="1260">
        <v>2.75</v>
      </c>
      <c r="F23" s="1851"/>
      <c r="G23" s="1260"/>
      <c r="H23" s="1851"/>
      <c r="I23" s="1852"/>
      <c r="J23" s="1020"/>
      <c r="K23" s="1020"/>
      <c r="L23" s="1853"/>
      <c r="M23" s="1854"/>
      <c r="N23" s="1849"/>
      <c r="O23" s="1020"/>
      <c r="P23" s="1260"/>
      <c r="Q23" s="1852"/>
      <c r="R23" s="1260"/>
      <c r="S23" s="1854"/>
      <c r="T23" s="1854"/>
      <c r="U23" s="1855"/>
      <c r="V23" s="1801">
        <f t="shared" si="0"/>
        <v>605</v>
      </c>
      <c r="W23" s="1020">
        <v>7</v>
      </c>
      <c r="X23" s="1020"/>
    </row>
    <row r="24" spans="1:24">
      <c r="A24" s="1856">
        <v>42048</v>
      </c>
      <c r="B24" s="1857">
        <v>700</v>
      </c>
      <c r="C24" s="1858">
        <v>1.3</v>
      </c>
      <c r="D24" s="1859"/>
      <c r="E24" s="1859"/>
      <c r="F24" s="1860"/>
      <c r="G24" s="1861"/>
      <c r="H24" s="1860"/>
      <c r="I24" s="1862"/>
      <c r="J24" s="1857"/>
      <c r="K24" s="1863"/>
      <c r="L24" s="1864"/>
      <c r="M24" s="1865"/>
      <c r="N24" s="1857"/>
      <c r="O24" s="1863"/>
      <c r="P24" s="1866"/>
      <c r="Q24" s="1862"/>
      <c r="R24" s="1861"/>
      <c r="S24" s="1865"/>
      <c r="T24" s="1865"/>
      <c r="U24" s="1867"/>
      <c r="V24" s="1868">
        <f t="shared" si="0"/>
        <v>910</v>
      </c>
      <c r="W24" s="1020">
        <v>62</v>
      </c>
    </row>
    <row r="25" spans="1:24">
      <c r="A25" s="1847">
        <v>42055</v>
      </c>
      <c r="B25" s="1848">
        <v>650</v>
      </c>
      <c r="C25">
        <v>1.3</v>
      </c>
      <c r="D25" s="1795"/>
      <c r="E25" s="1795"/>
      <c r="F25" s="1796"/>
      <c r="G25" s="1795"/>
      <c r="H25" s="1796"/>
      <c r="I25" s="1797"/>
      <c r="L25" s="1798"/>
      <c r="M25" s="1799"/>
      <c r="N25" s="1848"/>
      <c r="P25" s="1795"/>
      <c r="Q25" s="1797"/>
      <c r="R25" s="1795"/>
      <c r="S25" s="1799"/>
      <c r="T25" s="1799"/>
      <c r="U25" s="1800"/>
      <c r="V25" s="1801">
        <f t="shared" si="0"/>
        <v>845</v>
      </c>
      <c r="W25" s="1020">
        <v>8</v>
      </c>
    </row>
    <row r="26" spans="1:24">
      <c r="A26" s="1847">
        <v>42062</v>
      </c>
      <c r="B26" s="1849"/>
      <c r="C26" s="1850"/>
      <c r="D26" s="1260">
        <v>180</v>
      </c>
      <c r="E26" s="1260">
        <v>2.75</v>
      </c>
      <c r="F26" s="1851"/>
      <c r="G26" s="1260"/>
      <c r="H26" s="1851"/>
      <c r="I26" s="1852"/>
      <c r="J26" s="1020"/>
      <c r="K26" s="1020"/>
      <c r="L26" s="1853"/>
      <c r="M26" s="1854"/>
      <c r="N26" s="1849"/>
      <c r="O26" s="1020"/>
      <c r="P26" s="1260"/>
      <c r="Q26" s="1852"/>
      <c r="R26" s="1260"/>
      <c r="S26" s="1854"/>
      <c r="T26" s="1854"/>
      <c r="U26" s="1855"/>
      <c r="V26" s="1801">
        <f t="shared" si="0"/>
        <v>495</v>
      </c>
      <c r="W26" s="1020">
        <v>63</v>
      </c>
      <c r="X26" s="1020"/>
    </row>
    <row r="27" spans="1:24">
      <c r="A27" s="1856">
        <v>42062</v>
      </c>
      <c r="B27" s="1857">
        <v>500</v>
      </c>
      <c r="C27" s="1858">
        <v>1.3</v>
      </c>
      <c r="D27" s="1859"/>
      <c r="E27" s="1859"/>
      <c r="F27" s="1860"/>
      <c r="G27" s="1861"/>
      <c r="H27" s="1860"/>
      <c r="I27" s="1862"/>
      <c r="J27" s="1857"/>
      <c r="K27" s="1863"/>
      <c r="L27" s="1864"/>
      <c r="M27" s="1865"/>
      <c r="N27" s="1857"/>
      <c r="O27" s="1863"/>
      <c r="P27" s="1866"/>
      <c r="Q27" s="1862"/>
      <c r="R27" s="1861"/>
      <c r="S27" s="1865"/>
      <c r="T27" s="1865"/>
      <c r="U27" s="1867"/>
      <c r="V27" s="1868">
        <f t="shared" si="0"/>
        <v>650</v>
      </c>
      <c r="W27" s="1020">
        <v>9</v>
      </c>
    </row>
    <row r="28" spans="1:24">
      <c r="A28" s="1847">
        <v>42062</v>
      </c>
      <c r="B28" s="1848"/>
      <c r="D28" s="1795"/>
      <c r="E28" s="1795"/>
      <c r="F28" s="1796">
        <v>4981</v>
      </c>
      <c r="G28" s="1795">
        <v>2.31</v>
      </c>
      <c r="H28" s="1796"/>
      <c r="I28" s="1797"/>
      <c r="L28" s="1798"/>
      <c r="M28" s="1799"/>
      <c r="N28" s="1848"/>
      <c r="P28" s="1795"/>
      <c r="Q28" s="1797"/>
      <c r="R28" s="1795"/>
      <c r="S28" s="1799"/>
      <c r="T28" s="1799"/>
      <c r="U28" s="1800">
        <v>747.9</v>
      </c>
      <c r="V28" s="1801">
        <f t="shared" si="0"/>
        <v>12254.01</v>
      </c>
      <c r="W28" s="1020">
        <v>64</v>
      </c>
      <c r="X28" s="1869">
        <f>SUM(V22:V28)</f>
        <v>16734.010000000002</v>
      </c>
    </row>
    <row r="29" spans="1:24">
      <c r="A29" s="1820">
        <v>42069</v>
      </c>
      <c r="B29" s="1829">
        <v>750</v>
      </c>
      <c r="C29" s="1830">
        <v>1.3</v>
      </c>
      <c r="D29" s="1831"/>
      <c r="E29" s="1831"/>
      <c r="F29" s="1832"/>
      <c r="G29" s="1831"/>
      <c r="H29" s="1832"/>
      <c r="I29" s="1833"/>
      <c r="J29" s="1831"/>
      <c r="K29" s="1831"/>
      <c r="L29" s="1834"/>
      <c r="M29" s="1830"/>
      <c r="N29" s="1829"/>
      <c r="O29" s="1831"/>
      <c r="P29" s="1831"/>
      <c r="Q29" s="1833"/>
      <c r="R29" s="1831"/>
      <c r="S29" s="1830"/>
      <c r="T29" s="1830"/>
      <c r="U29" s="1835"/>
      <c r="V29" s="1828">
        <f t="shared" si="0"/>
        <v>975</v>
      </c>
      <c r="W29" s="1020">
        <v>10</v>
      </c>
      <c r="X29" s="1020"/>
    </row>
    <row r="30" spans="1:24">
      <c r="A30" s="1836">
        <v>42069</v>
      </c>
      <c r="B30" s="1837"/>
      <c r="C30" s="1838"/>
      <c r="D30" s="1839"/>
      <c r="E30" s="1839"/>
      <c r="F30" s="1840"/>
      <c r="G30" s="1841"/>
      <c r="H30" s="1840"/>
      <c r="I30" s="1842"/>
      <c r="J30" s="1837"/>
      <c r="K30" s="1841"/>
      <c r="L30" s="1843">
        <v>1</v>
      </c>
      <c r="M30" s="1838">
        <v>228</v>
      </c>
      <c r="N30" s="1837"/>
      <c r="O30" s="1841"/>
      <c r="P30" s="1837"/>
      <c r="Q30" s="1842"/>
      <c r="R30" s="1841"/>
      <c r="S30" s="1838"/>
      <c r="T30" s="1838"/>
      <c r="U30" s="1844">
        <v>15.96</v>
      </c>
      <c r="V30" s="1845">
        <f t="shared" si="0"/>
        <v>243.96</v>
      </c>
      <c r="W30" s="1020">
        <v>65</v>
      </c>
    </row>
    <row r="31" spans="1:24">
      <c r="A31" s="1820">
        <v>42076</v>
      </c>
      <c r="B31" s="1821"/>
      <c r="C31" s="1822"/>
      <c r="D31" s="1822">
        <v>275</v>
      </c>
      <c r="E31" s="1822">
        <v>2.75</v>
      </c>
      <c r="F31" s="1823"/>
      <c r="G31" s="1822"/>
      <c r="H31" s="1823"/>
      <c r="I31" s="1824"/>
      <c r="J31" s="1822"/>
      <c r="K31" s="1822"/>
      <c r="L31" s="1825"/>
      <c r="M31" s="1826"/>
      <c r="N31" s="1821"/>
      <c r="O31" s="1822"/>
      <c r="P31" s="1822"/>
      <c r="Q31" s="1824"/>
      <c r="R31" s="1822"/>
      <c r="S31" s="1826"/>
      <c r="T31" s="1826"/>
      <c r="U31" s="1827"/>
      <c r="V31" s="1828">
        <f t="shared" si="0"/>
        <v>756.25</v>
      </c>
      <c r="W31" s="1020">
        <v>11</v>
      </c>
    </row>
    <row r="32" spans="1:24">
      <c r="A32" s="1820">
        <v>42076</v>
      </c>
      <c r="B32" s="1829">
        <v>800</v>
      </c>
      <c r="C32" s="1830">
        <v>1.3</v>
      </c>
      <c r="D32" s="1831"/>
      <c r="E32" s="1831"/>
      <c r="F32" s="1832"/>
      <c r="G32" s="1831"/>
      <c r="H32" s="1832"/>
      <c r="I32" s="1833"/>
      <c r="J32" s="1831"/>
      <c r="K32" s="1831"/>
      <c r="L32" s="1834"/>
      <c r="M32" s="1830"/>
      <c r="N32" s="1829"/>
      <c r="O32" s="1831"/>
      <c r="P32" s="1831"/>
      <c r="Q32" s="1833"/>
      <c r="R32" s="1831"/>
      <c r="S32" s="1830"/>
      <c r="T32" s="1830"/>
      <c r="U32" s="1835"/>
      <c r="V32" s="1828">
        <f t="shared" si="0"/>
        <v>1040</v>
      </c>
      <c r="W32" s="1020">
        <v>68</v>
      </c>
      <c r="X32" s="1020"/>
    </row>
    <row r="33" spans="1:24">
      <c r="A33" s="1836">
        <v>42082</v>
      </c>
      <c r="B33" s="1837"/>
      <c r="C33" s="1838"/>
      <c r="D33" s="1839"/>
      <c r="E33" s="1839"/>
      <c r="F33" s="1840"/>
      <c r="G33" s="1841"/>
      <c r="H33" s="1840"/>
      <c r="I33" s="1842"/>
      <c r="J33" s="1837">
        <v>450</v>
      </c>
      <c r="K33" s="1841">
        <v>1.72</v>
      </c>
      <c r="L33" s="1843"/>
      <c r="M33" s="1838"/>
      <c r="N33" s="1837"/>
      <c r="O33" s="1841"/>
      <c r="P33" s="1837"/>
      <c r="Q33" s="1842"/>
      <c r="R33" s="1841"/>
      <c r="S33" s="1838"/>
      <c r="T33" s="1838"/>
      <c r="U33" s="1844">
        <v>50.31</v>
      </c>
      <c r="V33" s="1845">
        <f t="shared" si="0"/>
        <v>824.31</v>
      </c>
      <c r="W33" s="1020">
        <v>66</v>
      </c>
    </row>
    <row r="34" spans="1:24">
      <c r="A34" s="1820">
        <v>42082</v>
      </c>
      <c r="B34" s="1821">
        <v>525</v>
      </c>
      <c r="C34" s="1822">
        <v>1.3</v>
      </c>
      <c r="D34" s="1822"/>
      <c r="E34" s="1822"/>
      <c r="F34" s="1823"/>
      <c r="G34" s="1822"/>
      <c r="H34" s="1823"/>
      <c r="I34" s="1824"/>
      <c r="J34" s="1822"/>
      <c r="K34" s="1822"/>
      <c r="L34" s="1825"/>
      <c r="M34" s="1826"/>
      <c r="N34" s="1821"/>
      <c r="O34" s="1822"/>
      <c r="P34" s="1822"/>
      <c r="Q34" s="1824"/>
      <c r="R34" s="1822"/>
      <c r="S34" s="1826"/>
      <c r="T34" s="1826"/>
      <c r="U34" s="1827"/>
      <c r="V34" s="1828">
        <f t="shared" si="0"/>
        <v>682.5</v>
      </c>
      <c r="W34" s="1020">
        <v>12</v>
      </c>
    </row>
    <row r="35" spans="1:24">
      <c r="A35" s="1820">
        <v>42090</v>
      </c>
      <c r="B35" s="1829"/>
      <c r="C35" s="1830"/>
      <c r="D35" s="1831">
        <v>220</v>
      </c>
      <c r="E35" s="1831">
        <v>2.75</v>
      </c>
      <c r="F35" s="1832"/>
      <c r="G35" s="1831"/>
      <c r="H35" s="1832"/>
      <c r="I35" s="1833"/>
      <c r="J35" s="1831"/>
      <c r="K35" s="1831"/>
      <c r="L35" s="1834"/>
      <c r="M35" s="1830"/>
      <c r="N35" s="1829"/>
      <c r="O35" s="1831"/>
      <c r="P35" s="1831"/>
      <c r="Q35" s="1833"/>
      <c r="R35" s="1831"/>
      <c r="S35" s="1830"/>
      <c r="T35" s="1830"/>
      <c r="U35" s="1835"/>
      <c r="V35" s="1828">
        <f t="shared" si="0"/>
        <v>605</v>
      </c>
      <c r="W35" s="1020">
        <v>67</v>
      </c>
      <c r="X35" s="1020"/>
    </row>
    <row r="36" spans="1:24">
      <c r="A36" s="1836">
        <v>42090</v>
      </c>
      <c r="B36" s="1837">
        <v>675</v>
      </c>
      <c r="C36" s="1838">
        <v>1.3</v>
      </c>
      <c r="D36" s="1839"/>
      <c r="E36" s="1839"/>
      <c r="F36" s="1840"/>
      <c r="G36" s="1841"/>
      <c r="H36" s="1840"/>
      <c r="I36" s="1842"/>
      <c r="J36" s="1837"/>
      <c r="K36" s="1841"/>
      <c r="L36" s="1843"/>
      <c r="M36" s="1838"/>
      <c r="N36" s="1837"/>
      <c r="O36" s="1841"/>
      <c r="P36" s="1837"/>
      <c r="Q36" s="1842"/>
      <c r="R36" s="1841"/>
      <c r="S36" s="1838"/>
      <c r="T36" s="1838"/>
      <c r="U36" s="1844"/>
      <c r="V36" s="1845">
        <f t="shared" si="0"/>
        <v>877.5</v>
      </c>
      <c r="W36" s="1020">
        <v>69</v>
      </c>
      <c r="X36" s="1869">
        <f>SUM(V29:V36)</f>
        <v>6004.52</v>
      </c>
    </row>
    <row r="37" spans="1:24">
      <c r="A37" s="1847">
        <v>42097</v>
      </c>
      <c r="B37" s="1848"/>
      <c r="D37" s="1795"/>
      <c r="E37" s="1795"/>
      <c r="F37" s="1796"/>
      <c r="G37" s="1795"/>
      <c r="H37" s="1796"/>
      <c r="I37" s="1797"/>
      <c r="L37" s="1798"/>
      <c r="M37" s="1799"/>
      <c r="N37" s="1848"/>
      <c r="P37" s="1795"/>
      <c r="Q37" s="1797"/>
      <c r="R37" s="1795">
        <v>7</v>
      </c>
      <c r="S37" s="1799">
        <v>15</v>
      </c>
      <c r="T37" s="1799"/>
      <c r="U37" s="1800"/>
      <c r="V37" s="1801">
        <f t="shared" si="0"/>
        <v>105</v>
      </c>
      <c r="W37" s="1020">
        <v>13</v>
      </c>
    </row>
    <row r="38" spans="1:24">
      <c r="A38" s="1847">
        <v>42097</v>
      </c>
      <c r="B38" s="1849">
        <v>555</v>
      </c>
      <c r="C38" s="1850">
        <v>1.3</v>
      </c>
      <c r="D38" s="1260"/>
      <c r="E38" s="1260"/>
      <c r="F38" s="1851"/>
      <c r="G38" s="1260"/>
      <c r="H38" s="1851"/>
      <c r="I38" s="1852"/>
      <c r="J38" s="1020"/>
      <c r="K38" s="1020"/>
      <c r="L38" s="1853"/>
      <c r="M38" s="1854"/>
      <c r="N38" s="1849"/>
      <c r="O38" s="1020"/>
      <c r="P38" s="1260"/>
      <c r="Q38" s="1852"/>
      <c r="R38" s="1260"/>
      <c r="S38" s="1854"/>
      <c r="T38" s="1854"/>
      <c r="U38" s="1855"/>
      <c r="V38" s="1801">
        <f t="shared" si="0"/>
        <v>721.5</v>
      </c>
      <c r="W38" s="1020">
        <v>70</v>
      </c>
      <c r="X38" s="1020"/>
    </row>
    <row r="39" spans="1:24">
      <c r="A39" s="1856">
        <v>42097</v>
      </c>
      <c r="B39" s="1857"/>
      <c r="C39" s="1858"/>
      <c r="D39" s="1859"/>
      <c r="E39" s="1859"/>
      <c r="F39" s="1860"/>
      <c r="G39" s="1861"/>
      <c r="H39" s="1860"/>
      <c r="I39" s="1862"/>
      <c r="J39" s="1857">
        <v>450</v>
      </c>
      <c r="K39" s="1863">
        <v>1.72</v>
      </c>
      <c r="L39" s="1864"/>
      <c r="M39" s="1865"/>
      <c r="N39" s="1857"/>
      <c r="O39" s="1863"/>
      <c r="P39" s="1866"/>
      <c r="Q39" s="1862"/>
      <c r="R39" s="1861"/>
      <c r="S39" s="1865"/>
      <c r="T39" s="1865"/>
      <c r="U39" s="1867">
        <v>50.31</v>
      </c>
      <c r="V39" s="1868">
        <f t="shared" si="0"/>
        <v>824.31</v>
      </c>
      <c r="W39" s="1020">
        <v>14</v>
      </c>
    </row>
    <row r="40" spans="1:24">
      <c r="A40" s="1847">
        <v>42103</v>
      </c>
      <c r="B40" s="1848"/>
      <c r="D40" s="1795"/>
      <c r="E40" s="1795"/>
      <c r="F40" s="1796"/>
      <c r="G40" s="1795"/>
      <c r="H40" s="1796"/>
      <c r="I40" s="1797"/>
      <c r="L40" s="1798"/>
      <c r="M40" s="1799"/>
      <c r="N40" s="1848">
        <v>1</v>
      </c>
      <c r="O40">
        <v>18.95</v>
      </c>
      <c r="P40" s="1795">
        <v>40</v>
      </c>
      <c r="Q40" s="1797">
        <v>3.2974999999999999</v>
      </c>
      <c r="R40" s="1795"/>
      <c r="S40" s="1799"/>
      <c r="T40" s="1799">
        <v>25.9</v>
      </c>
      <c r="U40" s="1800">
        <v>10.56</v>
      </c>
      <c r="V40" s="1801">
        <f t="shared" si="0"/>
        <v>187.31</v>
      </c>
      <c r="W40" s="1020">
        <v>15</v>
      </c>
    </row>
    <row r="41" spans="1:24">
      <c r="A41" s="1847">
        <v>42104</v>
      </c>
      <c r="B41" s="1849">
        <v>500</v>
      </c>
      <c r="C41" s="1850">
        <v>1.3</v>
      </c>
      <c r="D41" s="1260"/>
      <c r="E41" s="1260"/>
      <c r="F41" s="1851"/>
      <c r="G41" s="1260"/>
      <c r="H41" s="1851"/>
      <c r="I41" s="1852"/>
      <c r="J41" s="1020"/>
      <c r="K41" s="1020"/>
      <c r="L41" s="1853"/>
      <c r="M41" s="1854"/>
      <c r="N41" s="1849"/>
      <c r="O41" s="1020"/>
      <c r="P41" s="1260"/>
      <c r="Q41" s="1852"/>
      <c r="R41" s="1260"/>
      <c r="S41" s="1854"/>
      <c r="T41" s="1854"/>
      <c r="U41" s="1855"/>
      <c r="V41" s="1801">
        <f t="shared" si="0"/>
        <v>650</v>
      </c>
      <c r="W41" s="1020">
        <v>72</v>
      </c>
      <c r="X41" s="1020"/>
    </row>
    <row r="42" spans="1:24">
      <c r="A42" s="1856">
        <v>42104</v>
      </c>
      <c r="B42" s="1857"/>
      <c r="C42" s="1858"/>
      <c r="D42" s="1859">
        <v>200</v>
      </c>
      <c r="E42" s="1859">
        <v>2.75</v>
      </c>
      <c r="F42" s="1860"/>
      <c r="G42" s="1861"/>
      <c r="H42" s="1860"/>
      <c r="I42" s="1862"/>
      <c r="J42" s="1857"/>
      <c r="K42" s="1863"/>
      <c r="L42" s="1864"/>
      <c r="M42" s="1865"/>
      <c r="N42" s="1857"/>
      <c r="O42" s="1863"/>
      <c r="P42" s="1866"/>
      <c r="Q42" s="1862"/>
      <c r="R42" s="1861"/>
      <c r="S42" s="1865"/>
      <c r="T42" s="1865"/>
      <c r="U42" s="1867"/>
      <c r="V42" s="1868">
        <f t="shared" si="0"/>
        <v>550</v>
      </c>
      <c r="W42" s="1020">
        <v>16</v>
      </c>
    </row>
    <row r="43" spans="1:24">
      <c r="A43" s="1847">
        <v>42108</v>
      </c>
      <c r="B43" s="1848"/>
      <c r="D43" s="1795"/>
      <c r="E43" s="1795"/>
      <c r="F43" s="1796"/>
      <c r="G43" s="1795"/>
      <c r="H43" s="1796"/>
      <c r="I43" s="1797"/>
      <c r="L43" s="1798">
        <v>1</v>
      </c>
      <c r="M43" s="1799">
        <v>69</v>
      </c>
      <c r="N43" s="1848"/>
      <c r="P43" s="1795"/>
      <c r="Q43" s="1797"/>
      <c r="R43" s="1795"/>
      <c r="S43" s="1799"/>
      <c r="T43" s="1799">
        <v>10.08</v>
      </c>
      <c r="U43" s="1800">
        <v>4.83</v>
      </c>
      <c r="V43" s="1801">
        <f t="shared" si="0"/>
        <v>83.91</v>
      </c>
      <c r="W43" s="1020">
        <v>71</v>
      </c>
    </row>
    <row r="44" spans="1:24">
      <c r="A44" s="1847">
        <v>42111</v>
      </c>
      <c r="B44" s="1849">
        <v>500</v>
      </c>
      <c r="C44" s="1850">
        <v>1.3</v>
      </c>
      <c r="D44" s="1260"/>
      <c r="E44" s="1260"/>
      <c r="F44" s="1851"/>
      <c r="G44" s="1260"/>
      <c r="H44" s="1851"/>
      <c r="I44" s="1852"/>
      <c r="J44" s="1020"/>
      <c r="K44" s="1020"/>
      <c r="L44" s="1853"/>
      <c r="M44" s="1854"/>
      <c r="N44" s="1849"/>
      <c r="O44" s="1020"/>
      <c r="P44" s="1260"/>
      <c r="Q44" s="1852"/>
      <c r="R44" s="1260"/>
      <c r="S44" s="1854"/>
      <c r="T44" s="1854"/>
      <c r="U44" s="1855"/>
      <c r="V44" s="1801">
        <f t="shared" si="0"/>
        <v>650</v>
      </c>
      <c r="W44" s="1020">
        <v>73</v>
      </c>
      <c r="X44" s="1020"/>
    </row>
    <row r="45" spans="1:24">
      <c r="A45" s="1856">
        <v>42118</v>
      </c>
      <c r="B45" s="1857">
        <v>500</v>
      </c>
      <c r="C45" s="1858">
        <v>1.3</v>
      </c>
      <c r="D45" s="1859"/>
      <c r="E45" s="1859"/>
      <c r="F45" s="1860"/>
      <c r="G45" s="1861"/>
      <c r="H45" s="1860"/>
      <c r="I45" s="1862"/>
      <c r="J45" s="1857"/>
      <c r="K45" s="1863"/>
      <c r="L45" s="1864"/>
      <c r="M45" s="1865"/>
      <c r="N45" s="1857"/>
      <c r="O45" s="1863"/>
      <c r="P45" s="1866"/>
      <c r="Q45" s="1862"/>
      <c r="R45" s="1861"/>
      <c r="S45" s="1865"/>
      <c r="T45" s="1865"/>
      <c r="U45" s="1867"/>
      <c r="V45" s="1868">
        <f t="shared" si="0"/>
        <v>650</v>
      </c>
      <c r="W45" s="1020">
        <v>74</v>
      </c>
    </row>
    <row r="46" spans="1:24">
      <c r="A46" s="1847">
        <v>42118</v>
      </c>
      <c r="B46" s="1848"/>
      <c r="D46" s="1795">
        <v>160</v>
      </c>
      <c r="E46" s="1795">
        <v>2.75</v>
      </c>
      <c r="F46" s="1796"/>
      <c r="G46" s="1795"/>
      <c r="H46" s="1796"/>
      <c r="I46" s="1797"/>
      <c r="L46" s="1798"/>
      <c r="M46" s="1799"/>
      <c r="N46" s="1848"/>
      <c r="P46" s="1795"/>
      <c r="Q46" s="1797"/>
      <c r="R46" s="1795"/>
      <c r="S46" s="1799"/>
      <c r="T46" s="1799"/>
      <c r="U46" s="1800"/>
      <c r="V46" s="1801">
        <f t="shared" si="0"/>
        <v>440</v>
      </c>
      <c r="W46" s="1020">
        <v>18</v>
      </c>
    </row>
    <row r="47" spans="1:24">
      <c r="A47" s="1847">
        <v>42121</v>
      </c>
      <c r="B47" s="1849"/>
      <c r="C47" s="1850"/>
      <c r="D47" s="1260"/>
      <c r="E47" s="1260"/>
      <c r="F47" s="1851"/>
      <c r="G47" s="1260"/>
      <c r="H47" s="1851">
        <v>46080</v>
      </c>
      <c r="I47" s="1852">
        <v>0.1825</v>
      </c>
      <c r="J47" s="1020"/>
      <c r="K47" s="1020"/>
      <c r="L47" s="1853"/>
      <c r="M47" s="1854"/>
      <c r="N47" s="1849"/>
      <c r="O47" s="1020"/>
      <c r="P47" s="1260"/>
      <c r="Q47" s="1852"/>
      <c r="R47" s="1260"/>
      <c r="S47" s="1854"/>
      <c r="T47" s="1854"/>
      <c r="U47" s="1855">
        <v>546.62</v>
      </c>
      <c r="V47" s="1801">
        <f t="shared" si="0"/>
        <v>8956.2200000000012</v>
      </c>
      <c r="W47" s="1020">
        <v>21</v>
      </c>
      <c r="X47" s="1020"/>
    </row>
    <row r="48" spans="1:24">
      <c r="A48" s="1856">
        <v>42124</v>
      </c>
      <c r="B48" s="1857"/>
      <c r="C48" s="1858"/>
      <c r="D48" s="1859"/>
      <c r="E48" s="1859"/>
      <c r="F48" s="1860"/>
      <c r="G48" s="1861"/>
      <c r="H48" s="1860"/>
      <c r="I48" s="1862"/>
      <c r="J48" s="1857">
        <v>450</v>
      </c>
      <c r="K48" s="1863">
        <v>1.72</v>
      </c>
      <c r="L48" s="1864"/>
      <c r="M48" s="1865"/>
      <c r="N48" s="1857"/>
      <c r="O48" s="1863"/>
      <c r="P48" s="1866"/>
      <c r="Q48" s="1862"/>
      <c r="R48" s="1861"/>
      <c r="S48" s="1865"/>
      <c r="T48" s="1865"/>
      <c r="U48" s="1867">
        <v>50.31</v>
      </c>
      <c r="V48" s="1868">
        <f t="shared" si="0"/>
        <v>824.31</v>
      </c>
      <c r="W48" s="1020">
        <v>17</v>
      </c>
      <c r="X48" s="1869">
        <f>SUM(V37:V48)</f>
        <v>14642.56</v>
      </c>
    </row>
    <row r="49" spans="1:24">
      <c r="A49" s="1820">
        <v>42130</v>
      </c>
      <c r="B49" s="1821">
        <v>650</v>
      </c>
      <c r="C49" s="1822">
        <v>1.3</v>
      </c>
      <c r="D49" s="1822"/>
      <c r="E49" s="1822"/>
      <c r="F49" s="1823"/>
      <c r="G49" s="1822"/>
      <c r="H49" s="1823"/>
      <c r="I49" s="1824"/>
      <c r="J49" s="1822"/>
      <c r="K49" s="1822"/>
      <c r="L49" s="1825"/>
      <c r="M49" s="1826"/>
      <c r="N49" s="1821"/>
      <c r="O49" s="1822"/>
      <c r="P49" s="1822"/>
      <c r="Q49" s="1824"/>
      <c r="R49" s="1822"/>
      <c r="S49" s="1826"/>
      <c r="T49" s="1826"/>
      <c r="U49" s="1827"/>
      <c r="V49" s="1828">
        <f t="shared" si="0"/>
        <v>845</v>
      </c>
      <c r="W49" s="1020">
        <v>19</v>
      </c>
    </row>
    <row r="50" spans="1:24">
      <c r="A50" s="1820">
        <v>42130</v>
      </c>
      <c r="B50" s="1829"/>
      <c r="C50" s="1830"/>
      <c r="D50" s="1831">
        <v>150</v>
      </c>
      <c r="E50" s="1831">
        <v>2.75</v>
      </c>
      <c r="F50" s="1832"/>
      <c r="G50" s="1831"/>
      <c r="H50" s="1832"/>
      <c r="I50" s="1833"/>
      <c r="J50" s="1831"/>
      <c r="K50" s="1831"/>
      <c r="L50" s="1834"/>
      <c r="M50" s="1830"/>
      <c r="N50" s="1829"/>
      <c r="O50" s="1831"/>
      <c r="P50" s="1831"/>
      <c r="Q50" s="1833"/>
      <c r="R50" s="1831"/>
      <c r="S50" s="1830"/>
      <c r="T50" s="1830"/>
      <c r="U50" s="1835"/>
      <c r="V50" s="1828">
        <f t="shared" si="0"/>
        <v>412.5</v>
      </c>
      <c r="W50" s="1020">
        <v>75</v>
      </c>
      <c r="X50" s="1020"/>
    </row>
    <row r="51" spans="1:24">
      <c r="A51" s="1836">
        <v>42130</v>
      </c>
      <c r="B51" s="1837"/>
      <c r="C51" s="1838"/>
      <c r="D51" s="1839"/>
      <c r="E51" s="1839"/>
      <c r="F51" s="1840"/>
      <c r="G51" s="1841"/>
      <c r="H51" s="1840"/>
      <c r="I51" s="1842"/>
      <c r="J51" s="1837"/>
      <c r="K51" s="1841"/>
      <c r="L51" s="1843">
        <v>1</v>
      </c>
      <c r="M51" s="1838">
        <v>228</v>
      </c>
      <c r="N51" s="1837">
        <v>1</v>
      </c>
      <c r="O51" s="1841">
        <v>19.5</v>
      </c>
      <c r="P51" s="1837"/>
      <c r="Q51" s="1842"/>
      <c r="R51" s="1841"/>
      <c r="S51" s="1838"/>
      <c r="T51" s="1838">
        <f>52</f>
        <v>52</v>
      </c>
      <c r="U51" s="1844">
        <v>17.329999999999998</v>
      </c>
      <c r="V51" s="1845">
        <f t="shared" si="0"/>
        <v>316.83</v>
      </c>
      <c r="W51" s="1020">
        <v>79</v>
      </c>
    </row>
    <row r="52" spans="1:24">
      <c r="A52" s="1820">
        <v>42132</v>
      </c>
      <c r="B52" s="1821"/>
      <c r="C52" s="1822"/>
      <c r="D52" s="1822"/>
      <c r="E52" s="1822"/>
      <c r="F52" s="1823">
        <v>4942.67</v>
      </c>
      <c r="G52" s="1822">
        <v>2.0499999999999998</v>
      </c>
      <c r="H52" s="1823"/>
      <c r="I52" s="1824"/>
      <c r="J52" s="1822"/>
      <c r="K52" s="1822"/>
      <c r="L52" s="1825"/>
      <c r="M52" s="1826"/>
      <c r="N52" s="1821"/>
      <c r="O52" s="1822"/>
      <c r="P52" s="1822"/>
      <c r="Q52" s="1824"/>
      <c r="R52" s="1822"/>
      <c r="S52" s="1826"/>
      <c r="T52" s="1826"/>
      <c r="U52" s="1827">
        <f>20+709.27+291.62</f>
        <v>1020.89</v>
      </c>
      <c r="V52" s="1828">
        <f t="shared" si="0"/>
        <v>11153.363499999999</v>
      </c>
      <c r="W52" s="1020">
        <v>78</v>
      </c>
    </row>
    <row r="53" spans="1:24">
      <c r="A53" s="1820">
        <v>42139</v>
      </c>
      <c r="B53" s="1829">
        <v>645</v>
      </c>
      <c r="C53" s="1830">
        <v>1.3</v>
      </c>
      <c r="D53" s="1831"/>
      <c r="E53" s="1831"/>
      <c r="F53" s="1832"/>
      <c r="G53" s="1831"/>
      <c r="H53" s="1832"/>
      <c r="I53" s="1833"/>
      <c r="J53" s="1831"/>
      <c r="K53" s="1831"/>
      <c r="L53" s="1834"/>
      <c r="M53" s="1830"/>
      <c r="N53" s="1829"/>
      <c r="O53" s="1831"/>
      <c r="P53" s="1831"/>
      <c r="Q53" s="1833"/>
      <c r="R53" s="1831"/>
      <c r="S53" s="1830"/>
      <c r="T53" s="1830"/>
      <c r="U53" s="1835"/>
      <c r="V53" s="1828">
        <f t="shared" si="0"/>
        <v>838.5</v>
      </c>
      <c r="W53" s="1020">
        <v>20</v>
      </c>
      <c r="X53" s="1020"/>
    </row>
    <row r="54" spans="1:24">
      <c r="A54" s="1836">
        <v>42146</v>
      </c>
      <c r="B54" s="1837"/>
      <c r="C54" s="1838"/>
      <c r="D54" s="1839">
        <v>180</v>
      </c>
      <c r="E54" s="1839">
        <v>2.75</v>
      </c>
      <c r="F54" s="1840"/>
      <c r="G54" s="1841"/>
      <c r="H54" s="1840"/>
      <c r="I54" s="1842"/>
      <c r="J54" s="1837"/>
      <c r="K54" s="1841"/>
      <c r="L54" s="1843"/>
      <c r="M54" s="1838"/>
      <c r="N54" s="1837"/>
      <c r="O54" s="1841"/>
      <c r="P54" s="1837"/>
      <c r="Q54" s="1842"/>
      <c r="R54" s="1841"/>
      <c r="S54" s="1838"/>
      <c r="T54" s="1838"/>
      <c r="U54" s="1844"/>
      <c r="V54" s="1845">
        <f t="shared" si="0"/>
        <v>495</v>
      </c>
      <c r="W54" s="1020">
        <v>77</v>
      </c>
    </row>
    <row r="55" spans="1:24">
      <c r="A55" s="1820">
        <v>42146</v>
      </c>
      <c r="B55" s="1821">
        <v>450</v>
      </c>
      <c r="C55" s="1822">
        <v>1.3</v>
      </c>
      <c r="D55" s="1822"/>
      <c r="E55" s="1822"/>
      <c r="F55" s="1823"/>
      <c r="G55" s="1822"/>
      <c r="H55" s="1823"/>
      <c r="I55" s="1824"/>
      <c r="J55" s="1822"/>
      <c r="K55" s="1822"/>
      <c r="L55" s="1825"/>
      <c r="M55" s="1826"/>
      <c r="N55" s="1821"/>
      <c r="O55" s="1822"/>
      <c r="P55" s="1822"/>
      <c r="Q55" s="1824"/>
      <c r="R55" s="1822"/>
      <c r="S55" s="1826"/>
      <c r="T55" s="1826"/>
      <c r="U55" s="1827"/>
      <c r="V55" s="1828">
        <f t="shared" si="0"/>
        <v>585</v>
      </c>
      <c r="W55" s="1020">
        <v>22</v>
      </c>
    </row>
    <row r="56" spans="1:24">
      <c r="A56" s="1820">
        <v>42152</v>
      </c>
      <c r="B56" s="1829">
        <v>645</v>
      </c>
      <c r="C56" s="1830">
        <v>1.3</v>
      </c>
      <c r="D56" s="1831"/>
      <c r="E56" s="1831"/>
      <c r="F56" s="1832"/>
      <c r="G56" s="1831"/>
      <c r="H56" s="1832"/>
      <c r="I56" s="1833"/>
      <c r="J56" s="1831"/>
      <c r="K56" s="1831"/>
      <c r="L56" s="1834"/>
      <c r="M56" s="1830"/>
      <c r="N56" s="1829"/>
      <c r="O56" s="1831"/>
      <c r="P56" s="1831"/>
      <c r="Q56" s="1833"/>
      <c r="R56" s="1831"/>
      <c r="S56" s="1830"/>
      <c r="T56" s="1830"/>
      <c r="U56" s="1835"/>
      <c r="V56" s="1828">
        <f t="shared" si="0"/>
        <v>838.5</v>
      </c>
      <c r="W56" s="1020">
        <v>28</v>
      </c>
      <c r="X56" s="1846">
        <f>SUM(V49:V56)</f>
        <v>15484.693499999999</v>
      </c>
    </row>
    <row r="57" spans="1:24">
      <c r="A57" s="1856">
        <v>42157</v>
      </c>
      <c r="B57" s="1857"/>
      <c r="C57" s="1858"/>
      <c r="D57" s="1859"/>
      <c r="E57" s="1859"/>
      <c r="F57" s="1860"/>
      <c r="G57" s="1861"/>
      <c r="H57" s="1860"/>
      <c r="I57" s="1862"/>
      <c r="J57" s="1857"/>
      <c r="K57" s="1863"/>
      <c r="L57" s="1864">
        <v>1</v>
      </c>
      <c r="M57" s="1865">
        <v>228</v>
      </c>
      <c r="N57" s="1857"/>
      <c r="O57" s="1863"/>
      <c r="P57" s="1866"/>
      <c r="Q57" s="1862"/>
      <c r="R57" s="1861"/>
      <c r="S57" s="1865"/>
      <c r="T57" s="1865">
        <v>54</v>
      </c>
      <c r="U57" s="1867">
        <v>15.96</v>
      </c>
      <c r="V57" s="1868">
        <f t="shared" si="0"/>
        <v>297.95999999999998</v>
      </c>
      <c r="W57" s="1020">
        <v>84</v>
      </c>
    </row>
    <row r="58" spans="1:24">
      <c r="A58" s="1847">
        <v>42159</v>
      </c>
      <c r="B58" s="1848"/>
      <c r="D58" s="1795"/>
      <c r="E58" s="1795"/>
      <c r="F58" s="1796"/>
      <c r="G58" s="1795"/>
      <c r="H58" s="1796"/>
      <c r="I58" s="1797"/>
      <c r="L58" s="1798"/>
      <c r="M58" s="1799"/>
      <c r="N58" s="1848"/>
      <c r="P58" s="1795"/>
      <c r="Q58" s="1797"/>
      <c r="R58" s="1795">
        <v>8</v>
      </c>
      <c r="S58" s="1799">
        <v>15</v>
      </c>
      <c r="T58" s="1799"/>
      <c r="U58" s="1800"/>
      <c r="V58" s="1801">
        <f t="shared" si="0"/>
        <v>120</v>
      </c>
      <c r="W58" s="1020">
        <v>80</v>
      </c>
    </row>
    <row r="59" spans="1:24">
      <c r="A59" s="1847">
        <v>42159</v>
      </c>
      <c r="B59" s="1849"/>
      <c r="C59" s="1850"/>
      <c r="D59" s="1260">
        <v>200</v>
      </c>
      <c r="E59" s="1260">
        <v>2.75</v>
      </c>
      <c r="F59" s="1851"/>
      <c r="G59" s="1260"/>
      <c r="H59" s="1851"/>
      <c r="I59" s="1852"/>
      <c r="J59" s="1020"/>
      <c r="K59" s="1020"/>
      <c r="L59" s="1853"/>
      <c r="M59" s="1854"/>
      <c r="N59" s="1849"/>
      <c r="O59" s="1020"/>
      <c r="P59" s="1260"/>
      <c r="Q59" s="1852"/>
      <c r="R59" s="1260"/>
      <c r="S59" s="1854"/>
      <c r="T59" s="1854"/>
      <c r="U59" s="1855"/>
      <c r="V59" s="1801">
        <f t="shared" si="0"/>
        <v>550</v>
      </c>
      <c r="W59" s="1020">
        <v>23</v>
      </c>
      <c r="X59" s="1020"/>
    </row>
    <row r="60" spans="1:24">
      <c r="A60" s="1856">
        <v>42159</v>
      </c>
      <c r="B60" s="1857">
        <v>550</v>
      </c>
      <c r="C60" s="1858">
        <v>1.3</v>
      </c>
      <c r="D60" s="1859"/>
      <c r="E60" s="1859"/>
      <c r="F60" s="1860"/>
      <c r="G60" s="1861"/>
      <c r="H60" s="1860"/>
      <c r="I60" s="1862"/>
      <c r="J60" s="1857"/>
      <c r="K60" s="1863"/>
      <c r="L60" s="1864"/>
      <c r="M60" s="1865"/>
      <c r="N60" s="1857"/>
      <c r="O60" s="1863"/>
      <c r="P60" s="1866"/>
      <c r="Q60" s="1862"/>
      <c r="R60" s="1861"/>
      <c r="S60" s="1865"/>
      <c r="T60" s="1865"/>
      <c r="U60" s="1867"/>
      <c r="V60" s="1868">
        <f t="shared" si="0"/>
        <v>715</v>
      </c>
      <c r="W60" s="1020">
        <v>81</v>
      </c>
    </row>
    <row r="61" spans="1:24">
      <c r="A61" s="1847">
        <v>42164</v>
      </c>
      <c r="B61" s="1848"/>
      <c r="D61" s="1795"/>
      <c r="E61" s="1795"/>
      <c r="F61" s="1796"/>
      <c r="G61" s="1795"/>
      <c r="H61" s="1796"/>
      <c r="I61" s="1797"/>
      <c r="L61" s="1798"/>
      <c r="M61" s="1799"/>
      <c r="N61" s="1848"/>
      <c r="P61" s="1795">
        <v>40</v>
      </c>
      <c r="Q61" s="1797">
        <v>3.2974999999999999</v>
      </c>
      <c r="R61" s="1795"/>
      <c r="S61" s="1799"/>
      <c r="T61" s="1799">
        <v>25.9</v>
      </c>
      <c r="U61" s="1800">
        <v>9.24</v>
      </c>
      <c r="V61" s="1801">
        <f t="shared" si="0"/>
        <v>167.04000000000002</v>
      </c>
      <c r="W61" s="1020">
        <v>82</v>
      </c>
    </row>
    <row r="62" spans="1:24">
      <c r="A62" s="1847">
        <v>42166</v>
      </c>
      <c r="B62" s="1849"/>
      <c r="C62" s="1850"/>
      <c r="D62" s="1260"/>
      <c r="E62" s="1260"/>
      <c r="F62" s="1851"/>
      <c r="G62" s="1260"/>
      <c r="H62" s="1851"/>
      <c r="I62" s="1852"/>
      <c r="J62" s="1020">
        <v>450</v>
      </c>
      <c r="K62" s="1020">
        <v>1.72</v>
      </c>
      <c r="L62" s="1853"/>
      <c r="M62" s="1854"/>
      <c r="N62" s="1849"/>
      <c r="O62" s="1020"/>
      <c r="P62" s="1260"/>
      <c r="Q62" s="1852"/>
      <c r="R62" s="1260"/>
      <c r="S62" s="1854"/>
      <c r="T62" s="1854"/>
      <c r="U62" s="1855">
        <v>50.31</v>
      </c>
      <c r="V62" s="1801">
        <f t="shared" si="0"/>
        <v>824.31</v>
      </c>
      <c r="W62" s="1020">
        <v>76</v>
      </c>
      <c r="X62" s="1020"/>
    </row>
    <row r="63" spans="1:24">
      <c r="A63" s="1856">
        <v>42166</v>
      </c>
      <c r="B63" s="1857">
        <v>625</v>
      </c>
      <c r="C63" s="1858">
        <v>1.3</v>
      </c>
      <c r="D63" s="1859"/>
      <c r="E63" s="1859"/>
      <c r="F63" s="1860"/>
      <c r="G63" s="1861"/>
      <c r="H63" s="1860"/>
      <c r="I63" s="1862"/>
      <c r="J63" s="1857"/>
      <c r="K63" s="1863"/>
      <c r="L63" s="1864"/>
      <c r="M63" s="1865"/>
      <c r="N63" s="1857"/>
      <c r="O63" s="1863"/>
      <c r="P63" s="1866"/>
      <c r="Q63" s="1862"/>
      <c r="R63" s="1861"/>
      <c r="S63" s="1865"/>
      <c r="T63" s="1865"/>
      <c r="U63" s="1867"/>
      <c r="V63" s="1868">
        <f t="shared" si="0"/>
        <v>812.5</v>
      </c>
      <c r="W63" s="1020">
        <v>24</v>
      </c>
    </row>
    <row r="64" spans="1:24">
      <c r="A64" s="1847">
        <v>42172</v>
      </c>
      <c r="B64" s="1848"/>
      <c r="D64" s="1795"/>
      <c r="E64" s="1795"/>
      <c r="F64" s="1796"/>
      <c r="G64" s="1795"/>
      <c r="H64" s="1796">
        <v>46200</v>
      </c>
      <c r="I64" s="1797">
        <v>0.1825</v>
      </c>
      <c r="L64" s="1798"/>
      <c r="M64" s="1799"/>
      <c r="N64" s="1848"/>
      <c r="P64" s="1795"/>
      <c r="Q64" s="1797"/>
      <c r="R64" s="1795"/>
      <c r="S64" s="1799"/>
      <c r="T64" s="1799"/>
      <c r="U64" s="1800">
        <v>548.04999999999995</v>
      </c>
      <c r="V64" s="1801">
        <f t="shared" si="0"/>
        <v>8979.5499999999993</v>
      </c>
      <c r="W64" s="1020">
        <v>25</v>
      </c>
    </row>
    <row r="65" spans="1:24">
      <c r="A65" s="1847">
        <v>42173</v>
      </c>
      <c r="B65" s="1849"/>
      <c r="C65" s="1850"/>
      <c r="D65" s="1260">
        <v>165</v>
      </c>
      <c r="E65" s="1260">
        <v>2.75</v>
      </c>
      <c r="F65" s="1851"/>
      <c r="G65" s="1260"/>
      <c r="H65" s="1851"/>
      <c r="I65" s="1852"/>
      <c r="J65" s="1020"/>
      <c r="K65" s="1020"/>
      <c r="L65" s="1853"/>
      <c r="M65" s="1854"/>
      <c r="N65" s="1849"/>
      <c r="O65" s="1020"/>
      <c r="P65" s="1260"/>
      <c r="Q65" s="1852"/>
      <c r="R65" s="1260"/>
      <c r="S65" s="1854"/>
      <c r="T65" s="1854"/>
      <c r="U65" s="1855"/>
      <c r="V65" s="1801">
        <f t="shared" si="0"/>
        <v>453.75</v>
      </c>
      <c r="W65" s="1020">
        <v>26</v>
      </c>
      <c r="X65" s="1020"/>
    </row>
    <row r="66" spans="1:24">
      <c r="A66" s="1856">
        <v>42173</v>
      </c>
      <c r="B66" s="1857">
        <v>650</v>
      </c>
      <c r="C66" s="1858">
        <v>1.3</v>
      </c>
      <c r="D66" s="1859"/>
      <c r="E66" s="1859"/>
      <c r="F66" s="1860"/>
      <c r="G66" s="1861"/>
      <c r="H66" s="1860"/>
      <c r="I66" s="1862"/>
      <c r="J66" s="1857"/>
      <c r="K66" s="1863"/>
      <c r="L66" s="1864"/>
      <c r="M66" s="1865"/>
      <c r="N66" s="1857"/>
      <c r="O66" s="1863"/>
      <c r="P66" s="1866"/>
      <c r="Q66" s="1862"/>
      <c r="R66" s="1861"/>
      <c r="S66" s="1865"/>
      <c r="T66" s="1865"/>
      <c r="U66" s="1867"/>
      <c r="V66" s="1868">
        <f t="shared" si="0"/>
        <v>845</v>
      </c>
      <c r="W66" s="1020">
        <v>85</v>
      </c>
    </row>
    <row r="67" spans="1:24">
      <c r="A67" s="1847">
        <v>42180</v>
      </c>
      <c r="B67" s="1848">
        <v>700</v>
      </c>
      <c r="C67">
        <v>1.3</v>
      </c>
      <c r="D67" s="1795"/>
      <c r="E67" s="1795"/>
      <c r="F67" s="1796"/>
      <c r="G67" s="1795"/>
      <c r="H67" s="1796"/>
      <c r="I67" s="1797"/>
      <c r="L67" s="1798"/>
      <c r="M67" s="1799"/>
      <c r="N67" s="1848"/>
      <c r="P67" s="1795"/>
      <c r="Q67" s="1797"/>
      <c r="R67" s="1795"/>
      <c r="S67" s="1799"/>
      <c r="T67" s="1799"/>
      <c r="U67" s="1800"/>
      <c r="V67" s="1801">
        <f t="shared" si="0"/>
        <v>910</v>
      </c>
      <c r="W67" s="1020">
        <v>86</v>
      </c>
      <c r="X67" s="1869">
        <f>SUM(V57:V67)</f>
        <v>14675.109999999999</v>
      </c>
    </row>
    <row r="68" spans="1:24">
      <c r="A68" s="1820">
        <v>42186</v>
      </c>
      <c r="B68" s="1829"/>
      <c r="C68" s="1830"/>
      <c r="D68" s="1831">
        <v>185</v>
      </c>
      <c r="E68" s="1831">
        <v>2.75</v>
      </c>
      <c r="F68" s="1832"/>
      <c r="G68" s="1831"/>
      <c r="H68" s="1832"/>
      <c r="I68" s="1833"/>
      <c r="J68" s="1831"/>
      <c r="K68" s="1831"/>
      <c r="L68" s="1834"/>
      <c r="M68" s="1830"/>
      <c r="N68" s="1829"/>
      <c r="O68" s="1831"/>
      <c r="P68" s="1831"/>
      <c r="Q68" s="1833"/>
      <c r="R68" s="1831"/>
      <c r="S68" s="1830"/>
      <c r="T68" s="1830"/>
      <c r="U68" s="1835"/>
      <c r="V68" s="1828">
        <f t="shared" si="0"/>
        <v>508.75</v>
      </c>
      <c r="W68" s="1020">
        <v>27</v>
      </c>
      <c r="X68" s="1020"/>
    </row>
    <row r="69" spans="1:24">
      <c r="A69" s="1836">
        <v>42186</v>
      </c>
      <c r="B69" s="1837">
        <v>550</v>
      </c>
      <c r="C69" s="1838">
        <v>1.3</v>
      </c>
      <c r="D69" s="1839"/>
      <c r="E69" s="1839"/>
      <c r="F69" s="1840"/>
      <c r="G69" s="1841"/>
      <c r="H69" s="1840"/>
      <c r="I69" s="1842"/>
      <c r="J69" s="1837"/>
      <c r="K69" s="1841"/>
      <c r="L69" s="1843"/>
      <c r="M69" s="1838"/>
      <c r="N69" s="1837"/>
      <c r="O69" s="1841"/>
      <c r="P69" s="1837"/>
      <c r="Q69" s="1842"/>
      <c r="R69" s="1841"/>
      <c r="S69" s="1838"/>
      <c r="T69" s="1838"/>
      <c r="U69" s="1844"/>
      <c r="V69" s="1845">
        <f t="shared" si="0"/>
        <v>715</v>
      </c>
      <c r="W69" s="1020">
        <v>83</v>
      </c>
    </row>
    <row r="70" spans="1:24">
      <c r="A70" s="1820">
        <v>42191</v>
      </c>
      <c r="B70" s="1821"/>
      <c r="C70" s="1822"/>
      <c r="D70" s="1822"/>
      <c r="E70" s="1822"/>
      <c r="F70" s="1823"/>
      <c r="G70" s="1822"/>
      <c r="H70" s="1823"/>
      <c r="I70" s="1824"/>
      <c r="J70" s="1822"/>
      <c r="K70" s="1822"/>
      <c r="L70" s="1825">
        <v>1</v>
      </c>
      <c r="M70" s="1826">
        <v>233</v>
      </c>
      <c r="N70" s="1821"/>
      <c r="O70" s="1822"/>
      <c r="P70" s="1822"/>
      <c r="Q70" s="1824"/>
      <c r="R70" s="1822"/>
      <c r="S70" s="1826"/>
      <c r="T70" s="1826"/>
      <c r="U70" s="1827">
        <v>16.309999999999999</v>
      </c>
      <c r="V70" s="1828">
        <f t="shared" si="0"/>
        <v>249.31</v>
      </c>
      <c r="W70" s="1020">
        <v>89</v>
      </c>
    </row>
    <row r="71" spans="1:24">
      <c r="A71" s="1820">
        <v>42194</v>
      </c>
      <c r="B71" s="1829">
        <v>600</v>
      </c>
      <c r="C71" s="1830">
        <v>1.3</v>
      </c>
      <c r="D71" s="1831"/>
      <c r="E71" s="1831"/>
      <c r="F71" s="1832"/>
      <c r="G71" s="1831"/>
      <c r="H71" s="1832"/>
      <c r="I71" s="1833"/>
      <c r="J71" s="1831"/>
      <c r="K71" s="1831"/>
      <c r="L71" s="1834"/>
      <c r="M71" s="1830"/>
      <c r="N71" s="1829"/>
      <c r="O71" s="1831"/>
      <c r="P71" s="1831"/>
      <c r="Q71" s="1833"/>
      <c r="R71" s="1831"/>
      <c r="S71" s="1830"/>
      <c r="T71" s="1830"/>
      <c r="U71" s="1835"/>
      <c r="V71" s="1828">
        <f t="shared" si="0"/>
        <v>780</v>
      </c>
      <c r="W71" s="1020">
        <v>29</v>
      </c>
      <c r="X71" s="1020"/>
    </row>
    <row r="72" spans="1:24">
      <c r="A72" s="1836">
        <v>42201</v>
      </c>
      <c r="B72" s="1837">
        <v>550</v>
      </c>
      <c r="C72" s="1838">
        <v>1.3</v>
      </c>
      <c r="D72" s="1839"/>
      <c r="E72" s="1839"/>
      <c r="F72" s="1840"/>
      <c r="G72" s="1841"/>
      <c r="H72" s="1840"/>
      <c r="I72" s="1842"/>
      <c r="J72" s="1837"/>
      <c r="K72" s="1841"/>
      <c r="L72" s="1843"/>
      <c r="M72" s="1838"/>
      <c r="N72" s="1837"/>
      <c r="O72" s="1841"/>
      <c r="P72" s="1837"/>
      <c r="Q72" s="1842"/>
      <c r="R72" s="1841"/>
      <c r="S72" s="1838"/>
      <c r="T72" s="1838"/>
      <c r="U72" s="1844"/>
      <c r="V72" s="1845">
        <f t="shared" si="0"/>
        <v>715</v>
      </c>
      <c r="W72" s="1020">
        <v>90</v>
      </c>
    </row>
    <row r="73" spans="1:24">
      <c r="A73" s="1820">
        <v>42201</v>
      </c>
      <c r="B73" s="1821"/>
      <c r="C73" s="1822"/>
      <c r="D73" s="1822">
        <v>160</v>
      </c>
      <c r="E73" s="1822">
        <v>2.75</v>
      </c>
      <c r="F73" s="1823"/>
      <c r="G73" s="1822"/>
      <c r="H73" s="1823"/>
      <c r="I73" s="1824"/>
      <c r="J73" s="1822"/>
      <c r="K73" s="1822"/>
      <c r="L73" s="1825"/>
      <c r="M73" s="1826"/>
      <c r="N73" s="1821"/>
      <c r="O73" s="1822"/>
      <c r="P73" s="1822"/>
      <c r="Q73" s="1824"/>
      <c r="R73" s="1822"/>
      <c r="S73" s="1826"/>
      <c r="T73" s="1826"/>
      <c r="U73" s="1827"/>
      <c r="V73" s="1828">
        <f t="shared" si="0"/>
        <v>440</v>
      </c>
      <c r="W73" s="1020">
        <v>30</v>
      </c>
    </row>
    <row r="74" spans="1:24">
      <c r="A74" s="1820">
        <v>42201</v>
      </c>
      <c r="B74" s="1829"/>
      <c r="C74" s="1830"/>
      <c r="D74" s="1831"/>
      <c r="E74" s="1831"/>
      <c r="F74" s="1832"/>
      <c r="G74" s="1831"/>
      <c r="H74" s="1832"/>
      <c r="I74" s="1833"/>
      <c r="J74" s="1831">
        <v>900</v>
      </c>
      <c r="K74" s="1831">
        <v>1.72</v>
      </c>
      <c r="L74" s="1834"/>
      <c r="M74" s="1830"/>
      <c r="N74" s="1829"/>
      <c r="O74" s="1831"/>
      <c r="P74" s="1831"/>
      <c r="Q74" s="1833"/>
      <c r="R74" s="1831"/>
      <c r="S74" s="1830"/>
      <c r="T74" s="1830"/>
      <c r="U74" s="1835">
        <v>100.62</v>
      </c>
      <c r="V74" s="1828">
        <f t="shared" ref="V74:V122" si="1">B74*C74+D74*E74+F74*G74+H74*I74+J74*K74+L74*M74+N74*O74+P74*Q74+R74*S74+T74+U74</f>
        <v>1648.62</v>
      </c>
      <c r="W74" s="1020">
        <v>91</v>
      </c>
      <c r="X74" s="1020"/>
    </row>
    <row r="75" spans="1:24">
      <c r="A75" s="1836">
        <v>42207</v>
      </c>
      <c r="B75" s="1837">
        <v>650</v>
      </c>
      <c r="C75" s="1838">
        <v>1.3</v>
      </c>
      <c r="D75" s="1839"/>
      <c r="E75" s="1839"/>
      <c r="F75" s="1840"/>
      <c r="G75" s="1841"/>
      <c r="H75" s="1840"/>
      <c r="I75" s="1842"/>
      <c r="J75" s="1837"/>
      <c r="K75" s="1841"/>
      <c r="L75" s="1843"/>
      <c r="M75" s="1838"/>
      <c r="N75" s="1837"/>
      <c r="O75" s="1841"/>
      <c r="P75" s="1837"/>
      <c r="Q75" s="1842"/>
      <c r="R75" s="1841"/>
      <c r="S75" s="1838"/>
      <c r="T75" s="1838"/>
      <c r="U75" s="1844"/>
      <c r="V75" s="1845">
        <f t="shared" si="1"/>
        <v>845</v>
      </c>
      <c r="W75" s="1020">
        <v>88</v>
      </c>
    </row>
    <row r="76" spans="1:24">
      <c r="A76" s="1820">
        <v>42215</v>
      </c>
      <c r="B76" s="1821"/>
      <c r="C76" s="1822"/>
      <c r="D76" s="1822">
        <v>200</v>
      </c>
      <c r="E76" s="1822">
        <v>2.75</v>
      </c>
      <c r="F76" s="1823"/>
      <c r="G76" s="1822"/>
      <c r="H76" s="1823"/>
      <c r="I76" s="1824"/>
      <c r="J76" s="1822"/>
      <c r="K76" s="1822"/>
      <c r="L76" s="1825"/>
      <c r="M76" s="1826"/>
      <c r="N76" s="1821"/>
      <c r="O76" s="1822"/>
      <c r="P76" s="1822"/>
      <c r="Q76" s="1824"/>
      <c r="R76" s="1822"/>
      <c r="S76" s="1826"/>
      <c r="T76" s="1826"/>
      <c r="U76" s="1827"/>
      <c r="V76" s="1828">
        <f t="shared" si="1"/>
        <v>550</v>
      </c>
      <c r="W76" s="1020">
        <v>31</v>
      </c>
    </row>
    <row r="77" spans="1:24">
      <c r="A77" s="1820">
        <v>42215</v>
      </c>
      <c r="B77" s="1829">
        <v>1150</v>
      </c>
      <c r="C77" s="1830">
        <v>1.3</v>
      </c>
      <c r="D77" s="1831"/>
      <c r="E77" s="1831"/>
      <c r="F77" s="1832"/>
      <c r="G77" s="1831"/>
      <c r="H77" s="1832"/>
      <c r="I77" s="1833"/>
      <c r="J77" s="1831"/>
      <c r="K77" s="1831"/>
      <c r="L77" s="1834"/>
      <c r="M77" s="1830"/>
      <c r="N77" s="1829"/>
      <c r="O77" s="1831"/>
      <c r="P77" s="1831"/>
      <c r="Q77" s="1833"/>
      <c r="R77" s="1831"/>
      <c r="S77" s="1830"/>
      <c r="T77" s="1830"/>
      <c r="U77" s="1835"/>
      <c r="V77" s="1828">
        <f t="shared" si="1"/>
        <v>1495</v>
      </c>
      <c r="W77" s="1020">
        <v>92</v>
      </c>
      <c r="X77" s="1846">
        <f>SUM(V68:V77)</f>
        <v>7946.68</v>
      </c>
    </row>
    <row r="78" spans="1:24">
      <c r="A78" s="1856">
        <v>42222</v>
      </c>
      <c r="B78" s="1857">
        <v>900</v>
      </c>
      <c r="C78" s="1858">
        <v>1.3</v>
      </c>
      <c r="D78" s="1859"/>
      <c r="E78" s="1859"/>
      <c r="F78" s="1860"/>
      <c r="G78" s="1861"/>
      <c r="H78" s="1860"/>
      <c r="I78" s="1862"/>
      <c r="J78" s="1857"/>
      <c r="K78" s="1863"/>
      <c r="L78" s="1864"/>
      <c r="M78" s="1865"/>
      <c r="N78" s="1857"/>
      <c r="O78" s="1863"/>
      <c r="P78" s="1866"/>
      <c r="Q78" s="1862"/>
      <c r="R78" s="1861"/>
      <c r="S78" s="1865"/>
      <c r="T78" s="1865"/>
      <c r="U78" s="1867"/>
      <c r="V78" s="1868">
        <f t="shared" si="1"/>
        <v>1170</v>
      </c>
      <c r="W78" s="1020">
        <v>87</v>
      </c>
    </row>
    <row r="79" spans="1:24">
      <c r="A79" s="1847">
        <v>42229</v>
      </c>
      <c r="B79" s="1848"/>
      <c r="D79" s="1795"/>
      <c r="E79" s="1795"/>
      <c r="F79" s="1796"/>
      <c r="G79" s="1795"/>
      <c r="H79" s="1796"/>
      <c r="I79" s="1797"/>
      <c r="L79" s="1798"/>
      <c r="M79" s="1799"/>
      <c r="N79" s="1848"/>
      <c r="P79" s="1795"/>
      <c r="Q79" s="1797"/>
      <c r="R79" s="1795">
        <v>9</v>
      </c>
      <c r="S79" s="1799">
        <v>15</v>
      </c>
      <c r="T79" s="1799"/>
      <c r="U79" s="1800"/>
      <c r="V79" s="1801">
        <f t="shared" si="1"/>
        <v>135</v>
      </c>
      <c r="W79" s="1020">
        <v>32</v>
      </c>
    </row>
    <row r="80" spans="1:24">
      <c r="A80" s="1847">
        <v>42229</v>
      </c>
      <c r="B80" s="1849"/>
      <c r="C80" s="1850"/>
      <c r="D80" s="1260">
        <v>300</v>
      </c>
      <c r="E80" s="1260">
        <v>2.75</v>
      </c>
      <c r="F80" s="1851"/>
      <c r="G80" s="1260"/>
      <c r="H80" s="1851"/>
      <c r="I80" s="1852"/>
      <c r="J80" s="1020"/>
      <c r="K80" s="1020"/>
      <c r="L80" s="1853"/>
      <c r="M80" s="1854"/>
      <c r="N80" s="1849"/>
      <c r="O80" s="1020"/>
      <c r="P80" s="1260"/>
      <c r="Q80" s="1852"/>
      <c r="R80" s="1260"/>
      <c r="S80" s="1854"/>
      <c r="T80" s="1854"/>
      <c r="U80" s="1855"/>
      <c r="V80" s="1801">
        <f t="shared" si="1"/>
        <v>825</v>
      </c>
      <c r="W80" s="1020">
        <v>93</v>
      </c>
      <c r="X80" s="1020"/>
    </row>
    <row r="81" spans="1:24">
      <c r="A81" s="1856">
        <v>42229</v>
      </c>
      <c r="B81" s="1857">
        <v>1150</v>
      </c>
      <c r="C81" s="1858">
        <v>1.3</v>
      </c>
      <c r="D81" s="1859"/>
      <c r="E81" s="1859"/>
      <c r="F81" s="1860"/>
      <c r="G81" s="1861"/>
      <c r="H81" s="1860"/>
      <c r="I81" s="1862"/>
      <c r="J81" s="1857"/>
      <c r="K81" s="1863"/>
      <c r="L81" s="1864"/>
      <c r="M81" s="1865"/>
      <c r="N81" s="1857"/>
      <c r="O81" s="1863"/>
      <c r="P81" s="1866"/>
      <c r="Q81" s="1862"/>
      <c r="R81" s="1861"/>
      <c r="S81" s="1865"/>
      <c r="T81" s="1865"/>
      <c r="U81" s="1867"/>
      <c r="V81" s="1868">
        <f t="shared" si="1"/>
        <v>1495</v>
      </c>
      <c r="W81" s="1020">
        <v>100</v>
      </c>
    </row>
    <row r="82" spans="1:24">
      <c r="A82" s="1847">
        <v>42236</v>
      </c>
      <c r="B82" s="1848">
        <v>1000</v>
      </c>
      <c r="C82">
        <v>1.3</v>
      </c>
      <c r="D82" s="1795"/>
      <c r="E82" s="1795"/>
      <c r="F82" s="1796"/>
      <c r="G82" s="1795"/>
      <c r="H82" s="1796"/>
      <c r="I82" s="1797"/>
      <c r="L82" s="1798"/>
      <c r="M82" s="1799"/>
      <c r="N82" s="1848"/>
      <c r="P82" s="1795"/>
      <c r="Q82" s="1797"/>
      <c r="R82" s="1795"/>
      <c r="S82" s="1799"/>
      <c r="T82" s="1799"/>
      <c r="U82" s="1800"/>
      <c r="V82" s="1801">
        <f t="shared" si="1"/>
        <v>1300</v>
      </c>
      <c r="W82" s="1020">
        <v>94</v>
      </c>
    </row>
    <row r="83" spans="1:24">
      <c r="A83" s="1847">
        <v>42242</v>
      </c>
      <c r="B83" s="1849"/>
      <c r="C83" s="1850"/>
      <c r="D83" s="1260"/>
      <c r="E83" s="1260"/>
      <c r="F83" s="1851"/>
      <c r="G83" s="1260"/>
      <c r="H83" s="1851">
        <v>46280</v>
      </c>
      <c r="I83" s="1852">
        <v>0.1825</v>
      </c>
      <c r="J83" s="1020"/>
      <c r="K83" s="1020"/>
      <c r="L83" s="1853"/>
      <c r="M83" s="1854"/>
      <c r="N83" s="1849"/>
      <c r="O83" s="1020"/>
      <c r="P83" s="1260"/>
      <c r="Q83" s="1852"/>
      <c r="R83" s="1260"/>
      <c r="S83" s="1854"/>
      <c r="T83" s="1854"/>
      <c r="U83" s="1855">
        <v>549</v>
      </c>
      <c r="V83" s="1801">
        <f t="shared" si="1"/>
        <v>8995.1</v>
      </c>
      <c r="W83" s="1020">
        <v>95</v>
      </c>
      <c r="X83" s="1020"/>
    </row>
    <row r="84" spans="1:24">
      <c r="A84" s="1856">
        <v>42242</v>
      </c>
      <c r="B84" s="1857"/>
      <c r="C84" s="1858"/>
      <c r="D84" s="1859"/>
      <c r="E84" s="1859"/>
      <c r="F84" s="1860">
        <v>4932</v>
      </c>
      <c r="G84" s="1861">
        <v>1.92</v>
      </c>
      <c r="H84" s="1860"/>
      <c r="I84" s="1862"/>
      <c r="J84" s="1857"/>
      <c r="K84" s="1863"/>
      <c r="L84" s="1864"/>
      <c r="M84" s="1865"/>
      <c r="N84" s="1857"/>
      <c r="O84" s="1863"/>
      <c r="P84" s="1866"/>
      <c r="Q84" s="1862"/>
      <c r="R84" s="1861"/>
      <c r="S84" s="1865"/>
      <c r="T84" s="1865"/>
      <c r="U84" s="1867">
        <v>615.51</v>
      </c>
      <c r="V84" s="1868">
        <f t="shared" si="1"/>
        <v>10084.950000000001</v>
      </c>
      <c r="W84" s="1020">
        <v>33</v>
      </c>
    </row>
    <row r="85" spans="1:24">
      <c r="A85" s="1847">
        <v>42242</v>
      </c>
      <c r="B85" s="1848"/>
      <c r="D85" s="1795"/>
      <c r="E85" s="1795"/>
      <c r="F85" s="1796"/>
      <c r="G85" s="1795"/>
      <c r="H85" s="1796"/>
      <c r="I85" s="1797"/>
      <c r="J85">
        <v>900</v>
      </c>
      <c r="K85">
        <v>1.72</v>
      </c>
      <c r="L85" s="1798"/>
      <c r="M85" s="1799"/>
      <c r="N85" s="1848"/>
      <c r="P85" s="1795"/>
      <c r="Q85" s="1797"/>
      <c r="R85" s="1795"/>
      <c r="S85" s="1799"/>
      <c r="T85" s="1799"/>
      <c r="U85" s="1800">
        <v>100.62</v>
      </c>
      <c r="V85" s="1801">
        <f t="shared" si="1"/>
        <v>1648.62</v>
      </c>
      <c r="W85" s="1020">
        <v>96</v>
      </c>
    </row>
    <row r="86" spans="1:24">
      <c r="A86" s="1847">
        <v>42244</v>
      </c>
      <c r="B86" s="1849"/>
      <c r="C86" s="1850"/>
      <c r="D86" s="1260">
        <v>275</v>
      </c>
      <c r="E86" s="1260">
        <v>2.75</v>
      </c>
      <c r="F86" s="1851"/>
      <c r="G86" s="1260"/>
      <c r="H86" s="1851"/>
      <c r="I86" s="1852"/>
      <c r="J86" s="1020"/>
      <c r="K86" s="1020"/>
      <c r="L86" s="1853"/>
      <c r="M86" s="1854"/>
      <c r="N86" s="1849"/>
      <c r="O86" s="1020"/>
      <c r="P86" s="1260"/>
      <c r="Q86" s="1852"/>
      <c r="R86" s="1260"/>
      <c r="S86" s="1854"/>
      <c r="T86" s="1854"/>
      <c r="U86" s="1855"/>
      <c r="V86" s="1801">
        <f t="shared" si="1"/>
        <v>756.25</v>
      </c>
      <c r="W86" s="1020">
        <v>34</v>
      </c>
      <c r="X86" s="1020"/>
    </row>
    <row r="87" spans="1:24">
      <c r="A87" s="1856">
        <v>42244</v>
      </c>
      <c r="B87" s="1857">
        <v>950</v>
      </c>
      <c r="C87" s="1858">
        <v>1.3</v>
      </c>
      <c r="D87" s="1859"/>
      <c r="E87" s="1859"/>
      <c r="F87" s="1860"/>
      <c r="G87" s="1861"/>
      <c r="H87" s="1860"/>
      <c r="I87" s="1862"/>
      <c r="J87" s="1857"/>
      <c r="K87" s="1863"/>
      <c r="L87" s="1864"/>
      <c r="M87" s="1865"/>
      <c r="N87" s="1857"/>
      <c r="O87" s="1863"/>
      <c r="P87" s="1866"/>
      <c r="Q87" s="1862"/>
      <c r="R87" s="1861"/>
      <c r="S87" s="1865"/>
      <c r="T87" s="1865"/>
      <c r="U87" s="1867"/>
      <c r="V87" s="1868">
        <f t="shared" si="1"/>
        <v>1235</v>
      </c>
      <c r="W87" s="1020">
        <v>97</v>
      </c>
      <c r="X87" s="1869">
        <f>SUM(V78:V87)</f>
        <v>27644.920000000002</v>
      </c>
    </row>
    <row r="88" spans="1:24">
      <c r="A88" s="1820">
        <v>42250</v>
      </c>
      <c r="B88" s="1821">
        <v>650</v>
      </c>
      <c r="C88" s="1822">
        <v>1.3</v>
      </c>
      <c r="D88" s="1822"/>
      <c r="E88" s="1822"/>
      <c r="F88" s="1823"/>
      <c r="G88" s="1822"/>
      <c r="H88" s="1823"/>
      <c r="I88" s="1824"/>
      <c r="J88" s="1822"/>
      <c r="K88" s="1822"/>
      <c r="L88" s="1825"/>
      <c r="M88" s="1826"/>
      <c r="N88" s="1821"/>
      <c r="O88" s="1822"/>
      <c r="P88" s="1822"/>
      <c r="Q88" s="1824"/>
      <c r="R88" s="1822"/>
      <c r="S88" s="1826"/>
      <c r="T88" s="1826"/>
      <c r="U88" s="1827"/>
      <c r="V88" s="1828">
        <f t="shared" si="1"/>
        <v>845</v>
      </c>
      <c r="W88" s="1020">
        <v>35</v>
      </c>
    </row>
    <row r="89" spans="1:24">
      <c r="A89" s="1820">
        <v>42257</v>
      </c>
      <c r="B89" s="1829"/>
      <c r="C89" s="1830"/>
      <c r="D89" s="1831">
        <v>205</v>
      </c>
      <c r="E89" s="1831">
        <v>2.75</v>
      </c>
      <c r="F89" s="1832"/>
      <c r="G89" s="1831"/>
      <c r="H89" s="1832"/>
      <c r="I89" s="1833"/>
      <c r="J89" s="1831"/>
      <c r="K89" s="1831"/>
      <c r="L89" s="1834"/>
      <c r="M89" s="1830"/>
      <c r="N89" s="1829"/>
      <c r="O89" s="1831"/>
      <c r="P89" s="1831"/>
      <c r="Q89" s="1833"/>
      <c r="R89" s="1831"/>
      <c r="S89" s="1830"/>
      <c r="T89" s="1830"/>
      <c r="U89" s="1835"/>
      <c r="V89" s="1828">
        <f t="shared" si="1"/>
        <v>563.75</v>
      </c>
      <c r="W89" s="1020">
        <v>98</v>
      </c>
      <c r="X89" s="1020"/>
    </row>
    <row r="90" spans="1:24">
      <c r="A90" s="1836">
        <v>42257</v>
      </c>
      <c r="B90" s="1837"/>
      <c r="C90" s="1838"/>
      <c r="D90" s="1839"/>
      <c r="E90" s="1839"/>
      <c r="F90" s="1840"/>
      <c r="G90" s="1841"/>
      <c r="H90" s="1840"/>
      <c r="I90" s="1842"/>
      <c r="J90" s="1837"/>
      <c r="K90" s="1841"/>
      <c r="L90" s="1843"/>
      <c r="M90" s="1838"/>
      <c r="N90" s="1837"/>
      <c r="O90" s="1841"/>
      <c r="P90" s="1837">
        <v>40</v>
      </c>
      <c r="Q90" s="1842">
        <v>3.2974999999999999</v>
      </c>
      <c r="R90" s="1841"/>
      <c r="S90" s="1838"/>
      <c r="T90" s="1838">
        <v>25.9</v>
      </c>
      <c r="U90" s="1844">
        <v>9.24</v>
      </c>
      <c r="V90" s="1845">
        <f t="shared" si="1"/>
        <v>167.04000000000002</v>
      </c>
      <c r="W90" s="1020">
        <v>99</v>
      </c>
    </row>
    <row r="91" spans="1:24">
      <c r="A91" s="1820">
        <v>42257</v>
      </c>
      <c r="B91" s="1821">
        <v>850</v>
      </c>
      <c r="C91" s="1822">
        <v>1.3</v>
      </c>
      <c r="D91" s="1822"/>
      <c r="E91" s="1822"/>
      <c r="F91" s="1823"/>
      <c r="G91" s="1822"/>
      <c r="H91" s="1823"/>
      <c r="I91" s="1824"/>
      <c r="J91" s="1822"/>
      <c r="K91" s="1822"/>
      <c r="L91" s="1825"/>
      <c r="M91" s="1826"/>
      <c r="N91" s="1821"/>
      <c r="O91" s="1822"/>
      <c r="P91" s="1822"/>
      <c r="Q91" s="1824"/>
      <c r="R91" s="1822"/>
      <c r="S91" s="1826"/>
      <c r="T91" s="1826"/>
      <c r="U91" s="1827"/>
      <c r="V91" s="1828">
        <f t="shared" si="1"/>
        <v>1105</v>
      </c>
      <c r="W91" s="1020">
        <v>36</v>
      </c>
    </row>
    <row r="92" spans="1:24">
      <c r="A92" s="1820">
        <v>42262</v>
      </c>
      <c r="B92" s="1829">
        <v>650</v>
      </c>
      <c r="C92" s="1830">
        <v>1.3</v>
      </c>
      <c r="D92" s="1831"/>
      <c r="E92" s="1831"/>
      <c r="F92" s="1832"/>
      <c r="G92" s="1831"/>
      <c r="H92" s="1832"/>
      <c r="I92" s="1833"/>
      <c r="J92" s="1831"/>
      <c r="K92" s="1831"/>
      <c r="L92" s="1834"/>
      <c r="M92" s="1830"/>
      <c r="N92" s="1829"/>
      <c r="O92" s="1831"/>
      <c r="P92" s="1831"/>
      <c r="Q92" s="1833"/>
      <c r="R92" s="1831"/>
      <c r="S92" s="1830"/>
      <c r="T92" s="1830"/>
      <c r="U92" s="1835"/>
      <c r="V92" s="1828">
        <f t="shared" si="1"/>
        <v>845</v>
      </c>
      <c r="W92" s="1020">
        <v>37</v>
      </c>
      <c r="X92" s="1020"/>
    </row>
    <row r="93" spans="1:24">
      <c r="A93" s="1836">
        <v>42272</v>
      </c>
      <c r="B93" s="1837">
        <v>975</v>
      </c>
      <c r="C93" s="1838">
        <v>1.3</v>
      </c>
      <c r="D93" s="1839"/>
      <c r="E93" s="1839"/>
      <c r="F93" s="1840"/>
      <c r="G93" s="1841"/>
      <c r="H93" s="1840"/>
      <c r="I93" s="1842"/>
      <c r="J93" s="1837"/>
      <c r="K93" s="1841"/>
      <c r="L93" s="1843"/>
      <c r="M93" s="1838"/>
      <c r="N93" s="1837"/>
      <c r="O93" s="1841"/>
      <c r="P93" s="1837"/>
      <c r="Q93" s="1842"/>
      <c r="R93" s="1841"/>
      <c r="S93" s="1838"/>
      <c r="T93" s="1838"/>
      <c r="U93" s="1844"/>
      <c r="V93" s="1845">
        <f t="shared" si="1"/>
        <v>1267.5</v>
      </c>
      <c r="W93" s="1020">
        <v>38</v>
      </c>
    </row>
    <row r="94" spans="1:24">
      <c r="A94" s="1820">
        <v>42272</v>
      </c>
      <c r="B94" s="1821"/>
      <c r="C94" s="1822"/>
      <c r="D94" s="1822">
        <v>235</v>
      </c>
      <c r="E94" s="1822">
        <v>2.75</v>
      </c>
      <c r="F94" s="1823"/>
      <c r="G94" s="1822"/>
      <c r="H94" s="1823"/>
      <c r="I94" s="1824"/>
      <c r="J94" s="1822"/>
      <c r="K94" s="1822"/>
      <c r="L94" s="1825"/>
      <c r="M94" s="1826"/>
      <c r="N94" s="1821"/>
      <c r="O94" s="1822"/>
      <c r="P94" s="1822"/>
      <c r="Q94" s="1824"/>
      <c r="R94" s="1822"/>
      <c r="S94" s="1826"/>
      <c r="T94" s="1826"/>
      <c r="U94" s="1827"/>
      <c r="V94" s="1828">
        <f t="shared" si="1"/>
        <v>646.25</v>
      </c>
      <c r="W94" s="1020">
        <v>101</v>
      </c>
    </row>
    <row r="95" spans="1:24">
      <c r="A95" s="1820">
        <v>42275</v>
      </c>
      <c r="B95" s="1829"/>
      <c r="C95" s="1830"/>
      <c r="D95" s="1831"/>
      <c r="E95" s="1831"/>
      <c r="F95" s="1832"/>
      <c r="G95" s="1831"/>
      <c r="H95" s="1832"/>
      <c r="I95" s="1833"/>
      <c r="J95" s="1831">
        <v>450</v>
      </c>
      <c r="K95" s="1831">
        <v>1.72</v>
      </c>
      <c r="L95" s="1834"/>
      <c r="M95" s="1830"/>
      <c r="N95" s="1829"/>
      <c r="O95" s="1831"/>
      <c r="P95" s="1831"/>
      <c r="Q95" s="1833"/>
      <c r="R95" s="1831"/>
      <c r="S95" s="1830"/>
      <c r="T95" s="1830"/>
      <c r="U95" s="1835">
        <v>50.31</v>
      </c>
      <c r="V95" s="1828">
        <f t="shared" si="1"/>
        <v>824.31</v>
      </c>
      <c r="W95" s="1020">
        <v>102</v>
      </c>
      <c r="X95" s="1846">
        <f>SUM(V88:V95)</f>
        <v>6263.85</v>
      </c>
    </row>
    <row r="96" spans="1:24">
      <c r="A96" s="1856">
        <v>42279</v>
      </c>
      <c r="B96" s="1857">
        <v>800</v>
      </c>
      <c r="C96" s="1858">
        <v>1.3</v>
      </c>
      <c r="D96" s="1859"/>
      <c r="E96" s="1859"/>
      <c r="F96" s="1860"/>
      <c r="G96" s="1861"/>
      <c r="H96" s="1860"/>
      <c r="I96" s="1862"/>
      <c r="J96" s="1857"/>
      <c r="K96" s="1863"/>
      <c r="L96" s="1864"/>
      <c r="M96" s="1865"/>
      <c r="N96" s="1857"/>
      <c r="O96" s="1863"/>
      <c r="P96" s="1866"/>
      <c r="Q96" s="1862"/>
      <c r="R96" s="1861"/>
      <c r="S96" s="1865"/>
      <c r="T96" s="1865"/>
      <c r="U96" s="1867"/>
      <c r="V96" s="1868">
        <f t="shared" si="1"/>
        <v>1040</v>
      </c>
      <c r="W96" s="1020">
        <v>39</v>
      </c>
    </row>
    <row r="97" spans="1:24">
      <c r="A97" s="1847">
        <v>42286</v>
      </c>
      <c r="B97" s="1848"/>
      <c r="D97" s="1795">
        <v>220</v>
      </c>
      <c r="E97" s="1795">
        <v>2.75</v>
      </c>
      <c r="F97" s="1796"/>
      <c r="G97" s="1795"/>
      <c r="H97" s="1796"/>
      <c r="I97" s="1797"/>
      <c r="L97" s="1798"/>
      <c r="M97" s="1799"/>
      <c r="N97" s="1848"/>
      <c r="P97" s="1795"/>
      <c r="Q97" s="1797"/>
      <c r="R97" s="1795"/>
      <c r="S97" s="1799"/>
      <c r="T97" s="1799"/>
      <c r="U97" s="1800"/>
      <c r="V97" s="1801">
        <f t="shared" si="1"/>
        <v>605</v>
      </c>
      <c r="W97" s="1020">
        <v>103</v>
      </c>
    </row>
    <row r="98" spans="1:24">
      <c r="A98" s="1847">
        <v>42286</v>
      </c>
      <c r="B98" s="1849">
        <v>725</v>
      </c>
      <c r="C98" s="1850">
        <v>1.3</v>
      </c>
      <c r="D98" s="1260"/>
      <c r="E98" s="1260"/>
      <c r="F98" s="1851"/>
      <c r="G98" s="1260"/>
      <c r="H98" s="1851"/>
      <c r="I98" s="1852"/>
      <c r="J98" s="1020"/>
      <c r="K98" s="1020"/>
      <c r="L98" s="1853"/>
      <c r="M98" s="1854"/>
      <c r="N98" s="1849"/>
      <c r="O98" s="1020"/>
      <c r="P98" s="1260"/>
      <c r="Q98" s="1852"/>
      <c r="R98" s="1260"/>
      <c r="S98" s="1854"/>
      <c r="T98" s="1854"/>
      <c r="U98" s="1855"/>
      <c r="V98" s="1801">
        <f t="shared" si="1"/>
        <v>942.5</v>
      </c>
      <c r="W98" s="1020">
        <v>40</v>
      </c>
      <c r="X98" s="1020"/>
    </row>
    <row r="99" spans="1:24">
      <c r="A99" s="1856">
        <v>42293</v>
      </c>
      <c r="B99" s="1857">
        <v>650</v>
      </c>
      <c r="C99" s="1858">
        <v>1.3</v>
      </c>
      <c r="D99" s="1859"/>
      <c r="E99" s="1859"/>
      <c r="F99" s="1860"/>
      <c r="G99" s="1861"/>
      <c r="H99" s="1860"/>
      <c r="I99" s="1862"/>
      <c r="J99" s="1857"/>
      <c r="K99" s="1863"/>
      <c r="L99" s="1864"/>
      <c r="M99" s="1865"/>
      <c r="N99" s="1857"/>
      <c r="O99" s="1863"/>
      <c r="P99" s="1866"/>
      <c r="Q99" s="1862"/>
      <c r="R99" s="1861"/>
      <c r="S99" s="1865"/>
      <c r="T99" s="1865"/>
      <c r="U99" s="1867"/>
      <c r="V99" s="1868">
        <f t="shared" si="1"/>
        <v>845</v>
      </c>
      <c r="W99" s="1020">
        <v>104</v>
      </c>
    </row>
    <row r="100" spans="1:24">
      <c r="A100" s="1847">
        <v>42300</v>
      </c>
      <c r="B100" s="1848">
        <v>675</v>
      </c>
      <c r="C100">
        <v>1.3</v>
      </c>
      <c r="D100" s="1795"/>
      <c r="E100" s="1795"/>
      <c r="F100" s="1796"/>
      <c r="G100" s="1795"/>
      <c r="H100" s="1796"/>
      <c r="I100" s="1797"/>
      <c r="L100" s="1798"/>
      <c r="M100" s="1799"/>
      <c r="N100" s="1848"/>
      <c r="P100" s="1795"/>
      <c r="Q100" s="1797"/>
      <c r="R100" s="1795"/>
      <c r="S100" s="1799"/>
      <c r="T100" s="1799"/>
      <c r="U100" s="1800"/>
      <c r="V100" s="1801">
        <f t="shared" si="1"/>
        <v>877.5</v>
      </c>
      <c r="W100" s="1020">
        <v>41</v>
      </c>
    </row>
    <row r="101" spans="1:24">
      <c r="A101" s="1847">
        <v>42300</v>
      </c>
      <c r="B101" s="1849"/>
      <c r="C101" s="1850"/>
      <c r="D101" s="1260">
        <v>150</v>
      </c>
      <c r="E101" s="1260">
        <v>2.75</v>
      </c>
      <c r="F101" s="1851"/>
      <c r="G101" s="1260"/>
      <c r="H101" s="1851"/>
      <c r="I101" s="1852"/>
      <c r="J101" s="1020"/>
      <c r="K101" s="1020"/>
      <c r="L101" s="1853"/>
      <c r="M101" s="1854"/>
      <c r="N101" s="1849"/>
      <c r="O101" s="1020"/>
      <c r="P101" s="1260"/>
      <c r="Q101" s="1852"/>
      <c r="R101" s="1260"/>
      <c r="S101" s="1854"/>
      <c r="T101" s="1854"/>
      <c r="U101" s="1855"/>
      <c r="V101" s="1801">
        <f t="shared" si="1"/>
        <v>412.5</v>
      </c>
      <c r="W101" s="1020">
        <v>105</v>
      </c>
      <c r="X101" s="1020"/>
    </row>
    <row r="102" spans="1:24">
      <c r="A102" s="1856">
        <v>42304</v>
      </c>
      <c r="B102" s="1857"/>
      <c r="C102" s="1858"/>
      <c r="D102" s="1859"/>
      <c r="E102" s="1859"/>
      <c r="F102" s="1860"/>
      <c r="G102" s="1861"/>
      <c r="H102" s="1860"/>
      <c r="I102" s="1862"/>
      <c r="J102" s="1857">
        <v>450</v>
      </c>
      <c r="K102" s="1863">
        <v>1.72</v>
      </c>
      <c r="L102" s="1864"/>
      <c r="M102" s="1865"/>
      <c r="N102" s="1857"/>
      <c r="O102" s="1863"/>
      <c r="P102" s="1866"/>
      <c r="Q102" s="1862"/>
      <c r="R102" s="1861"/>
      <c r="S102" s="1865"/>
      <c r="T102" s="1865"/>
      <c r="U102" s="1867">
        <v>50.31</v>
      </c>
      <c r="V102" s="1868">
        <f t="shared" si="1"/>
        <v>824.31</v>
      </c>
      <c r="W102" s="1020">
        <v>44</v>
      </c>
    </row>
    <row r="103" spans="1:24">
      <c r="A103" s="1847">
        <v>42307</v>
      </c>
      <c r="B103" s="1848">
        <v>200</v>
      </c>
      <c r="C103">
        <v>1.3</v>
      </c>
      <c r="D103" s="1795"/>
      <c r="E103" s="1795"/>
      <c r="F103" s="1796"/>
      <c r="G103" s="1795"/>
      <c r="H103" s="1796"/>
      <c r="I103" s="1797"/>
      <c r="L103" s="1798"/>
      <c r="M103" s="1799"/>
      <c r="N103" s="1848"/>
      <c r="P103" s="1795"/>
      <c r="Q103" s="1797"/>
      <c r="R103" s="1795"/>
      <c r="S103" s="1799"/>
      <c r="T103" s="1799"/>
      <c r="U103" s="1800"/>
      <c r="V103" s="1801">
        <f t="shared" si="1"/>
        <v>260</v>
      </c>
      <c r="W103" s="1020">
        <v>106</v>
      </c>
    </row>
    <row r="104" spans="1:24">
      <c r="A104" s="1847">
        <v>42307</v>
      </c>
      <c r="B104" s="1849"/>
      <c r="C104" s="1850"/>
      <c r="D104" s="1260"/>
      <c r="E104" s="1260"/>
      <c r="F104" s="1851"/>
      <c r="G104" s="1260"/>
      <c r="H104" s="1851"/>
      <c r="I104" s="1852"/>
      <c r="J104" s="1020"/>
      <c r="K104" s="1020"/>
      <c r="L104" s="1853"/>
      <c r="M104" s="1854"/>
      <c r="N104" s="1849"/>
      <c r="O104" s="1020"/>
      <c r="P104" s="1260"/>
      <c r="Q104" s="1852"/>
      <c r="R104" s="1260">
        <v>5</v>
      </c>
      <c r="S104" s="1854">
        <v>15</v>
      </c>
      <c r="T104" s="1854"/>
      <c r="U104" s="1855"/>
      <c r="V104" s="1801">
        <f t="shared" si="1"/>
        <v>75</v>
      </c>
      <c r="W104" s="1020">
        <v>42</v>
      </c>
      <c r="X104" s="1846">
        <f>SUM(V96:V104)</f>
        <v>5881.8099999999995</v>
      </c>
    </row>
    <row r="105" spans="1:24">
      <c r="A105" s="1836">
        <v>42314</v>
      </c>
      <c r="B105" s="1837"/>
      <c r="C105" s="1838"/>
      <c r="D105" s="1839">
        <v>250</v>
      </c>
      <c r="E105" s="1839">
        <v>2.75</v>
      </c>
      <c r="F105" s="1840"/>
      <c r="G105" s="1841"/>
      <c r="H105" s="1840"/>
      <c r="I105" s="1842"/>
      <c r="J105" s="1837"/>
      <c r="K105" s="1841"/>
      <c r="L105" s="1843"/>
      <c r="M105" s="1838"/>
      <c r="N105" s="1837"/>
      <c r="O105" s="1841"/>
      <c r="P105" s="1837"/>
      <c r="Q105" s="1842"/>
      <c r="R105" s="1841"/>
      <c r="S105" s="1838"/>
      <c r="T105" s="1838"/>
      <c r="U105" s="1844"/>
      <c r="V105" s="1845">
        <f t="shared" si="1"/>
        <v>687.5</v>
      </c>
      <c r="W105" s="1020">
        <v>110</v>
      </c>
    </row>
    <row r="106" spans="1:24">
      <c r="A106" s="1820">
        <v>42314</v>
      </c>
      <c r="B106" s="1821">
        <v>700</v>
      </c>
      <c r="C106" s="1822">
        <v>1.3</v>
      </c>
      <c r="D106" s="1822"/>
      <c r="E106" s="1822"/>
      <c r="F106" s="1823"/>
      <c r="G106" s="1822"/>
      <c r="H106" s="1823"/>
      <c r="I106" s="1824"/>
      <c r="J106" s="1822"/>
      <c r="K106" s="1822"/>
      <c r="L106" s="1825"/>
      <c r="M106" s="1826"/>
      <c r="N106" s="1821"/>
      <c r="O106" s="1822"/>
      <c r="P106" s="1822"/>
      <c r="Q106" s="1824"/>
      <c r="R106" s="1822"/>
      <c r="S106" s="1826"/>
      <c r="T106" s="1826"/>
      <c r="U106" s="1827"/>
      <c r="V106" s="1828">
        <f t="shared" si="1"/>
        <v>910</v>
      </c>
      <c r="W106" s="1020">
        <v>107</v>
      </c>
    </row>
    <row r="107" spans="1:24">
      <c r="A107" s="1820">
        <v>42317</v>
      </c>
      <c r="B107" s="1829"/>
      <c r="C107" s="1830"/>
      <c r="D107" s="1831"/>
      <c r="E107" s="1831"/>
      <c r="F107" s="1832">
        <v>4968</v>
      </c>
      <c r="G107" s="1831">
        <v>1.65</v>
      </c>
      <c r="H107" s="1832"/>
      <c r="I107" s="1833"/>
      <c r="J107" s="1831"/>
      <c r="K107" s="1831"/>
      <c r="L107" s="1834"/>
      <c r="M107" s="1830"/>
      <c r="N107" s="1829"/>
      <c r="O107" s="1831"/>
      <c r="P107" s="1831"/>
      <c r="Q107" s="1833"/>
      <c r="R107" s="1831"/>
      <c r="S107" s="1830"/>
      <c r="T107" s="1830"/>
      <c r="U107" s="1835">
        <v>532.82000000000005</v>
      </c>
      <c r="V107" s="1828">
        <f t="shared" si="1"/>
        <v>8730.0199999999986</v>
      </c>
      <c r="W107" s="1020">
        <v>43</v>
      </c>
      <c r="X107" s="1020"/>
    </row>
    <row r="108" spans="1:24">
      <c r="A108" s="1836">
        <v>42320</v>
      </c>
      <c r="B108" s="1837">
        <v>600</v>
      </c>
      <c r="C108" s="1838">
        <v>1.3</v>
      </c>
      <c r="D108" s="1839"/>
      <c r="E108" s="1839"/>
      <c r="F108" s="1840"/>
      <c r="G108" s="1841"/>
      <c r="H108" s="1840"/>
      <c r="I108" s="1842"/>
      <c r="J108" s="1837"/>
      <c r="K108" s="1841"/>
      <c r="L108" s="1843"/>
      <c r="M108" s="1838"/>
      <c r="N108" s="1837"/>
      <c r="O108" s="1841"/>
      <c r="P108" s="1837"/>
      <c r="Q108" s="1842"/>
      <c r="R108" s="1841"/>
      <c r="S108" s="1838"/>
      <c r="T108" s="1838"/>
      <c r="U108" s="1844"/>
      <c r="V108" s="1845">
        <f t="shared" si="1"/>
        <v>780</v>
      </c>
      <c r="W108" s="1020">
        <v>111</v>
      </c>
    </row>
    <row r="109" spans="1:24">
      <c r="A109" s="1820">
        <v>42328</v>
      </c>
      <c r="B109" s="1821">
        <v>850</v>
      </c>
      <c r="C109" s="1822">
        <v>1.3</v>
      </c>
      <c r="D109" s="1822"/>
      <c r="E109" s="1822"/>
      <c r="F109" s="1823"/>
      <c r="G109" s="1822"/>
      <c r="H109" s="1823"/>
      <c r="I109" s="1824"/>
      <c r="J109" s="1822"/>
      <c r="K109" s="1822"/>
      <c r="L109" s="1825"/>
      <c r="M109" s="1826"/>
      <c r="N109" s="1821"/>
      <c r="O109" s="1822"/>
      <c r="P109" s="1822"/>
      <c r="Q109" s="1824"/>
      <c r="R109" s="1822"/>
      <c r="S109" s="1826"/>
      <c r="T109" s="1826"/>
      <c r="U109" s="1827"/>
      <c r="V109" s="1828">
        <f t="shared" si="1"/>
        <v>1105</v>
      </c>
      <c r="W109" s="1020">
        <v>108</v>
      </c>
    </row>
    <row r="110" spans="1:24">
      <c r="A110" s="1820">
        <v>42328</v>
      </c>
      <c r="B110" s="1829"/>
      <c r="C110" s="1830"/>
      <c r="D110" s="1831">
        <v>210</v>
      </c>
      <c r="E110" s="1831">
        <v>2.75</v>
      </c>
      <c r="F110" s="1832"/>
      <c r="G110" s="1831"/>
      <c r="H110" s="1832"/>
      <c r="I110" s="1833"/>
      <c r="J110" s="1831"/>
      <c r="K110" s="1831"/>
      <c r="L110" s="1834"/>
      <c r="M110" s="1830"/>
      <c r="N110" s="1829"/>
      <c r="O110" s="1831"/>
      <c r="P110" s="1831"/>
      <c r="Q110" s="1833"/>
      <c r="R110" s="1831"/>
      <c r="S110" s="1830"/>
      <c r="T110" s="1830"/>
      <c r="U110" s="1835"/>
      <c r="V110" s="1828">
        <f t="shared" si="1"/>
        <v>577.5</v>
      </c>
      <c r="W110" s="1020">
        <v>45</v>
      </c>
      <c r="X110" s="1020"/>
    </row>
    <row r="111" spans="1:24">
      <c r="A111" s="1836">
        <v>42335</v>
      </c>
      <c r="B111" s="1837">
        <v>450</v>
      </c>
      <c r="C111" s="1838">
        <v>1.3</v>
      </c>
      <c r="D111" s="1839"/>
      <c r="E111" s="1839"/>
      <c r="F111" s="1840"/>
      <c r="G111" s="1841"/>
      <c r="H111" s="1840"/>
      <c r="I111" s="1842"/>
      <c r="J111" s="1837"/>
      <c r="K111" s="1841"/>
      <c r="L111" s="1843"/>
      <c r="M111" s="1838"/>
      <c r="N111" s="1837"/>
      <c r="O111" s="1841"/>
      <c r="P111" s="1837"/>
      <c r="Q111" s="1842"/>
      <c r="R111" s="1841"/>
      <c r="S111" s="1838"/>
      <c r="T111" s="1838"/>
      <c r="U111" s="1844"/>
      <c r="V111" s="1845">
        <f t="shared" si="1"/>
        <v>585</v>
      </c>
      <c r="W111" s="1020"/>
      <c r="X111" s="1869">
        <f>SUM(V105:V111)</f>
        <v>13375.019999999999</v>
      </c>
    </row>
    <row r="112" spans="1:24">
      <c r="A112" s="1847">
        <v>42342</v>
      </c>
      <c r="B112" s="1848"/>
      <c r="D112" s="1795">
        <v>200</v>
      </c>
      <c r="E112" s="1795">
        <v>2.75</v>
      </c>
      <c r="F112" s="1796"/>
      <c r="G112" s="1795"/>
      <c r="H112" s="1796"/>
      <c r="I112" s="1797"/>
      <c r="L112" s="1798"/>
      <c r="M112" s="1799"/>
      <c r="N112" s="1848"/>
      <c r="P112" s="1795"/>
      <c r="Q112" s="1797"/>
      <c r="R112" s="1795"/>
      <c r="S112" s="1799"/>
      <c r="T112" s="1799"/>
      <c r="U112" s="1800"/>
      <c r="V112" s="1801">
        <f t="shared" si="1"/>
        <v>550</v>
      </c>
      <c r="W112" s="1020">
        <v>113</v>
      </c>
    </row>
    <row r="113" spans="1:24">
      <c r="A113" s="1847">
        <v>42342</v>
      </c>
      <c r="B113" s="1849">
        <v>550</v>
      </c>
      <c r="C113" s="1850">
        <v>1.3</v>
      </c>
      <c r="D113" s="1260"/>
      <c r="E113" s="1260"/>
      <c r="F113" s="1851"/>
      <c r="G113" s="1260"/>
      <c r="H113" s="1851"/>
      <c r="I113" s="1852"/>
      <c r="J113" s="1020"/>
      <c r="K113" s="1020"/>
      <c r="L113" s="1853"/>
      <c r="M113" s="1854"/>
      <c r="N113" s="1849"/>
      <c r="O113" s="1020"/>
      <c r="P113" s="1260"/>
      <c r="Q113" s="1852"/>
      <c r="R113" s="1260"/>
      <c r="S113" s="1854"/>
      <c r="T113" s="1854"/>
      <c r="U113" s="1855"/>
      <c r="V113" s="1801">
        <f t="shared" si="1"/>
        <v>715</v>
      </c>
      <c r="W113" s="1020">
        <v>114</v>
      </c>
      <c r="X113" s="1020"/>
    </row>
    <row r="114" spans="1:24">
      <c r="A114" s="1856">
        <v>42345</v>
      </c>
      <c r="B114" s="1857"/>
      <c r="C114" s="1858"/>
      <c r="D114" s="1859"/>
      <c r="E114" s="1859"/>
      <c r="F114" s="1860"/>
      <c r="G114" s="1861"/>
      <c r="H114" s="1860"/>
      <c r="I114" s="1862"/>
      <c r="J114" s="1857"/>
      <c r="K114" s="1863"/>
      <c r="L114" s="1864"/>
      <c r="M114" s="1865"/>
      <c r="N114" s="1857">
        <v>2</v>
      </c>
      <c r="O114" s="1863">
        <v>65</v>
      </c>
      <c r="P114" s="1866"/>
      <c r="Q114" s="1862"/>
      <c r="R114" s="1861"/>
      <c r="S114" s="1865"/>
      <c r="T114" s="1865">
        <v>10.84</v>
      </c>
      <c r="U114" s="1867">
        <v>9.1</v>
      </c>
      <c r="V114" s="1868">
        <f t="shared" si="1"/>
        <v>149.94</v>
      </c>
      <c r="W114" s="1020">
        <v>112</v>
      </c>
    </row>
    <row r="115" spans="1:24">
      <c r="A115" s="1847">
        <v>42348</v>
      </c>
      <c r="B115" s="1848"/>
      <c r="D115" s="1795"/>
      <c r="E115" s="1795"/>
      <c r="F115" s="1796"/>
      <c r="G115" s="1795"/>
      <c r="H115" s="1796">
        <v>46160</v>
      </c>
      <c r="I115" s="1797">
        <v>0.1825</v>
      </c>
      <c r="L115" s="1798"/>
      <c r="M115" s="1799"/>
      <c r="N115" s="1848"/>
      <c r="P115" s="1795"/>
      <c r="Q115" s="1797"/>
      <c r="R115" s="1795"/>
      <c r="S115" s="1799"/>
      <c r="T115" s="1799"/>
      <c r="U115" s="1800">
        <v>547.57000000000005</v>
      </c>
      <c r="V115" s="1801">
        <f t="shared" si="1"/>
        <v>8971.7699999999986</v>
      </c>
      <c r="W115" s="1020">
        <v>115</v>
      </c>
    </row>
    <row r="116" spans="1:24">
      <c r="A116" s="1847">
        <v>42348</v>
      </c>
      <c r="B116" s="1849"/>
      <c r="C116" s="1850"/>
      <c r="D116" s="1260"/>
      <c r="E116" s="1260"/>
      <c r="F116" s="1851"/>
      <c r="G116" s="1260"/>
      <c r="H116" s="1851"/>
      <c r="I116" s="1852"/>
      <c r="J116" s="1020">
        <v>900</v>
      </c>
      <c r="K116" s="1020">
        <v>1.48</v>
      </c>
      <c r="L116" s="1853"/>
      <c r="M116" s="1854"/>
      <c r="N116" s="1849"/>
      <c r="O116" s="1020"/>
      <c r="P116" s="1260"/>
      <c r="Q116" s="1852"/>
      <c r="R116" s="1260"/>
      <c r="S116" s="1854"/>
      <c r="T116" s="1854"/>
      <c r="U116" s="1855">
        <v>86.58</v>
      </c>
      <c r="V116" s="1801">
        <f t="shared" si="1"/>
        <v>1418.58</v>
      </c>
      <c r="W116" s="1020">
        <v>109</v>
      </c>
      <c r="X116" s="1020"/>
    </row>
    <row r="117" spans="1:24">
      <c r="A117" s="1856">
        <v>42349</v>
      </c>
      <c r="B117" s="1857">
        <v>550</v>
      </c>
      <c r="C117" s="1858">
        <v>1.3</v>
      </c>
      <c r="D117" s="1859"/>
      <c r="E117" s="1859"/>
      <c r="F117" s="1860"/>
      <c r="G117" s="1861"/>
      <c r="H117" s="1860"/>
      <c r="I117" s="1862"/>
      <c r="J117" s="1857"/>
      <c r="K117" s="1863"/>
      <c r="L117" s="1864"/>
      <c r="M117" s="1865"/>
      <c r="N117" s="1857"/>
      <c r="O117" s="1863"/>
      <c r="P117" s="1866"/>
      <c r="Q117" s="1862"/>
      <c r="R117" s="1861"/>
      <c r="S117" s="1865"/>
      <c r="T117" s="1865"/>
      <c r="U117" s="1867"/>
      <c r="V117" s="1868">
        <f t="shared" si="1"/>
        <v>715</v>
      </c>
      <c r="W117" s="1020">
        <v>117</v>
      </c>
    </row>
    <row r="118" spans="1:24">
      <c r="A118" s="1847">
        <v>42355</v>
      </c>
      <c r="B118" s="1848"/>
      <c r="D118" s="1795">
        <v>125</v>
      </c>
      <c r="E118" s="1795">
        <v>2.75</v>
      </c>
      <c r="F118" s="1796"/>
      <c r="G118" s="1795"/>
      <c r="H118" s="1796"/>
      <c r="I118" s="1797"/>
      <c r="L118" s="1798"/>
      <c r="M118" s="1799"/>
      <c r="N118" s="1848"/>
      <c r="P118" s="1795"/>
      <c r="Q118" s="1797"/>
      <c r="R118" s="1795"/>
      <c r="S118" s="1799"/>
      <c r="T118" s="1799"/>
      <c r="U118" s="1800"/>
      <c r="V118" s="1801">
        <f t="shared" si="1"/>
        <v>343.75</v>
      </c>
      <c r="W118" s="1020">
        <v>116</v>
      </c>
    </row>
    <row r="119" spans="1:24">
      <c r="A119" s="1847">
        <v>42355</v>
      </c>
      <c r="B119" s="1849">
        <v>550</v>
      </c>
      <c r="C119" s="1850">
        <v>1.3</v>
      </c>
      <c r="D119" s="1260"/>
      <c r="E119" s="1260"/>
      <c r="F119" s="1851"/>
      <c r="G119" s="1260"/>
      <c r="H119" s="1851"/>
      <c r="I119" s="1852"/>
      <c r="J119" s="1020"/>
      <c r="K119" s="1020"/>
      <c r="L119" s="1853"/>
      <c r="M119" s="1854"/>
      <c r="N119" s="1849"/>
      <c r="O119" s="1020"/>
      <c r="P119" s="1260"/>
      <c r="Q119" s="1852"/>
      <c r="R119" s="1260"/>
      <c r="S119" s="1854"/>
      <c r="T119" s="1854"/>
      <c r="U119" s="1855"/>
      <c r="V119" s="1801">
        <f t="shared" si="1"/>
        <v>715</v>
      </c>
      <c r="W119" s="1020">
        <v>46</v>
      </c>
      <c r="X119" s="1020"/>
    </row>
    <row r="120" spans="1:24">
      <c r="A120" s="1856">
        <v>42361</v>
      </c>
      <c r="B120" s="1857">
        <v>280</v>
      </c>
      <c r="C120" s="1858">
        <v>1.3</v>
      </c>
      <c r="D120" s="1859"/>
      <c r="E120" s="1859"/>
      <c r="F120" s="1860"/>
      <c r="G120" s="1861"/>
      <c r="H120" s="1860"/>
      <c r="I120" s="1862"/>
      <c r="J120" s="1857"/>
      <c r="K120" s="1863"/>
      <c r="L120" s="1864"/>
      <c r="M120" s="1865"/>
      <c r="N120" s="1857"/>
      <c r="O120" s="1863"/>
      <c r="P120" s="1866"/>
      <c r="Q120" s="1862"/>
      <c r="R120" s="1861"/>
      <c r="S120" s="1865"/>
      <c r="T120" s="1865"/>
      <c r="U120" s="1867"/>
      <c r="V120" s="1868">
        <f t="shared" si="1"/>
        <v>364</v>
      </c>
      <c r="W120" s="1020"/>
    </row>
    <row r="121" spans="1:24">
      <c r="A121" s="1847">
        <v>42369</v>
      </c>
      <c r="B121" s="1848"/>
      <c r="D121" s="1795">
        <v>175</v>
      </c>
      <c r="E121" s="1795">
        <v>2.75</v>
      </c>
      <c r="F121" s="1796"/>
      <c r="G121" s="1795"/>
      <c r="H121" s="1796"/>
      <c r="I121" s="1797"/>
      <c r="L121" s="1798"/>
      <c r="M121" s="1799"/>
      <c r="N121" s="1848"/>
      <c r="P121" s="1795"/>
      <c r="Q121" s="1797"/>
      <c r="R121" s="1795"/>
      <c r="S121" s="1799"/>
      <c r="T121" s="1799"/>
      <c r="U121" s="1800"/>
      <c r="V121" s="1801">
        <f t="shared" si="1"/>
        <v>481.25</v>
      </c>
      <c r="W121" s="1020"/>
    </row>
    <row r="122" spans="1:24">
      <c r="A122" s="1847">
        <v>42369</v>
      </c>
      <c r="B122" s="1849">
        <v>600</v>
      </c>
      <c r="C122" s="1850">
        <v>1.3</v>
      </c>
      <c r="D122" s="1260"/>
      <c r="E122" s="1260"/>
      <c r="F122" s="1851"/>
      <c r="G122" s="1260"/>
      <c r="H122" s="1851"/>
      <c r="I122" s="1852"/>
      <c r="J122" s="1020"/>
      <c r="K122" s="1020"/>
      <c r="L122" s="1853"/>
      <c r="M122" s="1854"/>
      <c r="N122" s="1849"/>
      <c r="O122" s="1020"/>
      <c r="P122" s="1260"/>
      <c r="Q122" s="1852"/>
      <c r="R122" s="1260"/>
      <c r="S122" s="1854"/>
      <c r="T122" s="1854"/>
      <c r="U122" s="1855"/>
      <c r="V122" s="1801">
        <f t="shared" si="1"/>
        <v>780</v>
      </c>
      <c r="W122" s="1020"/>
      <c r="X122" s="1801">
        <f>SUM(V112:V122)</f>
        <v>15204.289999999999</v>
      </c>
    </row>
    <row r="123" spans="1:24">
      <c r="A123" s="1870" t="s">
        <v>763</v>
      </c>
      <c r="B123" s="1871">
        <f>SUM(B10:B122)</f>
        <v>35225</v>
      </c>
      <c r="C123" s="1872"/>
      <c r="D123" s="1871">
        <f>SUM(D10:D122)</f>
        <v>5525</v>
      </c>
      <c r="E123" s="1873"/>
      <c r="F123" s="1874">
        <f>SUM(F10:F122)</f>
        <v>19823.669999999998</v>
      </c>
      <c r="G123" s="1873"/>
      <c r="H123" s="1874">
        <f>SUM(H10:H122)</f>
        <v>230640</v>
      </c>
      <c r="I123" s="1875"/>
      <c r="J123" s="1871">
        <f>SUM(J10:J122)</f>
        <v>5850</v>
      </c>
      <c r="K123" s="1872"/>
      <c r="L123" s="1871">
        <f>SUM(L10:L122)*100</f>
        <v>600</v>
      </c>
      <c r="M123" s="1872"/>
      <c r="N123" s="1871">
        <f>SUM(N10:N122)</f>
        <v>4</v>
      </c>
      <c r="O123" s="1872"/>
      <c r="P123" s="1871">
        <f>SUM(P10:P122)</f>
        <v>160</v>
      </c>
      <c r="Q123" s="1875"/>
      <c r="R123" s="1871">
        <f>SUM(R10:R122)</f>
        <v>29</v>
      </c>
      <c r="S123" s="1876"/>
      <c r="T123" s="1873"/>
      <c r="U123" s="1877"/>
      <c r="V123" s="1878">
        <f>SUM(V10:V122)</f>
        <v>161223.09349999993</v>
      </c>
      <c r="W123" s="1020"/>
      <c r="X123" s="1869">
        <f>SUM(X10:X122)</f>
        <v>161223.09350000002</v>
      </c>
    </row>
    <row r="124" spans="1:24">
      <c r="B124" s="1606"/>
      <c r="C124" s="1606"/>
      <c r="D124" s="1879"/>
      <c r="E124" s="1879"/>
      <c r="F124" s="1880"/>
      <c r="G124" s="1879"/>
      <c r="H124" s="1880"/>
      <c r="I124" s="1881"/>
      <c r="J124" s="1606"/>
      <c r="K124" s="1606"/>
      <c r="L124" s="1882"/>
      <c r="M124" s="1883"/>
      <c r="N124" s="1606"/>
      <c r="O124" s="1606"/>
      <c r="P124" s="1879"/>
      <c r="Q124" s="1881"/>
      <c r="R124" s="1879"/>
      <c r="S124" s="1883"/>
      <c r="T124" s="1879"/>
      <c r="U124" s="1884"/>
      <c r="V124" s="1885"/>
      <c r="W124" s="1020"/>
    </row>
    <row r="125" spans="1:24">
      <c r="D125" s="1795"/>
      <c r="E125" s="1795"/>
      <c r="F125" s="1796"/>
      <c r="G125" s="1795"/>
      <c r="H125" s="1796"/>
      <c r="I125" s="1797"/>
      <c r="L125" s="1798"/>
      <c r="M125" s="1799"/>
      <c r="P125" s="1795"/>
      <c r="Q125" s="1797"/>
      <c r="R125" s="1795"/>
      <c r="S125" s="1799"/>
      <c r="T125" s="1795"/>
      <c r="U125" s="1800"/>
      <c r="V125" s="1801"/>
      <c r="W125" s="1020"/>
    </row>
    <row r="126" spans="1:24">
      <c r="A126" s="1886" t="s">
        <v>2697</v>
      </c>
      <c r="B126" s="1887">
        <f>B123</f>
        <v>35225</v>
      </c>
      <c r="C126" s="1888"/>
      <c r="D126" s="1888">
        <f>D123</f>
        <v>5525</v>
      </c>
      <c r="E126" s="1888"/>
      <c r="F126" s="1889">
        <f>F123</f>
        <v>19823.669999999998</v>
      </c>
      <c r="G126" s="1888"/>
      <c r="H126" s="1889">
        <f>H123</f>
        <v>230640</v>
      </c>
      <c r="I126" s="1890"/>
      <c r="J126" s="1887">
        <f>J123</f>
        <v>5850</v>
      </c>
      <c r="K126" s="1888"/>
      <c r="L126" s="1891"/>
      <c r="M126" s="1892"/>
      <c r="N126" s="1893"/>
      <c r="O126" s="1888"/>
      <c r="P126" s="1888"/>
      <c r="Q126" s="1890"/>
      <c r="R126" s="1888">
        <f>R123*50</f>
        <v>1450</v>
      </c>
      <c r="S126" s="1892"/>
      <c r="T126" s="1888"/>
      <c r="U126" s="1894"/>
      <c r="V126" s="1888"/>
      <c r="W126" s="1895"/>
      <c r="X126" s="1888"/>
    </row>
    <row r="127" spans="1:24">
      <c r="A127" s="1893" t="s">
        <v>2698</v>
      </c>
      <c r="B127" s="1893" t="s">
        <v>2699</v>
      </c>
      <c r="C127" s="1805"/>
      <c r="D127" s="1896" t="s">
        <v>634</v>
      </c>
      <c r="E127" s="1893"/>
      <c r="F127" s="1896" t="s">
        <v>634</v>
      </c>
      <c r="G127" s="1893"/>
      <c r="H127" s="1897" t="s">
        <v>2689</v>
      </c>
      <c r="I127" s="1898"/>
      <c r="J127" s="1899" t="s">
        <v>2689</v>
      </c>
      <c r="K127" s="1805"/>
      <c r="L127" s="1900"/>
      <c r="M127" s="1901"/>
      <c r="N127" s="1893"/>
      <c r="O127" s="1805"/>
      <c r="P127" s="1893"/>
      <c r="Q127" s="1898"/>
      <c r="R127" s="1899" t="s">
        <v>2689</v>
      </c>
      <c r="S127" s="1901"/>
      <c r="T127" s="1893"/>
      <c r="U127" s="1902"/>
      <c r="V127" s="1801"/>
      <c r="W127" s="1260"/>
      <c r="X127" s="1795"/>
    </row>
    <row r="128" spans="1:24">
      <c r="A128" s="1893" t="s">
        <v>2700</v>
      </c>
      <c r="B128" s="1799"/>
      <c r="C128" s="1903">
        <f>AVERAGE(C10:C122)</f>
        <v>1.2999999999999987</v>
      </c>
      <c r="D128" s="1799"/>
      <c r="E128" s="1903">
        <f>AVERAGE(E10:E122)</f>
        <v>2.75</v>
      </c>
      <c r="F128" s="1799"/>
      <c r="G128" s="1904">
        <f t="shared" ref="G128" si="2">AVERAGE(G10:G122)</f>
        <v>1.9824999999999999</v>
      </c>
      <c r="H128" s="1799"/>
      <c r="I128" s="1904">
        <f t="shared" ref="I128" si="3">AVERAGE(I10:I122)</f>
        <v>0.1825</v>
      </c>
      <c r="J128" s="1799"/>
      <c r="K128" s="1903"/>
      <c r="L128" s="1799"/>
      <c r="M128" s="1903"/>
      <c r="N128" s="1799"/>
      <c r="O128" s="1903"/>
      <c r="P128" s="1799"/>
      <c r="Q128" s="1903"/>
      <c r="R128" s="1799"/>
      <c r="S128" s="1903"/>
      <c r="T128" s="1905"/>
      <c r="U128" s="1906"/>
      <c r="V128" s="1905"/>
      <c r="W128" s="1260"/>
      <c r="X128" s="1795"/>
    </row>
    <row r="129" spans="1:24">
      <c r="A129" s="1899" t="s">
        <v>2701</v>
      </c>
      <c r="B129" s="2355" t="s">
        <v>670</v>
      </c>
      <c r="C129" s="2355"/>
      <c r="D129" s="2355" t="s">
        <v>670</v>
      </c>
      <c r="E129" s="2355"/>
      <c r="F129" s="2355" t="s">
        <v>670</v>
      </c>
      <c r="G129" s="2355"/>
      <c r="H129" s="2355" t="s">
        <v>670</v>
      </c>
      <c r="I129" s="2355"/>
      <c r="J129" s="2355" t="s">
        <v>670</v>
      </c>
      <c r="K129" s="2355"/>
      <c r="L129" s="1907"/>
      <c r="M129" s="1908"/>
      <c r="N129" s="2355" t="s">
        <v>670</v>
      </c>
      <c r="O129" s="2355"/>
      <c r="P129" s="2355" t="s">
        <v>670</v>
      </c>
      <c r="Q129" s="2355"/>
      <c r="R129" s="2355" t="s">
        <v>670</v>
      </c>
      <c r="S129" s="2355"/>
      <c r="T129" s="1909"/>
      <c r="U129" s="1910"/>
      <c r="V129" s="1795"/>
      <c r="W129" s="1260"/>
      <c r="X129" s="1795"/>
    </row>
    <row r="130" spans="1:24">
      <c r="A130" s="1795"/>
      <c r="B130" s="1795"/>
      <c r="C130" s="1795"/>
      <c r="D130" s="1795"/>
      <c r="E130" s="1795"/>
      <c r="F130" s="1796"/>
      <c r="G130" s="1795"/>
      <c r="H130" s="1796"/>
      <c r="I130" s="1797"/>
      <c r="J130" s="1795"/>
      <c r="K130" s="1795"/>
      <c r="L130" s="1798"/>
      <c r="M130" s="1799"/>
      <c r="N130" s="1795"/>
      <c r="O130" s="1795"/>
      <c r="P130" s="1795"/>
      <c r="Q130" s="1797"/>
      <c r="R130" s="1795"/>
      <c r="S130" s="1799"/>
      <c r="T130" s="1795"/>
      <c r="U130" s="1800"/>
      <c r="V130" s="1801"/>
      <c r="W130" s="1260"/>
      <c r="X130" s="1795"/>
    </row>
    <row r="131" spans="1:24">
      <c r="A131" s="1795"/>
      <c r="B131" s="1795"/>
      <c r="C131" s="1795"/>
      <c r="D131" s="1795"/>
      <c r="E131" s="1795"/>
      <c r="F131" s="1796"/>
      <c r="G131" s="1795"/>
      <c r="H131" s="1796"/>
      <c r="I131" s="1797"/>
      <c r="J131" s="1795"/>
      <c r="K131" s="1795"/>
      <c r="L131" s="1798"/>
      <c r="M131" s="1799"/>
      <c r="N131" s="1795"/>
      <c r="O131" s="1795"/>
      <c r="P131" s="1795"/>
      <c r="Q131" s="1797"/>
      <c r="R131" s="1795"/>
      <c r="S131" s="1799"/>
      <c r="T131" s="1795"/>
      <c r="U131" s="1800"/>
      <c r="V131" s="1801"/>
      <c r="W131" s="1260"/>
      <c r="X131" s="1795"/>
    </row>
    <row r="132" spans="1:24">
      <c r="A132" s="1899" t="s">
        <v>2702</v>
      </c>
      <c r="B132" s="2352" t="s">
        <v>2703</v>
      </c>
      <c r="C132" s="2352"/>
      <c r="D132" s="2356" t="s">
        <v>2704</v>
      </c>
      <c r="E132" s="2356"/>
      <c r="F132" s="2356" t="s">
        <v>2705</v>
      </c>
      <c r="G132" s="2356"/>
      <c r="H132" s="2356" t="s">
        <v>2706</v>
      </c>
      <c r="I132" s="2356"/>
      <c r="J132" s="2351" t="s">
        <v>2707</v>
      </c>
      <c r="K132" s="2352"/>
      <c r="L132" s="2358" t="s">
        <v>2708</v>
      </c>
      <c r="M132" s="2358"/>
      <c r="N132" s="2351" t="s">
        <v>2709</v>
      </c>
      <c r="O132" s="2352"/>
      <c r="P132" s="2351" t="s">
        <v>2669</v>
      </c>
      <c r="Q132" s="2352"/>
      <c r="R132" s="2356" t="s">
        <v>2710</v>
      </c>
      <c r="S132" s="2356"/>
      <c r="T132" s="1805"/>
      <c r="U132" s="1911"/>
      <c r="V132" s="1801"/>
      <c r="W132" s="1260"/>
      <c r="X132" s="1795"/>
    </row>
    <row r="133" spans="1:24">
      <c r="A133" s="1893"/>
      <c r="B133" s="1805"/>
      <c r="C133" s="1805"/>
      <c r="D133" s="1805"/>
      <c r="E133" s="1805"/>
      <c r="F133" s="1912"/>
      <c r="G133" s="1805"/>
      <c r="H133" s="1912"/>
      <c r="I133" s="1913"/>
      <c r="J133" s="1805"/>
      <c r="K133" s="1805"/>
      <c r="L133" s="1914"/>
      <c r="M133" s="1915"/>
      <c r="N133" s="1805"/>
      <c r="O133" s="1805"/>
      <c r="P133" s="1805"/>
      <c r="Q133" s="1913"/>
      <c r="R133" s="1805"/>
      <c r="S133" s="1915"/>
      <c r="T133" s="1805"/>
      <c r="U133" s="1911"/>
      <c r="V133" s="1801"/>
      <c r="W133" s="1260"/>
      <c r="X133" s="1795"/>
    </row>
    <row r="134" spans="1:24">
      <c r="A134" s="1916" t="s">
        <v>2711</v>
      </c>
      <c r="B134" s="1917"/>
      <c r="C134" s="1917"/>
      <c r="D134" s="71"/>
      <c r="E134" s="71"/>
      <c r="F134" s="1918"/>
      <c r="G134" s="71"/>
      <c r="H134" s="1918"/>
      <c r="I134" s="1919"/>
      <c r="J134" s="1917"/>
      <c r="K134" s="1917"/>
      <c r="L134" s="1920"/>
      <c r="M134" s="1921"/>
      <c r="N134" s="71"/>
      <c r="O134" s="71"/>
      <c r="P134" s="71"/>
      <c r="Q134" s="1919"/>
      <c r="R134" s="71"/>
      <c r="S134" s="1921"/>
      <c r="T134" s="71"/>
      <c r="U134" s="1922"/>
      <c r="V134" s="1923"/>
      <c r="W134" s="33"/>
      <c r="X134" s="33"/>
    </row>
    <row r="135" spans="1:24">
      <c r="A135" s="1916" t="s">
        <v>2712</v>
      </c>
      <c r="B135" s="2357" t="s">
        <v>877</v>
      </c>
      <c r="C135" s="2357"/>
      <c r="D135" s="2357" t="s">
        <v>877</v>
      </c>
      <c r="E135" s="2357"/>
      <c r="F135" s="2357" t="s">
        <v>877</v>
      </c>
      <c r="G135" s="2357"/>
      <c r="H135" s="2357" t="s">
        <v>877</v>
      </c>
      <c r="I135" s="2357"/>
      <c r="J135" s="2357" t="s">
        <v>877</v>
      </c>
      <c r="K135" s="2357"/>
      <c r="L135" s="2357" t="s">
        <v>877</v>
      </c>
      <c r="M135" s="2357"/>
      <c r="N135" s="2357" t="s">
        <v>877</v>
      </c>
      <c r="O135" s="2357"/>
      <c r="P135" s="2357" t="s">
        <v>877</v>
      </c>
      <c r="Q135" s="2357"/>
      <c r="R135" s="2357" t="s">
        <v>877</v>
      </c>
      <c r="S135" s="2357"/>
      <c r="T135" s="1924"/>
      <c r="U135" s="1925"/>
      <c r="V135" s="1926"/>
      <c r="W135" s="33"/>
      <c r="X135" s="33"/>
    </row>
    <row r="136" spans="1:24">
      <c r="A136" s="1916" t="s">
        <v>2713</v>
      </c>
      <c r="B136" s="1927"/>
      <c r="C136" s="1927"/>
      <c r="D136" s="1928"/>
      <c r="E136" s="1928"/>
      <c r="F136" s="1929"/>
      <c r="G136" s="1928"/>
      <c r="H136" s="1929"/>
      <c r="I136" s="1930"/>
      <c r="J136" s="1927"/>
      <c r="K136" s="1927"/>
      <c r="L136" s="1931"/>
      <c r="M136" s="1932"/>
      <c r="N136" s="1928"/>
      <c r="O136" s="1928"/>
      <c r="P136" s="1928"/>
      <c r="Q136" s="1930"/>
      <c r="R136" s="1928"/>
      <c r="S136" s="1932"/>
      <c r="T136" s="1928"/>
      <c r="U136" s="1933"/>
      <c r="V136" s="1923"/>
      <c r="W136" s="33"/>
      <c r="X136" s="33"/>
    </row>
    <row r="137" spans="1:24">
      <c r="A137" s="1893"/>
      <c r="B137" s="1909"/>
      <c r="C137" s="1909"/>
      <c r="D137" s="1909"/>
      <c r="E137" s="1909"/>
      <c r="F137" s="1934"/>
      <c r="G137" s="1909"/>
      <c r="H137" s="1934"/>
      <c r="I137" s="1935"/>
      <c r="J137" s="1909"/>
      <c r="K137" s="1909"/>
      <c r="L137" s="1936"/>
      <c r="M137" s="1937"/>
      <c r="N137" s="1909"/>
      <c r="O137" s="1909"/>
      <c r="P137" s="1909"/>
      <c r="Q137" s="1935"/>
      <c r="R137" s="1909"/>
      <c r="S137" s="1937"/>
      <c r="T137" s="1909"/>
      <c r="U137" s="1910"/>
      <c r="V137" s="1801"/>
      <c r="W137" s="1260"/>
      <c r="X137" s="1795"/>
    </row>
    <row r="138" spans="1:24">
      <c r="A138" s="1916" t="s">
        <v>2714</v>
      </c>
      <c r="B138" s="2359">
        <f>B126</f>
        <v>35225</v>
      </c>
      <c r="C138" s="2359"/>
      <c r="D138" s="2359">
        <f>D126</f>
        <v>5525</v>
      </c>
      <c r="E138" s="2359"/>
      <c r="F138" s="2359">
        <f>F126</f>
        <v>19823.669999999998</v>
      </c>
      <c r="G138" s="2359"/>
      <c r="H138" s="2359">
        <f>H126</f>
        <v>230640</v>
      </c>
      <c r="I138" s="2359"/>
      <c r="J138" s="2359"/>
      <c r="K138" s="2359"/>
      <c r="L138" s="1938"/>
      <c r="M138" s="1939"/>
      <c r="N138" s="2359"/>
      <c r="O138" s="2359"/>
      <c r="P138" s="33"/>
      <c r="Q138" s="1940"/>
      <c r="R138" s="33"/>
      <c r="S138" s="1939"/>
      <c r="T138" s="33"/>
      <c r="U138" s="1941"/>
      <c r="V138" s="1923"/>
      <c r="W138" s="33"/>
      <c r="X138" s="33"/>
    </row>
    <row r="139" spans="1:24">
      <c r="A139" s="1916" t="s">
        <v>2715</v>
      </c>
      <c r="B139" s="2362">
        <f>0.1*B138/B140</f>
        <v>12.479230804657968</v>
      </c>
      <c r="C139" s="2362"/>
      <c r="D139" s="2362">
        <f>0.4*D138/D140</f>
        <v>7.8294109519642605</v>
      </c>
      <c r="E139" s="2362"/>
      <c r="F139" s="2362">
        <f>0.1*F138/F140</f>
        <v>7.0229709957522788</v>
      </c>
      <c r="G139" s="2362"/>
      <c r="H139" s="2362">
        <f>0.12*H138/(H140*8.34)</f>
        <v>11.756732588697792</v>
      </c>
      <c r="I139" s="2362"/>
      <c r="J139" s="2357" t="s">
        <v>877</v>
      </c>
      <c r="K139" s="2357"/>
      <c r="L139" s="2357" t="s">
        <v>877</v>
      </c>
      <c r="M139" s="2357"/>
      <c r="N139" s="2357" t="s">
        <v>877</v>
      </c>
      <c r="O139" s="2357"/>
      <c r="P139" s="2357" t="s">
        <v>877</v>
      </c>
      <c r="Q139" s="2357"/>
      <c r="R139" s="2357" t="s">
        <v>877</v>
      </c>
      <c r="S139" s="2357"/>
      <c r="T139" s="1924"/>
      <c r="U139" s="1925"/>
      <c r="V139" s="1926"/>
      <c r="W139" s="33"/>
      <c r="X139" s="33"/>
    </row>
    <row r="140" spans="1:24">
      <c r="A140" s="1916" t="s">
        <v>2713</v>
      </c>
      <c r="B140" s="2360">
        <v>282.26900000000001</v>
      </c>
      <c r="C140" s="2360"/>
      <c r="D140" s="2360">
        <v>282.26900000000001</v>
      </c>
      <c r="E140" s="2360"/>
      <c r="F140" s="2360">
        <v>282.26900000000001</v>
      </c>
      <c r="G140" s="2360"/>
      <c r="H140" s="2360">
        <v>282.26900000000001</v>
      </c>
      <c r="I140" s="2360"/>
      <c r="J140" s="33"/>
      <c r="K140" s="33"/>
      <c r="L140" s="1931"/>
      <c r="M140" s="1928"/>
      <c r="N140" s="33"/>
      <c r="O140" s="33"/>
      <c r="P140" s="33"/>
      <c r="Q140" s="1940"/>
      <c r="R140" s="2361"/>
      <c r="S140" s="2361"/>
      <c r="T140" s="33"/>
      <c r="U140" s="1941"/>
      <c r="V140" s="1923"/>
      <c r="W140" s="33"/>
      <c r="X140" s="33"/>
    </row>
    <row r="141" spans="1:24">
      <c r="A141" s="1795"/>
      <c r="B141" s="1795"/>
      <c r="C141" s="1795"/>
      <c r="D141" s="1795"/>
      <c r="E141" s="1795"/>
      <c r="F141" s="1796"/>
      <c r="G141" s="1795"/>
      <c r="H141" s="1796"/>
      <c r="I141" s="1797"/>
      <c r="J141" s="1795"/>
      <c r="K141" s="1795"/>
      <c r="L141" s="1798"/>
      <c r="M141" s="1799"/>
      <c r="N141" s="1795"/>
      <c r="O141" s="1795"/>
      <c r="P141" s="1795"/>
      <c r="Q141" s="1797"/>
      <c r="R141" s="1795"/>
      <c r="S141" s="1799"/>
      <c r="T141" s="1795"/>
      <c r="U141" s="1800"/>
      <c r="V141" s="1801"/>
      <c r="W141" s="1260"/>
      <c r="X141" s="1795"/>
    </row>
    <row r="142" spans="1:24">
      <c r="A142" s="1795"/>
      <c r="B142" s="1942"/>
      <c r="C142" s="1795"/>
      <c r="D142" s="1798"/>
      <c r="E142" s="1795"/>
      <c r="F142" s="1796"/>
      <c r="G142" s="1795"/>
      <c r="H142" s="1796"/>
      <c r="I142" s="1797"/>
      <c r="J142" s="1795"/>
      <c r="K142" s="1795"/>
      <c r="L142" s="1798"/>
      <c r="M142" s="1799"/>
      <c r="N142" s="1798"/>
      <c r="O142" s="1795"/>
      <c r="P142" s="1798"/>
      <c r="Q142" s="1797"/>
      <c r="R142" s="1795"/>
      <c r="S142" s="1799"/>
      <c r="T142" s="1795"/>
      <c r="U142" s="1800"/>
      <c r="V142" s="1801"/>
      <c r="W142" s="1260"/>
      <c r="X142" s="1795"/>
    </row>
    <row r="143" spans="1:24">
      <c r="D143" s="1795"/>
      <c r="E143" s="1795"/>
      <c r="F143" s="1796"/>
      <c r="G143" s="1795"/>
      <c r="H143" s="1796"/>
      <c r="I143" s="1797"/>
      <c r="L143" s="1798"/>
      <c r="M143" s="1799"/>
      <c r="P143" s="1795"/>
      <c r="Q143" s="1797"/>
      <c r="R143" s="1795"/>
      <c r="S143" s="1799"/>
      <c r="T143" s="1795"/>
      <c r="U143" s="1800"/>
      <c r="V143" s="1801"/>
      <c r="W143" s="1020"/>
    </row>
    <row r="144" spans="1:24">
      <c r="D144" s="1795"/>
      <c r="E144" s="1795"/>
      <c r="F144" s="1796"/>
      <c r="G144" s="1795"/>
      <c r="H144" s="1796"/>
      <c r="I144" s="1797"/>
      <c r="L144" s="1798"/>
      <c r="M144" s="1799"/>
      <c r="P144" s="1795"/>
      <c r="Q144" s="1797"/>
      <c r="R144" s="1795"/>
      <c r="S144" s="1799"/>
      <c r="T144" s="1795"/>
      <c r="U144" s="1800"/>
      <c r="V144" s="1801"/>
      <c r="W144" s="1020"/>
    </row>
    <row r="145" spans="4:23">
      <c r="D145" s="1795"/>
      <c r="E145" s="1795"/>
      <c r="F145" s="1796"/>
      <c r="G145" s="1795"/>
      <c r="H145" s="1796"/>
      <c r="I145" s="1797"/>
      <c r="L145" s="1798"/>
      <c r="M145" s="1799"/>
      <c r="P145" s="1795"/>
      <c r="Q145" s="1797"/>
      <c r="R145" s="1795"/>
      <c r="S145" s="1799"/>
      <c r="T145" s="1795"/>
      <c r="U145" s="1800"/>
      <c r="V145" s="1801"/>
      <c r="W145" s="1020"/>
    </row>
    <row r="146" spans="4:23">
      <c r="D146" s="1795"/>
      <c r="E146" s="1795"/>
      <c r="F146" s="1796"/>
      <c r="G146" s="1795"/>
      <c r="H146" s="1796"/>
      <c r="I146" s="1797"/>
      <c r="L146" s="1798"/>
      <c r="M146" s="1799"/>
      <c r="P146" s="1795"/>
      <c r="Q146" s="1797"/>
      <c r="R146" s="1795"/>
      <c r="S146" s="1799"/>
      <c r="T146" s="1795"/>
      <c r="U146" s="1800"/>
      <c r="V146" s="1801"/>
      <c r="W146" s="1020"/>
    </row>
    <row r="147" spans="4:23">
      <c r="D147" s="1795"/>
      <c r="E147" s="1795"/>
      <c r="F147" s="1796"/>
      <c r="G147" s="1795"/>
      <c r="H147" s="1796"/>
      <c r="I147" s="1797"/>
      <c r="L147" s="1798"/>
      <c r="M147" s="1799"/>
      <c r="P147" s="1795"/>
      <c r="Q147" s="1797"/>
      <c r="R147" s="1795"/>
      <c r="S147" s="1799"/>
      <c r="T147" s="1795"/>
      <c r="U147" s="1800"/>
      <c r="V147" s="1801"/>
      <c r="W147" s="1020"/>
    </row>
    <row r="148" spans="4:23">
      <c r="D148" s="1795"/>
      <c r="E148" s="1795"/>
      <c r="F148" s="1796"/>
      <c r="G148" s="1795"/>
      <c r="H148" s="1796"/>
      <c r="I148" s="1797"/>
      <c r="L148" s="1798"/>
      <c r="M148" s="1799"/>
      <c r="P148" s="1795"/>
      <c r="Q148" s="1797"/>
      <c r="R148" s="1795"/>
      <c r="S148" s="1799"/>
      <c r="T148" s="1795"/>
      <c r="U148" s="1800"/>
      <c r="V148" s="1801"/>
      <c r="W148" s="1020"/>
    </row>
    <row r="149" spans="4:23">
      <c r="D149" s="1795"/>
      <c r="E149" s="1795"/>
      <c r="F149" s="1796"/>
      <c r="G149" s="1795"/>
      <c r="H149" s="1796"/>
      <c r="I149" s="1797"/>
      <c r="L149" s="1798"/>
      <c r="M149" s="1799"/>
      <c r="P149" s="1795"/>
      <c r="Q149" s="1797"/>
      <c r="R149" s="1795"/>
      <c r="S149" s="1799"/>
      <c r="T149" s="1795"/>
      <c r="U149" s="1800"/>
      <c r="V149" s="1801"/>
      <c r="W149" s="1020"/>
    </row>
    <row r="150" spans="4:23">
      <c r="D150" s="1795"/>
      <c r="E150" s="1795"/>
      <c r="F150" s="1796"/>
      <c r="G150" s="1795"/>
      <c r="H150" s="1796"/>
      <c r="I150" s="1797"/>
      <c r="L150" s="1798"/>
      <c r="M150" s="1799"/>
      <c r="P150" s="1795"/>
      <c r="Q150" s="1797"/>
      <c r="R150" s="1795"/>
      <c r="S150" s="1799"/>
      <c r="T150" s="1795"/>
      <c r="U150" s="1800"/>
      <c r="V150" s="1801"/>
      <c r="W150" s="1020"/>
    </row>
    <row r="151" spans="4:23">
      <c r="D151" s="1795"/>
      <c r="E151" s="1795"/>
      <c r="F151" s="1796"/>
      <c r="G151" s="1795"/>
      <c r="H151" s="1796"/>
      <c r="I151" s="1797"/>
      <c r="L151" s="1798"/>
      <c r="M151" s="1799"/>
      <c r="P151" s="1795"/>
      <c r="Q151" s="1797"/>
      <c r="R151" s="1795"/>
      <c r="S151" s="1799"/>
      <c r="T151" s="1795"/>
      <c r="U151" s="1800"/>
      <c r="V151" s="1801"/>
      <c r="W151" s="1020"/>
    </row>
  </sheetData>
  <mergeCells count="64">
    <mergeCell ref="N139:O139"/>
    <mergeCell ref="P139:Q139"/>
    <mergeCell ref="R139:S139"/>
    <mergeCell ref="B140:C140"/>
    <mergeCell ref="D140:E140"/>
    <mergeCell ref="F140:G140"/>
    <mergeCell ref="H140:I140"/>
    <mergeCell ref="R140:S140"/>
    <mergeCell ref="B139:C139"/>
    <mergeCell ref="D139:E139"/>
    <mergeCell ref="F139:G139"/>
    <mergeCell ref="H139:I139"/>
    <mergeCell ref="J139:K139"/>
    <mergeCell ref="L139:M139"/>
    <mergeCell ref="P135:Q135"/>
    <mergeCell ref="R135:S135"/>
    <mergeCell ref="B138:C138"/>
    <mergeCell ref="D138:E138"/>
    <mergeCell ref="F138:G138"/>
    <mergeCell ref="H138:I138"/>
    <mergeCell ref="J138:K138"/>
    <mergeCell ref="N138:O138"/>
    <mergeCell ref="N132:O132"/>
    <mergeCell ref="P132:Q132"/>
    <mergeCell ref="R132:S132"/>
    <mergeCell ref="B135:C135"/>
    <mergeCell ref="D135:E135"/>
    <mergeCell ref="F135:G135"/>
    <mergeCell ref="H135:I135"/>
    <mergeCell ref="J135:K135"/>
    <mergeCell ref="L135:M135"/>
    <mergeCell ref="N135:O135"/>
    <mergeCell ref="B132:C132"/>
    <mergeCell ref="D132:E132"/>
    <mergeCell ref="F132:G132"/>
    <mergeCell ref="H132:I132"/>
    <mergeCell ref="J132:K132"/>
    <mergeCell ref="L132:M132"/>
    <mergeCell ref="P8:Q8"/>
    <mergeCell ref="R8:S8"/>
    <mergeCell ref="B129:C129"/>
    <mergeCell ref="D129:E129"/>
    <mergeCell ref="F129:G129"/>
    <mergeCell ref="H129:I129"/>
    <mergeCell ref="J129:K129"/>
    <mergeCell ref="N129:O129"/>
    <mergeCell ref="P129:Q129"/>
    <mergeCell ref="R129:S129"/>
    <mergeCell ref="N7:O7"/>
    <mergeCell ref="P7:Q7"/>
    <mergeCell ref="R7:S7"/>
    <mergeCell ref="B8:C8"/>
    <mergeCell ref="D8:E8"/>
    <mergeCell ref="F8:G8"/>
    <mergeCell ref="H8:I8"/>
    <mergeCell ref="J8:K8"/>
    <mergeCell ref="L8:M8"/>
    <mergeCell ref="N8:O8"/>
    <mergeCell ref="B7:C7"/>
    <mergeCell ref="D7:E7"/>
    <mergeCell ref="F7:G7"/>
    <mergeCell ref="H7:I7"/>
    <mergeCell ref="J7:K7"/>
    <mergeCell ref="L7:M7"/>
  </mergeCells>
  <pageMargins left="0.7" right="0.7" top="0.75" bottom="0.75" header="0.3" footer="0.3"/>
  <legacyDrawing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P58"/>
  <sheetViews>
    <sheetView topLeftCell="A22" workbookViewId="0">
      <selection activeCell="E50" sqref="E50"/>
    </sheetView>
  </sheetViews>
  <sheetFormatPr defaultRowHeight="12.75"/>
  <cols>
    <col min="1" max="1" width="49.42578125" customWidth="1"/>
    <col min="2" max="2" width="11.140625" bestFit="1" customWidth="1"/>
    <col min="9" max="9" width="11.85546875" bestFit="1" customWidth="1"/>
    <col min="11" max="11" width="9.5703125" bestFit="1" customWidth="1"/>
    <col min="13" max="13" width="10.7109375" customWidth="1"/>
  </cols>
  <sheetData>
    <row r="1" spans="1:16">
      <c r="A1" s="991" t="s">
        <v>2242</v>
      </c>
      <c r="B1" s="991"/>
      <c r="C1" s="991"/>
      <c r="D1" s="991"/>
      <c r="E1" s="991"/>
      <c r="F1" s="991"/>
      <c r="G1" s="991"/>
      <c r="H1" s="991"/>
      <c r="I1" s="991"/>
      <c r="J1" s="991"/>
      <c r="K1" s="991"/>
      <c r="L1" s="991"/>
      <c r="M1" s="991"/>
      <c r="N1" s="991"/>
      <c r="O1" s="991"/>
      <c r="P1" s="991"/>
    </row>
    <row r="2" spans="1:16">
      <c r="A2" s="991" t="s">
        <v>2827</v>
      </c>
      <c r="B2" s="991"/>
      <c r="C2" s="991"/>
      <c r="D2" s="991"/>
      <c r="E2" s="991"/>
      <c r="F2" s="991"/>
      <c r="G2" s="991"/>
      <c r="H2" s="991"/>
      <c r="I2" s="991"/>
      <c r="J2" s="991"/>
      <c r="K2" s="991"/>
      <c r="L2" s="991"/>
      <c r="M2" s="991"/>
      <c r="N2" s="991"/>
      <c r="O2" s="991"/>
      <c r="P2" s="991"/>
    </row>
    <row r="3" spans="1:16">
      <c r="A3" s="991"/>
      <c r="B3" s="991"/>
      <c r="C3" s="991"/>
      <c r="D3" s="991"/>
      <c r="E3" s="991"/>
      <c r="F3" s="991"/>
      <c r="G3" s="991"/>
      <c r="H3" s="991"/>
      <c r="I3" s="991"/>
      <c r="J3" s="991"/>
      <c r="K3" s="991"/>
      <c r="L3" s="991"/>
      <c r="M3" s="991"/>
      <c r="N3" s="991"/>
      <c r="O3" s="991"/>
      <c r="P3" s="991"/>
    </row>
    <row r="4" spans="1:16">
      <c r="A4" s="991"/>
      <c r="B4" s="991"/>
      <c r="C4" s="991"/>
      <c r="D4" s="991"/>
      <c r="E4" s="991"/>
      <c r="F4" s="991"/>
      <c r="G4" s="991"/>
      <c r="H4" s="991"/>
      <c r="I4" s="991"/>
      <c r="J4" s="991"/>
      <c r="K4" s="991"/>
      <c r="L4" s="991"/>
      <c r="M4" s="991"/>
      <c r="N4" s="991"/>
      <c r="O4" s="991"/>
      <c r="P4" s="991"/>
    </row>
    <row r="5" spans="1:16">
      <c r="A5" s="991"/>
      <c r="B5" s="991"/>
      <c r="C5" s="991"/>
      <c r="D5" s="991"/>
      <c r="E5" s="2363" t="s">
        <v>2828</v>
      </c>
      <c r="F5" s="2363"/>
      <c r="G5" s="2363"/>
      <c r="H5" s="1000"/>
      <c r="I5" s="2363" t="s">
        <v>2829</v>
      </c>
      <c r="J5" s="2363"/>
      <c r="K5" s="2363"/>
      <c r="L5" s="2363" t="s">
        <v>2830</v>
      </c>
      <c r="M5" s="2363"/>
      <c r="N5" s="1015"/>
      <c r="O5" s="991"/>
      <c r="P5" s="991"/>
    </row>
    <row r="6" spans="1:16">
      <c r="A6" s="991"/>
      <c r="B6" s="991"/>
      <c r="C6" s="991"/>
      <c r="D6" s="991"/>
      <c r="E6" s="1000" t="s">
        <v>2831</v>
      </c>
      <c r="F6" s="1000" t="s">
        <v>2832</v>
      </c>
      <c r="G6" s="1000" t="s">
        <v>2833</v>
      </c>
      <c r="H6" s="1000" t="s">
        <v>2834</v>
      </c>
      <c r="I6" s="1000" t="s">
        <v>2831</v>
      </c>
      <c r="J6" s="1000" t="s">
        <v>2832</v>
      </c>
      <c r="K6" s="1000" t="s">
        <v>2833</v>
      </c>
      <c r="L6" s="991" t="s">
        <v>2834</v>
      </c>
      <c r="M6" s="991" t="s">
        <v>2833</v>
      </c>
      <c r="N6" s="991" t="s">
        <v>2835</v>
      </c>
      <c r="O6" s="991" t="s">
        <v>2836</v>
      </c>
      <c r="P6" s="991" t="s">
        <v>2837</v>
      </c>
    </row>
    <row r="7" spans="1:16" ht="13.5" thickBot="1">
      <c r="A7" s="991" t="s">
        <v>2875</v>
      </c>
      <c r="B7" s="991"/>
      <c r="C7" s="991"/>
      <c r="D7" s="991"/>
      <c r="E7" s="991"/>
      <c r="F7" s="991"/>
      <c r="G7" s="991"/>
      <c r="H7" s="991" t="s">
        <v>2838</v>
      </c>
      <c r="I7" s="991"/>
      <c r="J7" s="991"/>
      <c r="K7" s="991"/>
      <c r="L7" s="991"/>
      <c r="M7" s="991"/>
      <c r="N7" s="991"/>
      <c r="O7" s="991" t="s">
        <v>2839</v>
      </c>
      <c r="P7" s="991" t="s">
        <v>2840</v>
      </c>
    </row>
    <row r="8" spans="1:16" ht="84.75" thickBot="1">
      <c r="A8" s="1976" t="s">
        <v>2841</v>
      </c>
      <c r="B8" s="1977" t="s">
        <v>2842</v>
      </c>
      <c r="C8" s="1977" t="s">
        <v>2843</v>
      </c>
      <c r="D8" s="1978" t="s">
        <v>2850</v>
      </c>
      <c r="E8" s="2023">
        <v>391.7</v>
      </c>
      <c r="F8" s="2023">
        <v>108.3917</v>
      </c>
      <c r="G8" s="2023">
        <v>403.39170000000001</v>
      </c>
      <c r="H8" s="2023">
        <v>5</v>
      </c>
      <c r="I8" s="2123">
        <v>3523</v>
      </c>
      <c r="J8" s="2024">
        <f>+I8/H8/2</f>
        <v>352.3</v>
      </c>
      <c r="K8" s="2024">
        <f>+J8*2</f>
        <v>704.6</v>
      </c>
      <c r="L8" s="2025">
        <v>5</v>
      </c>
      <c r="M8" s="2024">
        <f>ROUND(+I8/L8,2)</f>
        <v>704.6</v>
      </c>
      <c r="N8" s="2026">
        <f>+M8-K8</f>
        <v>0</v>
      </c>
      <c r="O8" s="2027">
        <v>0.37630000000000002</v>
      </c>
      <c r="P8" s="2028">
        <f>ROUND(+N8*O8,0)</f>
        <v>0</v>
      </c>
    </row>
    <row r="9" spans="1:16" ht="36.75" thickBot="1">
      <c r="A9" s="1976" t="s">
        <v>2957</v>
      </c>
      <c r="B9" s="1977" t="s">
        <v>2842</v>
      </c>
      <c r="C9" s="1977" t="s">
        <v>2843</v>
      </c>
      <c r="D9" s="1978" t="s">
        <v>2849</v>
      </c>
      <c r="E9" s="1996">
        <v>391.7</v>
      </c>
      <c r="F9" s="1996">
        <v>108.3917</v>
      </c>
      <c r="G9" s="1996">
        <v>403.39170000000001</v>
      </c>
      <c r="H9" s="1996">
        <v>5</v>
      </c>
      <c r="I9" s="2124">
        <v>53592</v>
      </c>
      <c r="J9" s="1997">
        <f>+I9/H9/2</f>
        <v>5359.2</v>
      </c>
      <c r="K9" s="1997">
        <f>+J9*2</f>
        <v>10718.4</v>
      </c>
      <c r="L9" s="1998">
        <v>5</v>
      </c>
      <c r="M9" s="1997">
        <f>ROUND(+I9/L9,2)</f>
        <v>10718.4</v>
      </c>
      <c r="N9" s="1999">
        <f>+M9-K9</f>
        <v>0</v>
      </c>
      <c r="O9" s="2000">
        <v>0.37630000000000002</v>
      </c>
      <c r="P9" s="2029">
        <f>ROUND(+N9*O9,0)</f>
        <v>0</v>
      </c>
    </row>
    <row r="10" spans="1:16" ht="63.75" customHeight="1" thickBot="1">
      <c r="A10" s="1976" t="s">
        <v>2844</v>
      </c>
      <c r="B10" s="1977" t="s">
        <v>2843</v>
      </c>
      <c r="C10" s="1977" t="s">
        <v>2843</v>
      </c>
      <c r="D10" s="1978" t="s">
        <v>2850</v>
      </c>
      <c r="E10" s="1981" t="s">
        <v>2845</v>
      </c>
      <c r="F10" s="1981" t="s">
        <v>2846</v>
      </c>
      <c r="G10" s="1981" t="s">
        <v>2847</v>
      </c>
      <c r="H10" s="1979">
        <v>6</v>
      </c>
      <c r="I10" s="1346">
        <v>55138</v>
      </c>
      <c r="J10" s="1347">
        <f>+I10/H10/2</f>
        <v>4594.833333333333</v>
      </c>
      <c r="K10" s="1347">
        <f>+J10*2</f>
        <v>9189.6666666666661</v>
      </c>
      <c r="L10" s="991">
        <v>3</v>
      </c>
      <c r="M10" s="1347">
        <f t="shared" ref="M10" si="0">ROUND(+I10/L10,2)</f>
        <v>18379.330000000002</v>
      </c>
      <c r="N10" s="992">
        <f t="shared" ref="N10" si="1">+M10-K10</f>
        <v>9189.6633333333357</v>
      </c>
      <c r="O10" s="1980">
        <v>0.37630000000000002</v>
      </c>
      <c r="P10" s="991">
        <f t="shared" ref="P10" si="2">ROUND(+N10*O10,0)</f>
        <v>3458</v>
      </c>
    </row>
    <row r="11" spans="1:16" ht="12" customHeight="1" thickBot="1">
      <c r="A11" s="991"/>
      <c r="B11" s="991"/>
      <c r="C11" s="991"/>
      <c r="D11" s="1000"/>
      <c r="H11" s="1979"/>
      <c r="I11" s="1346"/>
      <c r="J11" s="1347"/>
      <c r="K11" s="1347"/>
      <c r="L11" s="991"/>
      <c r="M11" s="1347"/>
      <c r="N11" s="992"/>
      <c r="O11" s="1980"/>
      <c r="P11" s="991"/>
    </row>
    <row r="12" spans="1:16" ht="141.75">
      <c r="A12" s="1982" t="s">
        <v>2851</v>
      </c>
      <c r="B12" s="1983" t="s">
        <v>2242</v>
      </c>
      <c r="C12" s="1983" t="s">
        <v>670</v>
      </c>
      <c r="D12" s="1984" t="s">
        <v>2848</v>
      </c>
      <c r="E12" s="1503" t="s">
        <v>2857</v>
      </c>
      <c r="F12" s="1981" t="s">
        <v>2859</v>
      </c>
      <c r="G12" s="1981" t="s">
        <v>2858</v>
      </c>
      <c r="H12" s="1979">
        <v>18</v>
      </c>
      <c r="I12" s="1346">
        <v>400000</v>
      </c>
      <c r="J12" s="1347">
        <f t="shared" ref="J12:J20" si="3">+I12/H12/2</f>
        <v>11111.111111111111</v>
      </c>
      <c r="K12" s="1347">
        <f t="shared" ref="K12:K20" si="4">+J12*2</f>
        <v>22222.222222222223</v>
      </c>
      <c r="L12" s="991">
        <v>25</v>
      </c>
      <c r="M12" s="1347">
        <f t="shared" ref="M12" si="5">ROUND(+I12/L12,2)</f>
        <v>16000</v>
      </c>
      <c r="N12" s="992">
        <f t="shared" ref="N12" si="6">+M12-K12</f>
        <v>-6222.2222222222226</v>
      </c>
      <c r="O12" s="1980">
        <v>0.37630000000000002</v>
      </c>
      <c r="P12" s="991">
        <f t="shared" ref="P12" si="7">ROUND(+N12*O12,0)</f>
        <v>-2341</v>
      </c>
    </row>
    <row r="13" spans="1:16" ht="189">
      <c r="A13" s="1985" t="s">
        <v>2852</v>
      </c>
      <c r="B13" s="1986" t="s">
        <v>2242</v>
      </c>
      <c r="C13" s="1986" t="s">
        <v>670</v>
      </c>
      <c r="D13" s="1987" t="s">
        <v>2848</v>
      </c>
      <c r="E13" s="1503" t="s">
        <v>2967</v>
      </c>
      <c r="F13" s="1981" t="s">
        <v>2968</v>
      </c>
      <c r="G13" s="1981" t="s">
        <v>2969</v>
      </c>
      <c r="H13" s="1979">
        <v>20</v>
      </c>
      <c r="I13" s="1346">
        <v>341000</v>
      </c>
      <c r="J13" s="1347">
        <f t="shared" si="3"/>
        <v>8525</v>
      </c>
      <c r="K13" s="1347">
        <f t="shared" si="4"/>
        <v>17050</v>
      </c>
      <c r="L13" s="991">
        <v>25</v>
      </c>
      <c r="M13" s="1347">
        <f t="shared" ref="M13" si="8">ROUND(+I13/L13,2)</f>
        <v>13640</v>
      </c>
      <c r="N13" s="992">
        <f t="shared" ref="N13" si="9">+M13-K13</f>
        <v>-3410</v>
      </c>
      <c r="O13" s="1980">
        <v>0.37630000000000002</v>
      </c>
      <c r="P13" s="991">
        <f t="shared" ref="P13" si="10">ROUND(+N13*O13,0)</f>
        <v>-1283</v>
      </c>
    </row>
    <row r="14" spans="1:16" ht="31.5">
      <c r="A14" s="1985" t="s">
        <v>2966</v>
      </c>
      <c r="B14" s="1986" t="s">
        <v>2242</v>
      </c>
      <c r="C14" s="1986" t="s">
        <v>670</v>
      </c>
      <c r="D14" s="1987" t="s">
        <v>2848</v>
      </c>
      <c r="E14" s="1503" t="s">
        <v>2857</v>
      </c>
      <c r="F14" s="1981" t="s">
        <v>2859</v>
      </c>
      <c r="G14" s="1981" t="s">
        <v>2858</v>
      </c>
      <c r="H14" s="1979">
        <v>18</v>
      </c>
      <c r="I14" s="1346">
        <v>371500</v>
      </c>
      <c r="J14" s="1347">
        <f t="shared" ref="J14" si="11">+I14/H14/2</f>
        <v>10319.444444444445</v>
      </c>
      <c r="K14" s="1347">
        <f t="shared" ref="K14" si="12">+J14*2</f>
        <v>20638.888888888891</v>
      </c>
      <c r="L14" s="991">
        <v>25</v>
      </c>
      <c r="M14" s="1347">
        <f t="shared" ref="M14" si="13">ROUND(+I14/L14,2)</f>
        <v>14860</v>
      </c>
      <c r="N14" s="992">
        <f t="shared" ref="N14" si="14">+M14-K14</f>
        <v>-5778.8888888888905</v>
      </c>
      <c r="O14" s="1980">
        <v>0.37630000000000002</v>
      </c>
      <c r="P14" s="991">
        <f t="shared" ref="P14" si="15">ROUND(+N14*O14,0)</f>
        <v>-2175</v>
      </c>
    </row>
    <row r="15" spans="1:16" ht="51">
      <c r="A15" s="2122" t="s">
        <v>2983</v>
      </c>
      <c r="B15" s="1986" t="s">
        <v>2242</v>
      </c>
      <c r="C15" s="1986" t="s">
        <v>670</v>
      </c>
      <c r="D15" s="1987" t="s">
        <v>2848</v>
      </c>
      <c r="E15" s="1503" t="s">
        <v>2860</v>
      </c>
      <c r="F15" s="1981" t="s">
        <v>2861</v>
      </c>
      <c r="G15" s="1981" t="s">
        <v>2862</v>
      </c>
      <c r="H15" s="1979">
        <v>40</v>
      </c>
      <c r="I15" s="1346">
        <v>65000</v>
      </c>
      <c r="J15" s="1347">
        <f t="shared" si="3"/>
        <v>812.5</v>
      </c>
      <c r="K15" s="1347">
        <f t="shared" si="4"/>
        <v>1625</v>
      </c>
      <c r="L15" s="991">
        <v>25</v>
      </c>
      <c r="M15" s="1347">
        <f t="shared" ref="M15" si="16">ROUND(+I15/L15,2)</f>
        <v>2600</v>
      </c>
      <c r="N15" s="992">
        <f t="shared" ref="N15" si="17">+M15-K15</f>
        <v>975</v>
      </c>
      <c r="O15" s="1980">
        <v>0.37630000000000002</v>
      </c>
      <c r="P15" s="991">
        <f t="shared" ref="P15" si="18">ROUND(+N15*O15,0)</f>
        <v>367</v>
      </c>
    </row>
    <row r="16" spans="1:16" ht="157.5">
      <c r="A16" s="1985" t="s">
        <v>2853</v>
      </c>
      <c r="B16" s="1986" t="s">
        <v>2242</v>
      </c>
      <c r="C16" s="1986" t="s">
        <v>670</v>
      </c>
      <c r="D16" s="1987" t="s">
        <v>2854</v>
      </c>
      <c r="E16" s="1503" t="s">
        <v>2863</v>
      </c>
      <c r="F16" s="1981" t="s">
        <v>2864</v>
      </c>
      <c r="G16" s="1981" t="s">
        <v>2865</v>
      </c>
      <c r="H16" s="2127">
        <v>45</v>
      </c>
      <c r="I16" s="1346">
        <v>500000</v>
      </c>
      <c r="J16" s="1346">
        <f t="shared" si="3"/>
        <v>5555.5555555555557</v>
      </c>
      <c r="K16" s="1347">
        <f t="shared" si="4"/>
        <v>11111.111111111111</v>
      </c>
      <c r="L16" s="991">
        <v>25</v>
      </c>
      <c r="M16" s="1347">
        <f t="shared" ref="M16:M18" si="19">ROUND(+I16/L16,2)</f>
        <v>20000</v>
      </c>
      <c r="N16" s="992">
        <f t="shared" ref="N16:N18" si="20">+M16-K16</f>
        <v>8888.8888888888887</v>
      </c>
      <c r="O16" s="1980">
        <v>0.37630000000000002</v>
      </c>
      <c r="P16" s="991">
        <f t="shared" ref="P16:P18" si="21">ROUND(+N16*O16,0)</f>
        <v>3345</v>
      </c>
    </row>
    <row r="17" spans="1:16" ht="173.25">
      <c r="A17" s="1985" t="s">
        <v>2855</v>
      </c>
      <c r="B17" s="1986" t="s">
        <v>2242</v>
      </c>
      <c r="C17" s="1986" t="s">
        <v>670</v>
      </c>
      <c r="D17" s="1987" t="s">
        <v>2848</v>
      </c>
      <c r="E17" s="1503" t="s">
        <v>2857</v>
      </c>
      <c r="F17" s="1981" t="s">
        <v>2859</v>
      </c>
      <c r="G17" s="1981" t="s">
        <v>2858</v>
      </c>
      <c r="H17" s="1979">
        <v>18</v>
      </c>
      <c r="I17" s="1346">
        <v>100000</v>
      </c>
      <c r="J17" s="1347">
        <f t="shared" si="3"/>
        <v>2777.7777777777778</v>
      </c>
      <c r="K17" s="1347">
        <f t="shared" si="4"/>
        <v>5555.5555555555557</v>
      </c>
      <c r="L17" s="991">
        <v>25</v>
      </c>
      <c r="M17" s="1347">
        <f t="shared" si="19"/>
        <v>4000</v>
      </c>
      <c r="N17" s="992">
        <f t="shared" si="20"/>
        <v>-1555.5555555555557</v>
      </c>
      <c r="O17" s="1980">
        <v>0.37630000000000002</v>
      </c>
      <c r="P17" s="991">
        <f t="shared" si="21"/>
        <v>-585</v>
      </c>
    </row>
    <row r="18" spans="1:16" ht="78.75">
      <c r="A18" s="1991" t="s">
        <v>2856</v>
      </c>
      <c r="B18" s="1986" t="s">
        <v>2242</v>
      </c>
      <c r="C18" s="1986" t="s">
        <v>670</v>
      </c>
      <c r="D18" s="1987" t="s">
        <v>2848</v>
      </c>
      <c r="E18" s="2097" t="s">
        <v>2965</v>
      </c>
      <c r="F18" s="2098" t="s">
        <v>2964</v>
      </c>
      <c r="G18" s="2098" t="s">
        <v>2963</v>
      </c>
      <c r="H18" s="2065">
        <v>30</v>
      </c>
      <c r="I18" s="2125">
        <v>155000</v>
      </c>
      <c r="J18" s="2095">
        <f t="shared" ref="J18" si="22">+I18/H18/2</f>
        <v>2583.3333333333335</v>
      </c>
      <c r="K18" s="2095">
        <f t="shared" ref="K18" si="23">+J18*2</f>
        <v>5166.666666666667</v>
      </c>
      <c r="L18" s="995">
        <v>25</v>
      </c>
      <c r="M18" s="2095">
        <f t="shared" si="19"/>
        <v>6200</v>
      </c>
      <c r="N18" s="1006">
        <f t="shared" si="20"/>
        <v>1033.333333333333</v>
      </c>
      <c r="O18" s="2096">
        <v>0.37630000000000002</v>
      </c>
      <c r="P18" s="995">
        <f t="shared" si="21"/>
        <v>389</v>
      </c>
    </row>
    <row r="19" spans="1:16" ht="16.5" thickBot="1">
      <c r="A19" s="1988" t="s">
        <v>2962</v>
      </c>
      <c r="B19" s="1807" t="s">
        <v>2242</v>
      </c>
      <c r="C19" s="1807" t="s">
        <v>670</v>
      </c>
      <c r="D19" s="1989" t="s">
        <v>2848</v>
      </c>
      <c r="E19" s="1994" t="s">
        <v>2863</v>
      </c>
      <c r="F19" s="1995" t="s">
        <v>2864</v>
      </c>
      <c r="G19" s="1995" t="s">
        <v>2865</v>
      </c>
      <c r="H19" s="1996">
        <v>45</v>
      </c>
      <c r="I19" s="2124">
        <v>76000</v>
      </c>
      <c r="J19" s="1997">
        <f t="shared" si="3"/>
        <v>844.44444444444446</v>
      </c>
      <c r="K19" s="1997">
        <f t="shared" si="4"/>
        <v>1688.8888888888889</v>
      </c>
      <c r="L19" s="1998">
        <v>25</v>
      </c>
      <c r="M19" s="1997">
        <f t="shared" ref="M19:M20" si="24">ROUND(+I19/L19,2)</f>
        <v>3040</v>
      </c>
      <c r="N19" s="1999">
        <f t="shared" ref="N19:N20" si="25">+M19-K19</f>
        <v>1351.1111111111111</v>
      </c>
      <c r="O19" s="2000">
        <v>0.37630000000000002</v>
      </c>
      <c r="P19" s="1998">
        <f t="shared" ref="P19" si="26">ROUND(+N19*O19,0)</f>
        <v>508</v>
      </c>
    </row>
    <row r="20" spans="1:16" ht="32.25" thickBot="1">
      <c r="A20" s="1991" t="s">
        <v>2984</v>
      </c>
      <c r="B20" s="1807" t="s">
        <v>2242</v>
      </c>
      <c r="C20" s="1807" t="s">
        <v>670</v>
      </c>
      <c r="D20" s="1987" t="s">
        <v>2985</v>
      </c>
      <c r="E20" s="2097" t="s">
        <v>2986</v>
      </c>
      <c r="F20" s="2098" t="s">
        <v>2987</v>
      </c>
      <c r="G20" s="2098" t="s">
        <v>2988</v>
      </c>
      <c r="H20" s="2109">
        <v>5</v>
      </c>
      <c r="I20" s="2125">
        <v>81000</v>
      </c>
      <c r="J20" s="2095">
        <f t="shared" si="3"/>
        <v>8100</v>
      </c>
      <c r="K20" s="2095">
        <f t="shared" si="4"/>
        <v>16200</v>
      </c>
      <c r="L20" s="995">
        <v>5</v>
      </c>
      <c r="M20" s="2095">
        <f t="shared" si="24"/>
        <v>16200</v>
      </c>
      <c r="N20" s="1006">
        <f t="shared" si="25"/>
        <v>0</v>
      </c>
      <c r="O20" s="2000">
        <v>0.37630000000000002</v>
      </c>
      <c r="P20" s="1998">
        <f t="shared" ref="P20" si="27">ROUND(+N20*O20,0)</f>
        <v>0</v>
      </c>
    </row>
    <row r="21" spans="1:16" ht="15.75">
      <c r="A21" s="1991" t="s">
        <v>2872</v>
      </c>
      <c r="B21" s="1986"/>
      <c r="C21" s="1986"/>
      <c r="D21" s="1987"/>
      <c r="E21" s="1503"/>
      <c r="F21" s="1981"/>
      <c r="G21" s="1981"/>
      <c r="H21" s="1979"/>
      <c r="I21" s="1346">
        <f t="shared" ref="I21:N21" si="28">SUM(I8:I20)</f>
        <v>2201753</v>
      </c>
      <c r="J21" s="1347">
        <f t="shared" si="28"/>
        <v>60935.500000000007</v>
      </c>
      <c r="K21" s="1347">
        <f t="shared" si="28"/>
        <v>121871.00000000001</v>
      </c>
      <c r="L21" s="1347">
        <f t="shared" si="28"/>
        <v>218</v>
      </c>
      <c r="M21" s="1347">
        <f t="shared" si="28"/>
        <v>126342.33</v>
      </c>
      <c r="N21" s="1347">
        <f t="shared" si="28"/>
        <v>4471.33</v>
      </c>
      <c r="O21" s="1347">
        <f t="shared" ref="O21:P21" si="29">SUM(O8:O19)</f>
        <v>4.1393000000000004</v>
      </c>
      <c r="P21" s="1347">
        <f t="shared" si="29"/>
        <v>1683</v>
      </c>
    </row>
    <row r="22" spans="1:16" ht="15.75">
      <c r="A22" s="1991"/>
      <c r="B22" s="1986"/>
      <c r="C22" s="1986"/>
      <c r="D22" s="1987"/>
      <c r="E22" s="1503"/>
      <c r="F22" s="1981"/>
      <c r="G22" s="1981"/>
      <c r="H22" s="1979"/>
      <c r="I22" s="1347"/>
      <c r="J22" s="1347"/>
      <c r="K22" s="1347"/>
      <c r="L22" s="991"/>
      <c r="M22" s="1347"/>
      <c r="N22" s="992"/>
      <c r="O22" s="1980"/>
      <c r="P22" s="991"/>
    </row>
    <row r="24" spans="1:16" ht="15.75">
      <c r="A24" s="1990" t="s">
        <v>2866</v>
      </c>
    </row>
    <row r="25" spans="1:16" ht="15.75">
      <c r="A25" s="1990" t="s">
        <v>2958</v>
      </c>
      <c r="E25" s="1503" t="s">
        <v>2959</v>
      </c>
      <c r="F25" s="1981" t="s">
        <v>2960</v>
      </c>
      <c r="G25" s="1981" t="s">
        <v>2961</v>
      </c>
      <c r="H25" s="1979">
        <v>6</v>
      </c>
      <c r="I25" s="1347">
        <f>-I9*0.75</f>
        <v>-40194</v>
      </c>
      <c r="J25" s="1347">
        <f t="shared" ref="J25:J31" si="30">+I25/H25/2</f>
        <v>-3349.5</v>
      </c>
      <c r="K25" s="1347">
        <f t="shared" ref="K25:K31" si="31">+J25*2</f>
        <v>-6699</v>
      </c>
    </row>
    <row r="26" spans="1:16" ht="15.75">
      <c r="A26" s="1990" t="s">
        <v>2867</v>
      </c>
      <c r="E26" s="1503" t="s">
        <v>2857</v>
      </c>
      <c r="F26" s="1981" t="s">
        <v>2859</v>
      </c>
      <c r="G26" s="1981" t="s">
        <v>2858</v>
      </c>
      <c r="H26" s="1979">
        <v>18</v>
      </c>
      <c r="I26" s="1347">
        <f>-I12*0.75</f>
        <v>-300000</v>
      </c>
      <c r="J26" s="1347">
        <f t="shared" si="30"/>
        <v>-8333.3333333333339</v>
      </c>
      <c r="K26" s="1347">
        <f t="shared" si="31"/>
        <v>-16666.666666666668</v>
      </c>
      <c r="L26" s="991"/>
      <c r="M26" s="1347"/>
      <c r="N26" s="992"/>
      <c r="O26" s="1980"/>
      <c r="P26" s="991"/>
    </row>
    <row r="27" spans="1:16" ht="15.75">
      <c r="A27" s="1990" t="s">
        <v>2868</v>
      </c>
      <c r="E27" s="1503" t="s">
        <v>2857</v>
      </c>
      <c r="F27" s="1981" t="s">
        <v>2859</v>
      </c>
      <c r="G27" s="1981" t="s">
        <v>2858</v>
      </c>
      <c r="H27" s="1979">
        <v>18</v>
      </c>
      <c r="I27" s="1347">
        <f>-I13*0.75</f>
        <v>-255750</v>
      </c>
      <c r="J27" s="1347">
        <f t="shared" si="30"/>
        <v>-7104.166666666667</v>
      </c>
      <c r="K27" s="1347">
        <f t="shared" si="31"/>
        <v>-14208.333333333334</v>
      </c>
      <c r="L27" s="991"/>
      <c r="M27" s="1347"/>
      <c r="N27" s="992"/>
      <c r="O27" s="1980"/>
      <c r="P27" s="991"/>
    </row>
    <row r="28" spans="1:16" ht="15.75">
      <c r="A28" s="1990" t="s">
        <v>2869</v>
      </c>
      <c r="E28" s="1503" t="s">
        <v>2860</v>
      </c>
      <c r="F28" s="1981" t="s">
        <v>2861</v>
      </c>
      <c r="G28" s="1981" t="s">
        <v>2862</v>
      </c>
      <c r="H28" s="1979">
        <v>40</v>
      </c>
      <c r="I28" s="1347">
        <f>-I15*0.75</f>
        <v>-48750</v>
      </c>
      <c r="J28" s="1347">
        <f t="shared" si="30"/>
        <v>-609.375</v>
      </c>
      <c r="K28" s="1347">
        <f t="shared" si="31"/>
        <v>-1218.75</v>
      </c>
      <c r="L28" s="991"/>
      <c r="M28" s="1347"/>
      <c r="N28" s="992"/>
      <c r="O28" s="1980"/>
      <c r="P28" s="991"/>
    </row>
    <row r="29" spans="1:16" ht="15.75">
      <c r="A29" s="1990" t="s">
        <v>2870</v>
      </c>
      <c r="E29" s="1503" t="s">
        <v>2857</v>
      </c>
      <c r="F29" s="1981" t="s">
        <v>2859</v>
      </c>
      <c r="G29" s="1981" t="s">
        <v>2858</v>
      </c>
      <c r="H29" s="1979">
        <v>18</v>
      </c>
      <c r="I29" s="1347">
        <f>-I17*0.75</f>
        <v>-75000</v>
      </c>
      <c r="J29" s="1347">
        <f t="shared" si="30"/>
        <v>-2083.3333333333335</v>
      </c>
      <c r="K29" s="1347">
        <f t="shared" si="31"/>
        <v>-4166.666666666667</v>
      </c>
      <c r="L29" s="991"/>
      <c r="M29" s="1347"/>
      <c r="N29" s="992"/>
      <c r="O29" s="1980"/>
      <c r="P29" s="991"/>
    </row>
    <row r="30" spans="1:16" s="1606" customFormat="1" ht="15.75">
      <c r="A30" s="1990" t="s">
        <v>2871</v>
      </c>
      <c r="E30" s="2097" t="s">
        <v>2965</v>
      </c>
      <c r="F30" s="2098" t="s">
        <v>2864</v>
      </c>
      <c r="G30" s="2098" t="s">
        <v>2865</v>
      </c>
      <c r="H30" s="2065">
        <v>30</v>
      </c>
      <c r="I30" s="2095">
        <f>-I18*0.75</f>
        <v>-116250</v>
      </c>
      <c r="J30" s="2095">
        <f t="shared" si="30"/>
        <v>-1937.5</v>
      </c>
      <c r="K30" s="2095">
        <f t="shared" si="31"/>
        <v>-3875</v>
      </c>
      <c r="L30" s="995"/>
      <c r="M30" s="2095"/>
      <c r="N30" s="1006"/>
      <c r="O30" s="2096"/>
      <c r="P30" s="995"/>
    </row>
    <row r="31" spans="1:16" ht="16.5" thickBot="1">
      <c r="A31" s="1992" t="s">
        <v>2871</v>
      </c>
      <c r="B31" s="1993"/>
      <c r="C31" s="1993"/>
      <c r="D31" s="1993"/>
      <c r="E31" s="1994" t="s">
        <v>2863</v>
      </c>
      <c r="F31" s="1995" t="s">
        <v>2864</v>
      </c>
      <c r="G31" s="1995" t="s">
        <v>2963</v>
      </c>
      <c r="H31" s="1996">
        <v>45</v>
      </c>
      <c r="I31" s="1997">
        <f>-I19*0.75</f>
        <v>-57000</v>
      </c>
      <c r="J31" s="1997">
        <f t="shared" si="30"/>
        <v>-633.33333333333337</v>
      </c>
      <c r="K31" s="1997">
        <f t="shared" si="31"/>
        <v>-1266.6666666666667</v>
      </c>
      <c r="L31" s="1998"/>
      <c r="M31" s="1997"/>
      <c r="N31" s="1999"/>
      <c r="O31" s="2000"/>
      <c r="P31" s="1998"/>
    </row>
    <row r="32" spans="1:16" ht="15.75">
      <c r="A32" s="1990" t="s">
        <v>2873</v>
      </c>
      <c r="I32" s="2001">
        <f t="shared" ref="I32:P32" si="32">SUM(I25:I31)</f>
        <v>-892944</v>
      </c>
      <c r="J32" s="2001">
        <f t="shared" si="32"/>
        <v>-24050.541666666664</v>
      </c>
      <c r="K32" s="2001">
        <f t="shared" si="32"/>
        <v>-48101.083333333328</v>
      </c>
      <c r="L32" s="2001">
        <f t="shared" si="32"/>
        <v>0</v>
      </c>
      <c r="M32" s="2001">
        <f t="shared" si="32"/>
        <v>0</v>
      </c>
      <c r="N32" s="2001">
        <f t="shared" si="32"/>
        <v>0</v>
      </c>
      <c r="O32" s="2001">
        <f t="shared" si="32"/>
        <v>0</v>
      </c>
      <c r="P32" s="2001">
        <f t="shared" si="32"/>
        <v>0</v>
      </c>
    </row>
    <row r="34" spans="1:16" ht="15.75">
      <c r="A34" s="1990" t="s">
        <v>1756</v>
      </c>
      <c r="I34" s="2001">
        <f>I21+I32</f>
        <v>1308809</v>
      </c>
      <c r="J34" s="2001">
        <f t="shared" ref="J34:P34" si="33">J21+J32</f>
        <v>36884.958333333343</v>
      </c>
      <c r="K34" s="2001">
        <f t="shared" si="33"/>
        <v>73769.916666666686</v>
      </c>
      <c r="L34" s="2001">
        <f t="shared" si="33"/>
        <v>218</v>
      </c>
      <c r="M34" s="2001">
        <f t="shared" si="33"/>
        <v>126342.33</v>
      </c>
      <c r="N34" s="2001">
        <f t="shared" si="33"/>
        <v>4471.33</v>
      </c>
      <c r="O34" s="2001">
        <f t="shared" si="33"/>
        <v>4.1393000000000004</v>
      </c>
      <c r="P34" s="2001">
        <f t="shared" si="33"/>
        <v>1683</v>
      </c>
    </row>
    <row r="36" spans="1:16" ht="15.75">
      <c r="A36" s="1990" t="s">
        <v>2876</v>
      </c>
    </row>
    <row r="37" spans="1:16" ht="15.75">
      <c r="A37" s="1990" t="s">
        <v>2878</v>
      </c>
      <c r="D37" t="s">
        <v>2848</v>
      </c>
      <c r="E37" s="991">
        <v>380.4</v>
      </c>
      <c r="F37" s="991"/>
      <c r="G37" s="991"/>
      <c r="H37" s="991">
        <v>20</v>
      </c>
      <c r="I37" s="993">
        <v>341000</v>
      </c>
      <c r="J37" s="1502">
        <f t="shared" ref="J37:J46" si="34">+I37/H37/2</f>
        <v>8525</v>
      </c>
      <c r="K37" s="1502">
        <f t="shared" ref="K37:K46" si="35">+J37*2</f>
        <v>17050</v>
      </c>
      <c r="L37" s="993">
        <v>25</v>
      </c>
      <c r="M37" s="1502">
        <f t="shared" ref="M37:M46" si="36">ROUND(+I37/L37,2)</f>
        <v>13640</v>
      </c>
      <c r="N37" s="993">
        <f t="shared" ref="N37:N46" si="37">+M37-K37</f>
        <v>-3410</v>
      </c>
      <c r="O37" s="1980">
        <v>0.37630000000000002</v>
      </c>
      <c r="P37" s="993">
        <f t="shared" ref="P37:P46" si="38">ROUND(+N37*O37,0)</f>
        <v>-1283</v>
      </c>
    </row>
    <row r="38" spans="1:16">
      <c r="A38" t="s">
        <v>2883</v>
      </c>
      <c r="D38" t="s">
        <v>2848</v>
      </c>
      <c r="E38" s="991">
        <v>360.2</v>
      </c>
      <c r="F38" s="991"/>
      <c r="G38" s="991"/>
      <c r="H38" s="991">
        <v>30</v>
      </c>
      <c r="I38" s="993">
        <v>155000</v>
      </c>
      <c r="J38" s="1502">
        <f t="shared" si="34"/>
        <v>2583.3333333333335</v>
      </c>
      <c r="K38" s="1502">
        <f t="shared" si="35"/>
        <v>5166.666666666667</v>
      </c>
      <c r="L38" s="993">
        <v>25</v>
      </c>
      <c r="M38" s="1502">
        <f t="shared" si="36"/>
        <v>6200</v>
      </c>
      <c r="N38" s="993">
        <f t="shared" si="37"/>
        <v>1033.333333333333</v>
      </c>
      <c r="O38" s="1980">
        <v>0.37630000000000002</v>
      </c>
      <c r="P38" s="993">
        <f t="shared" si="38"/>
        <v>389</v>
      </c>
    </row>
    <row r="39" spans="1:16">
      <c r="A39" t="s">
        <v>2990</v>
      </c>
      <c r="D39" t="s">
        <v>2848</v>
      </c>
      <c r="E39" s="991">
        <v>361.2</v>
      </c>
      <c r="F39" s="991"/>
      <c r="G39" s="991"/>
      <c r="H39" s="991">
        <v>45</v>
      </c>
      <c r="I39" s="993">
        <v>76000</v>
      </c>
      <c r="J39" s="1502">
        <f t="shared" si="34"/>
        <v>844.44444444444446</v>
      </c>
      <c r="K39" s="1502">
        <f t="shared" si="35"/>
        <v>1688.8888888888889</v>
      </c>
      <c r="L39" s="993">
        <v>25</v>
      </c>
      <c r="M39" s="1502">
        <f t="shared" si="36"/>
        <v>3040</v>
      </c>
      <c r="N39" s="993">
        <f t="shared" si="37"/>
        <v>1351.1111111111111</v>
      </c>
      <c r="O39" s="1980">
        <v>0.37630000000000002</v>
      </c>
      <c r="P39" s="993">
        <f t="shared" si="38"/>
        <v>508</v>
      </c>
    </row>
    <row r="40" spans="1:16">
      <c r="A40" t="s">
        <v>2881</v>
      </c>
      <c r="E40" s="991">
        <v>361.2</v>
      </c>
      <c r="F40" s="991"/>
      <c r="G40" s="991"/>
      <c r="H40" s="991">
        <v>45</v>
      </c>
      <c r="I40" s="993">
        <v>500000</v>
      </c>
      <c r="J40" s="1502">
        <f t="shared" si="34"/>
        <v>5555.5555555555557</v>
      </c>
      <c r="K40" s="1502">
        <f t="shared" si="35"/>
        <v>11111.111111111111</v>
      </c>
      <c r="L40" s="993">
        <v>25</v>
      </c>
      <c r="M40" s="1502">
        <f t="shared" si="36"/>
        <v>20000</v>
      </c>
      <c r="N40" s="993">
        <f t="shared" si="37"/>
        <v>8888.8888888888887</v>
      </c>
      <c r="O40" s="1980">
        <v>0.37630000000000002</v>
      </c>
      <c r="P40" s="993">
        <f t="shared" si="38"/>
        <v>3345</v>
      </c>
    </row>
    <row r="41" spans="1:16" ht="15.75">
      <c r="A41" s="1990" t="s">
        <v>2880</v>
      </c>
      <c r="E41" s="991">
        <v>364.2</v>
      </c>
      <c r="F41" s="991"/>
      <c r="G41" s="991"/>
      <c r="H41" s="991">
        <v>5</v>
      </c>
      <c r="I41" s="993">
        <v>81000</v>
      </c>
      <c r="J41" s="1502">
        <f t="shared" si="34"/>
        <v>8100</v>
      </c>
      <c r="K41" s="1502">
        <f t="shared" si="35"/>
        <v>16200</v>
      </c>
      <c r="L41" s="993">
        <v>25</v>
      </c>
      <c r="M41" s="1502">
        <f t="shared" si="36"/>
        <v>3240</v>
      </c>
      <c r="N41" s="993">
        <f t="shared" si="37"/>
        <v>-12960</v>
      </c>
      <c r="O41" s="1980">
        <v>0.37630000000000002</v>
      </c>
      <c r="P41" s="993">
        <f t="shared" si="38"/>
        <v>-4877</v>
      </c>
    </row>
    <row r="42" spans="1:16">
      <c r="A42" t="s">
        <v>2877</v>
      </c>
      <c r="E42" s="1503">
        <v>380.4</v>
      </c>
      <c r="F42" s="991"/>
      <c r="G42" s="991"/>
      <c r="H42" s="991">
        <v>18</v>
      </c>
      <c r="I42" s="993">
        <v>371500</v>
      </c>
      <c r="J42" s="1502">
        <f t="shared" si="34"/>
        <v>10319.444444444445</v>
      </c>
      <c r="K42" s="1502">
        <f t="shared" si="35"/>
        <v>20638.888888888891</v>
      </c>
      <c r="L42" s="993">
        <v>25</v>
      </c>
      <c r="M42" s="1502">
        <f t="shared" si="36"/>
        <v>14860</v>
      </c>
      <c r="N42" s="993">
        <f t="shared" si="37"/>
        <v>-5778.8888888888905</v>
      </c>
      <c r="O42" s="1980">
        <v>0.37630000000000002</v>
      </c>
      <c r="P42" s="993">
        <f t="shared" si="38"/>
        <v>-2175</v>
      </c>
    </row>
    <row r="43" spans="1:16" ht="15.75">
      <c r="A43" s="1990"/>
      <c r="E43" s="991"/>
      <c r="F43" s="991"/>
      <c r="G43" s="991"/>
      <c r="H43" s="991"/>
      <c r="I43" s="993"/>
      <c r="J43" s="1502"/>
      <c r="K43" s="1502"/>
      <c r="L43" s="993"/>
      <c r="M43" s="1502"/>
      <c r="N43" s="993"/>
      <c r="O43" s="1980"/>
      <c r="P43" s="993"/>
    </row>
    <row r="44" spans="1:16" ht="15.75">
      <c r="A44" s="1990" t="s">
        <v>2884</v>
      </c>
      <c r="D44" t="s">
        <v>2848</v>
      </c>
      <c r="E44" s="991">
        <v>371.3</v>
      </c>
      <c r="F44" s="991"/>
      <c r="G44" s="991"/>
      <c r="H44" s="991">
        <v>18</v>
      </c>
      <c r="I44" s="993">
        <v>100000</v>
      </c>
      <c r="J44" s="1502">
        <f t="shared" si="34"/>
        <v>2777.7777777777778</v>
      </c>
      <c r="K44" s="1502">
        <f t="shared" si="35"/>
        <v>5555.5555555555557</v>
      </c>
      <c r="L44" s="993">
        <v>25</v>
      </c>
      <c r="M44" s="1502">
        <f t="shared" si="36"/>
        <v>4000</v>
      </c>
      <c r="N44" s="993">
        <f t="shared" si="37"/>
        <v>-1555.5555555555557</v>
      </c>
      <c r="O44" s="1980">
        <v>0.37630000000000002</v>
      </c>
      <c r="P44" s="993">
        <f t="shared" si="38"/>
        <v>-585</v>
      </c>
    </row>
    <row r="45" spans="1:16" ht="15.75">
      <c r="A45" s="1990" t="s">
        <v>2882</v>
      </c>
      <c r="D45" t="s">
        <v>2848</v>
      </c>
      <c r="E45" s="991">
        <v>380.4</v>
      </c>
      <c r="F45" s="991"/>
      <c r="G45" s="991"/>
      <c r="H45" s="991">
        <v>15</v>
      </c>
      <c r="I45" s="993">
        <v>400000</v>
      </c>
      <c r="J45" s="1502">
        <f t="shared" si="34"/>
        <v>13333.333333333334</v>
      </c>
      <c r="K45" s="1502">
        <f t="shared" si="35"/>
        <v>26666.666666666668</v>
      </c>
      <c r="L45" s="993">
        <v>25</v>
      </c>
      <c r="M45" s="1502">
        <f t="shared" si="36"/>
        <v>16000</v>
      </c>
      <c r="N45" s="993">
        <f t="shared" si="37"/>
        <v>-10666.666666666668</v>
      </c>
      <c r="O45" s="1980">
        <v>0.37630000000000002</v>
      </c>
      <c r="P45" s="993">
        <f t="shared" si="38"/>
        <v>-4014</v>
      </c>
    </row>
    <row r="46" spans="1:16">
      <c r="A46" t="s">
        <v>2879</v>
      </c>
      <c r="D46" t="s">
        <v>2848</v>
      </c>
      <c r="E46" s="991">
        <v>354.7</v>
      </c>
      <c r="F46" s="991"/>
      <c r="G46" s="991"/>
      <c r="H46" s="991">
        <v>40</v>
      </c>
      <c r="I46" s="993">
        <v>65000</v>
      </c>
      <c r="J46" s="1502">
        <f t="shared" si="34"/>
        <v>812.5</v>
      </c>
      <c r="K46" s="1502">
        <f t="shared" si="35"/>
        <v>1625</v>
      </c>
      <c r="L46" s="993">
        <v>25</v>
      </c>
      <c r="M46" s="1502">
        <f t="shared" si="36"/>
        <v>2600</v>
      </c>
      <c r="N46" s="993">
        <f t="shared" si="37"/>
        <v>975</v>
      </c>
      <c r="O46" s="1980">
        <v>0.37630000000000002</v>
      </c>
      <c r="P46" s="993">
        <f t="shared" si="38"/>
        <v>367</v>
      </c>
    </row>
    <row r="47" spans="1:16">
      <c r="A47" t="s">
        <v>2885</v>
      </c>
      <c r="E47" s="991"/>
      <c r="F47" s="991"/>
      <c r="G47" s="991"/>
      <c r="H47" s="991"/>
      <c r="I47" s="993">
        <f>SUM(I37:I46)</f>
        <v>2089500</v>
      </c>
      <c r="J47" s="993">
        <f t="shared" ref="J47:P47" si="39">SUM(J37:J46)</f>
        <v>52851.388888888898</v>
      </c>
      <c r="K47" s="993">
        <f t="shared" si="39"/>
        <v>105702.7777777778</v>
      </c>
      <c r="L47" s="993">
        <f t="shared" si="39"/>
        <v>225</v>
      </c>
      <c r="M47" s="993">
        <f t="shared" si="39"/>
        <v>83580</v>
      </c>
      <c r="N47" s="993">
        <f t="shared" si="39"/>
        <v>-22122.777777777781</v>
      </c>
      <c r="O47" s="991">
        <f t="shared" si="39"/>
        <v>3.3867000000000003</v>
      </c>
      <c r="P47" s="993">
        <f t="shared" si="39"/>
        <v>-8325</v>
      </c>
    </row>
    <row r="48" spans="1:16">
      <c r="E48" s="991"/>
      <c r="F48" s="991"/>
      <c r="G48" s="991"/>
      <c r="H48" s="991"/>
      <c r="I48" s="993"/>
      <c r="J48" s="1363"/>
      <c r="K48" s="1363"/>
      <c r="L48" s="1363"/>
      <c r="M48" s="1363"/>
      <c r="N48" s="1363"/>
    </row>
    <row r="49" spans="1:14">
      <c r="A49" t="s">
        <v>2886</v>
      </c>
      <c r="E49" s="991"/>
      <c r="F49" s="991"/>
      <c r="G49" s="991"/>
      <c r="H49" s="991"/>
      <c r="I49" s="993"/>
      <c r="J49" s="1363"/>
      <c r="K49" s="1363"/>
      <c r="L49" s="1363"/>
      <c r="M49" s="1363"/>
      <c r="N49" s="1363"/>
    </row>
    <row r="50" spans="1:14" ht="15.75">
      <c r="A50" s="1990" t="s">
        <v>2958</v>
      </c>
      <c r="D50" t="s">
        <v>2848</v>
      </c>
      <c r="E50" s="1503" t="s">
        <v>2959</v>
      </c>
      <c r="F50" s="991"/>
      <c r="G50" s="991"/>
      <c r="H50" s="991">
        <v>6</v>
      </c>
      <c r="I50" s="2126">
        <f>-53592*0.75</f>
        <v>-40194</v>
      </c>
      <c r="J50" s="1502">
        <f>-I50</f>
        <v>40194</v>
      </c>
      <c r="K50" s="2009">
        <f>I50/H50</f>
        <v>-6699</v>
      </c>
      <c r="L50" s="1363"/>
      <c r="M50" s="1363"/>
      <c r="N50" s="1363"/>
    </row>
    <row r="51" spans="1:14" ht="15.75">
      <c r="A51" s="1990" t="s">
        <v>2878</v>
      </c>
      <c r="D51" t="s">
        <v>2848</v>
      </c>
      <c r="E51" s="991">
        <v>355.3</v>
      </c>
      <c r="F51" s="991"/>
      <c r="G51" s="991"/>
      <c r="H51" s="991">
        <v>20</v>
      </c>
      <c r="I51" s="2126">
        <f>-I37*0.75</f>
        <v>-255750</v>
      </c>
      <c r="J51" s="1502">
        <f>-I51</f>
        <v>255750</v>
      </c>
      <c r="K51" s="2009">
        <f>I51/H51</f>
        <v>-12787.5</v>
      </c>
      <c r="L51" s="1363"/>
      <c r="M51" s="1363"/>
      <c r="N51" s="1363"/>
    </row>
    <row r="52" spans="1:14">
      <c r="A52" t="s">
        <v>2883</v>
      </c>
      <c r="D52" t="s">
        <v>2848</v>
      </c>
      <c r="E52" s="991">
        <v>360.2</v>
      </c>
      <c r="F52" s="991"/>
      <c r="G52" s="991"/>
      <c r="H52" s="991">
        <v>30</v>
      </c>
      <c r="I52" s="2126">
        <f>-I38*0.75</f>
        <v>-116250</v>
      </c>
      <c r="J52" s="1502">
        <f t="shared" ref="J52:J57" si="40">-I52</f>
        <v>116250</v>
      </c>
      <c r="K52" s="2009">
        <f t="shared" ref="K52:K57" si="41">I52/H52</f>
        <v>-3875</v>
      </c>
      <c r="L52" s="1363"/>
      <c r="M52" s="1363"/>
      <c r="N52" s="1363"/>
    </row>
    <row r="53" spans="1:14">
      <c r="A53" t="s">
        <v>2990</v>
      </c>
      <c r="D53" t="s">
        <v>2848</v>
      </c>
      <c r="E53" s="991">
        <v>361.2</v>
      </c>
      <c r="F53" s="991"/>
      <c r="G53" s="991"/>
      <c r="H53" s="991">
        <v>43</v>
      </c>
      <c r="I53" s="2126">
        <f>-I39*0.75</f>
        <v>-57000</v>
      </c>
      <c r="J53" s="1502">
        <f t="shared" ref="J53" si="42">-I53</f>
        <v>57000</v>
      </c>
      <c r="K53" s="2009">
        <f t="shared" ref="K53" si="43">I53/H53</f>
        <v>-1325.5813953488373</v>
      </c>
      <c r="L53" s="1363"/>
      <c r="M53" s="1363"/>
      <c r="N53" s="1363"/>
    </row>
    <row r="54" spans="1:14">
      <c r="E54" s="1503"/>
      <c r="F54" s="991"/>
      <c r="G54" s="991"/>
      <c r="H54" s="991"/>
      <c r="I54" s="993"/>
      <c r="J54" s="1502"/>
      <c r="K54" s="2009"/>
      <c r="L54" s="1363"/>
      <c r="M54" s="1363"/>
      <c r="N54" s="1363"/>
    </row>
    <row r="55" spans="1:14" ht="15.75">
      <c r="A55" s="1990" t="s">
        <v>2884</v>
      </c>
      <c r="D55" t="s">
        <v>2848</v>
      </c>
      <c r="E55" s="991">
        <v>371.3</v>
      </c>
      <c r="F55" s="991"/>
      <c r="G55" s="991"/>
      <c r="H55" s="991">
        <v>18</v>
      </c>
      <c r="I55" s="2126">
        <f>-I44*0.75</f>
        <v>-75000</v>
      </c>
      <c r="J55" s="1502">
        <f t="shared" si="40"/>
        <v>75000</v>
      </c>
      <c r="K55" s="2009">
        <f t="shared" si="41"/>
        <v>-4166.666666666667</v>
      </c>
      <c r="L55" s="1363"/>
      <c r="M55" s="1363"/>
      <c r="N55" s="1363"/>
    </row>
    <row r="56" spans="1:14" ht="15.75">
      <c r="A56" s="1990" t="s">
        <v>2882</v>
      </c>
      <c r="D56" t="s">
        <v>2848</v>
      </c>
      <c r="E56" s="991">
        <v>380.4</v>
      </c>
      <c r="F56" s="991"/>
      <c r="G56" s="991"/>
      <c r="H56" s="991">
        <v>15</v>
      </c>
      <c r="I56" s="2126">
        <f>-I45*0.75</f>
        <v>-300000</v>
      </c>
      <c r="J56" s="1502">
        <f t="shared" si="40"/>
        <v>300000</v>
      </c>
      <c r="K56" s="2009">
        <f t="shared" si="41"/>
        <v>-20000</v>
      </c>
      <c r="L56" s="1363"/>
      <c r="M56" s="1363"/>
      <c r="N56" s="1363"/>
    </row>
    <row r="57" spans="1:14">
      <c r="A57" t="s">
        <v>2879</v>
      </c>
      <c r="D57" t="s">
        <v>2848</v>
      </c>
      <c r="E57" s="991">
        <v>393.7</v>
      </c>
      <c r="F57" s="991"/>
      <c r="G57" s="991"/>
      <c r="H57" s="991">
        <v>40</v>
      </c>
      <c r="I57" s="2126">
        <f>-I46*0.75</f>
        <v>-48750</v>
      </c>
      <c r="J57" s="1502">
        <f t="shared" si="40"/>
        <v>48750</v>
      </c>
      <c r="K57" s="2009">
        <f t="shared" si="41"/>
        <v>-1218.75</v>
      </c>
      <c r="L57" s="1363"/>
      <c r="M57" s="1363"/>
      <c r="N57" s="1363"/>
    </row>
    <row r="58" spans="1:14">
      <c r="A58" t="s">
        <v>2885</v>
      </c>
      <c r="I58" s="993">
        <f>SUM(I50:I57)</f>
        <v>-892944</v>
      </c>
      <c r="J58" s="993">
        <f t="shared" ref="J58:K58" si="44">SUM(J50:J57)</f>
        <v>892944</v>
      </c>
      <c r="K58" s="993">
        <f t="shared" si="44"/>
        <v>-50072.498062015504</v>
      </c>
      <c r="L58" s="1363"/>
      <c r="M58" s="1363"/>
      <c r="N58" s="1363"/>
    </row>
  </sheetData>
  <sortState ref="A32:P41">
    <sortCondition ref="E32:E41"/>
  </sortState>
  <mergeCells count="3">
    <mergeCell ref="E5:G5"/>
    <mergeCell ref="I5:K5"/>
    <mergeCell ref="L5:M5"/>
  </mergeCells>
  <printOptions headings="1"/>
  <pageMargins left="0.7" right="0.7" top="0.75" bottom="0.75" header="0.3" footer="0.3"/>
  <pageSetup scale="63" orientation="landscape" horizontalDpi="4294967293" verticalDpi="1200"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W60"/>
  <sheetViews>
    <sheetView topLeftCell="D27" workbookViewId="0">
      <selection activeCell="P50" sqref="P50"/>
    </sheetView>
  </sheetViews>
  <sheetFormatPr defaultRowHeight="12.75"/>
  <cols>
    <col min="3" max="3" width="17.42578125" customWidth="1"/>
    <col min="5" max="5" width="27.7109375" bestFit="1" customWidth="1"/>
    <col min="6" max="6" width="11.5703125" customWidth="1"/>
    <col min="7" max="7" width="56.7109375" customWidth="1"/>
    <col min="8" max="8" width="9.140625" customWidth="1"/>
  </cols>
  <sheetData>
    <row r="1" spans="1:23">
      <c r="A1" s="1539" t="s">
        <v>3184</v>
      </c>
      <c r="B1" s="1539"/>
      <c r="C1" s="1539"/>
      <c r="D1" s="1539"/>
      <c r="E1" s="1539"/>
      <c r="F1" s="2254"/>
      <c r="G1" s="1539"/>
      <c r="H1" s="1539"/>
      <c r="I1" s="1539"/>
      <c r="J1" s="1539"/>
      <c r="K1" s="1539"/>
      <c r="L1" s="1539"/>
      <c r="M1" s="1539"/>
      <c r="N1" s="1539"/>
      <c r="O1" s="1539"/>
      <c r="P1" s="1539"/>
      <c r="Q1" s="1539"/>
      <c r="R1" s="1539"/>
      <c r="S1" s="1539"/>
      <c r="T1" s="1539"/>
      <c r="U1" s="1539"/>
      <c r="V1" s="1539"/>
      <c r="W1" s="1539"/>
    </row>
    <row r="2" spans="1:23">
      <c r="A2" s="1539" t="s">
        <v>3185</v>
      </c>
      <c r="B2" s="2253"/>
      <c r="D2" s="2253"/>
      <c r="F2" s="2255"/>
    </row>
    <row r="3" spans="1:23">
      <c r="A3" s="1539" t="s">
        <v>3186</v>
      </c>
      <c r="B3" s="2253"/>
      <c r="D3" s="2253"/>
      <c r="F3" s="2255"/>
    </row>
    <row r="4" spans="1:23">
      <c r="A4" s="1539" t="s">
        <v>3187</v>
      </c>
      <c r="B4" s="2253"/>
      <c r="D4" s="2253"/>
      <c r="F4" s="2255"/>
    </row>
    <row r="5" spans="1:23">
      <c r="A5" s="2253"/>
      <c r="B5" s="2253"/>
      <c r="D5" s="2253"/>
      <c r="F5" s="2255"/>
    </row>
    <row r="6" spans="1:23" ht="25.5">
      <c r="A6" s="1987" t="s">
        <v>3188</v>
      </c>
      <c r="B6" s="1987" t="s">
        <v>3189</v>
      </c>
      <c r="C6" s="2256" t="s">
        <v>3190</v>
      </c>
      <c r="D6" s="1987" t="s">
        <v>3191</v>
      </c>
      <c r="E6" s="2256" t="s">
        <v>870</v>
      </c>
      <c r="F6" s="2257" t="s">
        <v>3192</v>
      </c>
      <c r="G6" s="2256" t="s">
        <v>731</v>
      </c>
      <c r="H6" s="2252"/>
      <c r="I6" s="2252"/>
      <c r="J6" s="2252"/>
      <c r="K6" s="2252"/>
      <c r="L6" s="2252"/>
      <c r="M6" s="2252"/>
      <c r="N6" s="2252"/>
      <c r="O6" s="2252"/>
      <c r="P6" s="2252"/>
      <c r="Q6" s="2252"/>
      <c r="R6" s="2252"/>
      <c r="S6" s="2252"/>
      <c r="T6" s="2252"/>
      <c r="U6" s="2252"/>
      <c r="V6" s="2252"/>
      <c r="W6" s="2252"/>
    </row>
    <row r="7" spans="1:23">
      <c r="A7" s="2258">
        <v>1</v>
      </c>
      <c r="B7" s="2258">
        <v>246</v>
      </c>
      <c r="C7" s="2259" t="s">
        <v>3193</v>
      </c>
      <c r="D7" s="2258">
        <v>5470</v>
      </c>
      <c r="E7" s="2259" t="s">
        <v>2500</v>
      </c>
      <c r="F7" s="2260">
        <v>7147</v>
      </c>
      <c r="G7" s="2259" t="s">
        <v>3194</v>
      </c>
      <c r="H7" s="2259"/>
    </row>
    <row r="8" spans="1:23">
      <c r="A8" s="2258">
        <v>2</v>
      </c>
      <c r="B8" s="2258">
        <v>255</v>
      </c>
      <c r="C8" s="2259" t="s">
        <v>3195</v>
      </c>
      <c r="D8" s="2258">
        <v>5470</v>
      </c>
      <c r="E8" s="2259" t="s">
        <v>2500</v>
      </c>
      <c r="F8" s="2260">
        <v>48093</v>
      </c>
      <c r="G8" s="2259" t="s">
        <v>3194</v>
      </c>
      <c r="H8" s="2259"/>
    </row>
    <row r="9" spans="1:23">
      <c r="A9" s="2258">
        <v>3</v>
      </c>
      <c r="B9" s="2258">
        <v>251</v>
      </c>
      <c r="C9" s="2259" t="s">
        <v>3196</v>
      </c>
      <c r="D9" s="2258">
        <v>5470</v>
      </c>
      <c r="E9" s="2259" t="s">
        <v>2500</v>
      </c>
      <c r="F9" s="2260">
        <v>21866</v>
      </c>
      <c r="G9" s="2259" t="s">
        <v>3197</v>
      </c>
      <c r="H9" s="2259"/>
    </row>
    <row r="10" spans="1:23">
      <c r="A10" s="2261">
        <v>4</v>
      </c>
      <c r="B10" s="2261" t="s">
        <v>2843</v>
      </c>
      <c r="C10" s="2262" t="s">
        <v>3198</v>
      </c>
      <c r="D10" s="2261">
        <v>6100</v>
      </c>
      <c r="E10" s="2262" t="s">
        <v>3199</v>
      </c>
      <c r="F10" s="2263">
        <v>45760</v>
      </c>
      <c r="G10" s="2262" t="s">
        <v>3200</v>
      </c>
      <c r="H10" s="2262"/>
    </row>
    <row r="11" spans="1:23">
      <c r="A11" s="2261">
        <v>5</v>
      </c>
      <c r="B11" s="2261" t="s">
        <v>2843</v>
      </c>
      <c r="C11" s="2262" t="s">
        <v>3198</v>
      </c>
      <c r="D11" s="2261">
        <v>5620</v>
      </c>
      <c r="E11" s="2262" t="s">
        <v>1244</v>
      </c>
      <c r="F11" s="2263">
        <f>F10*0.3</f>
        <v>13728</v>
      </c>
      <c r="G11" s="2262" t="s">
        <v>3201</v>
      </c>
      <c r="H11" s="2262"/>
    </row>
    <row r="12" spans="1:23">
      <c r="A12" s="2261">
        <v>6</v>
      </c>
      <c r="B12" s="2261" t="s">
        <v>2843</v>
      </c>
      <c r="C12" s="2262" t="s">
        <v>3198</v>
      </c>
      <c r="D12" s="2261">
        <v>6100</v>
      </c>
      <c r="E12" s="2262" t="s">
        <v>3199</v>
      </c>
      <c r="F12" s="2263">
        <v>10640</v>
      </c>
      <c r="G12" s="2262" t="s">
        <v>3202</v>
      </c>
      <c r="H12" s="2262"/>
    </row>
    <row r="13" spans="1:23">
      <c r="A13" s="2261">
        <v>7</v>
      </c>
      <c r="B13" s="2261" t="s">
        <v>2843</v>
      </c>
      <c r="C13" s="2262" t="s">
        <v>3198</v>
      </c>
      <c r="D13" s="2261">
        <v>5620</v>
      </c>
      <c r="E13" s="2262" t="s">
        <v>1244</v>
      </c>
      <c r="F13" s="2263">
        <f>26600*0.3</f>
        <v>7980</v>
      </c>
      <c r="G13" s="2262" t="s">
        <v>3201</v>
      </c>
      <c r="H13" s="2262"/>
    </row>
    <row r="14" spans="1:23">
      <c r="A14" s="2258">
        <v>8</v>
      </c>
      <c r="B14" s="2258">
        <v>255</v>
      </c>
      <c r="C14" s="2259" t="s">
        <v>3195</v>
      </c>
      <c r="D14" s="2258">
        <v>6100</v>
      </c>
      <c r="E14" s="2259" t="s">
        <v>3199</v>
      </c>
      <c r="F14" s="2260">
        <v>27000</v>
      </c>
      <c r="G14" s="2259" t="s">
        <v>3203</v>
      </c>
      <c r="H14" s="2259"/>
    </row>
    <row r="15" spans="1:23">
      <c r="A15" s="2258">
        <v>9</v>
      </c>
      <c r="B15" s="2258">
        <v>255</v>
      </c>
      <c r="C15" s="2259" t="s">
        <v>3195</v>
      </c>
      <c r="D15" s="2258">
        <v>5620</v>
      </c>
      <c r="E15" s="2259" t="s">
        <v>1244</v>
      </c>
      <c r="F15" s="2260">
        <f>F14*0.3</f>
        <v>8100</v>
      </c>
      <c r="G15" s="2259" t="s">
        <v>3201</v>
      </c>
      <c r="H15" s="2259"/>
    </row>
    <row r="16" spans="1:23">
      <c r="A16" s="2258">
        <v>10</v>
      </c>
      <c r="B16" s="2258">
        <v>251</v>
      </c>
      <c r="C16" s="2259" t="s">
        <v>3196</v>
      </c>
      <c r="D16" s="2258">
        <v>6100</v>
      </c>
      <c r="E16" s="2259" t="s">
        <v>3199</v>
      </c>
      <c r="F16" s="2260">
        <v>27000</v>
      </c>
      <c r="G16" s="2259" t="s">
        <v>3203</v>
      </c>
      <c r="H16" s="2259"/>
    </row>
    <row r="17" spans="1:23">
      <c r="A17" s="2258">
        <v>11</v>
      </c>
      <c r="B17" s="2258">
        <v>251</v>
      </c>
      <c r="C17" s="2259" t="s">
        <v>3196</v>
      </c>
      <c r="D17" s="2258">
        <v>5620</v>
      </c>
      <c r="E17" s="2259" t="s">
        <v>1244</v>
      </c>
      <c r="F17" s="2260">
        <f>F16*0.3</f>
        <v>8100</v>
      </c>
      <c r="G17" s="2259" t="s">
        <v>3201</v>
      </c>
      <c r="H17" s="2259"/>
    </row>
    <row r="18" spans="1:23">
      <c r="A18" s="2264">
        <v>12</v>
      </c>
      <c r="B18" s="2264">
        <v>250</v>
      </c>
      <c r="C18" s="2265" t="s">
        <v>2242</v>
      </c>
      <c r="D18" s="2264">
        <v>6100</v>
      </c>
      <c r="E18" s="2265" t="s">
        <v>3199</v>
      </c>
      <c r="F18" s="2266">
        <v>27000</v>
      </c>
      <c r="G18" s="2265" t="s">
        <v>3203</v>
      </c>
      <c r="H18" s="2265"/>
    </row>
    <row r="19" spans="1:23">
      <c r="A19" s="2264">
        <v>13</v>
      </c>
      <c r="B19" s="2264">
        <v>250</v>
      </c>
      <c r="C19" s="2265" t="s">
        <v>2242</v>
      </c>
      <c r="D19" s="2264">
        <v>5620</v>
      </c>
      <c r="E19" s="2265" t="s">
        <v>1244</v>
      </c>
      <c r="F19" s="2266">
        <f>F18*0.3</f>
        <v>8100</v>
      </c>
      <c r="G19" s="2265" t="s">
        <v>3201</v>
      </c>
      <c r="H19" s="2265"/>
    </row>
    <row r="20" spans="1:23">
      <c r="A20" s="2261">
        <v>14</v>
      </c>
      <c r="B20" s="2261" t="s">
        <v>2843</v>
      </c>
      <c r="C20" s="2262" t="s">
        <v>3198</v>
      </c>
      <c r="D20" s="2261">
        <v>6100</v>
      </c>
      <c r="E20" s="2262" t="s">
        <v>3199</v>
      </c>
      <c r="F20" s="2263">
        <v>15000</v>
      </c>
      <c r="G20" s="2262" t="s">
        <v>3204</v>
      </c>
      <c r="H20" s="2262"/>
    </row>
    <row r="21" spans="1:23">
      <c r="A21" s="2261">
        <v>15</v>
      </c>
      <c r="B21" s="2261" t="s">
        <v>2843</v>
      </c>
      <c r="C21" s="2262" t="s">
        <v>3198</v>
      </c>
      <c r="D21" s="2261">
        <v>5620</v>
      </c>
      <c r="E21" s="2262" t="s">
        <v>1244</v>
      </c>
      <c r="F21" s="2263">
        <f>F20*0.3</f>
        <v>4500</v>
      </c>
      <c r="G21" s="2262" t="s">
        <v>3201</v>
      </c>
      <c r="H21" s="2262"/>
    </row>
    <row r="22" spans="1:23">
      <c r="A22" s="2261">
        <v>16</v>
      </c>
      <c r="B22" s="2261" t="s">
        <v>2843</v>
      </c>
      <c r="C22" s="2262" t="s">
        <v>3198</v>
      </c>
      <c r="D22" s="2261">
        <v>6100</v>
      </c>
      <c r="E22" s="2262" t="s">
        <v>3199</v>
      </c>
      <c r="F22" s="2263">
        <v>66414</v>
      </c>
      <c r="G22" s="2262" t="s">
        <v>3205</v>
      </c>
      <c r="H22" s="2262"/>
    </row>
    <row r="23" spans="1:23">
      <c r="A23" s="2261">
        <v>17</v>
      </c>
      <c r="B23" s="2261" t="s">
        <v>2843</v>
      </c>
      <c r="C23" s="2262" t="s">
        <v>3198</v>
      </c>
      <c r="D23" s="2261">
        <v>5620</v>
      </c>
      <c r="E23" s="2262" t="s">
        <v>1244</v>
      </c>
      <c r="F23" s="2263">
        <f>F22*0.3</f>
        <v>19924.2</v>
      </c>
      <c r="G23" s="2262" t="s">
        <v>3201</v>
      </c>
      <c r="H23" s="2262"/>
    </row>
    <row r="24" spans="1:23">
      <c r="A24" s="2258">
        <v>18</v>
      </c>
      <c r="B24" s="2258">
        <v>241</v>
      </c>
      <c r="C24" s="2259" t="s">
        <v>3206</v>
      </c>
      <c r="D24" s="2258">
        <v>5450</v>
      </c>
      <c r="E24" s="2259" t="s">
        <v>3207</v>
      </c>
      <c r="F24" s="2260"/>
      <c r="G24" s="2259" t="s">
        <v>3208</v>
      </c>
      <c r="H24" s="2259"/>
    </row>
    <row r="25" spans="1:23">
      <c r="A25" s="2258">
        <v>19</v>
      </c>
      <c r="B25" s="2258">
        <v>256</v>
      </c>
      <c r="C25" s="2259" t="s">
        <v>3209</v>
      </c>
      <c r="D25" s="2258">
        <v>5450</v>
      </c>
      <c r="E25" s="2259" t="s">
        <v>3207</v>
      </c>
      <c r="F25" s="2260"/>
      <c r="G25" s="2259" t="s">
        <v>3210</v>
      </c>
      <c r="H25" s="2259"/>
    </row>
    <row r="26" spans="1:23">
      <c r="A26" s="2258">
        <v>20</v>
      </c>
      <c r="B26" s="2258">
        <v>252</v>
      </c>
      <c r="C26" s="2259" t="s">
        <v>1511</v>
      </c>
      <c r="D26" s="2258">
        <v>5450</v>
      </c>
      <c r="E26" s="2259" t="s">
        <v>3207</v>
      </c>
      <c r="F26" s="2260"/>
      <c r="G26" s="2259" t="s">
        <v>3211</v>
      </c>
      <c r="H26" s="2259"/>
    </row>
    <row r="27" spans="1:23">
      <c r="A27" s="2258">
        <v>21</v>
      </c>
      <c r="B27" s="2258">
        <v>252</v>
      </c>
      <c r="C27" s="2259" t="s">
        <v>1511</v>
      </c>
      <c r="D27" s="2258">
        <v>5450</v>
      </c>
      <c r="E27" s="2259" t="s">
        <v>3207</v>
      </c>
      <c r="F27" s="2260"/>
      <c r="G27" s="2259" t="s">
        <v>3212</v>
      </c>
      <c r="H27" s="2259"/>
    </row>
    <row r="28" spans="1:23">
      <c r="A28" s="2258">
        <v>22</v>
      </c>
      <c r="B28" s="2258">
        <v>252</v>
      </c>
      <c r="C28" s="2259" t="s">
        <v>1511</v>
      </c>
      <c r="D28" s="2258">
        <v>5450</v>
      </c>
      <c r="E28" s="2259" t="s">
        <v>3207</v>
      </c>
      <c r="F28" s="2260"/>
      <c r="G28" s="2259" t="s">
        <v>3213</v>
      </c>
      <c r="H28" s="2259"/>
    </row>
    <row r="29" spans="1:23">
      <c r="A29" s="2258">
        <v>23</v>
      </c>
      <c r="B29" s="2258">
        <v>252</v>
      </c>
      <c r="C29" s="2259" t="s">
        <v>1511</v>
      </c>
      <c r="D29" s="2258">
        <v>5425</v>
      </c>
      <c r="E29" s="2259" t="s">
        <v>3214</v>
      </c>
      <c r="F29" s="2260"/>
      <c r="G29" s="2259" t="s">
        <v>3215</v>
      </c>
      <c r="H29" s="2259"/>
    </row>
    <row r="30" spans="1:23">
      <c r="A30" s="2261">
        <v>24</v>
      </c>
      <c r="B30" s="2261" t="s">
        <v>2843</v>
      </c>
      <c r="C30" s="2262" t="s">
        <v>3198</v>
      </c>
      <c r="D30" s="2261">
        <v>6210</v>
      </c>
      <c r="E30" s="2262" t="s">
        <v>3216</v>
      </c>
      <c r="F30" s="2263"/>
      <c r="G30" s="2262" t="s">
        <v>3217</v>
      </c>
      <c r="H30" s="2262"/>
    </row>
    <row r="31" spans="1:23">
      <c r="A31" s="2253"/>
      <c r="B31" s="2253"/>
      <c r="D31" s="2253"/>
      <c r="F31" s="2255"/>
      <c r="S31" t="s">
        <v>3218</v>
      </c>
    </row>
    <row r="32" spans="1:23">
      <c r="A32" s="2253"/>
      <c r="B32" s="2253"/>
      <c r="D32" s="2253"/>
      <c r="F32" s="2255"/>
      <c r="J32" s="2253" t="s">
        <v>3219</v>
      </c>
      <c r="K32" s="2253"/>
      <c r="L32" s="2253" t="s">
        <v>3220</v>
      </c>
      <c r="M32" s="2253"/>
      <c r="N32" s="2253" t="s">
        <v>3221</v>
      </c>
      <c r="O32" s="2253"/>
      <c r="P32" s="2253" t="s">
        <v>3222</v>
      </c>
      <c r="Q32" s="2253" t="s">
        <v>3223</v>
      </c>
      <c r="S32" s="2253" t="s">
        <v>3219</v>
      </c>
      <c r="T32" s="2253" t="s">
        <v>3220</v>
      </c>
      <c r="U32" s="2253" t="s">
        <v>3221</v>
      </c>
      <c r="V32" s="2253" t="s">
        <v>3222</v>
      </c>
      <c r="W32" s="2253" t="s">
        <v>3223</v>
      </c>
    </row>
    <row r="33" spans="1:23">
      <c r="A33" s="1539" t="s">
        <v>3224</v>
      </c>
      <c r="B33" s="2253"/>
      <c r="D33" s="2253"/>
      <c r="F33" s="2255"/>
      <c r="J33" s="2253" t="s">
        <v>1843</v>
      </c>
      <c r="K33" s="2253" t="s">
        <v>3225</v>
      </c>
      <c r="L33" s="2253" t="s">
        <v>1843</v>
      </c>
      <c r="M33" s="2253" t="s">
        <v>3225</v>
      </c>
      <c r="N33" s="2253" t="s">
        <v>1843</v>
      </c>
      <c r="O33" s="2253" t="s">
        <v>3225</v>
      </c>
      <c r="P33" s="2253" t="s">
        <v>3225</v>
      </c>
      <c r="Q33" s="2253" t="s">
        <v>3225</v>
      </c>
    </row>
    <row r="34" spans="1:23">
      <c r="A34" s="2261">
        <v>4</v>
      </c>
      <c r="B34" s="2261" t="s">
        <v>2843</v>
      </c>
      <c r="C34" s="2262" t="s">
        <v>3198</v>
      </c>
      <c r="D34" s="2261">
        <v>6100</v>
      </c>
      <c r="E34" s="2262" t="s">
        <v>3199</v>
      </c>
      <c r="F34" s="2263">
        <v>45760</v>
      </c>
      <c r="G34" s="2262" t="s">
        <v>3200</v>
      </c>
      <c r="H34" s="2267" t="s">
        <v>1967</v>
      </c>
      <c r="J34" s="2268">
        <f>F34*$J$58*$J$59</f>
        <v>825.27587999999992</v>
      </c>
      <c r="K34" s="2268">
        <f>$F34*$J$58*$J$60</f>
        <v>785.01851999999997</v>
      </c>
      <c r="L34" s="2268">
        <f>F34*$L$58*$L$59</f>
        <v>92.015352000000007</v>
      </c>
      <c r="M34" s="2268">
        <f>F34*$L$58*$L$60</f>
        <v>93.312647999999996</v>
      </c>
      <c r="N34" s="2268">
        <f>F34*$N$58*$N$59</f>
        <v>970.02642879999996</v>
      </c>
      <c r="O34" s="2268">
        <f>F34*$N$58*$N$60</f>
        <v>808.20717120000006</v>
      </c>
      <c r="P34" s="2268">
        <f>F34*$P$58</f>
        <v>3664.4607999999998</v>
      </c>
      <c r="Q34" s="2268">
        <f>F34*$Q$58</f>
        <v>1647.36</v>
      </c>
    </row>
    <row r="35" spans="1:23">
      <c r="A35" s="2261">
        <v>6</v>
      </c>
      <c r="B35" s="2261" t="s">
        <v>2843</v>
      </c>
      <c r="C35" s="2262" t="s">
        <v>3198</v>
      </c>
      <c r="D35" s="2261">
        <v>6100</v>
      </c>
      <c r="E35" s="2262" t="s">
        <v>3199</v>
      </c>
      <c r="F35" s="2263">
        <v>10640</v>
      </c>
      <c r="G35" s="2262" t="s">
        <v>3202</v>
      </c>
      <c r="H35" s="2267" t="s">
        <v>1967</v>
      </c>
      <c r="J35" s="2268">
        <f t="shared" ref="J35:J37" si="0">F35*$J$58*$J$59</f>
        <v>191.89106999999998</v>
      </c>
      <c r="K35" s="2268">
        <f>$F35*$J$58*$J$60</f>
        <v>182.53053</v>
      </c>
      <c r="L35" s="2268">
        <f>F35*$L$58*$L$59</f>
        <v>21.395177999999998</v>
      </c>
      <c r="M35" s="2268">
        <f>F35*$L$58*$L$60</f>
        <v>21.696821999999997</v>
      </c>
      <c r="N35" s="2268">
        <f>F35*$N$58*$N$59</f>
        <v>225.54810319999999</v>
      </c>
      <c r="O35" s="2268">
        <f>F35*$N$58*$N$60</f>
        <v>187.9222968</v>
      </c>
      <c r="P35" s="2268">
        <f>F35*$P$58</f>
        <v>852.05119999999999</v>
      </c>
      <c r="Q35" s="2268">
        <f>F35*$Q$58</f>
        <v>383.03999999999996</v>
      </c>
    </row>
    <row r="36" spans="1:23">
      <c r="A36" s="2261">
        <v>14</v>
      </c>
      <c r="B36" s="2261" t="s">
        <v>2843</v>
      </c>
      <c r="C36" s="2262" t="s">
        <v>3198</v>
      </c>
      <c r="D36" s="2261">
        <v>6100</v>
      </c>
      <c r="E36" s="2262" t="s">
        <v>3199</v>
      </c>
      <c r="F36" s="2263">
        <v>15000</v>
      </c>
      <c r="G36" s="2262" t="s">
        <v>3204</v>
      </c>
      <c r="H36" s="2267" t="s">
        <v>1967</v>
      </c>
      <c r="J36" s="2268">
        <f t="shared" si="0"/>
        <v>270.52312499999999</v>
      </c>
      <c r="K36" s="2268">
        <f>$F36*$J$58*$J$60</f>
        <v>257.32687500000003</v>
      </c>
      <c r="L36" s="2268">
        <f>F36*$L$58*$L$59</f>
        <v>30.162375000000001</v>
      </c>
      <c r="M36" s="2268">
        <f>F36*$L$58*$L$60</f>
        <v>30.587624999999996</v>
      </c>
      <c r="N36" s="2268">
        <f>F36*$N$58*$N$59</f>
        <v>317.97194999999999</v>
      </c>
      <c r="O36" s="2268">
        <f>F36*$N$58*$N$60</f>
        <v>264.92804999999998</v>
      </c>
      <c r="P36" s="2268">
        <f>F36*$P$58</f>
        <v>1201.2</v>
      </c>
      <c r="Q36" s="2268">
        <f>F36*$Q$58</f>
        <v>540</v>
      </c>
    </row>
    <row r="37" spans="1:23" ht="15">
      <c r="A37" s="2261">
        <v>16</v>
      </c>
      <c r="B37" s="2261" t="s">
        <v>2843</v>
      </c>
      <c r="C37" s="2262" t="s">
        <v>3198</v>
      </c>
      <c r="D37" s="2261">
        <v>6100</v>
      </c>
      <c r="E37" s="2262" t="s">
        <v>3199</v>
      </c>
      <c r="F37" s="2263">
        <v>66414</v>
      </c>
      <c r="G37" s="2262" t="s">
        <v>3205</v>
      </c>
      <c r="H37" s="2267" t="s">
        <v>1967</v>
      </c>
      <c r="J37" s="2269">
        <f t="shared" si="0"/>
        <v>1197.7681882499999</v>
      </c>
      <c r="K37" s="2269">
        <f>$F37*$J$58*$J$60</f>
        <v>1139.34047175</v>
      </c>
      <c r="L37" s="2269">
        <f>F37*$L$58*$L$59</f>
        <v>133.54693154999998</v>
      </c>
      <c r="M37" s="2269">
        <f>F37*$L$58*$L$60</f>
        <v>135.42976844999998</v>
      </c>
      <c r="N37" s="2269">
        <f>F37*$N$58*$N$59</f>
        <v>1407.8526058199998</v>
      </c>
      <c r="O37" s="2269">
        <f>F37*$N$58*$N$60</f>
        <v>1172.9954341800001</v>
      </c>
      <c r="P37" s="2269">
        <f>F37*$P$58</f>
        <v>5318.4331199999997</v>
      </c>
      <c r="Q37" s="2269">
        <f>F37*$Q$58</f>
        <v>2390.904</v>
      </c>
    </row>
    <row r="38" spans="1:23">
      <c r="A38" s="2253"/>
      <c r="B38" s="2253"/>
      <c r="D38" s="2253"/>
      <c r="F38" s="2255">
        <f>SUM(F34:F37)</f>
        <v>137814</v>
      </c>
      <c r="H38" s="2253"/>
      <c r="J38" s="2268">
        <f>SUM(J34:J37)</f>
        <v>2485.4582632499996</v>
      </c>
      <c r="K38" s="2268">
        <f>SUM(K34:K37)</f>
        <v>2364.2163967500001</v>
      </c>
      <c r="L38" s="2268">
        <f t="shared" ref="L38:Q38" si="1">SUM(L34:L37)</f>
        <v>277.11983655</v>
      </c>
      <c r="M38" s="2268">
        <f t="shared" si="1"/>
        <v>281.02686344999995</v>
      </c>
      <c r="N38" s="2268">
        <f t="shared" si="1"/>
        <v>2921.3990878199993</v>
      </c>
      <c r="O38" s="2268">
        <f t="shared" si="1"/>
        <v>2434.0529521799999</v>
      </c>
      <c r="P38" s="2268">
        <f t="shared" si="1"/>
        <v>11036.145119999999</v>
      </c>
      <c r="Q38" s="2268">
        <f t="shared" si="1"/>
        <v>4961.3040000000001</v>
      </c>
      <c r="S38" s="2270">
        <f>(J38+K38)/F38</f>
        <v>3.5189999999999999E-2</v>
      </c>
      <c r="T38" s="2270">
        <f>(M38+L38)/F38</f>
        <v>4.0499999999999998E-3</v>
      </c>
      <c r="U38" s="2270">
        <f>(N38+O38)/F38</f>
        <v>3.8859999999999992E-2</v>
      </c>
      <c r="V38" s="2270">
        <f>P38/F38</f>
        <v>8.0079999999999998E-2</v>
      </c>
      <c r="W38" s="2270">
        <f>Q38/F38</f>
        <v>3.5999999999999997E-2</v>
      </c>
    </row>
    <row r="39" spans="1:23">
      <c r="A39" s="2253"/>
      <c r="B39" s="2253"/>
      <c r="D39" s="2253"/>
      <c r="F39" s="2255"/>
      <c r="H39" s="2253"/>
      <c r="J39" s="2268"/>
      <c r="K39" s="2268"/>
      <c r="L39" s="2268"/>
      <c r="M39" s="2268"/>
      <c r="N39" s="2268"/>
      <c r="O39" s="2268"/>
      <c r="P39" s="2268"/>
      <c r="Q39" s="2268"/>
    </row>
    <row r="40" spans="1:23">
      <c r="A40" s="2261">
        <v>5</v>
      </c>
      <c r="B40" s="2261" t="s">
        <v>2843</v>
      </c>
      <c r="C40" s="2262" t="s">
        <v>3198</v>
      </c>
      <c r="D40" s="2261">
        <v>5620</v>
      </c>
      <c r="E40" s="2262" t="s">
        <v>1244</v>
      </c>
      <c r="F40" s="2263">
        <f>F34*0.3</f>
        <v>13728</v>
      </c>
      <c r="G40" s="2262" t="s">
        <v>3201</v>
      </c>
      <c r="H40" s="2267" t="s">
        <v>2002</v>
      </c>
      <c r="J40" s="2268">
        <f t="shared" ref="J40:J43" si="2">F40*$J$58*$J$59</f>
        <v>247.582764</v>
      </c>
      <c r="K40" s="2268">
        <f>$F40*$J$58*$J$60</f>
        <v>235.50555600000001</v>
      </c>
      <c r="L40" s="2268">
        <f>F40*$L$58*$L$59</f>
        <v>27.604605599999999</v>
      </c>
      <c r="M40" s="2268">
        <f>F40*$L$58*$L$60</f>
        <v>27.993794399999995</v>
      </c>
      <c r="N40" s="2268">
        <f>F40*$N$58*$N$59</f>
        <v>291.00792863999993</v>
      </c>
      <c r="O40" s="2268">
        <f>F40*$N$58*$N$60</f>
        <v>242.46215135999998</v>
      </c>
      <c r="P40" s="2268">
        <f>F40*$P$58</f>
        <v>1099.33824</v>
      </c>
      <c r="Q40" s="2268">
        <f>F40*$Q$58</f>
        <v>494.20799999999997</v>
      </c>
    </row>
    <row r="41" spans="1:23">
      <c r="A41" s="2271">
        <v>7</v>
      </c>
      <c r="B41" s="2271" t="s">
        <v>2843</v>
      </c>
      <c r="C41" s="2272" t="s">
        <v>3198</v>
      </c>
      <c r="D41" s="2271">
        <v>5620</v>
      </c>
      <c r="E41" s="2272" t="s">
        <v>1244</v>
      </c>
      <c r="F41" s="2273">
        <f>26600*0.3</f>
        <v>7980</v>
      </c>
      <c r="G41" s="2272" t="s">
        <v>3201</v>
      </c>
      <c r="H41" s="2274" t="s">
        <v>2002</v>
      </c>
      <c r="J41" s="2268">
        <f t="shared" si="2"/>
        <v>143.91830249999998</v>
      </c>
      <c r="K41" s="2268">
        <f>$F41*$J$58*$J$60</f>
        <v>136.8978975</v>
      </c>
      <c r="L41" s="2268">
        <f>F41*$L$58*$L$59</f>
        <v>16.046383499999997</v>
      </c>
      <c r="M41" s="2268">
        <f>F41*$L$58*$L$60</f>
        <v>16.272616499999994</v>
      </c>
      <c r="N41" s="2268">
        <f>F41*$N$58*$N$59</f>
        <v>169.16107740000001</v>
      </c>
      <c r="O41" s="2268">
        <f>F41*$N$58*$N$60</f>
        <v>140.94172259999999</v>
      </c>
      <c r="P41" s="2268">
        <f>F41*$P$58</f>
        <v>639.03840000000002</v>
      </c>
      <c r="Q41" s="2268">
        <f>F41*$Q$58</f>
        <v>287.27999999999997</v>
      </c>
    </row>
    <row r="42" spans="1:23">
      <c r="A42" s="2261">
        <v>15</v>
      </c>
      <c r="B42" s="2261" t="s">
        <v>2843</v>
      </c>
      <c r="C42" s="2262" t="s">
        <v>3198</v>
      </c>
      <c r="D42" s="2261">
        <v>5620</v>
      </c>
      <c r="E42" s="2262" t="s">
        <v>1244</v>
      </c>
      <c r="F42" s="2263">
        <f>F36*0.3</f>
        <v>4500</v>
      </c>
      <c r="G42" s="2262" t="s">
        <v>3201</v>
      </c>
      <c r="H42" s="2267" t="s">
        <v>2002</v>
      </c>
      <c r="J42" s="2268">
        <f t="shared" si="2"/>
        <v>81.156937499999984</v>
      </c>
      <c r="K42" s="2268">
        <f>$F42*$J$58*$J$60</f>
        <v>77.198062499999992</v>
      </c>
      <c r="L42" s="2268">
        <f>F42*$L$58*$L$59</f>
        <v>9.0487124999999988</v>
      </c>
      <c r="M42" s="2268">
        <f>F42*$L$58*$L$60</f>
        <v>9.1762874999999973</v>
      </c>
      <c r="N42" s="2268">
        <f>F42*$N$58*$N$59</f>
        <v>95.391585000000006</v>
      </c>
      <c r="O42" s="2268">
        <f>F42*$N$58*$N$60</f>
        <v>79.478414999999998</v>
      </c>
      <c r="P42" s="2268">
        <f>F42*$P$58</f>
        <v>360.36</v>
      </c>
      <c r="Q42" s="2268">
        <f>F42*$Q$58</f>
        <v>162</v>
      </c>
    </row>
    <row r="43" spans="1:23" ht="15">
      <c r="A43" s="2261">
        <v>17</v>
      </c>
      <c r="B43" s="2261" t="s">
        <v>2843</v>
      </c>
      <c r="C43" s="2262" t="s">
        <v>3198</v>
      </c>
      <c r="D43" s="2261">
        <v>5620</v>
      </c>
      <c r="E43" s="2262" t="s">
        <v>1244</v>
      </c>
      <c r="F43" s="2263">
        <f>F37*0.3</f>
        <v>19924.2</v>
      </c>
      <c r="G43" s="2262" t="s">
        <v>3201</v>
      </c>
      <c r="H43" s="2267" t="s">
        <v>2002</v>
      </c>
      <c r="J43" s="2269">
        <f t="shared" si="2"/>
        <v>359.33045647500001</v>
      </c>
      <c r="K43" s="2269">
        <f>$F43*$J$58*$J$60</f>
        <v>341.80214152500002</v>
      </c>
      <c r="L43" s="2269">
        <f>F43*$L$58*$L$59</f>
        <v>40.064079464999999</v>
      </c>
      <c r="M43" s="2269">
        <f>F43*$L$58*$L$60</f>
        <v>40.628930534999995</v>
      </c>
      <c r="N43" s="2269">
        <f>F43*$N$58*$N$59</f>
        <v>422.35578174599999</v>
      </c>
      <c r="O43" s="2269">
        <f>F43*$N$58*$N$60</f>
        <v>351.89863025400001</v>
      </c>
      <c r="P43" s="2269">
        <f>F43*$P$58</f>
        <v>1595.5299360000001</v>
      </c>
      <c r="Q43" s="2269">
        <f>F43*$Q$58</f>
        <v>717.27120000000002</v>
      </c>
    </row>
    <row r="44" spans="1:23">
      <c r="A44" s="2253"/>
      <c r="B44" s="2253"/>
      <c r="D44" s="2253"/>
      <c r="F44" s="2255">
        <f>SUM(F40:F43)</f>
        <v>46132.2</v>
      </c>
      <c r="H44" s="2253"/>
      <c r="J44" s="2268">
        <f>SUM(J40:J43)</f>
        <v>831.98846047500001</v>
      </c>
      <c r="K44" s="2268">
        <f>SUM(K40:K43)</f>
        <v>791.40365752499997</v>
      </c>
      <c r="L44" s="2268">
        <f t="shared" ref="L44:Q44" si="3">SUM(L40:L43)</f>
        <v>92.763781064999989</v>
      </c>
      <c r="M44" s="2268">
        <f t="shared" si="3"/>
        <v>94.071628934999978</v>
      </c>
      <c r="N44" s="2268">
        <f t="shared" si="3"/>
        <v>977.91637278600001</v>
      </c>
      <c r="O44" s="2268">
        <f t="shared" si="3"/>
        <v>814.78091921399994</v>
      </c>
      <c r="P44" s="2268">
        <f t="shared" si="3"/>
        <v>3694.266576</v>
      </c>
      <c r="Q44" s="2268">
        <f t="shared" si="3"/>
        <v>1660.7592</v>
      </c>
      <c r="S44" s="2270">
        <f>(J44+K44)/F44</f>
        <v>3.5189999999999999E-2</v>
      </c>
      <c r="T44" s="2270">
        <f>(M44+L44)/F44</f>
        <v>4.0499999999999998E-3</v>
      </c>
      <c r="U44" s="2270">
        <f>(N44+O44)/F44</f>
        <v>3.8859999999999999E-2</v>
      </c>
      <c r="V44" s="2270">
        <f>P44/F44</f>
        <v>8.0079999999999998E-2</v>
      </c>
      <c r="W44" s="2270">
        <f>Q44/F44</f>
        <v>3.6000000000000004E-2</v>
      </c>
    </row>
    <row r="45" spans="1:23">
      <c r="A45" s="2253"/>
      <c r="B45" s="2253"/>
      <c r="D45" s="2253"/>
      <c r="F45" s="2255"/>
      <c r="H45" s="2253"/>
      <c r="J45" s="2268"/>
      <c r="K45" s="2268"/>
      <c r="L45" s="2268"/>
      <c r="M45" s="2268"/>
      <c r="N45" s="2268"/>
      <c r="O45" s="2268"/>
      <c r="P45" s="2268"/>
      <c r="Q45" s="2268"/>
    </row>
    <row r="46" spans="1:23">
      <c r="A46" s="2261">
        <v>24</v>
      </c>
      <c r="B46" s="2261" t="s">
        <v>2843</v>
      </c>
      <c r="C46" s="2262" t="s">
        <v>3198</v>
      </c>
      <c r="D46" s="2261">
        <v>6210</v>
      </c>
      <c r="E46" s="2262" t="s">
        <v>3216</v>
      </c>
      <c r="F46" s="2263"/>
      <c r="G46" s="2262" t="s">
        <v>3217</v>
      </c>
      <c r="H46" s="2267" t="s">
        <v>2076</v>
      </c>
      <c r="J46" s="2268"/>
      <c r="K46" s="2268"/>
      <c r="L46" s="2268"/>
      <c r="M46" s="2268"/>
      <c r="N46" s="2268"/>
      <c r="O46" s="2268"/>
      <c r="P46" s="2268"/>
      <c r="Q46" s="2268"/>
    </row>
    <row r="47" spans="1:23">
      <c r="A47" s="2253"/>
      <c r="B47" s="2253"/>
      <c r="D47" s="2253"/>
      <c r="F47" s="2255"/>
      <c r="H47" s="2253"/>
      <c r="J47" s="2268"/>
      <c r="K47" s="2268"/>
      <c r="L47" s="2268"/>
      <c r="M47" s="2268"/>
      <c r="N47" s="2268"/>
      <c r="O47" s="2268"/>
      <c r="P47" s="2268"/>
      <c r="Q47" s="2268"/>
    </row>
    <row r="48" spans="1:23">
      <c r="A48" s="2253"/>
      <c r="B48" s="2253"/>
      <c r="D48" s="2253"/>
      <c r="F48" s="2255"/>
      <c r="H48" s="2253"/>
      <c r="J48" s="2268"/>
      <c r="K48" s="2268"/>
      <c r="L48" s="2268"/>
      <c r="M48" s="2268"/>
      <c r="N48" s="2268"/>
      <c r="O48" s="2268"/>
      <c r="P48" s="2268"/>
      <c r="Q48" s="2268"/>
    </row>
    <row r="49" spans="1:23">
      <c r="A49" s="2264">
        <v>12</v>
      </c>
      <c r="B49" s="2264">
        <v>250</v>
      </c>
      <c r="C49" s="2265" t="s">
        <v>2242</v>
      </c>
      <c r="D49" s="2264">
        <v>6100</v>
      </c>
      <c r="E49" s="2265" t="s">
        <v>3199</v>
      </c>
      <c r="F49" s="2266">
        <v>27000</v>
      </c>
      <c r="G49" s="2265" t="s">
        <v>3203</v>
      </c>
      <c r="H49" s="2264">
        <v>701</v>
      </c>
      <c r="J49" s="2268"/>
      <c r="K49" s="2268"/>
      <c r="L49" s="2268"/>
      <c r="M49" s="2268"/>
      <c r="N49" s="2268"/>
      <c r="O49" s="2268"/>
      <c r="P49" s="2268">
        <f>F49</f>
        <v>27000</v>
      </c>
      <c r="Q49" s="2268"/>
      <c r="S49" s="2270">
        <f>(J49+K49)/F49</f>
        <v>0</v>
      </c>
      <c r="T49" s="2270">
        <f>(M49+L49)/F49</f>
        <v>0</v>
      </c>
      <c r="U49" s="2270">
        <f>(N49+O49)/F49</f>
        <v>0</v>
      </c>
      <c r="V49" s="2270">
        <f>P49/F49</f>
        <v>1</v>
      </c>
      <c r="W49" s="2270">
        <f>Q49/F49</f>
        <v>0</v>
      </c>
    </row>
    <row r="50" spans="1:23">
      <c r="A50" s="2264">
        <v>13</v>
      </c>
      <c r="B50" s="2264">
        <v>250</v>
      </c>
      <c r="C50" s="2265" t="s">
        <v>2242</v>
      </c>
      <c r="D50" s="2264">
        <v>5620</v>
      </c>
      <c r="E50" s="2265" t="s">
        <v>1244</v>
      </c>
      <c r="F50" s="2266">
        <f>F49*0.3</f>
        <v>8100</v>
      </c>
      <c r="G50" s="2265" t="s">
        <v>3201</v>
      </c>
      <c r="H50" s="2264">
        <v>704</v>
      </c>
      <c r="J50" s="2268"/>
      <c r="K50" s="2268"/>
      <c r="L50" s="2268"/>
      <c r="M50" s="2268"/>
      <c r="N50" s="2268"/>
      <c r="O50" s="2268"/>
      <c r="P50" s="2268">
        <f>F50</f>
        <v>8100</v>
      </c>
      <c r="Q50" s="2268"/>
      <c r="S50" s="2270">
        <f>(J50+K50)/F50</f>
        <v>0</v>
      </c>
      <c r="T50" s="2270">
        <f>(M50+L50)/F50</f>
        <v>0</v>
      </c>
      <c r="U50" s="2270">
        <f>(N50+O50)/F50</f>
        <v>0</v>
      </c>
      <c r="V50" s="2270">
        <f>P50/F50</f>
        <v>1</v>
      </c>
      <c r="W50" s="2270">
        <f>Q50/F50</f>
        <v>0</v>
      </c>
    </row>
    <row r="51" spans="1:23">
      <c r="A51" s="2253"/>
      <c r="B51" s="2253"/>
      <c r="D51" s="2253"/>
      <c r="F51" s="2255"/>
      <c r="J51" s="2268"/>
      <c r="K51" s="2268"/>
      <c r="L51" s="2268"/>
      <c r="M51" s="2268"/>
      <c r="N51" s="2268"/>
      <c r="O51" s="2268"/>
      <c r="P51" s="2268"/>
      <c r="Q51" s="2268"/>
    </row>
    <row r="52" spans="1:23">
      <c r="A52" s="2275" t="s">
        <v>3226</v>
      </c>
      <c r="B52" s="1539" t="s">
        <v>3227</v>
      </c>
      <c r="D52" s="2253"/>
      <c r="F52" s="2255"/>
      <c r="J52" s="2268"/>
      <c r="K52" s="2268"/>
      <c r="L52" s="2268"/>
      <c r="M52" s="2268"/>
      <c r="N52" s="2268"/>
      <c r="O52" s="2268"/>
      <c r="P52" s="2268"/>
      <c r="Q52" s="2268"/>
    </row>
    <row r="53" spans="1:23">
      <c r="A53" s="2253"/>
      <c r="B53" s="2253"/>
      <c r="D53" s="2253"/>
      <c r="F53" s="2255"/>
      <c r="J53" s="2268"/>
      <c r="K53" s="2268"/>
      <c r="L53" s="2268"/>
      <c r="M53" s="2268"/>
      <c r="N53" s="2268"/>
      <c r="O53" s="2268"/>
      <c r="P53" s="2268"/>
      <c r="Q53" s="2268"/>
    </row>
    <row r="54" spans="1:23">
      <c r="A54" s="2261" t="s">
        <v>3166</v>
      </c>
      <c r="B54" s="2261" t="s">
        <v>2843</v>
      </c>
      <c r="C54" s="2262" t="s">
        <v>3198</v>
      </c>
      <c r="D54" s="2261">
        <v>7510</v>
      </c>
      <c r="E54" s="2262" t="s">
        <v>3228</v>
      </c>
      <c r="F54" s="2263"/>
      <c r="G54" s="2262"/>
      <c r="H54" s="2267">
        <v>408</v>
      </c>
      <c r="J54" s="2268">
        <f t="shared" ref="J54:Q54" si="4">0.0765*(J38+J44+J49)</f>
        <v>253.78467436496246</v>
      </c>
      <c r="K54" s="2268">
        <f t="shared" si="4"/>
        <v>241.40493415203753</v>
      </c>
      <c r="L54" s="2268">
        <f t="shared" si="4"/>
        <v>28.296096747547498</v>
      </c>
      <c r="M54" s="2268">
        <f t="shared" si="4"/>
        <v>28.695034667452493</v>
      </c>
      <c r="N54" s="2268">
        <f t="shared" si="4"/>
        <v>298.29763273635893</v>
      </c>
      <c r="O54" s="2268">
        <f t="shared" si="4"/>
        <v>248.53579116164099</v>
      </c>
      <c r="P54" s="2268">
        <f t="shared" si="4"/>
        <v>3192.3764947439995</v>
      </c>
      <c r="Q54" s="2268">
        <f t="shared" si="4"/>
        <v>506.58783480000005</v>
      </c>
    </row>
    <row r="55" spans="1:23">
      <c r="A55" s="2253"/>
      <c r="B55" s="2253"/>
      <c r="D55" s="2253"/>
      <c r="F55" s="2255"/>
    </row>
    <row r="56" spans="1:23">
      <c r="A56" s="2253"/>
      <c r="B56" s="2253"/>
      <c r="D56" s="2253"/>
      <c r="F56" s="2255"/>
      <c r="J56" t="s">
        <v>3229</v>
      </c>
    </row>
    <row r="57" spans="1:23">
      <c r="A57" s="1539"/>
      <c r="B57" s="2253"/>
      <c r="D57" s="2253"/>
      <c r="F57" s="2255"/>
      <c r="J57" s="2253" t="s">
        <v>3219</v>
      </c>
      <c r="K57" s="2253"/>
      <c r="L57" s="2253" t="s">
        <v>3220</v>
      </c>
      <c r="M57" s="2253"/>
      <c r="N57" s="2253" t="s">
        <v>3221</v>
      </c>
      <c r="O57" s="2253"/>
      <c r="P57" s="2253" t="s">
        <v>3222</v>
      </c>
      <c r="Q57" s="2253" t="s">
        <v>3223</v>
      </c>
    </row>
    <row r="58" spans="1:23">
      <c r="A58" s="2253"/>
      <c r="B58" s="2253"/>
      <c r="D58" s="2253"/>
      <c r="F58" s="2255"/>
      <c r="I58" t="s">
        <v>81</v>
      </c>
      <c r="J58" s="2270">
        <v>3.5189999999999999E-2</v>
      </c>
      <c r="K58" s="2270"/>
      <c r="L58" s="2270">
        <v>4.0499999999999998E-3</v>
      </c>
      <c r="M58" s="2270"/>
      <c r="N58" s="2270">
        <v>3.8859999999999999E-2</v>
      </c>
      <c r="O58" s="2270"/>
      <c r="P58" s="2270">
        <v>8.0079999999999998E-2</v>
      </c>
      <c r="Q58" s="2270">
        <v>3.5999999999999997E-2</v>
      </c>
    </row>
    <row r="59" spans="1:23">
      <c r="A59" s="2253"/>
      <c r="B59" s="2253"/>
      <c r="D59" s="2253"/>
      <c r="F59" s="2255"/>
      <c r="I59" t="s">
        <v>1843</v>
      </c>
      <c r="J59" s="2270">
        <v>0.51249999999999996</v>
      </c>
      <c r="K59" s="2270"/>
      <c r="L59" s="2270">
        <v>0.4965</v>
      </c>
      <c r="M59" s="2270"/>
      <c r="N59" s="2270">
        <v>0.54549999999999998</v>
      </c>
      <c r="O59" s="2270"/>
      <c r="P59" s="2270"/>
      <c r="Q59" s="2270"/>
    </row>
    <row r="60" spans="1:23">
      <c r="A60" s="2253"/>
      <c r="B60" s="2253"/>
      <c r="D60" s="2253"/>
      <c r="F60" s="2255"/>
      <c r="I60" t="s">
        <v>3225</v>
      </c>
      <c r="J60" s="2270">
        <v>0.48749999999999999</v>
      </c>
      <c r="K60" s="2270"/>
      <c r="L60" s="2270">
        <v>0.50349999999999995</v>
      </c>
      <c r="M60" s="2270"/>
      <c r="N60" s="2270">
        <v>0.45450000000000002</v>
      </c>
      <c r="O60" s="2270"/>
      <c r="P60" s="2270">
        <v>1</v>
      </c>
      <c r="Q60" s="2270">
        <v>1</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47">
    <pageSetUpPr fitToPage="1"/>
  </sheetPr>
  <dimension ref="A1:T264"/>
  <sheetViews>
    <sheetView view="pageBreakPreview" zoomScale="60" zoomScaleNormal="100" workbookViewId="0">
      <selection sqref="A1:XFD1048576"/>
    </sheetView>
  </sheetViews>
  <sheetFormatPr defaultColWidth="10.85546875" defaultRowHeight="12"/>
  <cols>
    <col min="1" max="1" width="5.140625" style="211" customWidth="1"/>
    <col min="2" max="2" width="29" style="211" customWidth="1"/>
    <col min="3" max="16" width="11.7109375" style="211" customWidth="1"/>
    <col min="17" max="16384" width="10.85546875" style="211"/>
  </cols>
  <sheetData>
    <row r="1" spans="1:16">
      <c r="A1" s="203" t="s">
        <v>58</v>
      </c>
      <c r="B1" s="203"/>
      <c r="C1" s="203"/>
      <c r="D1" s="203"/>
      <c r="E1" s="203"/>
      <c r="F1" s="203"/>
      <c r="G1" s="203"/>
      <c r="H1" s="203"/>
      <c r="I1" s="203"/>
      <c r="J1" s="203"/>
      <c r="K1" s="203"/>
      <c r="L1" s="968" t="s">
        <v>1209</v>
      </c>
      <c r="M1" s="203"/>
      <c r="N1" s="203"/>
      <c r="P1" s="1130"/>
    </row>
    <row r="2" spans="1:16">
      <c r="A2" s="203" t="s">
        <v>75</v>
      </c>
      <c r="B2" s="203"/>
      <c r="C2" s="203"/>
      <c r="D2" s="203"/>
      <c r="E2" s="203"/>
      <c r="F2" s="203"/>
      <c r="G2" s="203"/>
      <c r="H2" s="203"/>
      <c r="I2" s="203"/>
      <c r="J2" s="203"/>
      <c r="K2" s="203"/>
      <c r="L2" s="1173" t="s">
        <v>475</v>
      </c>
      <c r="M2" s="203"/>
      <c r="N2" s="203"/>
      <c r="P2" s="1130"/>
    </row>
    <row r="3" spans="1:16" ht="12" customHeight="1">
      <c r="A3" s="203" t="s">
        <v>2644</v>
      </c>
      <c r="B3" s="1131"/>
      <c r="C3" s="2301" t="s">
        <v>1308</v>
      </c>
      <c r="D3" s="2302"/>
      <c r="E3" s="2302"/>
      <c r="F3" s="2302"/>
      <c r="G3" s="2302"/>
      <c r="H3" s="2302"/>
      <c r="I3" s="2302"/>
      <c r="J3" s="2302"/>
      <c r="K3" s="1116"/>
      <c r="L3" s="968" t="s">
        <v>1504</v>
      </c>
      <c r="M3" s="1116"/>
      <c r="N3" s="1174"/>
      <c r="P3" s="1116"/>
    </row>
    <row r="4" spans="1:16" ht="12" customHeight="1">
      <c r="A4" s="203" t="s">
        <v>2645</v>
      </c>
      <c r="B4" s="1131"/>
      <c r="C4" s="2302"/>
      <c r="D4" s="2302"/>
      <c r="E4" s="2302"/>
      <c r="F4" s="2302"/>
      <c r="G4" s="2302"/>
      <c r="H4" s="2302"/>
      <c r="I4" s="2302"/>
      <c r="J4" s="2302"/>
      <c r="K4" s="1116"/>
      <c r="L4" s="968" t="s">
        <v>2948</v>
      </c>
      <c r="M4" s="1116"/>
      <c r="N4" s="1175"/>
      <c r="P4" s="1116"/>
    </row>
    <row r="5" spans="1:16" ht="12" customHeight="1">
      <c r="A5" s="203" t="s">
        <v>1935</v>
      </c>
      <c r="B5" s="203"/>
      <c r="C5" s="2302"/>
      <c r="D5" s="2302"/>
      <c r="E5" s="2302"/>
      <c r="F5" s="2302"/>
      <c r="G5" s="2302"/>
      <c r="H5" s="2302"/>
      <c r="I5" s="2302"/>
      <c r="J5" s="2302"/>
      <c r="K5" s="1116"/>
      <c r="L5" s="968"/>
      <c r="M5" s="1116"/>
      <c r="N5" s="1175"/>
      <c r="P5" s="1116"/>
    </row>
    <row r="6" spans="1:16" ht="12" customHeight="1" thickBot="1">
      <c r="A6" s="140" t="s">
        <v>1343</v>
      </c>
      <c r="B6" s="1131"/>
      <c r="C6" s="2302"/>
      <c r="D6" s="2302"/>
      <c r="E6" s="2302"/>
      <c r="F6" s="2302"/>
      <c r="G6" s="2302"/>
      <c r="H6" s="2302"/>
      <c r="I6" s="2302"/>
      <c r="J6" s="2302"/>
      <c r="K6" s="1116"/>
      <c r="L6" s="968" t="s">
        <v>640</v>
      </c>
      <c r="M6" s="2060"/>
      <c r="N6" s="2061"/>
      <c r="O6" s="2062"/>
      <c r="P6" s="2060"/>
    </row>
    <row r="7" spans="1:16" s="1144" customFormat="1">
      <c r="A7" s="1248"/>
      <c r="B7" s="1246" t="s">
        <v>914</v>
      </c>
      <c r="C7" s="1244">
        <v>-2</v>
      </c>
      <c r="D7" s="1244">
        <v>-3</v>
      </c>
      <c r="E7" s="1244">
        <v>-4</v>
      </c>
      <c r="F7" s="1244">
        <v>-5</v>
      </c>
      <c r="G7" s="1244">
        <v>-6</v>
      </c>
      <c r="H7" s="1244">
        <v>-7</v>
      </c>
      <c r="I7" s="1244">
        <v>-8</v>
      </c>
      <c r="J7" s="1244">
        <v>-9</v>
      </c>
      <c r="K7" s="1244">
        <v>-10</v>
      </c>
      <c r="L7" s="1244">
        <v>-11</v>
      </c>
      <c r="M7" s="2059">
        <v>-12</v>
      </c>
      <c r="N7" s="1142">
        <v>-13</v>
      </c>
      <c r="O7" s="1142">
        <v>-14</v>
      </c>
      <c r="P7" s="1142">
        <v>-15</v>
      </c>
    </row>
    <row r="8" spans="1:16" ht="24">
      <c r="A8" s="1125" t="s">
        <v>802</v>
      </c>
      <c r="B8" s="762" t="s">
        <v>975</v>
      </c>
      <c r="C8" s="207" t="s">
        <v>1899</v>
      </c>
      <c r="D8" s="207">
        <v>42014</v>
      </c>
      <c r="E8" s="208">
        <v>42036</v>
      </c>
      <c r="F8" s="208">
        <v>42064</v>
      </c>
      <c r="G8" s="208">
        <v>42095</v>
      </c>
      <c r="H8" s="208">
        <v>42125</v>
      </c>
      <c r="I8" s="208">
        <v>42156</v>
      </c>
      <c r="J8" s="208">
        <v>42186</v>
      </c>
      <c r="K8" s="208">
        <v>42217</v>
      </c>
      <c r="L8" s="208">
        <v>42248</v>
      </c>
      <c r="M8" s="208">
        <v>42278</v>
      </c>
      <c r="N8" s="208">
        <v>42309</v>
      </c>
      <c r="O8" s="208">
        <v>42339</v>
      </c>
      <c r="P8" s="209" t="s">
        <v>45</v>
      </c>
    </row>
    <row r="9" spans="1:16">
      <c r="A9" s="281">
        <v>1</v>
      </c>
      <c r="B9" s="203" t="s">
        <v>979</v>
      </c>
      <c r="C9" s="202"/>
      <c r="D9" s="202"/>
      <c r="E9" s="202"/>
      <c r="F9" s="202"/>
      <c r="H9" s="212"/>
      <c r="I9" s="212"/>
      <c r="J9" s="212"/>
      <c r="K9" s="212"/>
      <c r="L9" s="213"/>
      <c r="M9" s="213"/>
      <c r="N9" s="213"/>
      <c r="O9" s="213"/>
      <c r="P9" s="213"/>
    </row>
    <row r="10" spans="1:16">
      <c r="A10" s="281">
        <v>2</v>
      </c>
      <c r="B10" s="211" t="s">
        <v>563</v>
      </c>
      <c r="C10" s="310">
        <v>-41162.269999999997</v>
      </c>
      <c r="D10" s="310">
        <v>-41162.269999999997</v>
      </c>
      <c r="E10" s="310">
        <v>-41162.269999999997</v>
      </c>
      <c r="F10" s="310">
        <v>-41162.269999999997</v>
      </c>
      <c r="G10" s="310">
        <v>-41158.35</v>
      </c>
      <c r="H10" s="310">
        <v>-41154.43</v>
      </c>
      <c r="I10" s="310">
        <v>-41150.51</v>
      </c>
      <c r="J10" s="310">
        <v>-41146.589999999997</v>
      </c>
      <c r="K10" s="310">
        <v>-41142.67</v>
      </c>
      <c r="L10" s="310">
        <v>-41138.75</v>
      </c>
      <c r="M10" s="310">
        <v>-41134.83</v>
      </c>
      <c r="N10" s="310">
        <v>-41130.910000000003</v>
      </c>
      <c r="O10" s="310">
        <v>-41126.99</v>
      </c>
      <c r="P10" s="310">
        <v>-41149</v>
      </c>
    </row>
    <row r="11" spans="1:16">
      <c r="A11" s="281">
        <v>3</v>
      </c>
      <c r="B11" s="211" t="s">
        <v>564</v>
      </c>
      <c r="C11" s="202">
        <v>18.489999999999998</v>
      </c>
      <c r="D11" s="202">
        <v>18.690000000000001</v>
      </c>
      <c r="E11" s="202">
        <v>18.88</v>
      </c>
      <c r="F11" s="202">
        <v>19.02</v>
      </c>
      <c r="G11" s="202">
        <v>19.22</v>
      </c>
      <c r="H11" s="202">
        <v>19.41</v>
      </c>
      <c r="I11" s="202">
        <v>19.61</v>
      </c>
      <c r="J11" s="202">
        <v>19.809999999999999</v>
      </c>
      <c r="K11" s="202">
        <v>20</v>
      </c>
      <c r="L11" s="202">
        <v>20.2</v>
      </c>
      <c r="M11" s="202">
        <v>20.399999999999999</v>
      </c>
      <c r="N11" s="202">
        <v>20.59</v>
      </c>
      <c r="O11" s="202">
        <v>20.79</v>
      </c>
      <c r="P11" s="202">
        <v>20</v>
      </c>
    </row>
    <row r="12" spans="1:16">
      <c r="A12" s="281">
        <v>4</v>
      </c>
      <c r="B12" s="211" t="s">
        <v>565</v>
      </c>
      <c r="C12" s="202"/>
      <c r="D12" s="202"/>
      <c r="E12" s="202"/>
      <c r="F12" s="202"/>
      <c r="G12" s="202"/>
      <c r="H12" s="202"/>
      <c r="I12" s="202"/>
      <c r="J12" s="202"/>
      <c r="K12" s="202"/>
      <c r="L12" s="202"/>
      <c r="M12" s="202"/>
      <c r="N12" s="202"/>
      <c r="O12" s="202"/>
      <c r="P12" s="202">
        <v>0</v>
      </c>
    </row>
    <row r="13" spans="1:16">
      <c r="A13" s="281">
        <v>5</v>
      </c>
      <c r="B13" s="203" t="s">
        <v>566</v>
      </c>
      <c r="C13" s="202"/>
      <c r="D13" s="202"/>
      <c r="E13" s="202"/>
      <c r="F13" s="202"/>
      <c r="G13" s="202"/>
      <c r="H13" s="202"/>
      <c r="I13" s="202"/>
      <c r="J13" s="202"/>
      <c r="K13" s="202"/>
      <c r="L13" s="202"/>
      <c r="M13" s="202"/>
      <c r="N13" s="202"/>
      <c r="O13" s="202"/>
      <c r="P13" s="213"/>
    </row>
    <row r="14" spans="1:16">
      <c r="A14" s="281">
        <v>6</v>
      </c>
      <c r="B14" s="211" t="s">
        <v>567</v>
      </c>
      <c r="C14" s="202"/>
      <c r="D14" s="202"/>
      <c r="E14" s="202"/>
      <c r="F14" s="202"/>
      <c r="G14" s="202"/>
      <c r="H14" s="202"/>
      <c r="I14" s="202"/>
      <c r="J14" s="202"/>
      <c r="K14" s="202"/>
      <c r="L14" s="202"/>
      <c r="M14" s="202"/>
      <c r="N14" s="202"/>
      <c r="O14" s="202"/>
      <c r="P14" s="202"/>
    </row>
    <row r="15" spans="1:16">
      <c r="A15" s="281">
        <v>7</v>
      </c>
      <c r="B15" s="211" t="s">
        <v>568</v>
      </c>
      <c r="C15" s="202">
        <v>0</v>
      </c>
      <c r="D15" s="202">
        <v>0</v>
      </c>
      <c r="E15" s="202">
        <v>0</v>
      </c>
      <c r="F15" s="202">
        <v>0</v>
      </c>
      <c r="G15" s="202">
        <v>0</v>
      </c>
      <c r="H15" s="202">
        <v>0</v>
      </c>
      <c r="I15" s="202">
        <v>0</v>
      </c>
      <c r="J15" s="202">
        <v>0</v>
      </c>
      <c r="K15" s="202">
        <v>0</v>
      </c>
      <c r="L15" s="202">
        <v>0</v>
      </c>
      <c r="M15" s="202">
        <v>0</v>
      </c>
      <c r="N15" s="202">
        <v>0</v>
      </c>
      <c r="O15" s="202">
        <v>0</v>
      </c>
      <c r="P15" s="202">
        <v>0</v>
      </c>
    </row>
    <row r="16" spans="1:16">
      <c r="A16" s="281">
        <v>8</v>
      </c>
      <c r="B16" s="709" t="s">
        <v>370</v>
      </c>
      <c r="C16" s="202">
        <v>0</v>
      </c>
      <c r="D16" s="202">
        <v>0</v>
      </c>
      <c r="E16" s="202">
        <v>0</v>
      </c>
      <c r="F16" s="202">
        <v>0</v>
      </c>
      <c r="G16" s="202">
        <v>0</v>
      </c>
      <c r="H16" s="202">
        <v>0</v>
      </c>
      <c r="I16" s="202">
        <v>0</v>
      </c>
      <c r="J16" s="202">
        <v>0</v>
      </c>
      <c r="K16" s="202">
        <v>0</v>
      </c>
      <c r="L16" s="202">
        <v>0</v>
      </c>
      <c r="M16" s="202">
        <v>0</v>
      </c>
      <c r="N16" s="202">
        <v>0</v>
      </c>
      <c r="O16" s="202">
        <v>0</v>
      </c>
      <c r="P16" s="202">
        <v>0</v>
      </c>
    </row>
    <row r="17" spans="1:16">
      <c r="A17" s="281">
        <v>9</v>
      </c>
      <c r="B17" s="211" t="s">
        <v>569</v>
      </c>
      <c r="C17" s="202">
        <v>158184.42000000001</v>
      </c>
      <c r="D17" s="202">
        <v>158862.96</v>
      </c>
      <c r="E17" s="202">
        <v>159541.5</v>
      </c>
      <c r="F17" s="202">
        <v>160220.26</v>
      </c>
      <c r="G17" s="202">
        <v>160899.01999999999</v>
      </c>
      <c r="H17" s="202">
        <v>161577.99</v>
      </c>
      <c r="I17" s="202">
        <v>162256.95999999999</v>
      </c>
      <c r="J17" s="202">
        <v>162935.93</v>
      </c>
      <c r="K17" s="202">
        <v>163616.15</v>
      </c>
      <c r="L17" s="202">
        <v>164296.37</v>
      </c>
      <c r="M17" s="202">
        <v>164976.84</v>
      </c>
      <c r="N17" s="202">
        <v>165668.42000000001</v>
      </c>
      <c r="O17" s="202">
        <v>166360</v>
      </c>
      <c r="P17" s="202">
        <v>162261</v>
      </c>
    </row>
    <row r="18" spans="1:16">
      <c r="A18" s="281">
        <v>10</v>
      </c>
      <c r="B18" s="211" t="s">
        <v>570</v>
      </c>
      <c r="C18" s="202">
        <v>710673.34000000008</v>
      </c>
      <c r="D18" s="202">
        <v>715408.44</v>
      </c>
      <c r="E18" s="202">
        <v>718647.36</v>
      </c>
      <c r="F18" s="202">
        <v>722755.42999999993</v>
      </c>
      <c r="G18" s="202">
        <v>727503.28</v>
      </c>
      <c r="H18" s="202">
        <v>732251.37</v>
      </c>
      <c r="I18" s="202">
        <v>736999.62</v>
      </c>
      <c r="J18" s="202">
        <v>741748.32</v>
      </c>
      <c r="K18" s="202">
        <v>746498.47</v>
      </c>
      <c r="L18" s="202">
        <v>751258.53</v>
      </c>
      <c r="M18" s="202">
        <v>753486.34</v>
      </c>
      <c r="N18" s="202">
        <v>758251.72</v>
      </c>
      <c r="O18" s="202">
        <v>761107.06</v>
      </c>
      <c r="P18" s="202">
        <v>736661</v>
      </c>
    </row>
    <row r="19" spans="1:16">
      <c r="A19" s="281">
        <v>11</v>
      </c>
      <c r="B19" s="211" t="s">
        <v>571</v>
      </c>
      <c r="C19" s="202"/>
      <c r="D19" s="202"/>
      <c r="E19" s="202"/>
      <c r="F19" s="202"/>
      <c r="G19" s="202"/>
      <c r="H19" s="202"/>
      <c r="I19" s="202"/>
      <c r="J19" s="202"/>
      <c r="K19" s="202"/>
      <c r="L19" s="202"/>
      <c r="M19" s="202"/>
      <c r="N19" s="202"/>
      <c r="O19" s="202"/>
      <c r="P19" s="202">
        <v>0</v>
      </c>
    </row>
    <row r="20" spans="1:16">
      <c r="A20" s="281">
        <v>12</v>
      </c>
      <c r="B20" s="211" t="s">
        <v>1104</v>
      </c>
      <c r="C20" s="202">
        <v>9706.82</v>
      </c>
      <c r="D20" s="202">
        <v>9871.31</v>
      </c>
      <c r="E20" s="202">
        <v>10035.799999999999</v>
      </c>
      <c r="F20" s="202">
        <v>10200.290000000001</v>
      </c>
      <c r="G20" s="202">
        <v>10364.780000000001</v>
      </c>
      <c r="H20" s="202">
        <v>10529.27</v>
      </c>
      <c r="I20" s="202">
        <v>10693.76</v>
      </c>
      <c r="J20" s="202">
        <v>10858.25</v>
      </c>
      <c r="K20" s="202">
        <v>11022.74</v>
      </c>
      <c r="L20" s="202">
        <v>11187.23</v>
      </c>
      <c r="M20" s="202">
        <v>11351.72</v>
      </c>
      <c r="N20" s="202">
        <v>11516.21</v>
      </c>
      <c r="O20" s="202">
        <v>11685.18</v>
      </c>
      <c r="P20" s="202">
        <v>10694</v>
      </c>
    </row>
    <row r="21" spans="1:16">
      <c r="A21" s="281">
        <v>13</v>
      </c>
      <c r="B21" s="211" t="s">
        <v>1105</v>
      </c>
      <c r="C21" s="202">
        <v>161.09</v>
      </c>
      <c r="D21" s="202">
        <v>-4174.8999999999996</v>
      </c>
      <c r="E21" s="202">
        <v>-4111.91</v>
      </c>
      <c r="F21" s="202">
        <v>-4048.92</v>
      </c>
      <c r="G21" s="202">
        <v>-3985.93</v>
      </c>
      <c r="H21" s="202">
        <v>-3922.94</v>
      </c>
      <c r="I21" s="202">
        <v>-3859.95</v>
      </c>
      <c r="J21" s="202">
        <v>-3796.96</v>
      </c>
      <c r="K21" s="202">
        <v>-3733.97</v>
      </c>
      <c r="L21" s="202">
        <v>-3670.98</v>
      </c>
      <c r="M21" s="202">
        <v>-4896.76</v>
      </c>
      <c r="N21" s="202">
        <v>-4801.5</v>
      </c>
      <c r="O21" s="202">
        <v>-4706.24</v>
      </c>
      <c r="P21" s="202">
        <v>-3812</v>
      </c>
    </row>
    <row r="22" spans="1:16">
      <c r="A22" s="281">
        <v>14</v>
      </c>
      <c r="B22" s="211" t="s">
        <v>1106</v>
      </c>
      <c r="C22" s="202"/>
      <c r="D22" s="202"/>
      <c r="E22" s="202"/>
      <c r="F22" s="202"/>
      <c r="G22" s="202"/>
      <c r="H22" s="202"/>
      <c r="I22" s="202"/>
      <c r="J22" s="202"/>
      <c r="K22" s="202"/>
      <c r="L22" s="202"/>
      <c r="M22" s="202"/>
      <c r="N22" s="202"/>
      <c r="O22" s="202"/>
      <c r="P22" s="202">
        <v>0</v>
      </c>
    </row>
    <row r="23" spans="1:16">
      <c r="A23" s="281">
        <v>15</v>
      </c>
      <c r="B23" s="211" t="s">
        <v>1107</v>
      </c>
      <c r="C23" s="202">
        <v>-3767.36</v>
      </c>
      <c r="D23" s="202">
        <v>-3760.74</v>
      </c>
      <c r="E23" s="202">
        <v>-3754.12</v>
      </c>
      <c r="F23" s="202">
        <v>-3747.5</v>
      </c>
      <c r="G23" s="202">
        <v>-3740.88</v>
      </c>
      <c r="H23" s="202">
        <v>-3734.26</v>
      </c>
      <c r="I23" s="202">
        <v>-3727.64</v>
      </c>
      <c r="J23" s="202">
        <v>-3721.02</v>
      </c>
      <c r="K23" s="202">
        <v>-3714.4</v>
      </c>
      <c r="L23" s="202">
        <v>-3707.78</v>
      </c>
      <c r="M23" s="202">
        <v>-3701.16</v>
      </c>
      <c r="N23" s="202">
        <v>-3694.54</v>
      </c>
      <c r="O23" s="202">
        <v>-3687.92</v>
      </c>
      <c r="P23" s="202">
        <v>-3728</v>
      </c>
    </row>
    <row r="24" spans="1:16">
      <c r="A24" s="281">
        <v>16</v>
      </c>
      <c r="B24" s="203" t="s">
        <v>1108</v>
      </c>
      <c r="C24" s="202"/>
      <c r="D24" s="202"/>
      <c r="E24" s="202"/>
      <c r="F24" s="202"/>
      <c r="G24" s="202"/>
      <c r="H24" s="202"/>
      <c r="I24" s="202"/>
      <c r="J24" s="202"/>
      <c r="K24" s="202"/>
      <c r="L24" s="202"/>
      <c r="M24" s="202"/>
      <c r="N24" s="202"/>
      <c r="O24" s="202"/>
      <c r="P24" s="213"/>
    </row>
    <row r="25" spans="1:16">
      <c r="A25" s="281">
        <v>17</v>
      </c>
      <c r="B25" s="211" t="s">
        <v>1109</v>
      </c>
      <c r="C25" s="202"/>
      <c r="D25" s="202"/>
      <c r="E25" s="202"/>
      <c r="F25" s="202"/>
      <c r="G25" s="202"/>
      <c r="H25" s="202"/>
      <c r="I25" s="202"/>
      <c r="J25" s="202"/>
      <c r="K25" s="202"/>
      <c r="L25" s="202"/>
      <c r="M25" s="202"/>
      <c r="N25" s="202"/>
      <c r="O25" s="202"/>
      <c r="P25" s="202"/>
    </row>
    <row r="26" spans="1:16">
      <c r="A26" s="281">
        <v>18</v>
      </c>
      <c r="B26" s="211" t="s">
        <v>1110</v>
      </c>
      <c r="C26" s="202">
        <v>62723.519999999997</v>
      </c>
      <c r="D26" s="202">
        <v>63707.22</v>
      </c>
      <c r="E26" s="202">
        <v>64696.76</v>
      </c>
      <c r="F26" s="202">
        <v>65686.3</v>
      </c>
      <c r="G26" s="202">
        <v>66719.45</v>
      </c>
      <c r="H26" s="202">
        <v>62832.29</v>
      </c>
      <c r="I26" s="202">
        <v>3073.86</v>
      </c>
      <c r="J26" s="202">
        <v>5923.16</v>
      </c>
      <c r="K26" s="202">
        <v>8772.4599999999991</v>
      </c>
      <c r="L26" s="202">
        <v>10768.76</v>
      </c>
      <c r="M26" s="202">
        <v>12765.06</v>
      </c>
      <c r="N26" s="202">
        <v>14761.36</v>
      </c>
      <c r="O26" s="202">
        <v>16757.66</v>
      </c>
      <c r="P26" s="202">
        <v>35322</v>
      </c>
    </row>
    <row r="27" spans="1:16">
      <c r="A27" s="281">
        <v>19</v>
      </c>
      <c r="B27" s="211" t="s">
        <v>1111</v>
      </c>
      <c r="C27" s="202"/>
      <c r="D27" s="202"/>
      <c r="E27" s="202"/>
      <c r="F27" s="202"/>
      <c r="G27" s="202"/>
      <c r="H27" s="202"/>
      <c r="I27" s="202"/>
      <c r="J27" s="202"/>
      <c r="K27" s="202"/>
      <c r="L27" s="202"/>
      <c r="M27" s="202"/>
      <c r="N27" s="202"/>
      <c r="O27" s="202"/>
      <c r="P27" s="202">
        <v>0</v>
      </c>
    </row>
    <row r="28" spans="1:16">
      <c r="A28" s="281">
        <v>20</v>
      </c>
      <c r="B28" s="211" t="s">
        <v>1112</v>
      </c>
      <c r="C28" s="202">
        <v>-22604.36</v>
      </c>
      <c r="D28" s="249">
        <v>-21479.22</v>
      </c>
      <c r="E28" s="249">
        <v>-20553.61</v>
      </c>
      <c r="F28" s="249">
        <v>-19417.189999999999</v>
      </c>
      <c r="G28" s="249">
        <v>-18230.22</v>
      </c>
      <c r="H28" s="249">
        <v>-26169.58</v>
      </c>
      <c r="I28" s="249">
        <v>-25024.12</v>
      </c>
      <c r="J28" s="249">
        <v>-23878.66</v>
      </c>
      <c r="K28" s="249">
        <v>-22733.200000000001</v>
      </c>
      <c r="L28" s="249">
        <v>-21587.74</v>
      </c>
      <c r="M28" s="249">
        <v>-20442.28</v>
      </c>
      <c r="N28" s="249">
        <v>-19296.82</v>
      </c>
      <c r="O28" s="249">
        <v>-18150.11</v>
      </c>
      <c r="P28" s="202">
        <v>-21505</v>
      </c>
    </row>
    <row r="29" spans="1:16">
      <c r="A29" s="281">
        <v>21</v>
      </c>
      <c r="B29" s="211" t="s">
        <v>1113</v>
      </c>
      <c r="C29" s="202">
        <v>2182.61</v>
      </c>
      <c r="D29" s="202">
        <v>2222.96</v>
      </c>
      <c r="E29" s="202">
        <v>2263.31</v>
      </c>
      <c r="F29" s="202">
        <v>2303.66</v>
      </c>
      <c r="G29" s="202">
        <v>2344.0100000000002</v>
      </c>
      <c r="H29" s="202">
        <v>2384.36</v>
      </c>
      <c r="I29" s="202">
        <v>2424.71</v>
      </c>
      <c r="J29" s="202">
        <v>2465.06</v>
      </c>
      <c r="K29" s="202">
        <v>2505.41</v>
      </c>
      <c r="L29" s="202">
        <v>2545.7600000000002</v>
      </c>
      <c r="M29" s="202">
        <v>2586.11</v>
      </c>
      <c r="N29" s="202">
        <v>2626.46</v>
      </c>
      <c r="O29" s="202">
        <v>2666.81</v>
      </c>
      <c r="P29" s="202">
        <v>2425</v>
      </c>
    </row>
    <row r="30" spans="1:16">
      <c r="A30" s="281">
        <v>22</v>
      </c>
      <c r="B30" s="203" t="s">
        <v>922</v>
      </c>
      <c r="C30" s="202"/>
      <c r="D30" s="202"/>
      <c r="E30" s="202"/>
      <c r="F30" s="202"/>
      <c r="G30" s="202"/>
      <c r="H30" s="202"/>
      <c r="I30" s="202"/>
      <c r="J30" s="202"/>
      <c r="K30" s="202"/>
      <c r="L30" s="202"/>
      <c r="M30" s="202"/>
      <c r="N30" s="202"/>
      <c r="O30" s="202"/>
      <c r="P30" s="213"/>
    </row>
    <row r="31" spans="1:16">
      <c r="A31" s="281">
        <v>23</v>
      </c>
      <c r="B31" s="211" t="s">
        <v>791</v>
      </c>
      <c r="C31" s="202"/>
      <c r="D31" s="202"/>
      <c r="E31" s="202"/>
      <c r="F31" s="202"/>
      <c r="G31" s="202"/>
      <c r="H31" s="202"/>
      <c r="I31" s="202"/>
      <c r="J31" s="202"/>
      <c r="K31" s="202"/>
      <c r="L31" s="202"/>
      <c r="M31" s="202"/>
      <c r="N31" s="202"/>
      <c r="O31" s="202"/>
      <c r="P31" s="202"/>
    </row>
    <row r="32" spans="1:16">
      <c r="A32" s="281">
        <v>24</v>
      </c>
      <c r="B32" s="211" t="s">
        <v>1507</v>
      </c>
      <c r="C32" s="202">
        <v>2938.13</v>
      </c>
      <c r="D32" s="202">
        <v>3298.33</v>
      </c>
      <c r="E32" s="202">
        <v>3658.53</v>
      </c>
      <c r="F32" s="202">
        <v>4018.73</v>
      </c>
      <c r="G32" s="202">
        <v>4379.87</v>
      </c>
      <c r="H32" s="202">
        <v>4741.01</v>
      </c>
      <c r="I32" s="202">
        <v>4611.54</v>
      </c>
      <c r="J32" s="202">
        <v>5023.3500000000004</v>
      </c>
      <c r="K32" s="202">
        <v>5437.8</v>
      </c>
      <c r="L32" s="202">
        <v>4621.7700000000004</v>
      </c>
      <c r="M32" s="202">
        <v>5057.6099999999997</v>
      </c>
      <c r="N32" s="202">
        <v>5495.62</v>
      </c>
      <c r="O32" s="202">
        <v>5933.63</v>
      </c>
      <c r="P32" s="202">
        <v>4555</v>
      </c>
    </row>
    <row r="33" spans="1:20">
      <c r="A33" s="281">
        <v>25</v>
      </c>
      <c r="B33" s="709" t="s">
        <v>1833</v>
      </c>
      <c r="C33" s="202">
        <v>77.069999999999993</v>
      </c>
      <c r="D33" s="720">
        <v>78.52</v>
      </c>
      <c r="E33" s="720">
        <v>79.97</v>
      </c>
      <c r="F33" s="720">
        <v>81.42</v>
      </c>
      <c r="G33" s="720">
        <v>82.87</v>
      </c>
      <c r="H33" s="720">
        <v>84.32</v>
      </c>
      <c r="I33" s="720">
        <v>85.77</v>
      </c>
      <c r="J33" s="720">
        <v>87.22</v>
      </c>
      <c r="K33" s="720">
        <v>89.18</v>
      </c>
      <c r="L33" s="720">
        <v>91.14</v>
      </c>
      <c r="M33" s="720">
        <v>93.43</v>
      </c>
      <c r="N33" s="720">
        <v>97.4</v>
      </c>
      <c r="O33" s="720">
        <v>101.37</v>
      </c>
      <c r="P33" s="202">
        <v>87</v>
      </c>
    </row>
    <row r="34" spans="1:20">
      <c r="A34" s="281">
        <v>26</v>
      </c>
      <c r="B34" s="709" t="s">
        <v>375</v>
      </c>
      <c r="C34" s="202"/>
      <c r="D34" s="202"/>
      <c r="E34" s="202"/>
      <c r="F34" s="202"/>
      <c r="G34" s="202"/>
      <c r="H34" s="202"/>
      <c r="I34" s="202"/>
      <c r="J34" s="202"/>
      <c r="K34" s="202"/>
      <c r="L34" s="202"/>
      <c r="M34" s="202"/>
      <c r="N34" s="202"/>
      <c r="O34" s="202"/>
      <c r="P34" s="202">
        <v>0</v>
      </c>
    </row>
    <row r="35" spans="1:20">
      <c r="A35" s="281">
        <v>27</v>
      </c>
      <c r="B35" s="211" t="s">
        <v>1508</v>
      </c>
      <c r="C35" s="202">
        <v>969822.48</v>
      </c>
      <c r="D35" s="202">
        <v>972206.49</v>
      </c>
      <c r="E35" s="202">
        <v>975799.97</v>
      </c>
      <c r="F35" s="202">
        <v>976622.56</v>
      </c>
      <c r="G35" s="202">
        <v>976690.77</v>
      </c>
      <c r="H35" s="202">
        <v>980875.71</v>
      </c>
      <c r="I35" s="202">
        <v>985533.53</v>
      </c>
      <c r="J35" s="202">
        <v>984906.5</v>
      </c>
      <c r="K35" s="202">
        <v>989370.17</v>
      </c>
      <c r="L35" s="202">
        <v>989598.98</v>
      </c>
      <c r="M35" s="202">
        <v>994302.29</v>
      </c>
      <c r="N35" s="202">
        <v>998528.88</v>
      </c>
      <c r="O35" s="202">
        <v>1002429.49</v>
      </c>
      <c r="P35" s="202">
        <v>984361</v>
      </c>
    </row>
    <row r="36" spans="1:20">
      <c r="A36" s="281">
        <v>28</v>
      </c>
      <c r="B36" s="211" t="s">
        <v>1509</v>
      </c>
      <c r="C36" s="202">
        <v>-31480.2</v>
      </c>
      <c r="D36" s="202">
        <v>-33410.629999999997</v>
      </c>
      <c r="E36" s="202">
        <v>-33254.120000000003</v>
      </c>
      <c r="F36" s="202">
        <v>-36895.65</v>
      </c>
      <c r="G36" s="202">
        <v>-36731.620000000003</v>
      </c>
      <c r="H36" s="202">
        <v>-36567.589999999997</v>
      </c>
      <c r="I36" s="202">
        <v>-36403.56</v>
      </c>
      <c r="J36" s="202">
        <v>-36239.51</v>
      </c>
      <c r="K36" s="202">
        <v>-38179.769999999997</v>
      </c>
      <c r="L36" s="202">
        <v>-38020.730000000003</v>
      </c>
      <c r="M36" s="202">
        <v>-37860.879999999997</v>
      </c>
      <c r="N36" s="202">
        <v>-37700.879999999997</v>
      </c>
      <c r="O36" s="202">
        <v>-37540.879999999997</v>
      </c>
      <c r="P36" s="202">
        <v>-36176</v>
      </c>
    </row>
    <row r="37" spans="1:20">
      <c r="A37" s="281">
        <v>29</v>
      </c>
      <c r="B37" s="211" t="s">
        <v>1510</v>
      </c>
      <c r="C37" s="202">
        <v>-481.46</v>
      </c>
      <c r="D37" s="202">
        <v>-480.84</v>
      </c>
      <c r="E37" s="202">
        <v>-480.22</v>
      </c>
      <c r="F37" s="202">
        <v>-479.6</v>
      </c>
      <c r="G37" s="202">
        <v>-478.98</v>
      </c>
      <c r="H37" s="202">
        <v>-478.36</v>
      </c>
      <c r="I37" s="202">
        <v>-477.74</v>
      </c>
      <c r="J37" s="202">
        <v>-477.12</v>
      </c>
      <c r="K37" s="202">
        <v>-476.5</v>
      </c>
      <c r="L37" s="202">
        <v>-475.88</v>
      </c>
      <c r="M37" s="202">
        <v>-475.26</v>
      </c>
      <c r="N37" s="202">
        <v>-474.64</v>
      </c>
      <c r="O37" s="202">
        <v>-474.02</v>
      </c>
      <c r="P37" s="202">
        <v>-478</v>
      </c>
    </row>
    <row r="38" spans="1:20">
      <c r="A38" s="281">
        <v>30</v>
      </c>
      <c r="B38" s="211" t="s">
        <v>1407</v>
      </c>
      <c r="C38" s="202">
        <v>1386.64</v>
      </c>
      <c r="D38" s="202">
        <v>1415.94</v>
      </c>
      <c r="E38" s="202">
        <v>1445.24</v>
      </c>
      <c r="F38" s="202">
        <v>1474.54</v>
      </c>
      <c r="G38" s="202">
        <v>1503.84</v>
      </c>
      <c r="H38" s="202">
        <v>1533.14</v>
      </c>
      <c r="I38" s="202">
        <v>1562.44</v>
      </c>
      <c r="J38" s="202">
        <v>1591.93</v>
      </c>
      <c r="K38" s="202">
        <v>1621.42</v>
      </c>
      <c r="L38" s="202">
        <v>1650.91</v>
      </c>
      <c r="M38" s="202">
        <v>1680.4</v>
      </c>
      <c r="N38" s="202">
        <v>1709.89</v>
      </c>
      <c r="O38" s="202">
        <v>1739.38</v>
      </c>
      <c r="P38" s="202">
        <v>1563</v>
      </c>
    </row>
    <row r="39" spans="1:20">
      <c r="A39" s="281">
        <v>31</v>
      </c>
      <c r="B39" s="203" t="s">
        <v>1291</v>
      </c>
      <c r="C39" s="202"/>
      <c r="D39" s="202"/>
      <c r="E39" s="202"/>
      <c r="F39" s="202"/>
      <c r="G39" s="202"/>
      <c r="H39" s="202"/>
      <c r="I39" s="202"/>
      <c r="J39" s="202"/>
      <c r="K39" s="202"/>
      <c r="L39" s="202"/>
      <c r="M39" s="202"/>
      <c r="N39" s="202"/>
      <c r="O39" s="202"/>
      <c r="P39" s="202"/>
    </row>
    <row r="40" spans="1:20" s="34" customFormat="1">
      <c r="A40" s="1151">
        <v>32</v>
      </c>
      <c r="B40" s="324" t="s">
        <v>1829</v>
      </c>
      <c r="C40" s="202">
        <v>20.12</v>
      </c>
      <c r="D40" s="202">
        <v>20.62</v>
      </c>
      <c r="E40" s="202">
        <v>21.12</v>
      </c>
      <c r="F40" s="202">
        <v>21.62</v>
      </c>
      <c r="G40" s="202">
        <v>22.12</v>
      </c>
      <c r="H40" s="202">
        <v>22.62</v>
      </c>
      <c r="I40" s="202">
        <v>23.12</v>
      </c>
      <c r="J40" s="202">
        <v>23.62</v>
      </c>
      <c r="K40" s="202">
        <v>24.12</v>
      </c>
      <c r="L40" s="202">
        <v>24.62</v>
      </c>
      <c r="M40" s="202">
        <v>25.12</v>
      </c>
      <c r="N40" s="202">
        <v>25.62</v>
      </c>
      <c r="O40" s="202">
        <v>26.12</v>
      </c>
      <c r="P40" s="202">
        <v>23</v>
      </c>
      <c r="Q40" s="211"/>
      <c r="R40" s="211"/>
      <c r="S40" s="211"/>
      <c r="T40" s="211"/>
    </row>
    <row r="41" spans="1:20">
      <c r="A41" s="281">
        <v>32</v>
      </c>
      <c r="B41" s="709" t="s">
        <v>1827</v>
      </c>
      <c r="C41" s="202">
        <v>0</v>
      </c>
      <c r="D41" s="202">
        <v>0</v>
      </c>
      <c r="E41" s="202">
        <v>0</v>
      </c>
      <c r="F41" s="202">
        <v>0</v>
      </c>
      <c r="G41" s="202">
        <v>0</v>
      </c>
      <c r="H41" s="202">
        <v>0</v>
      </c>
      <c r="I41" s="202">
        <v>0</v>
      </c>
      <c r="J41" s="202">
        <v>0</v>
      </c>
      <c r="K41" s="202">
        <v>0</v>
      </c>
      <c r="L41" s="202">
        <v>0</v>
      </c>
      <c r="M41" s="202">
        <v>0</v>
      </c>
      <c r="N41" s="202">
        <v>0</v>
      </c>
      <c r="O41" s="202">
        <v>0</v>
      </c>
      <c r="P41" s="202">
        <v>0</v>
      </c>
    </row>
    <row r="42" spans="1:20">
      <c r="A42" s="281">
        <v>33</v>
      </c>
      <c r="B42" s="709" t="s">
        <v>1831</v>
      </c>
      <c r="C42" s="202">
        <v>0</v>
      </c>
      <c r="D42" s="202">
        <v>0</v>
      </c>
      <c r="E42" s="202">
        <v>0</v>
      </c>
      <c r="F42" s="202">
        <v>0</v>
      </c>
      <c r="G42" s="202">
        <v>0</v>
      </c>
      <c r="H42" s="202">
        <v>0</v>
      </c>
      <c r="I42" s="202">
        <v>0</v>
      </c>
      <c r="J42" s="202">
        <v>0</v>
      </c>
      <c r="K42" s="202">
        <v>0</v>
      </c>
      <c r="L42" s="202">
        <v>0</v>
      </c>
      <c r="M42" s="202">
        <v>0</v>
      </c>
      <c r="N42" s="202">
        <v>0</v>
      </c>
      <c r="O42" s="202">
        <v>0</v>
      </c>
      <c r="P42" s="202">
        <v>0</v>
      </c>
    </row>
    <row r="43" spans="1:20">
      <c r="A43" s="281">
        <v>34</v>
      </c>
      <c r="B43" s="324" t="s">
        <v>373</v>
      </c>
      <c r="C43" s="202">
        <v>0</v>
      </c>
      <c r="D43" s="202">
        <v>0</v>
      </c>
      <c r="E43" s="202">
        <v>0</v>
      </c>
      <c r="F43" s="202">
        <v>0</v>
      </c>
      <c r="G43" s="202">
        <v>0</v>
      </c>
      <c r="H43" s="202">
        <v>0</v>
      </c>
      <c r="I43" s="202">
        <v>0</v>
      </c>
      <c r="J43" s="202">
        <v>0</v>
      </c>
      <c r="K43" s="202">
        <v>0</v>
      </c>
      <c r="L43" s="202">
        <v>0</v>
      </c>
      <c r="M43" s="202">
        <v>0</v>
      </c>
      <c r="N43" s="202">
        <v>0</v>
      </c>
      <c r="O43" s="202">
        <v>0</v>
      </c>
      <c r="P43" s="202">
        <v>0</v>
      </c>
    </row>
    <row r="44" spans="1:20">
      <c r="A44" s="281">
        <v>35</v>
      </c>
      <c r="B44" s="324" t="s">
        <v>374</v>
      </c>
      <c r="C44" s="202">
        <v>804.03</v>
      </c>
      <c r="D44" s="202">
        <v>822.44</v>
      </c>
      <c r="E44" s="202">
        <v>840.85</v>
      </c>
      <c r="F44" s="202">
        <v>859.26</v>
      </c>
      <c r="G44" s="202">
        <v>878.02</v>
      </c>
      <c r="H44" s="202">
        <v>896.78</v>
      </c>
      <c r="I44" s="202">
        <v>915.93</v>
      </c>
      <c r="J44" s="202">
        <v>935.08</v>
      </c>
      <c r="K44" s="202">
        <v>954.23</v>
      </c>
      <c r="L44" s="202">
        <v>973.38</v>
      </c>
      <c r="M44" s="202">
        <v>992.53</v>
      </c>
      <c r="N44" s="202">
        <v>1011.68</v>
      </c>
      <c r="O44" s="202">
        <v>1030.83</v>
      </c>
      <c r="P44" s="202">
        <v>917</v>
      </c>
    </row>
    <row r="45" spans="1:20">
      <c r="A45" s="281">
        <v>36</v>
      </c>
      <c r="B45" s="324" t="s">
        <v>2264</v>
      </c>
      <c r="C45" s="202">
        <v>567.80999999999995</v>
      </c>
      <c r="D45" s="202">
        <v>578.67999999999995</v>
      </c>
      <c r="E45" s="202">
        <v>589.54999999999995</v>
      </c>
      <c r="F45" s="202">
        <v>600.41999999999996</v>
      </c>
      <c r="G45" s="202">
        <v>611.29</v>
      </c>
      <c r="H45" s="202">
        <v>622.16</v>
      </c>
      <c r="I45" s="202">
        <v>633.03</v>
      </c>
      <c r="J45" s="202">
        <v>643.9</v>
      </c>
      <c r="K45" s="202">
        <v>654.77</v>
      </c>
      <c r="L45" s="202">
        <v>665.64</v>
      </c>
      <c r="M45" s="202">
        <v>676.51</v>
      </c>
      <c r="N45" s="202">
        <v>687.38</v>
      </c>
      <c r="O45" s="202">
        <v>698.25</v>
      </c>
      <c r="P45" s="202">
        <v>633</v>
      </c>
    </row>
    <row r="46" spans="1:20">
      <c r="A46" s="281">
        <v>37</v>
      </c>
      <c r="B46" s="324" t="s">
        <v>372</v>
      </c>
      <c r="C46" s="202">
        <v>0</v>
      </c>
      <c r="D46" s="202">
        <v>0</v>
      </c>
      <c r="E46" s="202">
        <v>0</v>
      </c>
      <c r="F46" s="202">
        <v>0</v>
      </c>
      <c r="G46" s="202">
        <v>0</v>
      </c>
      <c r="H46" s="202">
        <v>0</v>
      </c>
      <c r="I46" s="202">
        <v>0</v>
      </c>
      <c r="J46" s="202">
        <v>0</v>
      </c>
      <c r="K46" s="202">
        <v>0</v>
      </c>
      <c r="L46" s="202">
        <v>0</v>
      </c>
      <c r="M46" s="202">
        <v>0</v>
      </c>
      <c r="N46" s="202">
        <v>0</v>
      </c>
      <c r="O46" s="202">
        <v>0</v>
      </c>
      <c r="P46" s="202">
        <v>0</v>
      </c>
    </row>
    <row r="47" spans="1:20">
      <c r="A47" s="281">
        <v>38</v>
      </c>
      <c r="B47" s="324" t="s">
        <v>150</v>
      </c>
      <c r="C47" s="202">
        <v>0</v>
      </c>
      <c r="D47" s="202">
        <v>0</v>
      </c>
      <c r="E47" s="202">
        <v>0</v>
      </c>
      <c r="F47" s="202">
        <v>0</v>
      </c>
      <c r="G47" s="202">
        <v>0</v>
      </c>
      <c r="H47" s="202">
        <v>0</v>
      </c>
      <c r="I47" s="202">
        <v>0</v>
      </c>
      <c r="J47" s="202">
        <v>0</v>
      </c>
      <c r="K47" s="202">
        <v>0</v>
      </c>
      <c r="L47" s="202">
        <v>0</v>
      </c>
      <c r="M47" s="202">
        <v>0</v>
      </c>
      <c r="N47" s="202">
        <v>0</v>
      </c>
      <c r="O47" s="202">
        <v>0</v>
      </c>
      <c r="P47" s="202">
        <v>0</v>
      </c>
    </row>
    <row r="48" spans="1:20">
      <c r="A48" s="281">
        <v>39</v>
      </c>
      <c r="B48" s="324" t="s">
        <v>151</v>
      </c>
      <c r="C48" s="202">
        <v>0</v>
      </c>
      <c r="D48" s="202">
        <v>0</v>
      </c>
      <c r="E48" s="202">
        <v>0</v>
      </c>
      <c r="F48" s="202">
        <v>0</v>
      </c>
      <c r="G48" s="202">
        <v>0</v>
      </c>
      <c r="H48" s="202">
        <v>0</v>
      </c>
      <c r="I48" s="202">
        <v>0</v>
      </c>
      <c r="J48" s="202">
        <v>0</v>
      </c>
      <c r="K48" s="202">
        <v>0</v>
      </c>
      <c r="L48" s="202">
        <v>0</v>
      </c>
      <c r="M48" s="202">
        <v>0</v>
      </c>
      <c r="N48" s="202">
        <v>0</v>
      </c>
      <c r="O48" s="202">
        <v>0</v>
      </c>
      <c r="P48" s="202">
        <v>0</v>
      </c>
    </row>
    <row r="49" spans="1:16">
      <c r="A49" s="281">
        <v>40</v>
      </c>
      <c r="B49" s="203" t="s">
        <v>1172</v>
      </c>
      <c r="C49" s="202"/>
      <c r="D49" s="202"/>
      <c r="E49" s="202"/>
      <c r="F49" s="202"/>
      <c r="G49" s="202"/>
      <c r="H49" s="202"/>
      <c r="I49" s="202"/>
      <c r="J49" s="202"/>
      <c r="K49" s="202"/>
      <c r="L49" s="202"/>
      <c r="M49" s="202"/>
      <c r="N49" s="202"/>
      <c r="O49" s="202"/>
      <c r="P49" s="213"/>
    </row>
    <row r="50" spans="1:16">
      <c r="A50" s="281">
        <v>41</v>
      </c>
      <c r="B50" s="324" t="s">
        <v>752</v>
      </c>
      <c r="C50" s="202"/>
      <c r="D50" s="202"/>
      <c r="E50" s="202"/>
      <c r="F50" s="202"/>
      <c r="G50" s="202"/>
      <c r="H50" s="202"/>
      <c r="I50" s="202"/>
      <c r="J50" s="202"/>
      <c r="K50" s="202"/>
      <c r="L50" s="202"/>
      <c r="M50" s="202"/>
      <c r="N50" s="202"/>
      <c r="O50" s="202"/>
      <c r="P50" s="202"/>
    </row>
    <row r="51" spans="1:16">
      <c r="A51" s="281">
        <v>42</v>
      </c>
      <c r="B51" s="324" t="s">
        <v>753</v>
      </c>
      <c r="C51" s="202">
        <v>1623177.7200000002</v>
      </c>
      <c r="D51" s="202">
        <v>1629599.94</v>
      </c>
      <c r="E51" s="202">
        <v>1635827.3900000001</v>
      </c>
      <c r="F51" s="202">
        <v>1642171.2399999998</v>
      </c>
      <c r="G51" s="202">
        <v>1648654.4899999998</v>
      </c>
      <c r="H51" s="202">
        <v>1655048.1900000002</v>
      </c>
      <c r="I51" s="202">
        <v>1661482</v>
      </c>
      <c r="J51" s="202">
        <v>1667893.03</v>
      </c>
      <c r="K51" s="202">
        <v>1674285.21</v>
      </c>
      <c r="L51" s="202">
        <v>1680537.51</v>
      </c>
      <c r="M51" s="202">
        <v>1686969.47</v>
      </c>
      <c r="N51" s="202">
        <v>1693456.96</v>
      </c>
      <c r="O51" s="202">
        <v>1699973.54</v>
      </c>
      <c r="P51" s="202">
        <v>1661467</v>
      </c>
    </row>
    <row r="52" spans="1:16">
      <c r="A52" s="281">
        <v>43</v>
      </c>
      <c r="B52" s="324" t="s">
        <v>754</v>
      </c>
      <c r="C52" s="202">
        <v>350531.06999999995</v>
      </c>
      <c r="D52" s="202">
        <v>354207.47</v>
      </c>
      <c r="E52" s="202">
        <v>354841.73</v>
      </c>
      <c r="F52" s="202">
        <v>358030.25000000006</v>
      </c>
      <c r="G52" s="202">
        <v>363196.75000000006</v>
      </c>
      <c r="H52" s="202">
        <v>366649.32999999996</v>
      </c>
      <c r="I52" s="202">
        <v>370340.7</v>
      </c>
      <c r="J52" s="202">
        <v>373880.68000000005</v>
      </c>
      <c r="K52" s="202">
        <v>377456.38</v>
      </c>
      <c r="L52" s="202">
        <v>378317.72</v>
      </c>
      <c r="M52" s="202">
        <v>382248.33999999997</v>
      </c>
      <c r="N52" s="202">
        <v>385773.26</v>
      </c>
      <c r="O52" s="202">
        <v>389298.37</v>
      </c>
      <c r="P52" s="202">
        <v>369598</v>
      </c>
    </row>
    <row r="53" spans="1:16">
      <c r="A53" s="281">
        <v>44</v>
      </c>
      <c r="B53" s="324" t="s">
        <v>755</v>
      </c>
      <c r="C53" s="202">
        <v>122304.84</v>
      </c>
      <c r="D53" s="202">
        <v>123876.87</v>
      </c>
      <c r="E53" s="202">
        <v>124537.96</v>
      </c>
      <c r="F53" s="202">
        <v>129844.48</v>
      </c>
      <c r="G53" s="202">
        <v>129315.44</v>
      </c>
      <c r="H53" s="202">
        <v>130164.48</v>
      </c>
      <c r="I53" s="202">
        <v>131106.56</v>
      </c>
      <c r="J53" s="202">
        <v>117821.51</v>
      </c>
      <c r="K53" s="202">
        <v>118708.26</v>
      </c>
      <c r="L53" s="202">
        <v>119757.57</v>
      </c>
      <c r="M53" s="202">
        <v>120925.9</v>
      </c>
      <c r="N53" s="202">
        <v>121859.65</v>
      </c>
      <c r="O53" s="202">
        <v>123096.91</v>
      </c>
      <c r="P53" s="202">
        <v>124102</v>
      </c>
    </row>
    <row r="54" spans="1:16">
      <c r="A54" s="281">
        <v>45</v>
      </c>
      <c r="B54" s="324" t="s">
        <v>757</v>
      </c>
      <c r="C54" s="202">
        <v>42991.07</v>
      </c>
      <c r="D54" s="202">
        <v>43230.51</v>
      </c>
      <c r="E54" s="202">
        <v>43458.87</v>
      </c>
      <c r="F54" s="202">
        <v>43661.54</v>
      </c>
      <c r="G54" s="202">
        <v>43902.31</v>
      </c>
      <c r="H54" s="202">
        <v>44133.32</v>
      </c>
      <c r="I54" s="202">
        <v>44374.09</v>
      </c>
      <c r="J54" s="202">
        <v>44617.87</v>
      </c>
      <c r="K54" s="202">
        <v>44849.83</v>
      </c>
      <c r="L54" s="202">
        <v>45086.75</v>
      </c>
      <c r="M54" s="202">
        <v>45330.950000000004</v>
      </c>
      <c r="N54" s="202">
        <v>45561.81</v>
      </c>
      <c r="O54" s="202">
        <v>45806.41</v>
      </c>
      <c r="P54" s="202">
        <v>44385</v>
      </c>
    </row>
    <row r="55" spans="1:16">
      <c r="A55" s="281">
        <v>46</v>
      </c>
      <c r="B55" s="1213" t="s">
        <v>758</v>
      </c>
      <c r="C55" s="229">
        <v>12575.17</v>
      </c>
      <c r="D55" s="202">
        <v>12704.66</v>
      </c>
      <c r="E55" s="202">
        <v>12834.15</v>
      </c>
      <c r="F55" s="202">
        <v>12963.64</v>
      </c>
      <c r="G55" s="202">
        <v>13093.13</v>
      </c>
      <c r="H55" s="202">
        <v>13222.62</v>
      </c>
      <c r="I55" s="202">
        <v>13352.11</v>
      </c>
      <c r="J55" s="202">
        <v>13481.6</v>
      </c>
      <c r="K55" s="202">
        <v>13611.09</v>
      </c>
      <c r="L55" s="202">
        <v>13741.69</v>
      </c>
      <c r="M55" s="202">
        <v>13872.29</v>
      </c>
      <c r="N55" s="202">
        <v>14002.89</v>
      </c>
      <c r="O55" s="202">
        <v>14133.49</v>
      </c>
      <c r="P55" s="202">
        <v>13353</v>
      </c>
    </row>
    <row r="56" spans="1:16">
      <c r="A56" s="281">
        <v>47</v>
      </c>
      <c r="B56" s="324" t="s">
        <v>759</v>
      </c>
      <c r="C56" s="225">
        <v>1595.22</v>
      </c>
      <c r="D56" s="202">
        <v>1607.14</v>
      </c>
      <c r="E56" s="202">
        <v>-1025.33</v>
      </c>
      <c r="F56" s="202">
        <v>-1251.2</v>
      </c>
      <c r="G56" s="202">
        <v>-1231.27</v>
      </c>
      <c r="H56" s="202">
        <v>-1211.3399999999999</v>
      </c>
      <c r="I56" s="202">
        <v>-1191.4100000000001</v>
      </c>
      <c r="J56" s="202">
        <v>-1171.48</v>
      </c>
      <c r="K56" s="202">
        <v>-1151.55</v>
      </c>
      <c r="L56" s="202">
        <v>-1131.6199999999999</v>
      </c>
      <c r="M56" s="202">
        <v>-1111.69</v>
      </c>
      <c r="N56" s="202">
        <v>-1091.76</v>
      </c>
      <c r="O56" s="202">
        <v>-1071.83</v>
      </c>
      <c r="P56" s="202">
        <v>-726</v>
      </c>
    </row>
    <row r="57" spans="1:16">
      <c r="A57" s="281">
        <v>48</v>
      </c>
      <c r="B57" s="324" t="s">
        <v>760</v>
      </c>
      <c r="C57" s="202">
        <v>2789.9</v>
      </c>
      <c r="D57" s="202">
        <v>2825.59</v>
      </c>
      <c r="E57" s="202">
        <v>2840.02</v>
      </c>
      <c r="F57" s="202">
        <v>2872.53</v>
      </c>
      <c r="G57" s="202">
        <v>2919.8</v>
      </c>
      <c r="H57" s="202">
        <v>2957.87</v>
      </c>
      <c r="I57" s="202">
        <v>2999.08</v>
      </c>
      <c r="J57" s="202">
        <v>3036.8</v>
      </c>
      <c r="K57" s="202">
        <v>3074.2400000000002</v>
      </c>
      <c r="L57" s="202">
        <v>3092.4300000000003</v>
      </c>
      <c r="M57" s="202">
        <v>3132.33</v>
      </c>
      <c r="N57" s="202">
        <v>3169.58</v>
      </c>
      <c r="O57" s="202">
        <v>3207.67</v>
      </c>
      <c r="P57" s="202">
        <v>2994</v>
      </c>
    </row>
    <row r="58" spans="1:16">
      <c r="A58" s="281">
        <v>49</v>
      </c>
      <c r="B58" s="324" t="s">
        <v>761</v>
      </c>
      <c r="C58" s="202">
        <v>170.68</v>
      </c>
      <c r="D58" s="202">
        <v>178.29</v>
      </c>
      <c r="E58" s="202">
        <v>185.9</v>
      </c>
      <c r="F58" s="202">
        <v>193.51</v>
      </c>
      <c r="G58" s="202">
        <v>201.12</v>
      </c>
      <c r="H58" s="202">
        <v>208.73</v>
      </c>
      <c r="I58" s="202">
        <v>216.34</v>
      </c>
      <c r="J58" s="202">
        <v>223.95</v>
      </c>
      <c r="K58" s="202">
        <v>231.56</v>
      </c>
      <c r="L58" s="202">
        <v>239.17</v>
      </c>
      <c r="M58" s="202">
        <v>246.78</v>
      </c>
      <c r="N58" s="202">
        <v>254.39</v>
      </c>
      <c r="O58" s="202">
        <v>262</v>
      </c>
      <c r="P58" s="202">
        <v>216</v>
      </c>
    </row>
    <row r="59" spans="1:16">
      <c r="A59" s="281">
        <v>50</v>
      </c>
      <c r="B59" s="709" t="s">
        <v>1721</v>
      </c>
      <c r="C59" s="225">
        <v>-1378.7</v>
      </c>
      <c r="D59" s="225">
        <v>-1378.7</v>
      </c>
      <c r="E59" s="225">
        <v>-1378.7</v>
      </c>
      <c r="F59" s="225">
        <v>-1378.7</v>
      </c>
      <c r="G59" s="225">
        <v>-1378.7</v>
      </c>
      <c r="H59" s="225">
        <v>-1378.7</v>
      </c>
      <c r="I59" s="225">
        <v>-1378.7</v>
      </c>
      <c r="J59" s="225">
        <v>-1378.7</v>
      </c>
      <c r="K59" s="225">
        <v>-1378.7</v>
      </c>
      <c r="L59" s="225">
        <v>-1378.7</v>
      </c>
      <c r="M59" s="225">
        <v>-1378.7</v>
      </c>
      <c r="N59" s="225">
        <v>-1378.7</v>
      </c>
      <c r="O59" s="225">
        <v>-1378.7</v>
      </c>
      <c r="P59" s="202">
        <v>-1379</v>
      </c>
    </row>
    <row r="60" spans="1:16" ht="12.75" thickBot="1">
      <c r="A60" s="281">
        <v>51</v>
      </c>
      <c r="B60" s="265" t="s">
        <v>81</v>
      </c>
      <c r="C60" s="2281">
        <v>3974527.89</v>
      </c>
      <c r="D60" s="2281">
        <v>3990895.77</v>
      </c>
      <c r="E60" s="2281">
        <v>4006444.58</v>
      </c>
      <c r="F60" s="2281">
        <v>4026219.6699999995</v>
      </c>
      <c r="G60" s="2281">
        <v>4046365.6299999994</v>
      </c>
      <c r="H60" s="2281">
        <v>4056137.77</v>
      </c>
      <c r="I60" s="2281">
        <v>4019491.13</v>
      </c>
      <c r="J60" s="2281">
        <v>4026307.53</v>
      </c>
      <c r="K60" s="2281">
        <v>4050292.73</v>
      </c>
      <c r="L60" s="2281">
        <v>4067363.9499999997</v>
      </c>
      <c r="M60" s="2281">
        <v>4089738.86</v>
      </c>
      <c r="N60" s="2281">
        <v>4114910.0200000005</v>
      </c>
      <c r="O60" s="2281">
        <v>4138198.2700000005</v>
      </c>
      <c r="P60" s="2281">
        <v>4046684</v>
      </c>
    </row>
    <row r="61" spans="1:16" ht="12.75" thickTop="1">
      <c r="C61" s="310"/>
      <c r="O61" s="310"/>
    </row>
    <row r="62" spans="1:16">
      <c r="C62" s="310"/>
      <c r="O62" s="202"/>
    </row>
    <row r="90" spans="1:2">
      <c r="A90" s="286"/>
      <c r="B90" s="286"/>
    </row>
    <row r="91" spans="1:2">
      <c r="A91" s="286"/>
      <c r="B91" s="286"/>
    </row>
    <row r="92" spans="1:2">
      <c r="A92" s="286"/>
      <c r="B92" s="286"/>
    </row>
    <row r="93" spans="1:2">
      <c r="A93" s="286"/>
      <c r="B93" s="286"/>
    </row>
    <row r="94" spans="1:2">
      <c r="A94" s="286"/>
      <c r="B94" s="286"/>
    </row>
    <row r="124" spans="1:2">
      <c r="A124" s="286"/>
      <c r="B124" s="286"/>
    </row>
    <row r="193" spans="1:1">
      <c r="A193" s="203"/>
    </row>
    <row r="210" spans="1:1">
      <c r="A210" s="286"/>
    </row>
    <row r="211" spans="1:1">
      <c r="A211" s="286"/>
    </row>
    <row r="212" spans="1:1">
      <c r="A212" s="286"/>
    </row>
    <row r="213" spans="1:1">
      <c r="A213" s="286"/>
    </row>
    <row r="214" spans="1:1">
      <c r="A214" s="286"/>
    </row>
    <row r="215" spans="1:1">
      <c r="A215" s="286"/>
    </row>
    <row r="216" spans="1:1">
      <c r="A216" s="286"/>
    </row>
    <row r="217" spans="1:1">
      <c r="A217" s="286"/>
    </row>
    <row r="218" spans="1:1">
      <c r="A218" s="286"/>
    </row>
    <row r="219" spans="1:1">
      <c r="A219" s="286"/>
    </row>
    <row r="220" spans="1:1">
      <c r="A220" s="286"/>
    </row>
    <row r="221" spans="1:1">
      <c r="A221" s="286"/>
    </row>
    <row r="222" spans="1:1">
      <c r="A222" s="286"/>
    </row>
    <row r="223" spans="1:1">
      <c r="A223" s="286"/>
    </row>
    <row r="224" spans="1:1">
      <c r="A224" s="286"/>
    </row>
    <row r="225" spans="1:1">
      <c r="A225" s="286"/>
    </row>
    <row r="226" spans="1:1">
      <c r="A226" s="286"/>
    </row>
    <row r="227" spans="1:1">
      <c r="A227" s="286"/>
    </row>
    <row r="228" spans="1:1">
      <c r="A228" s="286"/>
    </row>
    <row r="229" spans="1:1">
      <c r="A229" s="286"/>
    </row>
    <row r="230" spans="1:1">
      <c r="A230" s="286"/>
    </row>
    <row r="231" spans="1:1">
      <c r="A231" s="286"/>
    </row>
    <row r="232" spans="1:1">
      <c r="A232" s="286"/>
    </row>
    <row r="233" spans="1:1">
      <c r="A233" s="286"/>
    </row>
    <row r="234" spans="1:1">
      <c r="A234" s="286"/>
    </row>
    <row r="235" spans="1:1">
      <c r="A235" s="286"/>
    </row>
    <row r="236" spans="1:1">
      <c r="A236" s="286"/>
    </row>
    <row r="237" spans="1:1">
      <c r="A237" s="286"/>
    </row>
    <row r="238" spans="1:1">
      <c r="A238" s="286"/>
    </row>
    <row r="239" spans="1:1">
      <c r="A239" s="286"/>
    </row>
    <row r="240" spans="1:1">
      <c r="A240" s="286"/>
    </row>
    <row r="241" spans="1:1">
      <c r="A241" s="286"/>
    </row>
    <row r="242" spans="1:1">
      <c r="A242" s="286"/>
    </row>
    <row r="243" spans="1:1">
      <c r="A243" s="286"/>
    </row>
    <row r="244" spans="1:1">
      <c r="A244" s="286"/>
    </row>
    <row r="245" spans="1:1">
      <c r="A245" s="286"/>
    </row>
    <row r="246" spans="1:1">
      <c r="A246" s="286"/>
    </row>
    <row r="247" spans="1:1">
      <c r="A247" s="286"/>
    </row>
    <row r="248" spans="1:1">
      <c r="A248" s="286"/>
    </row>
    <row r="249" spans="1:1">
      <c r="A249" s="286"/>
    </row>
    <row r="250" spans="1:1">
      <c r="A250" s="286"/>
    </row>
    <row r="251" spans="1:1">
      <c r="A251" s="286"/>
    </row>
    <row r="252" spans="1:1">
      <c r="A252" s="286"/>
    </row>
    <row r="253" spans="1:1">
      <c r="A253" s="286"/>
    </row>
    <row r="254" spans="1:1">
      <c r="A254" s="286"/>
    </row>
    <row r="255" spans="1:1">
      <c r="A255" s="286"/>
    </row>
    <row r="256" spans="1:1">
      <c r="A256" s="286"/>
    </row>
    <row r="257" spans="1:1">
      <c r="A257" s="286"/>
    </row>
    <row r="258" spans="1:1">
      <c r="A258" s="286"/>
    </row>
    <row r="259" spans="1:1">
      <c r="A259" s="286"/>
    </row>
    <row r="260" spans="1:1">
      <c r="A260" s="286"/>
    </row>
    <row r="261" spans="1:1">
      <c r="A261" s="286"/>
    </row>
    <row r="262" spans="1:1">
      <c r="A262" s="286"/>
    </row>
    <row r="263" spans="1:1">
      <c r="A263" s="286"/>
    </row>
    <row r="264" spans="1:1">
      <c r="A264" s="286"/>
    </row>
  </sheetData>
  <mergeCells count="1">
    <mergeCell ref="C3:J6"/>
  </mergeCells>
  <phoneticPr fontId="27" type="noConversion"/>
  <pageMargins left="0.75" right="0.5" top="0.75" bottom="0.5" header="0.25" footer="0.25"/>
  <pageSetup scale="64"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15">
    <pageSetUpPr fitToPage="1"/>
  </sheetPr>
  <dimension ref="A1:F105"/>
  <sheetViews>
    <sheetView view="pageBreakPreview" zoomScale="60" zoomScaleNormal="100" workbookViewId="0">
      <selection sqref="A1:XFD1048576"/>
    </sheetView>
  </sheetViews>
  <sheetFormatPr defaultColWidth="10.85546875" defaultRowHeight="12"/>
  <cols>
    <col min="1" max="1" width="5.85546875" style="120" customWidth="1"/>
    <col min="2" max="2" width="50.28515625" style="120" customWidth="1"/>
    <col min="3" max="3" width="14.28515625" style="120" customWidth="1"/>
    <col min="4" max="4" width="15" style="120" customWidth="1"/>
    <col min="5" max="16384" width="10.85546875" style="120"/>
  </cols>
  <sheetData>
    <row r="1" spans="1:4">
      <c r="A1" s="117" t="s">
        <v>59</v>
      </c>
      <c r="B1" s="117"/>
      <c r="C1" s="117" t="s">
        <v>1209</v>
      </c>
    </row>
    <row r="2" spans="1:4">
      <c r="A2" s="117" t="s">
        <v>624</v>
      </c>
      <c r="B2" s="117"/>
      <c r="C2" s="117"/>
    </row>
    <row r="3" spans="1:4">
      <c r="A3" s="117"/>
      <c r="B3" s="117"/>
      <c r="C3" s="117"/>
    </row>
    <row r="4" spans="1:4">
      <c r="A4" s="117" t="s">
        <v>2644</v>
      </c>
      <c r="B4" s="117"/>
      <c r="C4" s="123" t="s">
        <v>1071</v>
      </c>
    </row>
    <row r="5" spans="1:4">
      <c r="A5" s="117" t="s">
        <v>2645</v>
      </c>
      <c r="B5" s="117"/>
      <c r="C5" s="123" t="s">
        <v>766</v>
      </c>
    </row>
    <row r="6" spans="1:4">
      <c r="A6" s="117" t="s">
        <v>1936</v>
      </c>
      <c r="B6" s="117"/>
      <c r="C6" s="117" t="s">
        <v>2948</v>
      </c>
      <c r="D6" s="117"/>
    </row>
    <row r="7" spans="1:4" ht="7.5" customHeight="1">
      <c r="A7" s="117"/>
      <c r="B7" s="117"/>
      <c r="C7" s="117"/>
      <c r="D7" s="117"/>
    </row>
    <row r="8" spans="1:4" ht="12" customHeight="1">
      <c r="A8" s="2292" t="s">
        <v>2257</v>
      </c>
      <c r="B8" s="2293"/>
      <c r="C8" s="2293"/>
      <c r="D8" s="2293"/>
    </row>
    <row r="9" spans="1:4">
      <c r="A9" s="2293"/>
      <c r="B9" s="2293"/>
      <c r="C9" s="2293"/>
      <c r="D9" s="2293"/>
    </row>
    <row r="10" spans="1:4">
      <c r="A10" s="2293"/>
      <c r="B10" s="2293"/>
      <c r="C10" s="2293"/>
      <c r="D10" s="2293"/>
    </row>
    <row r="11" spans="1:4">
      <c r="A11" s="2293"/>
      <c r="B11" s="2293"/>
      <c r="C11" s="2293"/>
      <c r="D11" s="2293"/>
    </row>
    <row r="12" spans="1:4">
      <c r="A12" s="2293"/>
      <c r="B12" s="2293"/>
      <c r="C12" s="2293"/>
      <c r="D12" s="2293"/>
    </row>
    <row r="13" spans="1:4" ht="3" customHeight="1">
      <c r="A13" s="2293"/>
      <c r="B13" s="2293"/>
      <c r="C13" s="2293"/>
      <c r="D13" s="2293"/>
    </row>
    <row r="14" spans="1:4" ht="12" hidden="1" customHeight="1">
      <c r="A14" s="2293"/>
      <c r="B14" s="2293"/>
      <c r="C14" s="2293"/>
      <c r="D14" s="2293"/>
    </row>
    <row r="15" spans="1:4" ht="12.75" thickBot="1">
      <c r="A15" s="1650"/>
      <c r="B15" s="194"/>
      <c r="C15" s="194"/>
      <c r="D15" s="194"/>
    </row>
    <row r="16" spans="1:4" ht="14.25">
      <c r="A16" s="1623" t="s">
        <v>53</v>
      </c>
      <c r="B16" s="117"/>
      <c r="C16" s="147" t="s">
        <v>626</v>
      </c>
      <c r="D16" s="147"/>
    </row>
    <row r="17" spans="1:6">
      <c r="A17" s="1477" t="s">
        <v>730</v>
      </c>
      <c r="B17" s="805" t="s">
        <v>731</v>
      </c>
      <c r="C17" s="1477" t="s">
        <v>498</v>
      </c>
      <c r="D17" s="1477" t="s">
        <v>499</v>
      </c>
    </row>
    <row r="18" spans="1:6" s="16" customFormat="1">
      <c r="A18" s="1022">
        <v>1</v>
      </c>
      <c r="B18" s="1634" t="s">
        <v>2640</v>
      </c>
      <c r="C18" s="1635"/>
      <c r="D18" s="1635">
        <v>3027089</v>
      </c>
    </row>
    <row r="19" spans="1:6" s="16" customFormat="1">
      <c r="A19" s="1022">
        <v>2</v>
      </c>
      <c r="B19" s="1634" t="s">
        <v>1538</v>
      </c>
      <c r="C19" s="1636"/>
      <c r="D19" s="1636">
        <v>12662</v>
      </c>
    </row>
    <row r="20" spans="1:6" s="16" customFormat="1">
      <c r="A20" s="1022">
        <v>3</v>
      </c>
      <c r="B20" s="1634" t="s">
        <v>1537</v>
      </c>
      <c r="C20" s="1636"/>
      <c r="D20" s="1636"/>
    </row>
    <row r="21" spans="1:6" s="16" customFormat="1">
      <c r="A21" s="1022">
        <v>4</v>
      </c>
      <c r="B21" s="1634" t="s">
        <v>2247</v>
      </c>
      <c r="C21" s="1636"/>
      <c r="D21" s="1636"/>
    </row>
    <row r="22" spans="1:6" s="16" customFormat="1">
      <c r="A22" s="1022">
        <v>5</v>
      </c>
      <c r="B22" s="1637" t="s">
        <v>2248</v>
      </c>
      <c r="C22" s="1638">
        <v>0</v>
      </c>
      <c r="D22" s="1638">
        <v>3039751</v>
      </c>
      <c r="F22" s="1214"/>
    </row>
    <row r="23" spans="1:6" s="16" customFormat="1">
      <c r="A23" s="1022">
        <v>6</v>
      </c>
      <c r="B23" s="1634" t="s">
        <v>1538</v>
      </c>
      <c r="C23" s="1639"/>
      <c r="D23" s="1639">
        <v>0</v>
      </c>
      <c r="F23" s="1214"/>
    </row>
    <row r="24" spans="1:6" s="16" customFormat="1">
      <c r="A24" s="1022">
        <v>7</v>
      </c>
      <c r="B24" s="1634" t="s">
        <v>1537</v>
      </c>
      <c r="C24" s="1639"/>
      <c r="D24" s="1639"/>
    </row>
    <row r="25" spans="1:6" s="16" customFormat="1">
      <c r="A25" s="1022">
        <v>8</v>
      </c>
      <c r="B25" s="1634" t="s">
        <v>2247</v>
      </c>
      <c r="C25" s="1639"/>
      <c r="D25" s="1639"/>
    </row>
    <row r="26" spans="1:6" s="16" customFormat="1">
      <c r="A26" s="1022">
        <v>9</v>
      </c>
      <c r="B26" s="1637" t="s">
        <v>2249</v>
      </c>
      <c r="C26" s="1640">
        <v>0</v>
      </c>
      <c r="D26" s="1640">
        <v>3039751</v>
      </c>
    </row>
    <row r="27" spans="1:6" s="16" customFormat="1">
      <c r="A27" s="1022">
        <v>10</v>
      </c>
      <c r="B27" s="1634" t="s">
        <v>1538</v>
      </c>
      <c r="C27" s="1636"/>
      <c r="D27" s="1636">
        <v>3266</v>
      </c>
    </row>
    <row r="28" spans="1:6" s="16" customFormat="1">
      <c r="A28" s="1022">
        <v>11</v>
      </c>
      <c r="B28" s="1634" t="s">
        <v>1537</v>
      </c>
      <c r="C28" s="1636"/>
      <c r="D28" s="1636"/>
    </row>
    <row r="29" spans="1:6" s="16" customFormat="1">
      <c r="A29" s="1022">
        <v>12</v>
      </c>
      <c r="B29" s="1634" t="s">
        <v>2247</v>
      </c>
      <c r="C29" s="1636"/>
      <c r="D29" s="1636">
        <v>1</v>
      </c>
    </row>
    <row r="30" spans="1:6" s="16" customFormat="1">
      <c r="A30" s="1022">
        <v>13</v>
      </c>
      <c r="B30" s="1637" t="s">
        <v>2250</v>
      </c>
      <c r="C30" s="1638">
        <v>0</v>
      </c>
      <c r="D30" s="1638">
        <v>3043018</v>
      </c>
      <c r="F30" s="1214"/>
    </row>
    <row r="31" spans="1:6" s="16" customFormat="1">
      <c r="A31" s="1022">
        <v>14</v>
      </c>
      <c r="B31" s="1634" t="s">
        <v>1538</v>
      </c>
      <c r="C31" s="1639"/>
      <c r="D31" s="1639">
        <v>6674</v>
      </c>
      <c r="F31" s="1214"/>
    </row>
    <row r="32" spans="1:6" s="16" customFormat="1">
      <c r="A32" s="1022">
        <v>15</v>
      </c>
      <c r="B32" s="1634" t="s">
        <v>1537</v>
      </c>
      <c r="C32" s="1639"/>
      <c r="D32" s="1639"/>
    </row>
    <row r="33" spans="1:6" s="16" customFormat="1">
      <c r="A33" s="1022">
        <v>16</v>
      </c>
      <c r="B33" s="1634" t="s">
        <v>2247</v>
      </c>
      <c r="C33" s="1639"/>
      <c r="D33" s="1639"/>
    </row>
    <row r="34" spans="1:6" s="16" customFormat="1">
      <c r="A34" s="1022">
        <v>17</v>
      </c>
      <c r="B34" s="1637" t="s">
        <v>2251</v>
      </c>
      <c r="C34" s="1640">
        <v>0</v>
      </c>
      <c r="D34" s="1640">
        <v>3049692</v>
      </c>
    </row>
    <row r="35" spans="1:6" s="16" customFormat="1">
      <c r="A35" s="1022">
        <v>18</v>
      </c>
      <c r="B35" s="1634" t="s">
        <v>1538</v>
      </c>
      <c r="C35" s="1636"/>
      <c r="D35" s="1636">
        <v>5010</v>
      </c>
    </row>
    <row r="36" spans="1:6" s="16" customFormat="1">
      <c r="A36" s="1022">
        <v>19</v>
      </c>
      <c r="B36" s="1634" t="s">
        <v>1537</v>
      </c>
      <c r="C36" s="1639"/>
      <c r="D36" s="1639"/>
    </row>
    <row r="37" spans="1:6" s="16" customFormat="1">
      <c r="A37" s="1022">
        <v>20</v>
      </c>
      <c r="B37" s="1634" t="s">
        <v>2642</v>
      </c>
      <c r="C37" s="1636"/>
      <c r="D37" s="1636">
        <v>-1646</v>
      </c>
    </row>
    <row r="38" spans="1:6" s="16" customFormat="1">
      <c r="A38" s="1022">
        <v>19</v>
      </c>
      <c r="B38" s="1634" t="s">
        <v>2247</v>
      </c>
      <c r="C38" s="1636"/>
      <c r="D38" s="1636">
        <v>-1</v>
      </c>
    </row>
    <row r="39" spans="1:6" s="16" customFormat="1">
      <c r="A39" s="1022">
        <v>21</v>
      </c>
      <c r="B39" s="1637" t="s">
        <v>2252</v>
      </c>
      <c r="C39" s="1638">
        <v>0</v>
      </c>
      <c r="D39" s="1638">
        <v>3053055</v>
      </c>
      <c r="F39" s="1214"/>
    </row>
    <row r="40" spans="1:6" s="16" customFormat="1">
      <c r="A40" s="1022">
        <v>22</v>
      </c>
      <c r="B40" s="1634" t="s">
        <v>1538</v>
      </c>
      <c r="C40" s="1639"/>
      <c r="D40" s="1639">
        <v>36426</v>
      </c>
      <c r="F40" s="1214"/>
    </row>
    <row r="41" spans="1:6" s="16" customFormat="1">
      <c r="A41" s="1022">
        <v>23</v>
      </c>
      <c r="B41" s="1634" t="s">
        <v>1537</v>
      </c>
      <c r="C41" s="1639"/>
      <c r="D41" s="1639"/>
    </row>
    <row r="42" spans="1:6" s="16" customFormat="1">
      <c r="A42" s="1022">
        <v>24</v>
      </c>
      <c r="B42" s="1634" t="s">
        <v>2247</v>
      </c>
      <c r="C42" s="1639"/>
      <c r="D42" s="1639"/>
    </row>
    <row r="43" spans="1:6" s="16" customFormat="1">
      <c r="A43" s="1022">
        <v>25</v>
      </c>
      <c r="B43" s="1637" t="s">
        <v>2253</v>
      </c>
      <c r="C43" s="1640">
        <v>0</v>
      </c>
      <c r="D43" s="1640">
        <v>3089481</v>
      </c>
    </row>
    <row r="44" spans="1:6" s="16" customFormat="1">
      <c r="A44" s="1022">
        <v>26</v>
      </c>
      <c r="B44" s="1634" t="s">
        <v>1538</v>
      </c>
      <c r="C44" s="1636"/>
      <c r="D44" s="1636">
        <v>1235</v>
      </c>
    </row>
    <row r="45" spans="1:6" s="16" customFormat="1">
      <c r="A45" s="1022">
        <v>27</v>
      </c>
      <c r="B45" s="1634" t="s">
        <v>1537</v>
      </c>
      <c r="C45" s="1636"/>
      <c r="D45" s="1636"/>
    </row>
    <row r="46" spans="1:6" s="16" customFormat="1">
      <c r="A46" s="1022">
        <v>28</v>
      </c>
      <c r="B46" s="1634" t="s">
        <v>2247</v>
      </c>
      <c r="C46" s="1636"/>
      <c r="D46" s="1636"/>
    </row>
    <row r="47" spans="1:6" s="16" customFormat="1">
      <c r="A47" s="1022">
        <v>29</v>
      </c>
      <c r="B47" s="1637" t="s">
        <v>2254</v>
      </c>
      <c r="C47" s="1638">
        <v>0</v>
      </c>
      <c r="D47" s="1638">
        <v>3090716</v>
      </c>
      <c r="F47" s="1214"/>
    </row>
    <row r="48" spans="1:6" s="16" customFormat="1">
      <c r="A48" s="1022">
        <v>30</v>
      </c>
      <c r="B48" s="1634" t="s">
        <v>1538</v>
      </c>
      <c r="C48" s="1639"/>
      <c r="D48" s="1639">
        <v>63756</v>
      </c>
      <c r="F48" s="1214"/>
    </row>
    <row r="49" spans="1:6" s="16" customFormat="1">
      <c r="A49" s="1022">
        <v>31</v>
      </c>
      <c r="B49" s="1634" t="s">
        <v>1537</v>
      </c>
      <c r="C49" s="1639"/>
      <c r="D49" s="1639"/>
    </row>
    <row r="50" spans="1:6" s="16" customFormat="1">
      <c r="A50" s="1022">
        <v>32</v>
      </c>
      <c r="B50" s="1634" t="s">
        <v>2247</v>
      </c>
      <c r="C50" s="1639"/>
      <c r="D50" s="1639">
        <v>21</v>
      </c>
      <c r="E50" s="46"/>
      <c r="F50" s="46"/>
    </row>
    <row r="51" spans="1:6" s="16" customFormat="1">
      <c r="A51" s="1022">
        <v>33</v>
      </c>
      <c r="B51" s="1637" t="s">
        <v>2255</v>
      </c>
      <c r="C51" s="1640">
        <v>0</v>
      </c>
      <c r="D51" s="1640">
        <v>3154493</v>
      </c>
    </row>
    <row r="52" spans="1:6" s="16" customFormat="1">
      <c r="A52" s="1641"/>
      <c r="B52" s="1634"/>
      <c r="C52" s="1642"/>
      <c r="D52" s="1642"/>
      <c r="F52" s="1214"/>
    </row>
    <row r="63" spans="1:6">
      <c r="A63" s="1345"/>
      <c r="B63" s="971"/>
      <c r="C63" s="1481"/>
      <c r="D63" s="1481"/>
    </row>
    <row r="64" spans="1:6" ht="14.25">
      <c r="A64" s="1345"/>
      <c r="B64" s="1341"/>
      <c r="C64" s="1482"/>
      <c r="D64" s="1481"/>
    </row>
    <row r="65" spans="1:4">
      <c r="A65" s="1483"/>
      <c r="B65" s="971"/>
      <c r="C65" s="1484"/>
      <c r="D65" s="1484"/>
    </row>
    <row r="66" spans="1:4">
      <c r="A66" s="991"/>
      <c r="B66" s="991"/>
      <c r="C66" s="991"/>
      <c r="D66" s="991"/>
    </row>
    <row r="67" spans="1:4">
      <c r="A67" s="991"/>
      <c r="B67" s="991"/>
      <c r="C67" s="991"/>
      <c r="D67" s="991"/>
    </row>
    <row r="68" spans="1:4">
      <c r="A68" s="991"/>
      <c r="B68" s="991"/>
      <c r="C68" s="991"/>
      <c r="D68" s="991"/>
    </row>
    <row r="69" spans="1:4">
      <c r="A69" s="991"/>
      <c r="B69" s="991"/>
      <c r="C69" s="991"/>
      <c r="D69" s="991"/>
    </row>
    <row r="70" spans="1:4">
      <c r="A70" s="1106"/>
      <c r="B70" s="1485"/>
      <c r="C70" s="1485"/>
      <c r="D70" s="1485"/>
    </row>
    <row r="71" spans="1:4">
      <c r="A71" s="991"/>
      <c r="B71" s="991"/>
      <c r="C71" s="991"/>
      <c r="D71" s="991"/>
    </row>
    <row r="72" spans="1:4">
      <c r="A72" s="991"/>
      <c r="B72" s="991"/>
      <c r="C72" s="991"/>
      <c r="D72" s="991"/>
    </row>
    <row r="73" spans="1:4">
      <c r="A73" s="991"/>
      <c r="B73" s="991"/>
      <c r="C73" s="991"/>
      <c r="D73" s="991"/>
    </row>
    <row r="74" spans="1:4">
      <c r="A74" s="991"/>
      <c r="B74" s="991"/>
      <c r="C74" s="991"/>
      <c r="D74" s="991"/>
    </row>
    <row r="75" spans="1:4">
      <c r="A75" s="991"/>
      <c r="B75" s="991"/>
      <c r="C75" s="991"/>
      <c r="D75" s="991"/>
    </row>
    <row r="76" spans="1:4">
      <c r="A76" s="991"/>
      <c r="B76" s="991"/>
      <c r="C76" s="991"/>
      <c r="D76" s="991"/>
    </row>
    <row r="77" spans="1:4">
      <c r="A77" s="991"/>
      <c r="B77" s="991"/>
      <c r="C77" s="991"/>
      <c r="D77" s="991"/>
    </row>
    <row r="78" spans="1:4">
      <c r="A78" s="991"/>
      <c r="B78" s="991"/>
      <c r="C78" s="991"/>
      <c r="D78" s="991"/>
    </row>
    <row r="79" spans="1:4">
      <c r="A79" s="991"/>
      <c r="B79" s="991"/>
      <c r="C79" s="991"/>
      <c r="D79" s="991"/>
    </row>
    <row r="80" spans="1:4">
      <c r="A80" s="991"/>
      <c r="B80" s="991"/>
      <c r="C80" s="991"/>
      <c r="D80" s="991"/>
    </row>
    <row r="81" spans="1:4">
      <c r="A81" s="991"/>
      <c r="B81" s="991"/>
      <c r="C81" s="991"/>
      <c r="D81" s="991"/>
    </row>
    <row r="82" spans="1:4">
      <c r="A82" s="991"/>
      <c r="B82" s="991"/>
      <c r="C82" s="991"/>
      <c r="D82" s="991"/>
    </row>
    <row r="83" spans="1:4">
      <c r="A83" s="991"/>
      <c r="B83" s="991"/>
      <c r="C83" s="991"/>
      <c r="D83" s="991"/>
    </row>
    <row r="84" spans="1:4">
      <c r="A84" s="991"/>
      <c r="B84" s="991"/>
      <c r="C84" s="991"/>
      <c r="D84" s="991"/>
    </row>
    <row r="85" spans="1:4">
      <c r="A85" s="991"/>
      <c r="B85" s="991"/>
      <c r="C85" s="991"/>
      <c r="D85" s="991"/>
    </row>
    <row r="86" spans="1:4">
      <c r="A86" s="991"/>
      <c r="B86" s="991"/>
      <c r="C86" s="991"/>
      <c r="D86" s="991"/>
    </row>
    <row r="87" spans="1:4">
      <c r="A87" s="991"/>
      <c r="B87" s="991"/>
      <c r="C87" s="991"/>
      <c r="D87" s="991"/>
    </row>
    <row r="88" spans="1:4">
      <c r="A88" s="991"/>
      <c r="B88" s="991"/>
      <c r="C88" s="991"/>
      <c r="D88" s="991"/>
    </row>
    <row r="89" spans="1:4">
      <c r="A89" s="991"/>
      <c r="B89" s="991"/>
      <c r="C89" s="991"/>
      <c r="D89" s="991"/>
    </row>
    <row r="90" spans="1:4">
      <c r="A90" s="1108"/>
      <c r="B90" s="991"/>
      <c r="C90" s="991"/>
      <c r="D90" s="991"/>
    </row>
    <row r="91" spans="1:4">
      <c r="A91" s="1108"/>
      <c r="B91" s="991"/>
      <c r="C91" s="991"/>
      <c r="D91" s="991"/>
    </row>
    <row r="92" spans="1:4">
      <c r="A92" s="1108"/>
      <c r="B92" s="991"/>
      <c r="C92" s="991"/>
      <c r="D92" s="991"/>
    </row>
    <row r="93" spans="1:4">
      <c r="A93" s="1108"/>
      <c r="B93" s="991"/>
      <c r="C93" s="991"/>
      <c r="D93" s="991"/>
    </row>
    <row r="94" spans="1:4">
      <c r="A94" s="1108"/>
      <c r="B94" s="991"/>
      <c r="C94" s="991"/>
      <c r="D94" s="991"/>
    </row>
    <row r="95" spans="1:4">
      <c r="A95" s="1108"/>
      <c r="B95" s="991"/>
      <c r="C95" s="991"/>
      <c r="D95" s="991"/>
    </row>
    <row r="96" spans="1:4">
      <c r="A96" s="1108"/>
      <c r="B96" s="991"/>
      <c r="C96" s="991"/>
      <c r="D96" s="991"/>
    </row>
    <row r="97" spans="1:4">
      <c r="A97" s="1108"/>
      <c r="B97" s="991"/>
      <c r="C97" s="991"/>
      <c r="D97" s="991"/>
    </row>
    <row r="98" spans="1:4">
      <c r="A98" s="1108"/>
      <c r="B98" s="991"/>
      <c r="C98" s="991"/>
      <c r="D98" s="991"/>
    </row>
    <row r="99" spans="1:4">
      <c r="A99" s="1108"/>
      <c r="B99" s="991"/>
      <c r="C99" s="991"/>
      <c r="D99" s="991"/>
    </row>
    <row r="100" spans="1:4">
      <c r="A100" s="1108"/>
      <c r="B100" s="991"/>
      <c r="C100" s="991"/>
      <c r="D100" s="991"/>
    </row>
    <row r="101" spans="1:4">
      <c r="A101" s="1108"/>
      <c r="B101" s="991"/>
      <c r="C101" s="991"/>
      <c r="D101" s="991"/>
    </row>
    <row r="102" spans="1:4">
      <c r="A102" s="1108"/>
      <c r="B102" s="991"/>
      <c r="C102" s="991"/>
      <c r="D102" s="991"/>
    </row>
    <row r="103" spans="1:4">
      <c r="A103" s="1108"/>
      <c r="B103" s="991"/>
      <c r="C103" s="991"/>
      <c r="D103" s="991"/>
    </row>
    <row r="104" spans="1:4">
      <c r="A104" s="1108"/>
      <c r="B104" s="991"/>
      <c r="C104" s="991"/>
      <c r="D104" s="991"/>
    </row>
    <row r="105" spans="1:4">
      <c r="A105" s="1108"/>
      <c r="B105" s="991"/>
      <c r="C105" s="991"/>
      <c r="D105" s="991"/>
    </row>
  </sheetData>
  <mergeCells count="1">
    <mergeCell ref="A8:D14"/>
  </mergeCells>
  <phoneticPr fontId="27" type="noConversion"/>
  <printOptions horizontalCentered="1"/>
  <pageMargins left="0.75" right="0.5" top="0.75" bottom="0.5" header="0.25" footer="0.25"/>
  <pageSetup orientation="portrait" r:id="rId1"/>
  <headerFooter alignWithMargins="0">
    <oddFooter xml:space="preserve">&amp;C&amp;"Garmond (W1),Bold"
</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16">
    <pageSetUpPr fitToPage="1"/>
  </sheetPr>
  <dimension ref="A1:I140"/>
  <sheetViews>
    <sheetView view="pageBreakPreview" zoomScale="60" zoomScaleNormal="100" workbookViewId="0">
      <selection sqref="A1:XFD1048576"/>
    </sheetView>
  </sheetViews>
  <sheetFormatPr defaultColWidth="10.85546875" defaultRowHeight="12"/>
  <cols>
    <col min="1" max="1" width="6.85546875" style="211" customWidth="1"/>
    <col min="2" max="2" width="33" style="211" customWidth="1"/>
    <col min="3" max="4" width="11" style="211" customWidth="1"/>
    <col min="5" max="5" width="12.42578125" style="211" customWidth="1"/>
    <col min="6" max="9" width="11" style="211" customWidth="1"/>
    <col min="10" max="16384" width="10.85546875" style="211"/>
  </cols>
  <sheetData>
    <row r="1" spans="1:9">
      <c r="A1" s="203" t="s">
        <v>1053</v>
      </c>
      <c r="B1" s="203"/>
      <c r="C1" s="203"/>
      <c r="E1" s="203"/>
      <c r="G1" s="282" t="s">
        <v>1209</v>
      </c>
      <c r="I1" s="203"/>
    </row>
    <row r="2" spans="1:9">
      <c r="A2" s="203" t="s">
        <v>470</v>
      </c>
      <c r="B2" s="203"/>
      <c r="C2" s="203"/>
      <c r="E2" s="203"/>
      <c r="G2" s="282"/>
      <c r="I2" s="203"/>
    </row>
    <row r="3" spans="1:9">
      <c r="A3" s="203"/>
      <c r="B3" s="203"/>
      <c r="C3" s="203"/>
      <c r="E3" s="203"/>
      <c r="G3" s="1166" t="s">
        <v>473</v>
      </c>
      <c r="I3" s="203"/>
    </row>
    <row r="4" spans="1:9">
      <c r="A4" s="203" t="s">
        <v>2644</v>
      </c>
      <c r="B4" s="203"/>
      <c r="C4" s="203"/>
      <c r="E4" s="203"/>
      <c r="G4" s="140" t="s">
        <v>1455</v>
      </c>
      <c r="I4" s="203"/>
    </row>
    <row r="5" spans="1:9">
      <c r="A5" s="203" t="s">
        <v>2645</v>
      </c>
      <c r="B5" s="203"/>
      <c r="C5" s="203"/>
      <c r="E5" s="203"/>
      <c r="G5" s="203" t="s">
        <v>2948</v>
      </c>
      <c r="I5" s="203"/>
    </row>
    <row r="6" spans="1:9">
      <c r="A6" s="203" t="s">
        <v>1935</v>
      </c>
      <c r="B6" s="203"/>
      <c r="C6" s="203"/>
      <c r="D6" s="203"/>
      <c r="E6" s="203"/>
      <c r="F6" s="203"/>
      <c r="G6" s="203"/>
      <c r="I6" s="203"/>
    </row>
    <row r="7" spans="1:9">
      <c r="A7" s="140" t="s">
        <v>1343</v>
      </c>
      <c r="B7" s="203"/>
      <c r="C7" s="203"/>
      <c r="D7" s="203"/>
      <c r="E7" s="203"/>
      <c r="F7" s="203"/>
      <c r="G7" s="203"/>
      <c r="H7" s="203"/>
      <c r="I7" s="203"/>
    </row>
    <row r="8" spans="1:9">
      <c r="A8" s="203"/>
      <c r="B8" s="203"/>
      <c r="C8" s="203"/>
      <c r="D8" s="203"/>
      <c r="E8" s="203"/>
      <c r="F8" s="203"/>
      <c r="G8" s="203"/>
      <c r="H8" s="203"/>
      <c r="I8" s="203"/>
    </row>
    <row r="9" spans="1:9">
      <c r="A9" s="203"/>
      <c r="B9" s="203"/>
      <c r="C9" s="203"/>
      <c r="D9" s="203"/>
      <c r="E9" s="203"/>
      <c r="F9" s="203"/>
      <c r="G9" s="203"/>
      <c r="H9" s="203"/>
      <c r="I9" s="203"/>
    </row>
    <row r="10" spans="1:9">
      <c r="A10" s="2298" t="s">
        <v>777</v>
      </c>
      <c r="B10" s="2303"/>
      <c r="C10" s="2303"/>
      <c r="D10" s="2303"/>
      <c r="E10" s="2303"/>
      <c r="F10" s="2303"/>
      <c r="G10" s="2303"/>
      <c r="H10" s="2303"/>
      <c r="I10" s="2303"/>
    </row>
    <row r="11" spans="1:9">
      <c r="A11" s="2303"/>
      <c r="B11" s="2303"/>
      <c r="C11" s="2303"/>
      <c r="D11" s="2303"/>
      <c r="E11" s="2303"/>
      <c r="F11" s="2303"/>
      <c r="G11" s="2303"/>
      <c r="H11" s="2303"/>
      <c r="I11" s="2303"/>
    </row>
    <row r="12" spans="1:9" ht="12.75" thickBot="1">
      <c r="A12" s="283"/>
      <c r="B12" s="283"/>
      <c r="C12" s="283"/>
      <c r="D12" s="283"/>
      <c r="E12" s="292"/>
      <c r="F12" s="292"/>
      <c r="G12" s="292"/>
      <c r="H12" s="292"/>
      <c r="I12" s="292"/>
    </row>
    <row r="13" spans="1:9" s="1144" customFormat="1">
      <c r="A13" s="1140"/>
      <c r="B13" s="1141" t="s">
        <v>914</v>
      </c>
      <c r="C13" s="1141">
        <v>-2</v>
      </c>
      <c r="D13" s="1141">
        <v>-3</v>
      </c>
      <c r="E13" s="1141">
        <v>-4</v>
      </c>
      <c r="F13" s="1141">
        <v>-5</v>
      </c>
      <c r="G13" s="1141">
        <v>-6</v>
      </c>
      <c r="H13" s="1141">
        <v>-7</v>
      </c>
      <c r="I13" s="1141">
        <v>-8</v>
      </c>
    </row>
    <row r="14" spans="1:9">
      <c r="A14" s="210" t="s">
        <v>53</v>
      </c>
      <c r="B14" s="778"/>
      <c r="C14" s="293" t="s">
        <v>1397</v>
      </c>
      <c r="D14" s="293" t="s">
        <v>860</v>
      </c>
      <c r="E14" s="318" t="s">
        <v>1523</v>
      </c>
      <c r="F14" s="317"/>
      <c r="G14" s="317" t="s">
        <v>869</v>
      </c>
      <c r="H14" s="317" t="s">
        <v>778</v>
      </c>
      <c r="I14" s="262" t="s">
        <v>778</v>
      </c>
    </row>
    <row r="15" spans="1:9">
      <c r="A15" s="762" t="s">
        <v>730</v>
      </c>
      <c r="B15" s="762" t="s">
        <v>731</v>
      </c>
      <c r="C15" s="1124" t="s">
        <v>1896</v>
      </c>
      <c r="D15" s="1124" t="s">
        <v>1897</v>
      </c>
      <c r="E15" s="1167" t="s">
        <v>1524</v>
      </c>
      <c r="F15" s="1167" t="s">
        <v>733</v>
      </c>
      <c r="G15" s="1167" t="s">
        <v>74</v>
      </c>
      <c r="H15" s="1167" t="s">
        <v>977</v>
      </c>
      <c r="I15" s="761" t="s">
        <v>978</v>
      </c>
    </row>
    <row r="16" spans="1:9">
      <c r="A16" s="281"/>
      <c r="C16" s="202"/>
      <c r="D16" s="202"/>
      <c r="E16" s="265"/>
      <c r="F16" s="265"/>
      <c r="G16" s="265"/>
      <c r="H16" s="265"/>
      <c r="I16" s="265"/>
    </row>
    <row r="17" spans="1:9">
      <c r="A17" s="281">
        <v>1</v>
      </c>
      <c r="B17" s="203" t="s">
        <v>1295</v>
      </c>
      <c r="C17" s="202"/>
      <c r="D17" s="202"/>
      <c r="E17" s="281"/>
      <c r="F17" s="281"/>
      <c r="G17" s="281"/>
      <c r="H17" s="281"/>
      <c r="I17" s="281"/>
    </row>
    <row r="18" spans="1:9">
      <c r="A18" s="281">
        <v>2</v>
      </c>
      <c r="C18" s="202"/>
      <c r="D18" s="202"/>
    </row>
    <row r="19" spans="1:9">
      <c r="A19" s="281">
        <v>3</v>
      </c>
      <c r="B19" s="211" t="s">
        <v>824</v>
      </c>
      <c r="C19" s="310">
        <v>0</v>
      </c>
      <c r="D19" s="310">
        <v>0</v>
      </c>
      <c r="E19" s="1137">
        <v>0</v>
      </c>
      <c r="F19" s="1137"/>
      <c r="G19" s="1137">
        <v>0</v>
      </c>
      <c r="H19" s="216"/>
      <c r="I19" s="212">
        <v>0</v>
      </c>
    </row>
    <row r="20" spans="1:9">
      <c r="A20" s="281">
        <v>4</v>
      </c>
      <c r="C20" s="202"/>
      <c r="D20" s="202"/>
      <c r="E20" s="212"/>
      <c r="F20" s="212"/>
      <c r="G20" s="212"/>
      <c r="H20" s="212"/>
      <c r="I20" s="212"/>
    </row>
    <row r="21" spans="1:9">
      <c r="A21" s="281">
        <v>5</v>
      </c>
      <c r="B21" s="211" t="s">
        <v>825</v>
      </c>
      <c r="C21" s="202">
        <v>0</v>
      </c>
      <c r="D21" s="202">
        <v>0</v>
      </c>
      <c r="E21" s="215">
        <v>0</v>
      </c>
      <c r="F21" s="215"/>
      <c r="G21" s="215">
        <v>0</v>
      </c>
      <c r="H21" s="212"/>
      <c r="I21" s="212">
        <v>0</v>
      </c>
    </row>
    <row r="22" spans="1:9">
      <c r="A22" s="281">
        <v>6</v>
      </c>
      <c r="C22" s="202"/>
      <c r="D22" s="202"/>
      <c r="E22" s="212"/>
      <c r="F22" s="212"/>
      <c r="G22" s="212"/>
      <c r="H22" s="212"/>
      <c r="I22" s="212"/>
    </row>
    <row r="23" spans="1:9">
      <c r="A23" s="281">
        <v>7</v>
      </c>
      <c r="B23" s="211" t="s">
        <v>532</v>
      </c>
      <c r="C23" s="202">
        <v>0</v>
      </c>
      <c r="D23" s="202">
        <v>0</v>
      </c>
      <c r="E23" s="215">
        <v>0</v>
      </c>
      <c r="F23" s="215"/>
      <c r="G23" s="215">
        <v>0</v>
      </c>
      <c r="H23" s="212"/>
      <c r="I23" s="212">
        <v>0</v>
      </c>
    </row>
    <row r="24" spans="1:9">
      <c r="A24" s="281">
        <v>8</v>
      </c>
      <c r="C24" s="202"/>
      <c r="D24" s="202"/>
      <c r="E24" s="215"/>
      <c r="F24" s="215"/>
      <c r="G24" s="215">
        <v>0</v>
      </c>
      <c r="H24" s="212"/>
      <c r="I24" s="212"/>
    </row>
    <row r="25" spans="1:9">
      <c r="A25" s="281">
        <v>9</v>
      </c>
      <c r="B25" s="211" t="s">
        <v>531</v>
      </c>
      <c r="C25" s="202">
        <v>0</v>
      </c>
      <c r="D25" s="202">
        <v>0</v>
      </c>
      <c r="E25" s="215">
        <v>0</v>
      </c>
      <c r="F25" s="215"/>
      <c r="G25" s="215">
        <v>0</v>
      </c>
      <c r="H25" s="212"/>
      <c r="I25" s="212">
        <v>0</v>
      </c>
    </row>
    <row r="26" spans="1:9">
      <c r="A26" s="281">
        <v>10</v>
      </c>
      <c r="C26" s="202"/>
      <c r="D26" s="202"/>
      <c r="E26" s="212"/>
      <c r="F26" s="212"/>
      <c r="G26" s="215">
        <v>0</v>
      </c>
      <c r="H26" s="212"/>
      <c r="I26" s="212"/>
    </row>
    <row r="27" spans="1:9">
      <c r="A27" s="281">
        <v>11</v>
      </c>
      <c r="B27" s="211" t="s">
        <v>1325</v>
      </c>
      <c r="C27" s="229">
        <v>0</v>
      </c>
      <c r="D27" s="229">
        <v>0</v>
      </c>
      <c r="E27" s="225">
        <v>0</v>
      </c>
      <c r="F27" s="225"/>
      <c r="G27" s="215">
        <v>0</v>
      </c>
      <c r="H27" s="222"/>
      <c r="I27" s="222"/>
    </row>
    <row r="28" spans="1:9">
      <c r="A28" s="281">
        <v>12</v>
      </c>
      <c r="C28" s="1168"/>
      <c r="D28" s="1168"/>
      <c r="E28" s="1168"/>
      <c r="F28" s="1168"/>
      <c r="G28" s="1168"/>
      <c r="H28" s="1168"/>
      <c r="I28" s="1168"/>
    </row>
    <row r="29" spans="1:9" ht="12.75" thickBot="1">
      <c r="A29" s="281">
        <v>13</v>
      </c>
      <c r="B29" s="211" t="s">
        <v>1299</v>
      </c>
      <c r="C29" s="273">
        <v>0</v>
      </c>
      <c r="D29" s="273">
        <v>0</v>
      </c>
      <c r="E29" s="273">
        <v>0</v>
      </c>
      <c r="F29" s="273">
        <v>0</v>
      </c>
      <c r="G29" s="273">
        <v>0</v>
      </c>
      <c r="H29" s="1169"/>
      <c r="I29" s="1169"/>
    </row>
    <row r="30" spans="1:9" ht="12.75" thickTop="1">
      <c r="A30" s="281">
        <v>14</v>
      </c>
      <c r="C30" s="203"/>
      <c r="D30" s="203"/>
      <c r="E30" s="227"/>
      <c r="F30" s="227"/>
      <c r="G30" s="227"/>
      <c r="H30" s="227"/>
      <c r="I30" s="227"/>
    </row>
    <row r="31" spans="1:9">
      <c r="A31" s="281">
        <v>15</v>
      </c>
      <c r="C31" s="203"/>
      <c r="D31" s="773"/>
      <c r="E31" s="227"/>
      <c r="F31" s="227"/>
      <c r="G31" s="227"/>
      <c r="H31" s="227"/>
      <c r="I31" s="227"/>
    </row>
    <row r="32" spans="1:9">
      <c r="A32" s="281">
        <v>16</v>
      </c>
      <c r="B32" s="203" t="s">
        <v>1300</v>
      </c>
      <c r="C32" s="203"/>
      <c r="D32" s="773"/>
      <c r="E32" s="216"/>
      <c r="F32" s="216"/>
      <c r="G32" s="216"/>
      <c r="H32" s="216"/>
      <c r="I32" s="216"/>
    </row>
    <row r="33" spans="1:9">
      <c r="A33" s="281">
        <v>17</v>
      </c>
      <c r="C33" s="202"/>
      <c r="D33" s="202"/>
      <c r="E33" s="212"/>
      <c r="F33" s="212"/>
      <c r="G33" s="212"/>
      <c r="H33" s="212"/>
      <c r="I33" s="212"/>
    </row>
    <row r="34" spans="1:9">
      <c r="A34" s="281">
        <v>18</v>
      </c>
      <c r="B34" s="211" t="s">
        <v>824</v>
      </c>
      <c r="C34" s="310">
        <v>62788.31</v>
      </c>
      <c r="D34" s="202">
        <v>126544.31</v>
      </c>
      <c r="E34" s="216">
        <v>116736</v>
      </c>
      <c r="F34" s="216"/>
      <c r="G34" s="216">
        <v>116736</v>
      </c>
      <c r="H34" s="216"/>
      <c r="I34" s="212">
        <v>0</v>
      </c>
    </row>
    <row r="35" spans="1:9">
      <c r="A35" s="281">
        <v>19</v>
      </c>
      <c r="C35" s="202"/>
      <c r="D35" s="202"/>
      <c r="E35" s="212"/>
      <c r="F35" s="212"/>
      <c r="G35" s="212"/>
      <c r="H35" s="212"/>
      <c r="I35" s="212"/>
    </row>
    <row r="36" spans="1:9">
      <c r="A36" s="281">
        <v>20</v>
      </c>
      <c r="B36" s="211" t="s">
        <v>825</v>
      </c>
      <c r="C36" s="202">
        <v>693558.96</v>
      </c>
      <c r="D36" s="202">
        <v>693558.96</v>
      </c>
      <c r="E36" s="215">
        <v>693559</v>
      </c>
      <c r="F36" s="215"/>
      <c r="G36" s="215">
        <v>693559</v>
      </c>
      <c r="H36" s="212"/>
      <c r="I36" s="212">
        <v>0</v>
      </c>
    </row>
    <row r="37" spans="1:9">
      <c r="A37" s="281">
        <v>21</v>
      </c>
      <c r="C37" s="202"/>
      <c r="D37" s="202"/>
      <c r="E37" s="212"/>
      <c r="F37" s="212"/>
      <c r="G37" s="212"/>
      <c r="H37" s="212"/>
      <c r="I37" s="212"/>
    </row>
    <row r="38" spans="1:9">
      <c r="A38" s="281">
        <v>22</v>
      </c>
      <c r="B38" s="211" t="s">
        <v>531</v>
      </c>
      <c r="C38" s="202">
        <v>1914424.0299999998</v>
      </c>
      <c r="D38" s="202">
        <v>1914424.0299999998</v>
      </c>
      <c r="E38" s="215">
        <v>1914424</v>
      </c>
      <c r="F38" s="215"/>
      <c r="G38" s="215">
        <v>1914424</v>
      </c>
      <c r="H38" s="1136"/>
      <c r="I38" s="212">
        <v>0</v>
      </c>
    </row>
    <row r="39" spans="1:9">
      <c r="A39" s="281">
        <v>23</v>
      </c>
      <c r="C39" s="202"/>
      <c r="D39" s="202"/>
      <c r="E39" s="215"/>
      <c r="F39" s="215"/>
      <c r="G39" s="215"/>
      <c r="H39" s="212"/>
      <c r="I39" s="212"/>
    </row>
    <row r="40" spans="1:9">
      <c r="A40" s="281">
        <v>24</v>
      </c>
      <c r="B40" s="211" t="s">
        <v>1325</v>
      </c>
      <c r="C40" s="202">
        <v>419944.93</v>
      </c>
      <c r="D40" s="202">
        <v>419965.93</v>
      </c>
      <c r="E40" s="215">
        <v>419968</v>
      </c>
      <c r="F40" s="215"/>
      <c r="G40" s="215">
        <v>419968</v>
      </c>
      <c r="H40" s="212"/>
      <c r="I40" s="212">
        <v>0</v>
      </c>
    </row>
    <row r="41" spans="1:9">
      <c r="A41" s="281">
        <v>25</v>
      </c>
      <c r="C41" s="261"/>
      <c r="D41" s="261"/>
      <c r="E41" s="271"/>
      <c r="F41" s="271"/>
      <c r="G41" s="271"/>
      <c r="H41" s="271"/>
      <c r="I41" s="271"/>
    </row>
    <row r="42" spans="1:9">
      <c r="A42" s="281">
        <v>26</v>
      </c>
      <c r="C42" s="1168"/>
      <c r="D42" s="1168"/>
      <c r="E42" s="1168"/>
      <c r="F42" s="1168"/>
      <c r="G42" s="1168"/>
      <c r="H42" s="1170"/>
      <c r="I42" s="1170"/>
    </row>
    <row r="43" spans="1:9" ht="12.75" thickBot="1">
      <c r="A43" s="281">
        <v>27</v>
      </c>
      <c r="B43" s="211" t="s">
        <v>1299</v>
      </c>
      <c r="C43" s="273">
        <v>3090716.23</v>
      </c>
      <c r="D43" s="273">
        <v>3154493.23</v>
      </c>
      <c r="E43" s="273">
        <v>3144687</v>
      </c>
      <c r="F43" s="273">
        <v>0</v>
      </c>
      <c r="G43" s="273">
        <v>3144687</v>
      </c>
      <c r="H43" s="1169"/>
      <c r="I43" s="1169"/>
    </row>
    <row r="44" spans="1:9" ht="12.75" thickTop="1">
      <c r="A44" s="281"/>
      <c r="C44" s="203"/>
      <c r="D44" s="203"/>
      <c r="E44" s="227"/>
      <c r="F44" s="227"/>
      <c r="G44" s="227"/>
      <c r="H44" s="227"/>
      <c r="I44" s="227"/>
    </row>
    <row r="45" spans="1:9">
      <c r="A45" s="203"/>
      <c r="B45" s="203"/>
      <c r="C45" s="203"/>
      <c r="D45" s="203"/>
    </row>
    <row r="46" spans="1:9">
      <c r="A46" s="203"/>
      <c r="B46" s="203"/>
      <c r="C46" s="203"/>
      <c r="D46" s="203"/>
    </row>
    <row r="47" spans="1:9">
      <c r="A47" s="203"/>
      <c r="B47" s="203" t="s">
        <v>3247</v>
      </c>
      <c r="C47" s="203"/>
      <c r="D47" s="203"/>
    </row>
    <row r="69" spans="1:1">
      <c r="A69" s="203"/>
    </row>
    <row r="86" spans="1:1">
      <c r="A86" s="286"/>
    </row>
    <row r="87" spans="1:1">
      <c r="A87" s="286"/>
    </row>
    <row r="88" spans="1:1">
      <c r="A88" s="286"/>
    </row>
    <row r="89" spans="1:1">
      <c r="A89" s="286"/>
    </row>
    <row r="90" spans="1:1">
      <c r="A90" s="286"/>
    </row>
    <row r="91" spans="1:1">
      <c r="A91" s="286"/>
    </row>
    <row r="92" spans="1:1">
      <c r="A92" s="286"/>
    </row>
    <row r="93" spans="1:1">
      <c r="A93" s="286"/>
    </row>
    <row r="94" spans="1:1">
      <c r="A94" s="286"/>
    </row>
    <row r="95" spans="1:1">
      <c r="A95" s="286"/>
    </row>
    <row r="96" spans="1:1">
      <c r="A96" s="286"/>
    </row>
    <row r="97" spans="1:1">
      <c r="A97" s="286"/>
    </row>
    <row r="98" spans="1:1">
      <c r="A98" s="286"/>
    </row>
    <row r="99" spans="1:1">
      <c r="A99" s="286"/>
    </row>
    <row r="100" spans="1:1">
      <c r="A100" s="286"/>
    </row>
    <row r="101" spans="1:1">
      <c r="A101" s="286"/>
    </row>
    <row r="102" spans="1:1">
      <c r="A102" s="286"/>
    </row>
    <row r="103" spans="1:1">
      <c r="A103" s="286"/>
    </row>
    <row r="104" spans="1:1">
      <c r="A104" s="286"/>
    </row>
    <row r="105" spans="1:1">
      <c r="A105" s="286"/>
    </row>
    <row r="106" spans="1:1">
      <c r="A106" s="286"/>
    </row>
    <row r="107" spans="1:1">
      <c r="A107" s="286"/>
    </row>
    <row r="108" spans="1:1">
      <c r="A108" s="286"/>
    </row>
    <row r="109" spans="1:1">
      <c r="A109" s="286"/>
    </row>
    <row r="110" spans="1:1">
      <c r="A110" s="286"/>
    </row>
    <row r="111" spans="1:1">
      <c r="A111" s="286"/>
    </row>
    <row r="112" spans="1:1">
      <c r="A112" s="286"/>
    </row>
    <row r="113" spans="1:1">
      <c r="A113" s="286"/>
    </row>
    <row r="114" spans="1:1">
      <c r="A114" s="286"/>
    </row>
    <row r="115" spans="1:1">
      <c r="A115" s="286"/>
    </row>
    <row r="116" spans="1:1">
      <c r="A116" s="286"/>
    </row>
    <row r="117" spans="1:1">
      <c r="A117" s="286"/>
    </row>
    <row r="118" spans="1:1">
      <c r="A118" s="286"/>
    </row>
    <row r="119" spans="1:1">
      <c r="A119" s="286"/>
    </row>
    <row r="120" spans="1:1">
      <c r="A120" s="286"/>
    </row>
    <row r="121" spans="1:1">
      <c r="A121" s="286"/>
    </row>
    <row r="122" spans="1:1">
      <c r="A122" s="286"/>
    </row>
    <row r="123" spans="1:1">
      <c r="A123" s="286"/>
    </row>
    <row r="124" spans="1:1">
      <c r="A124" s="286"/>
    </row>
    <row r="125" spans="1:1">
      <c r="A125" s="286"/>
    </row>
    <row r="126" spans="1:1">
      <c r="A126" s="286"/>
    </row>
    <row r="127" spans="1:1">
      <c r="A127" s="286"/>
    </row>
    <row r="128" spans="1:1">
      <c r="A128" s="286"/>
    </row>
    <row r="129" spans="1:1">
      <c r="A129" s="286"/>
    </row>
    <row r="130" spans="1:1">
      <c r="A130" s="286"/>
    </row>
    <row r="131" spans="1:1">
      <c r="A131" s="286"/>
    </row>
    <row r="132" spans="1:1">
      <c r="A132" s="286"/>
    </row>
    <row r="133" spans="1:1">
      <c r="A133" s="286"/>
    </row>
    <row r="134" spans="1:1">
      <c r="A134" s="286"/>
    </row>
    <row r="135" spans="1:1">
      <c r="A135" s="286"/>
    </row>
    <row r="136" spans="1:1">
      <c r="A136" s="286"/>
    </row>
    <row r="137" spans="1:1">
      <c r="A137" s="286"/>
    </row>
    <row r="138" spans="1:1">
      <c r="A138" s="286"/>
    </row>
    <row r="139" spans="1:1">
      <c r="A139" s="286"/>
    </row>
    <row r="140" spans="1:1">
      <c r="A140" s="286"/>
    </row>
  </sheetData>
  <mergeCells count="1">
    <mergeCell ref="A10:I11"/>
  </mergeCells>
  <phoneticPr fontId="27" type="noConversion"/>
  <printOptions horizontalCentered="1"/>
  <pageMargins left="0.75" right="0.5" top="0.75" bottom="0.5" header="0.25" footer="0.25"/>
  <pageSetup scale="79" orientation="portrait" r:id="rId1"/>
  <headerFooter alignWithMargins="0">
    <oddFooter xml:space="preserve">&amp;C&amp;"Garmond (W1),Bold"
</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56">
    <pageSetUpPr fitToPage="1"/>
  </sheetPr>
  <dimension ref="A1:P140"/>
  <sheetViews>
    <sheetView view="pageBreakPreview" zoomScale="60" zoomScaleNormal="100" workbookViewId="0">
      <selection sqref="A1:XFD1048576"/>
    </sheetView>
  </sheetViews>
  <sheetFormatPr defaultColWidth="10.85546875" defaultRowHeight="12"/>
  <cols>
    <col min="1" max="1" width="4" style="211" customWidth="1"/>
    <col min="2" max="2" width="24.28515625" style="211" customWidth="1"/>
    <col min="3" max="17" width="11.28515625" style="211" customWidth="1"/>
    <col min="18" max="16384" width="10.85546875" style="211"/>
  </cols>
  <sheetData>
    <row r="1" spans="1:16">
      <c r="A1" s="203" t="s">
        <v>1053</v>
      </c>
      <c r="B1" s="203"/>
      <c r="C1" s="203"/>
      <c r="E1" s="203"/>
      <c r="G1" s="203"/>
      <c r="H1" s="203"/>
      <c r="I1" s="203"/>
      <c r="J1" s="203"/>
      <c r="K1" s="203"/>
      <c r="L1" s="282" t="s">
        <v>1209</v>
      </c>
      <c r="M1" s="203"/>
      <c r="N1" s="203"/>
      <c r="P1" s="203"/>
    </row>
    <row r="2" spans="1:16">
      <c r="A2" s="203" t="s">
        <v>470</v>
      </c>
      <c r="B2" s="203"/>
      <c r="C2" s="203"/>
      <c r="E2" s="203"/>
      <c r="G2" s="203"/>
      <c r="H2" s="203"/>
      <c r="I2" s="203"/>
      <c r="J2" s="203"/>
      <c r="K2" s="203"/>
      <c r="L2" s="282"/>
      <c r="M2" s="203"/>
      <c r="N2" s="203"/>
      <c r="P2" s="203"/>
    </row>
    <row r="3" spans="1:16">
      <c r="A3" s="203"/>
      <c r="B3" s="203"/>
      <c r="C3" s="203"/>
      <c r="E3" s="203"/>
      <c r="G3" s="203"/>
      <c r="H3" s="203"/>
      <c r="I3" s="203"/>
      <c r="J3" s="203"/>
      <c r="K3" s="203"/>
      <c r="L3" s="1166" t="s">
        <v>473</v>
      </c>
      <c r="M3" s="203"/>
      <c r="N3" s="203"/>
      <c r="P3" s="203"/>
    </row>
    <row r="4" spans="1:16">
      <c r="A4" s="203" t="s">
        <v>2644</v>
      </c>
      <c r="B4" s="203"/>
      <c r="C4" s="203"/>
      <c r="E4" s="203"/>
      <c r="G4" s="203"/>
      <c r="H4" s="203"/>
      <c r="I4" s="203"/>
      <c r="J4" s="203"/>
      <c r="K4" s="203"/>
      <c r="L4" s="140" t="s">
        <v>1504</v>
      </c>
      <c r="M4" s="203"/>
      <c r="N4" s="203"/>
      <c r="P4" s="203"/>
    </row>
    <row r="5" spans="1:16">
      <c r="A5" s="203" t="s">
        <v>2645</v>
      </c>
      <c r="B5" s="203"/>
      <c r="C5" s="203"/>
      <c r="E5" s="203"/>
      <c r="G5" s="203"/>
      <c r="H5" s="203"/>
      <c r="I5" s="203"/>
      <c r="J5" s="203"/>
      <c r="K5" s="203"/>
      <c r="L5" s="203" t="s">
        <v>2948</v>
      </c>
      <c r="M5" s="203"/>
      <c r="N5" s="203"/>
      <c r="P5" s="203"/>
    </row>
    <row r="6" spans="1:16">
      <c r="A6" s="203" t="s">
        <v>1935</v>
      </c>
      <c r="B6" s="203"/>
      <c r="C6" s="203"/>
      <c r="D6" s="203"/>
      <c r="E6" s="203"/>
      <c r="F6" s="203"/>
      <c r="G6" s="203"/>
      <c r="H6" s="203"/>
      <c r="I6" s="203"/>
      <c r="J6" s="203"/>
      <c r="K6" s="203"/>
      <c r="L6" s="203"/>
      <c r="M6" s="203"/>
      <c r="N6" s="203"/>
      <c r="O6" s="203"/>
      <c r="P6" s="203"/>
    </row>
    <row r="7" spans="1:16">
      <c r="A7" s="140" t="s">
        <v>1343</v>
      </c>
      <c r="B7" s="203"/>
      <c r="C7" s="203"/>
      <c r="D7" s="203"/>
      <c r="E7" s="203"/>
      <c r="F7" s="203"/>
      <c r="G7" s="203"/>
      <c r="H7" s="203"/>
      <c r="I7" s="203"/>
      <c r="J7" s="203"/>
      <c r="K7" s="203"/>
      <c r="L7" s="203"/>
      <c r="M7" s="203"/>
      <c r="N7" s="203"/>
      <c r="O7" s="203"/>
      <c r="P7" s="203"/>
    </row>
    <row r="8" spans="1:16">
      <c r="A8" s="203"/>
      <c r="B8" s="203"/>
      <c r="C8" s="203"/>
      <c r="D8" s="203"/>
      <c r="E8" s="203"/>
      <c r="F8" s="203"/>
      <c r="G8" s="203"/>
      <c r="H8" s="203"/>
      <c r="I8" s="203"/>
      <c r="J8" s="203"/>
      <c r="K8" s="203"/>
      <c r="L8" s="203"/>
      <c r="M8" s="203"/>
      <c r="N8" s="203"/>
      <c r="O8" s="203"/>
      <c r="P8" s="203"/>
    </row>
    <row r="9" spans="1:16">
      <c r="A9" s="203"/>
      <c r="B9" s="203"/>
      <c r="C9" s="203"/>
      <c r="D9" s="203"/>
      <c r="E9" s="203"/>
      <c r="F9" s="203"/>
      <c r="G9" s="203"/>
      <c r="H9" s="203"/>
      <c r="I9" s="203"/>
      <c r="J9" s="203"/>
      <c r="K9" s="203"/>
      <c r="L9" s="203"/>
      <c r="M9" s="203"/>
      <c r="N9" s="203"/>
      <c r="O9" s="203"/>
      <c r="P9" s="203"/>
    </row>
    <row r="10" spans="1:16">
      <c r="A10" s="2298" t="s">
        <v>777</v>
      </c>
      <c r="B10" s="2303"/>
      <c r="C10" s="2303"/>
      <c r="D10" s="2303"/>
      <c r="E10" s="2303"/>
      <c r="F10" s="2303"/>
      <c r="G10" s="2303"/>
      <c r="H10" s="2303"/>
      <c r="I10" s="2303"/>
      <c r="J10" s="2303"/>
      <c r="K10" s="2303"/>
      <c r="L10" s="2303"/>
      <c r="M10" s="2303"/>
      <c r="N10" s="2303"/>
      <c r="O10" s="2303"/>
      <c r="P10" s="2303"/>
    </row>
    <row r="11" spans="1:16">
      <c r="A11" s="2303"/>
      <c r="B11" s="2303"/>
      <c r="C11" s="2303"/>
      <c r="D11" s="2303"/>
      <c r="E11" s="2303"/>
      <c r="F11" s="2303"/>
      <c r="G11" s="2303"/>
      <c r="H11" s="2303"/>
      <c r="I11" s="2303"/>
      <c r="J11" s="2303"/>
      <c r="K11" s="2303"/>
      <c r="L11" s="2303"/>
      <c r="M11" s="2303"/>
      <c r="N11" s="2303"/>
      <c r="O11" s="2303"/>
      <c r="P11" s="2303"/>
    </row>
    <row r="12" spans="1:16" ht="12.75" thickBot="1">
      <c r="A12" s="283"/>
      <c r="B12" s="283"/>
      <c r="C12" s="283"/>
      <c r="D12" s="283"/>
      <c r="E12" s="283"/>
      <c r="F12" s="283"/>
      <c r="G12" s="283"/>
      <c r="H12" s="283"/>
      <c r="I12" s="283"/>
      <c r="J12" s="283"/>
      <c r="K12" s="283"/>
      <c r="L12" s="283"/>
      <c r="M12" s="283"/>
      <c r="N12" s="283"/>
      <c r="O12" s="283"/>
      <c r="P12" s="283"/>
    </row>
    <row r="13" spans="1:16" s="1144" customFormat="1">
      <c r="A13" s="1140"/>
      <c r="B13" s="1141" t="s">
        <v>914</v>
      </c>
      <c r="C13" s="1142">
        <v>-2</v>
      </c>
      <c r="D13" s="1142">
        <v>-3</v>
      </c>
      <c r="E13" s="1142">
        <v>-4</v>
      </c>
      <c r="F13" s="1142">
        <v>-5</v>
      </c>
      <c r="G13" s="1142">
        <v>-6</v>
      </c>
      <c r="H13" s="1142">
        <v>-7</v>
      </c>
      <c r="I13" s="1142">
        <v>-8</v>
      </c>
      <c r="J13" s="1142">
        <v>-9</v>
      </c>
      <c r="K13" s="1142">
        <v>-10</v>
      </c>
      <c r="L13" s="1142">
        <v>-11</v>
      </c>
      <c r="M13" s="1142">
        <v>-12</v>
      </c>
      <c r="N13" s="1142">
        <v>-13</v>
      </c>
      <c r="O13" s="1142">
        <v>-14</v>
      </c>
      <c r="P13" s="1142">
        <v>-15</v>
      </c>
    </row>
    <row r="14" spans="1:16" ht="36">
      <c r="A14" s="1125" t="s">
        <v>802</v>
      </c>
      <c r="B14" s="762" t="s">
        <v>731</v>
      </c>
      <c r="C14" s="207" t="s">
        <v>1899</v>
      </c>
      <c r="D14" s="207">
        <v>42014</v>
      </c>
      <c r="E14" s="208">
        <v>42036</v>
      </c>
      <c r="F14" s="208">
        <v>42064</v>
      </c>
      <c r="G14" s="208">
        <v>42095</v>
      </c>
      <c r="H14" s="208">
        <v>42125</v>
      </c>
      <c r="I14" s="208">
        <v>42156</v>
      </c>
      <c r="J14" s="208">
        <v>42186</v>
      </c>
      <c r="K14" s="208">
        <v>42217</v>
      </c>
      <c r="L14" s="208">
        <v>42248</v>
      </c>
      <c r="M14" s="208">
        <v>42278</v>
      </c>
      <c r="N14" s="208">
        <v>42309</v>
      </c>
      <c r="O14" s="208">
        <v>42339</v>
      </c>
      <c r="P14" s="209" t="s">
        <v>45</v>
      </c>
    </row>
    <row r="15" spans="1:16">
      <c r="C15" s="202"/>
      <c r="D15" s="202"/>
      <c r="E15" s="202"/>
      <c r="F15" s="202"/>
      <c r="H15" s="212"/>
      <c r="I15" s="212"/>
      <c r="J15" s="212"/>
      <c r="K15" s="212"/>
      <c r="L15" s="213"/>
      <c r="M15" s="213"/>
      <c r="N15" s="213"/>
      <c r="O15" s="213"/>
      <c r="P15" s="213"/>
    </row>
    <row r="16" spans="1:16">
      <c r="A16" s="281">
        <v>1</v>
      </c>
      <c r="B16" s="203" t="s">
        <v>1295</v>
      </c>
      <c r="C16" s="202"/>
      <c r="D16" s="202"/>
      <c r="E16" s="202"/>
      <c r="F16" s="202"/>
      <c r="H16" s="215"/>
      <c r="I16" s="216"/>
      <c r="J16" s="216"/>
      <c r="K16" s="212"/>
      <c r="L16" s="213"/>
      <c r="M16" s="213"/>
      <c r="N16" s="213"/>
      <c r="O16" s="213"/>
      <c r="P16" s="213"/>
    </row>
    <row r="17" spans="1:16">
      <c r="A17" s="281">
        <v>2</v>
      </c>
      <c r="C17" s="202"/>
      <c r="D17" s="202"/>
      <c r="E17" s="202"/>
      <c r="F17" s="202"/>
      <c r="H17" s="212"/>
      <c r="I17" s="212"/>
      <c r="J17" s="212"/>
      <c r="K17" s="212"/>
      <c r="L17" s="213"/>
      <c r="M17" s="213"/>
      <c r="N17" s="213"/>
      <c r="O17" s="213"/>
      <c r="P17" s="213"/>
    </row>
    <row r="18" spans="1:16">
      <c r="A18" s="281">
        <v>3</v>
      </c>
      <c r="B18" s="211" t="s">
        <v>824</v>
      </c>
      <c r="C18" s="202">
        <v>0</v>
      </c>
      <c r="D18" s="202">
        <v>0</v>
      </c>
      <c r="E18" s="202">
        <v>0</v>
      </c>
      <c r="F18" s="202">
        <v>0</v>
      </c>
      <c r="G18" s="202">
        <v>0</v>
      </c>
      <c r="H18" s="202">
        <v>0</v>
      </c>
      <c r="I18" s="202">
        <v>0</v>
      </c>
      <c r="J18" s="202">
        <v>0</v>
      </c>
      <c r="K18" s="202">
        <v>0</v>
      </c>
      <c r="L18" s="202">
        <v>0</v>
      </c>
      <c r="M18" s="202">
        <v>0</v>
      </c>
      <c r="N18" s="202">
        <v>0</v>
      </c>
      <c r="O18" s="202">
        <v>0</v>
      </c>
      <c r="P18" s="202">
        <v>0</v>
      </c>
    </row>
    <row r="19" spans="1:16">
      <c r="A19" s="281">
        <v>4</v>
      </c>
      <c r="C19" s="202"/>
      <c r="D19" s="202"/>
      <c r="E19" s="202"/>
      <c r="F19" s="202"/>
      <c r="H19" s="215"/>
      <c r="I19" s="212"/>
      <c r="J19" s="212"/>
      <c r="K19" s="212"/>
      <c r="L19" s="213"/>
      <c r="M19" s="213"/>
      <c r="N19" s="213"/>
      <c r="O19" s="213"/>
      <c r="P19" s="213"/>
    </row>
    <row r="20" spans="1:16">
      <c r="A20" s="281">
        <v>5</v>
      </c>
      <c r="B20" s="211" t="s">
        <v>825</v>
      </c>
      <c r="C20" s="202">
        <v>0</v>
      </c>
      <c r="D20" s="202">
        <v>0</v>
      </c>
      <c r="E20" s="202">
        <v>0</v>
      </c>
      <c r="F20" s="202">
        <v>0</v>
      </c>
      <c r="G20" s="202">
        <v>0</v>
      </c>
      <c r="H20" s="202">
        <v>0</v>
      </c>
      <c r="I20" s="202">
        <v>0</v>
      </c>
      <c r="J20" s="202">
        <v>0</v>
      </c>
      <c r="K20" s="202">
        <v>0</v>
      </c>
      <c r="L20" s="202">
        <v>0</v>
      </c>
      <c r="M20" s="202">
        <v>0</v>
      </c>
      <c r="N20" s="202">
        <v>0</v>
      </c>
      <c r="O20" s="202">
        <v>0</v>
      </c>
      <c r="P20" s="202">
        <v>0</v>
      </c>
    </row>
    <row r="21" spans="1:16">
      <c r="A21" s="281">
        <v>6</v>
      </c>
      <c r="C21" s="202"/>
      <c r="D21" s="202"/>
      <c r="E21" s="202"/>
      <c r="F21" s="202"/>
      <c r="G21" s="202"/>
      <c r="H21" s="202"/>
      <c r="I21" s="202"/>
      <c r="J21" s="202"/>
      <c r="K21" s="202"/>
      <c r="L21" s="202"/>
      <c r="M21" s="202"/>
      <c r="N21" s="202"/>
      <c r="O21" s="202"/>
      <c r="P21" s="213"/>
    </row>
    <row r="22" spans="1:16">
      <c r="A22" s="281">
        <v>7</v>
      </c>
      <c r="B22" s="211" t="s">
        <v>532</v>
      </c>
      <c r="C22" s="202">
        <v>0</v>
      </c>
      <c r="D22" s="202">
        <v>0</v>
      </c>
      <c r="E22" s="202">
        <v>0</v>
      </c>
      <c r="F22" s="202">
        <v>0</v>
      </c>
      <c r="G22" s="202">
        <v>0</v>
      </c>
      <c r="H22" s="202">
        <v>0</v>
      </c>
      <c r="I22" s="202">
        <v>0</v>
      </c>
      <c r="J22" s="202">
        <v>0</v>
      </c>
      <c r="K22" s="202">
        <v>0</v>
      </c>
      <c r="L22" s="202">
        <v>0</v>
      </c>
      <c r="M22" s="202">
        <v>0</v>
      </c>
      <c r="N22" s="202">
        <v>0</v>
      </c>
      <c r="O22" s="202">
        <v>0</v>
      </c>
      <c r="P22" s="202">
        <v>0</v>
      </c>
    </row>
    <row r="23" spans="1:16">
      <c r="A23" s="281">
        <v>8</v>
      </c>
      <c r="C23" s="202"/>
      <c r="D23" s="202"/>
      <c r="E23" s="202"/>
      <c r="F23" s="202"/>
      <c r="G23" s="202"/>
      <c r="H23" s="202"/>
      <c r="I23" s="202"/>
      <c r="J23" s="202"/>
      <c r="K23" s="202"/>
      <c r="L23" s="202"/>
      <c r="M23" s="202"/>
      <c r="N23" s="202"/>
      <c r="O23" s="202"/>
      <c r="P23" s="202"/>
    </row>
    <row r="24" spans="1:16">
      <c r="A24" s="281">
        <v>9</v>
      </c>
      <c r="B24" s="211" t="s">
        <v>531</v>
      </c>
      <c r="C24" s="202">
        <v>0</v>
      </c>
      <c r="D24" s="202">
        <v>0</v>
      </c>
      <c r="E24" s="202">
        <v>0</v>
      </c>
      <c r="F24" s="202">
        <v>0</v>
      </c>
      <c r="G24" s="202">
        <v>0</v>
      </c>
      <c r="H24" s="202">
        <v>0</v>
      </c>
      <c r="I24" s="202">
        <v>0</v>
      </c>
      <c r="J24" s="202">
        <v>0</v>
      </c>
      <c r="K24" s="202">
        <v>0</v>
      </c>
      <c r="L24" s="202">
        <v>0</v>
      </c>
      <c r="M24" s="202">
        <v>0</v>
      </c>
      <c r="N24" s="202">
        <v>0</v>
      </c>
      <c r="O24" s="202">
        <v>0</v>
      </c>
      <c r="P24" s="202">
        <v>0</v>
      </c>
    </row>
    <row r="25" spans="1:16">
      <c r="A25" s="281">
        <v>10</v>
      </c>
      <c r="C25" s="202"/>
      <c r="D25" s="202"/>
      <c r="E25" s="202"/>
      <c r="F25" s="202"/>
      <c r="G25" s="202"/>
      <c r="H25" s="202"/>
      <c r="I25" s="202"/>
      <c r="J25" s="202"/>
      <c r="K25" s="202"/>
      <c r="L25" s="202"/>
      <c r="M25" s="202"/>
      <c r="N25" s="202"/>
      <c r="O25" s="202"/>
      <c r="P25" s="202"/>
    </row>
    <row r="26" spans="1:16">
      <c r="A26" s="281">
        <v>11</v>
      </c>
      <c r="B26" s="211" t="s">
        <v>1325</v>
      </c>
      <c r="C26" s="261">
        <v>0</v>
      </c>
      <c r="D26" s="261">
        <v>0</v>
      </c>
      <c r="E26" s="261">
        <v>0</v>
      </c>
      <c r="F26" s="261">
        <v>0</v>
      </c>
      <c r="G26" s="261">
        <v>0</v>
      </c>
      <c r="H26" s="261">
        <v>0</v>
      </c>
      <c r="I26" s="261">
        <v>0</v>
      </c>
      <c r="J26" s="261">
        <v>0</v>
      </c>
      <c r="K26" s="261">
        <v>0</v>
      </c>
      <c r="L26" s="261">
        <v>0</v>
      </c>
      <c r="M26" s="261">
        <v>0</v>
      </c>
      <c r="N26" s="261">
        <v>0</v>
      </c>
      <c r="O26" s="261">
        <v>0</v>
      </c>
      <c r="P26" s="202">
        <v>0</v>
      </c>
    </row>
    <row r="27" spans="1:16">
      <c r="A27" s="281">
        <v>12</v>
      </c>
      <c r="C27" s="212"/>
      <c r="D27" s="212"/>
      <c r="E27" s="212"/>
      <c r="F27" s="212"/>
      <c r="G27" s="212"/>
      <c r="H27" s="212"/>
      <c r="I27" s="212"/>
      <c r="J27" s="212"/>
      <c r="K27" s="212"/>
      <c r="L27" s="212"/>
      <c r="M27" s="212"/>
      <c r="N27" s="212"/>
      <c r="O27" s="212"/>
      <c r="P27" s="1168"/>
    </row>
    <row r="28" spans="1:16" ht="12.75" thickBot="1">
      <c r="A28" s="281">
        <v>13</v>
      </c>
      <c r="B28" s="211" t="s">
        <v>1299</v>
      </c>
      <c r="C28" s="273">
        <v>0</v>
      </c>
      <c r="D28" s="273">
        <v>0</v>
      </c>
      <c r="E28" s="273">
        <v>0</v>
      </c>
      <c r="F28" s="273">
        <v>0</v>
      </c>
      <c r="G28" s="273">
        <v>0</v>
      </c>
      <c r="H28" s="273">
        <v>0</v>
      </c>
      <c r="I28" s="273">
        <v>0</v>
      </c>
      <c r="J28" s="273">
        <v>0</v>
      </c>
      <c r="K28" s="273">
        <v>0</v>
      </c>
      <c r="L28" s="273">
        <v>0</v>
      </c>
      <c r="M28" s="273">
        <v>0</v>
      </c>
      <c r="N28" s="273">
        <v>0</v>
      </c>
      <c r="O28" s="273">
        <v>0</v>
      </c>
      <c r="P28" s="273">
        <v>0</v>
      </c>
    </row>
    <row r="29" spans="1:16" ht="12.75" thickTop="1">
      <c r="A29" s="281">
        <v>14</v>
      </c>
      <c r="C29" s="203"/>
      <c r="D29" s="203"/>
      <c r="E29" s="203"/>
      <c r="F29" s="203"/>
      <c r="G29" s="203"/>
      <c r="H29" s="203"/>
      <c r="I29" s="203"/>
      <c r="J29" s="203"/>
      <c r="K29" s="203"/>
      <c r="L29" s="203"/>
      <c r="M29" s="203"/>
      <c r="N29" s="203"/>
      <c r="O29" s="203"/>
      <c r="P29" s="203"/>
    </row>
    <row r="30" spans="1:16">
      <c r="A30" s="281">
        <v>15</v>
      </c>
      <c r="C30" s="203"/>
      <c r="D30" s="203"/>
      <c r="E30" s="203"/>
      <c r="F30" s="203"/>
      <c r="G30" s="203"/>
      <c r="H30" s="203"/>
      <c r="I30" s="203"/>
      <c r="J30" s="203"/>
      <c r="K30" s="203"/>
      <c r="L30" s="203"/>
      <c r="M30" s="203"/>
      <c r="N30" s="203"/>
      <c r="O30" s="203"/>
      <c r="P30" s="203"/>
    </row>
    <row r="31" spans="1:16">
      <c r="A31" s="281">
        <v>16</v>
      </c>
      <c r="B31" s="203" t="s">
        <v>1300</v>
      </c>
      <c r="C31" s="203"/>
      <c r="D31" s="203"/>
      <c r="E31" s="203"/>
      <c r="F31" s="203"/>
      <c r="G31" s="203"/>
      <c r="H31" s="203"/>
      <c r="I31" s="203"/>
      <c r="J31" s="203"/>
      <c r="K31" s="203"/>
      <c r="L31" s="203"/>
      <c r="M31" s="203"/>
      <c r="N31" s="203"/>
      <c r="O31" s="203"/>
      <c r="P31" s="203"/>
    </row>
    <row r="32" spans="1:16">
      <c r="A32" s="281">
        <v>17</v>
      </c>
      <c r="C32" s="202"/>
      <c r="D32" s="202"/>
      <c r="E32" s="202"/>
      <c r="F32" s="202"/>
      <c r="G32" s="202"/>
      <c r="H32" s="202"/>
      <c r="I32" s="202"/>
      <c r="J32" s="202"/>
      <c r="K32" s="202"/>
      <c r="L32" s="202"/>
      <c r="M32" s="202"/>
      <c r="N32" s="202"/>
      <c r="O32" s="202"/>
      <c r="P32" s="202"/>
    </row>
    <row r="33" spans="1:16">
      <c r="A33" s="281">
        <v>18</v>
      </c>
      <c r="B33" s="211" t="s">
        <v>824</v>
      </c>
      <c r="C33" s="310">
        <v>62788.31</v>
      </c>
      <c r="D33" s="310">
        <v>62788.31</v>
      </c>
      <c r="E33" s="310">
        <v>126544.31</v>
      </c>
      <c r="F33" s="310">
        <v>126544.31</v>
      </c>
      <c r="G33" s="310">
        <v>126544.31</v>
      </c>
      <c r="H33" s="310">
        <v>126544.31</v>
      </c>
      <c r="I33" s="310">
        <v>126544.31</v>
      </c>
      <c r="J33" s="310">
        <v>126544.31</v>
      </c>
      <c r="K33" s="310">
        <v>126544.31</v>
      </c>
      <c r="L33" s="310">
        <v>126544.31</v>
      </c>
      <c r="M33" s="310">
        <v>126544.31</v>
      </c>
      <c r="N33" s="310">
        <v>126544.31</v>
      </c>
      <c r="O33" s="310">
        <v>126544.31</v>
      </c>
      <c r="P33" s="202">
        <v>116736</v>
      </c>
    </row>
    <row r="34" spans="1:16">
      <c r="A34" s="281">
        <v>19</v>
      </c>
      <c r="C34" s="202"/>
      <c r="D34" s="202"/>
      <c r="E34" s="202"/>
      <c r="F34" s="202"/>
      <c r="G34" s="202"/>
      <c r="H34" s="202"/>
      <c r="I34" s="202"/>
      <c r="J34" s="202"/>
      <c r="K34" s="202"/>
      <c r="L34" s="202"/>
      <c r="M34" s="202"/>
      <c r="N34" s="202"/>
      <c r="O34" s="202"/>
      <c r="P34" s="202"/>
    </row>
    <row r="35" spans="1:16">
      <c r="A35" s="281">
        <v>20</v>
      </c>
      <c r="B35" s="211" t="s">
        <v>825</v>
      </c>
      <c r="C35" s="202">
        <v>693558.96</v>
      </c>
      <c r="D35" s="202">
        <v>693558.96</v>
      </c>
      <c r="E35" s="202">
        <v>693558.96</v>
      </c>
      <c r="F35" s="202">
        <v>693558.96</v>
      </c>
      <c r="G35" s="202">
        <v>693558.96</v>
      </c>
      <c r="H35" s="202">
        <v>693558.96</v>
      </c>
      <c r="I35" s="202">
        <v>693558.96</v>
      </c>
      <c r="J35" s="202">
        <v>693558.96</v>
      </c>
      <c r="K35" s="202">
        <v>693558.96</v>
      </c>
      <c r="L35" s="202">
        <v>693558.96</v>
      </c>
      <c r="M35" s="202">
        <v>693558.96</v>
      </c>
      <c r="N35" s="202">
        <v>693558.96</v>
      </c>
      <c r="O35" s="202">
        <v>693558.96</v>
      </c>
      <c r="P35" s="202">
        <v>693559</v>
      </c>
    </row>
    <row r="36" spans="1:16">
      <c r="A36" s="281">
        <v>21</v>
      </c>
      <c r="C36" s="202"/>
      <c r="D36" s="202"/>
      <c r="E36" s="202"/>
      <c r="F36" s="202"/>
      <c r="G36" s="202"/>
      <c r="H36" s="202"/>
      <c r="I36" s="202"/>
      <c r="J36" s="202"/>
      <c r="K36" s="202"/>
      <c r="L36" s="202"/>
      <c r="M36" s="202"/>
      <c r="N36" s="202"/>
      <c r="O36" s="202"/>
      <c r="P36" s="202"/>
    </row>
    <row r="37" spans="1:16">
      <c r="A37" s="281">
        <v>22</v>
      </c>
      <c r="B37" s="211" t="s">
        <v>531</v>
      </c>
      <c r="C37" s="202">
        <v>1914424.0299999998</v>
      </c>
      <c r="D37" s="202">
        <v>1914424.0299999998</v>
      </c>
      <c r="E37" s="202">
        <v>1914424.0299999998</v>
      </c>
      <c r="F37" s="202">
        <v>1914424.0299999998</v>
      </c>
      <c r="G37" s="202">
        <v>1914424.0299999998</v>
      </c>
      <c r="H37" s="202">
        <v>1914424.0299999998</v>
      </c>
      <c r="I37" s="202">
        <v>1914424.0299999998</v>
      </c>
      <c r="J37" s="202">
        <v>1914424.0299999998</v>
      </c>
      <c r="K37" s="202">
        <v>1914424.0299999998</v>
      </c>
      <c r="L37" s="202">
        <v>1914424.0299999998</v>
      </c>
      <c r="M37" s="202">
        <v>1914424.0299999998</v>
      </c>
      <c r="N37" s="202">
        <v>1914424.0299999998</v>
      </c>
      <c r="O37" s="202">
        <v>1914424.0299999998</v>
      </c>
      <c r="P37" s="202">
        <v>1914424</v>
      </c>
    </row>
    <row r="38" spans="1:16">
      <c r="A38" s="281">
        <v>23</v>
      </c>
      <c r="C38" s="202"/>
      <c r="D38" s="202"/>
      <c r="E38" s="202"/>
      <c r="F38" s="202"/>
      <c r="G38" s="202"/>
      <c r="H38" s="202"/>
      <c r="I38" s="202"/>
      <c r="J38" s="202"/>
      <c r="K38" s="202"/>
      <c r="L38" s="202"/>
      <c r="M38" s="202"/>
      <c r="N38" s="202"/>
      <c r="O38" s="202"/>
      <c r="P38" s="202"/>
    </row>
    <row r="39" spans="1:16">
      <c r="A39" s="281">
        <v>24</v>
      </c>
      <c r="B39" s="211" t="s">
        <v>1325</v>
      </c>
      <c r="C39" s="202">
        <v>419944.93</v>
      </c>
      <c r="D39" s="202">
        <v>419944.93</v>
      </c>
      <c r="E39" s="202">
        <v>419944.93</v>
      </c>
      <c r="F39" s="202">
        <v>419944.93</v>
      </c>
      <c r="G39" s="202">
        <v>419944.93</v>
      </c>
      <c r="H39" s="202">
        <v>419986.93</v>
      </c>
      <c r="I39" s="202">
        <v>419986.93</v>
      </c>
      <c r="J39" s="202">
        <v>419986.93</v>
      </c>
      <c r="K39" s="202">
        <v>419986.93</v>
      </c>
      <c r="L39" s="202">
        <v>419986.93</v>
      </c>
      <c r="M39" s="202">
        <v>419986.93</v>
      </c>
      <c r="N39" s="202">
        <v>419965.93</v>
      </c>
      <c r="O39" s="202">
        <v>419965.93</v>
      </c>
      <c r="P39" s="202">
        <v>419968</v>
      </c>
    </row>
    <row r="40" spans="1:16">
      <c r="A40" s="281">
        <v>25</v>
      </c>
      <c r="C40" s="261"/>
      <c r="D40" s="261"/>
      <c r="E40" s="261"/>
      <c r="F40" s="261"/>
      <c r="G40" s="261"/>
      <c r="H40" s="261"/>
      <c r="I40" s="261"/>
      <c r="J40" s="261"/>
      <c r="K40" s="261"/>
      <c r="L40" s="261"/>
      <c r="M40" s="261"/>
      <c r="N40" s="261"/>
      <c r="O40" s="261"/>
      <c r="P40" s="202"/>
    </row>
    <row r="41" spans="1:16">
      <c r="A41" s="281">
        <v>26</v>
      </c>
      <c r="C41" s="212"/>
      <c r="D41" s="212"/>
      <c r="E41" s="212"/>
      <c r="F41" s="212"/>
      <c r="G41" s="212"/>
      <c r="H41" s="212"/>
      <c r="I41" s="212"/>
      <c r="J41" s="212"/>
      <c r="K41" s="212"/>
      <c r="L41" s="212"/>
      <c r="M41" s="212"/>
      <c r="N41" s="212"/>
      <c r="O41" s="212"/>
      <c r="P41" s="1168"/>
    </row>
    <row r="42" spans="1:16" ht="12.75" thickBot="1">
      <c r="A42" s="281">
        <v>27</v>
      </c>
      <c r="B42" s="211" t="s">
        <v>1299</v>
      </c>
      <c r="C42" s="273">
        <v>3090716.23</v>
      </c>
      <c r="D42" s="273">
        <v>3090716.23</v>
      </c>
      <c r="E42" s="273">
        <v>3154472.23</v>
      </c>
      <c r="F42" s="273">
        <v>3154472.23</v>
      </c>
      <c r="G42" s="273">
        <v>3154472.23</v>
      </c>
      <c r="H42" s="273">
        <v>3154514.23</v>
      </c>
      <c r="I42" s="273">
        <v>3154514.23</v>
      </c>
      <c r="J42" s="273">
        <v>3154514.23</v>
      </c>
      <c r="K42" s="273">
        <v>3154514.23</v>
      </c>
      <c r="L42" s="273">
        <v>3154514.23</v>
      </c>
      <c r="M42" s="273">
        <v>3154514.23</v>
      </c>
      <c r="N42" s="273">
        <v>3154493.23</v>
      </c>
      <c r="O42" s="273">
        <v>3154493.23</v>
      </c>
      <c r="P42" s="273">
        <v>3144687</v>
      </c>
    </row>
    <row r="43" spans="1:16" ht="12.75" thickTop="1">
      <c r="A43" s="210"/>
      <c r="B43" s="203"/>
      <c r="C43" s="203"/>
      <c r="D43" s="203"/>
      <c r="E43" s="203"/>
      <c r="F43" s="203"/>
      <c r="G43" s="203"/>
      <c r="H43" s="203"/>
      <c r="I43" s="203"/>
      <c r="J43" s="203"/>
      <c r="K43" s="203"/>
      <c r="L43" s="203"/>
      <c r="M43" s="203"/>
      <c r="N43" s="203"/>
      <c r="O43" s="203"/>
      <c r="P43" s="203"/>
    </row>
    <row r="44" spans="1:16">
      <c r="A44" s="203"/>
      <c r="B44" s="203"/>
      <c r="C44" s="203"/>
      <c r="D44" s="203"/>
      <c r="E44" s="203"/>
      <c r="F44" s="203"/>
      <c r="G44" s="203"/>
      <c r="H44" s="203"/>
      <c r="I44" s="203"/>
      <c r="J44" s="203"/>
      <c r="K44" s="203"/>
      <c r="L44" s="203"/>
      <c r="M44" s="203"/>
      <c r="N44" s="203"/>
      <c r="O44" s="203"/>
      <c r="P44" s="203"/>
    </row>
    <row r="45" spans="1:16">
      <c r="A45" s="203"/>
      <c r="B45" s="203"/>
      <c r="C45" s="203"/>
      <c r="D45" s="203"/>
      <c r="E45" s="203"/>
      <c r="F45" s="203"/>
      <c r="G45" s="203"/>
      <c r="H45" s="203"/>
      <c r="I45" s="203"/>
      <c r="J45" s="203"/>
      <c r="K45" s="203"/>
      <c r="L45" s="203"/>
      <c r="M45" s="203"/>
      <c r="N45" s="203"/>
      <c r="O45" s="203"/>
      <c r="P45" s="203"/>
    </row>
    <row r="46" spans="1:16">
      <c r="A46" s="203"/>
      <c r="B46" s="203" t="s">
        <v>3247</v>
      </c>
      <c r="C46" s="203"/>
      <c r="D46" s="203"/>
      <c r="E46" s="203"/>
      <c r="F46" s="203"/>
      <c r="G46" s="203"/>
      <c r="H46" s="203"/>
      <c r="I46" s="203"/>
      <c r="J46" s="203"/>
      <c r="K46" s="203"/>
      <c r="L46" s="203"/>
      <c r="M46" s="203"/>
      <c r="N46" s="203"/>
      <c r="O46" s="203"/>
      <c r="P46" s="203"/>
    </row>
    <row r="47" spans="1:16">
      <c r="A47" s="203"/>
      <c r="B47" s="203"/>
      <c r="C47" s="203"/>
      <c r="D47" s="203"/>
      <c r="E47" s="203"/>
      <c r="F47" s="203"/>
      <c r="G47" s="203"/>
      <c r="H47" s="203"/>
      <c r="I47" s="203"/>
      <c r="J47" s="203"/>
      <c r="K47" s="203"/>
      <c r="L47" s="203"/>
      <c r="M47" s="203"/>
      <c r="N47" s="203"/>
      <c r="O47" s="203"/>
      <c r="P47" s="203"/>
    </row>
    <row r="69" spans="1:1">
      <c r="A69" s="203"/>
    </row>
    <row r="86" spans="1:1">
      <c r="A86" s="286"/>
    </row>
    <row r="87" spans="1:1">
      <c r="A87" s="286"/>
    </row>
    <row r="88" spans="1:1">
      <c r="A88" s="286"/>
    </row>
    <row r="89" spans="1:1">
      <c r="A89" s="286"/>
    </row>
    <row r="90" spans="1:1">
      <c r="A90" s="286"/>
    </row>
    <row r="91" spans="1:1">
      <c r="A91" s="286"/>
    </row>
    <row r="92" spans="1:1">
      <c r="A92" s="286"/>
    </row>
    <row r="93" spans="1:1">
      <c r="A93" s="286"/>
    </row>
    <row r="94" spans="1:1">
      <c r="A94" s="286"/>
    </row>
    <row r="95" spans="1:1">
      <c r="A95" s="286"/>
    </row>
    <row r="96" spans="1:1">
      <c r="A96" s="286"/>
    </row>
    <row r="97" spans="1:1">
      <c r="A97" s="286"/>
    </row>
    <row r="98" spans="1:1">
      <c r="A98" s="286"/>
    </row>
    <row r="99" spans="1:1">
      <c r="A99" s="286"/>
    </row>
    <row r="100" spans="1:1">
      <c r="A100" s="286"/>
    </row>
    <row r="101" spans="1:1">
      <c r="A101" s="286"/>
    </row>
    <row r="102" spans="1:1">
      <c r="A102" s="286"/>
    </row>
    <row r="103" spans="1:1">
      <c r="A103" s="286"/>
    </row>
    <row r="104" spans="1:1">
      <c r="A104" s="286"/>
    </row>
    <row r="105" spans="1:1">
      <c r="A105" s="286"/>
    </row>
    <row r="106" spans="1:1">
      <c r="A106" s="286"/>
    </row>
    <row r="107" spans="1:1">
      <c r="A107" s="286"/>
    </row>
    <row r="108" spans="1:1">
      <c r="A108" s="286"/>
    </row>
    <row r="109" spans="1:1">
      <c r="A109" s="286"/>
    </row>
    <row r="110" spans="1:1">
      <c r="A110" s="286"/>
    </row>
    <row r="111" spans="1:1">
      <c r="A111" s="286"/>
    </row>
    <row r="112" spans="1:1">
      <c r="A112" s="286"/>
    </row>
    <row r="113" spans="1:1">
      <c r="A113" s="286"/>
    </row>
    <row r="114" spans="1:1">
      <c r="A114" s="286"/>
    </row>
    <row r="115" spans="1:1">
      <c r="A115" s="286"/>
    </row>
    <row r="116" spans="1:1">
      <c r="A116" s="286"/>
    </row>
    <row r="117" spans="1:1">
      <c r="A117" s="286"/>
    </row>
    <row r="118" spans="1:1">
      <c r="A118" s="286"/>
    </row>
    <row r="119" spans="1:1">
      <c r="A119" s="286"/>
    </row>
    <row r="120" spans="1:1">
      <c r="A120" s="286"/>
    </row>
    <row r="121" spans="1:1">
      <c r="A121" s="286"/>
    </row>
    <row r="122" spans="1:1">
      <c r="A122" s="286"/>
    </row>
    <row r="123" spans="1:1">
      <c r="A123" s="286"/>
    </row>
    <row r="124" spans="1:1">
      <c r="A124" s="286"/>
    </row>
    <row r="125" spans="1:1">
      <c r="A125" s="286"/>
    </row>
    <row r="126" spans="1:1">
      <c r="A126" s="286"/>
    </row>
    <row r="127" spans="1:1">
      <c r="A127" s="286"/>
    </row>
    <row r="128" spans="1:1">
      <c r="A128" s="286"/>
    </row>
    <row r="129" spans="1:1">
      <c r="A129" s="286"/>
    </row>
    <row r="130" spans="1:1">
      <c r="A130" s="286"/>
    </row>
    <row r="131" spans="1:1">
      <c r="A131" s="286"/>
    </row>
    <row r="132" spans="1:1">
      <c r="A132" s="286"/>
    </row>
    <row r="133" spans="1:1">
      <c r="A133" s="286"/>
    </row>
    <row r="134" spans="1:1">
      <c r="A134" s="286"/>
    </row>
    <row r="135" spans="1:1">
      <c r="A135" s="286"/>
    </row>
    <row r="136" spans="1:1">
      <c r="A136" s="286"/>
    </row>
    <row r="137" spans="1:1">
      <c r="A137" s="286"/>
    </row>
    <row r="138" spans="1:1">
      <c r="A138" s="286"/>
    </row>
    <row r="139" spans="1:1">
      <c r="A139" s="286"/>
    </row>
    <row r="140" spans="1:1">
      <c r="A140" s="286"/>
    </row>
  </sheetData>
  <mergeCells count="1">
    <mergeCell ref="A10:P11"/>
  </mergeCells>
  <phoneticPr fontId="27" type="noConversion"/>
  <pageMargins left="0.75" right="0.5" top="0.75" bottom="0.5" header="0.25" footer="0.25"/>
  <pageSetup scale="68"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17">
    <pageSetUpPr fitToPage="1"/>
  </sheetPr>
  <dimension ref="A1:E103"/>
  <sheetViews>
    <sheetView view="pageBreakPreview" zoomScale="60" zoomScaleNormal="100" workbookViewId="0">
      <selection sqref="A1:XFD1048576"/>
    </sheetView>
  </sheetViews>
  <sheetFormatPr defaultColWidth="10.85546875" defaultRowHeight="12"/>
  <cols>
    <col min="1" max="1" width="7.85546875" style="991" customWidth="1"/>
    <col min="2" max="2" width="42.85546875" style="991" customWidth="1"/>
    <col min="3" max="3" width="17.85546875" style="991" customWidth="1"/>
    <col min="4" max="4" width="17.7109375" style="991" customWidth="1"/>
    <col min="5" max="16384" width="10.85546875" style="991"/>
  </cols>
  <sheetData>
    <row r="1" spans="1:5">
      <c r="A1" s="117" t="s">
        <v>2258</v>
      </c>
      <c r="B1" s="117"/>
      <c r="C1" s="193" t="s">
        <v>1209</v>
      </c>
      <c r="D1" s="120"/>
      <c r="E1" s="120"/>
    </row>
    <row r="2" spans="1:5">
      <c r="A2" s="117" t="s">
        <v>624</v>
      </c>
      <c r="B2" s="117"/>
      <c r="C2" s="117"/>
      <c r="D2" s="120"/>
      <c r="E2" s="120"/>
    </row>
    <row r="3" spans="1:5">
      <c r="A3" s="117"/>
      <c r="B3" s="117"/>
      <c r="C3" s="117"/>
      <c r="D3" s="120"/>
      <c r="E3" s="120"/>
    </row>
    <row r="4" spans="1:5">
      <c r="A4" s="117" t="s">
        <v>2644</v>
      </c>
      <c r="B4" s="117"/>
      <c r="C4" s="1651" t="s">
        <v>2259</v>
      </c>
      <c r="D4" s="120"/>
      <c r="E4" s="120"/>
    </row>
    <row r="5" spans="1:5">
      <c r="A5" s="117" t="s">
        <v>2645</v>
      </c>
      <c r="B5" s="117"/>
      <c r="C5" s="123" t="s">
        <v>766</v>
      </c>
      <c r="D5" s="120"/>
      <c r="E5" s="120"/>
    </row>
    <row r="6" spans="1:5">
      <c r="A6" s="117" t="s">
        <v>1936</v>
      </c>
      <c r="B6" s="117"/>
      <c r="C6" s="117" t="s">
        <v>2948</v>
      </c>
      <c r="D6" s="117"/>
      <c r="E6" s="120"/>
    </row>
    <row r="7" spans="1:5" ht="12" customHeight="1">
      <c r="A7" s="117"/>
      <c r="B7" s="117"/>
      <c r="C7" s="117"/>
      <c r="D7" s="117"/>
      <c r="E7" s="120"/>
    </row>
    <row r="8" spans="1:5">
      <c r="A8" s="2294" t="s">
        <v>2260</v>
      </c>
      <c r="B8" s="2297"/>
      <c r="C8" s="2297"/>
      <c r="D8" s="2297"/>
      <c r="E8" s="120"/>
    </row>
    <row r="9" spans="1:5">
      <c r="A9" s="2297"/>
      <c r="B9" s="2297"/>
      <c r="C9" s="2297"/>
      <c r="D9" s="2297"/>
      <c r="E9" s="120"/>
    </row>
    <row r="10" spans="1:5">
      <c r="A10" s="2297"/>
      <c r="B10" s="2297"/>
      <c r="C10" s="2297"/>
      <c r="D10" s="2297"/>
      <c r="E10" s="120"/>
    </row>
    <row r="11" spans="1:5">
      <c r="A11" s="2297"/>
      <c r="B11" s="2297"/>
      <c r="C11" s="2297"/>
      <c r="D11" s="2297"/>
      <c r="E11" s="120"/>
    </row>
    <row r="12" spans="1:5">
      <c r="A12" s="2297"/>
      <c r="B12" s="2297"/>
      <c r="C12" s="2297"/>
      <c r="D12" s="2297"/>
      <c r="E12" s="120"/>
    </row>
    <row r="13" spans="1:5">
      <c r="A13" s="2297"/>
      <c r="B13" s="2297"/>
      <c r="C13" s="2297"/>
      <c r="D13" s="2297"/>
      <c r="E13" s="120"/>
    </row>
    <row r="14" spans="1:5">
      <c r="A14" s="2297"/>
      <c r="B14" s="2297"/>
      <c r="C14" s="2297"/>
      <c r="D14" s="2297"/>
      <c r="E14" s="120"/>
    </row>
    <row r="15" spans="1:5" ht="12.75" thickBot="1">
      <c r="A15" s="1650"/>
      <c r="B15" s="194"/>
      <c r="C15" s="194"/>
      <c r="D15" s="194"/>
      <c r="E15" s="120"/>
    </row>
    <row r="16" spans="1:5" ht="14.25">
      <c r="A16" s="1623" t="s">
        <v>53</v>
      </c>
      <c r="B16" s="117"/>
      <c r="C16" s="147" t="s">
        <v>626</v>
      </c>
      <c r="D16" s="147"/>
      <c r="E16" s="120"/>
    </row>
    <row r="17" spans="1:5">
      <c r="A17" s="1477" t="s">
        <v>730</v>
      </c>
      <c r="B17" s="805" t="s">
        <v>731</v>
      </c>
      <c r="C17" s="1477" t="s">
        <v>498</v>
      </c>
      <c r="D17" s="1477" t="s">
        <v>499</v>
      </c>
      <c r="E17" s="120"/>
    </row>
    <row r="18" spans="1:5">
      <c r="A18" s="1022">
        <v>1</v>
      </c>
      <c r="B18" s="1634" t="s">
        <v>2640</v>
      </c>
      <c r="C18" s="1635"/>
      <c r="D18" s="1635">
        <v>1662665</v>
      </c>
      <c r="E18" s="16"/>
    </row>
    <row r="19" spans="1:5">
      <c r="A19" s="1022">
        <v>2</v>
      </c>
      <c r="B19" s="1634" t="s">
        <v>1538</v>
      </c>
      <c r="C19" s="1636"/>
      <c r="D19" s="1636">
        <v>80221</v>
      </c>
      <c r="E19" s="16"/>
    </row>
    <row r="20" spans="1:5">
      <c r="A20" s="1022">
        <v>3</v>
      </c>
      <c r="B20" s="1634" t="s">
        <v>1537</v>
      </c>
      <c r="C20" s="1636"/>
      <c r="D20" s="1636"/>
      <c r="E20" s="16"/>
    </row>
    <row r="21" spans="1:5">
      <c r="A21" s="1022">
        <v>4</v>
      </c>
      <c r="B21" s="1634" t="s">
        <v>2247</v>
      </c>
      <c r="C21" s="1636"/>
      <c r="D21" s="1636">
        <v>-1</v>
      </c>
      <c r="E21" s="16"/>
    </row>
    <row r="22" spans="1:5">
      <c r="A22" s="1022">
        <v>5</v>
      </c>
      <c r="B22" s="1637" t="s">
        <v>2248</v>
      </c>
      <c r="C22" s="1638">
        <v>0</v>
      </c>
      <c r="D22" s="1638">
        <v>1742885</v>
      </c>
      <c r="E22" s="16"/>
    </row>
    <row r="23" spans="1:5">
      <c r="A23" s="1022">
        <v>6</v>
      </c>
      <c r="B23" s="1634" t="s">
        <v>1538</v>
      </c>
      <c r="C23" s="1639"/>
      <c r="D23" s="1639">
        <v>89568</v>
      </c>
      <c r="E23" s="16"/>
    </row>
    <row r="24" spans="1:5">
      <c r="A24" s="1022">
        <v>7</v>
      </c>
      <c r="B24" s="1634" t="s">
        <v>1537</v>
      </c>
      <c r="C24" s="1639"/>
      <c r="D24" s="1639"/>
      <c r="E24" s="16"/>
    </row>
    <row r="25" spans="1:5">
      <c r="A25" s="1022">
        <v>8</v>
      </c>
      <c r="B25" s="1634" t="s">
        <v>2247</v>
      </c>
      <c r="C25" s="1639"/>
      <c r="D25" s="1639"/>
      <c r="E25" s="16"/>
    </row>
    <row r="26" spans="1:5">
      <c r="A26" s="1022">
        <v>9</v>
      </c>
      <c r="B26" s="1637" t="s">
        <v>2249</v>
      </c>
      <c r="C26" s="1640">
        <v>0</v>
      </c>
      <c r="D26" s="1640">
        <v>1832453</v>
      </c>
      <c r="E26" s="16"/>
    </row>
    <row r="27" spans="1:5">
      <c r="A27" s="1022">
        <v>10</v>
      </c>
      <c r="B27" s="1634" t="s">
        <v>1538</v>
      </c>
      <c r="C27" s="1636"/>
      <c r="D27" s="1636">
        <v>94549</v>
      </c>
      <c r="E27" s="16"/>
    </row>
    <row r="28" spans="1:5">
      <c r="A28" s="1022">
        <v>11</v>
      </c>
      <c r="B28" s="1634" t="s">
        <v>1537</v>
      </c>
      <c r="C28" s="1636"/>
      <c r="D28" s="1636"/>
      <c r="E28" s="16"/>
    </row>
    <row r="29" spans="1:5">
      <c r="A29" s="1022">
        <v>12</v>
      </c>
      <c r="B29" s="1634" t="s">
        <v>2247</v>
      </c>
      <c r="C29" s="1636"/>
      <c r="D29" s="1636"/>
      <c r="E29" s="16"/>
    </row>
    <row r="30" spans="1:5">
      <c r="A30" s="1022">
        <v>13</v>
      </c>
      <c r="B30" s="1637" t="s">
        <v>2250</v>
      </c>
      <c r="C30" s="1638">
        <v>0</v>
      </c>
      <c r="D30" s="1638">
        <v>1927002</v>
      </c>
      <c r="E30" s="16"/>
    </row>
    <row r="31" spans="1:5">
      <c r="A31" s="1022">
        <v>14</v>
      </c>
      <c r="B31" s="1634" t="s">
        <v>1538</v>
      </c>
      <c r="C31" s="1639"/>
      <c r="D31" s="1639">
        <v>94676</v>
      </c>
      <c r="E31" s="16"/>
    </row>
    <row r="32" spans="1:5">
      <c r="A32" s="1022">
        <v>15</v>
      </c>
      <c r="B32" s="1634" t="s">
        <v>1537</v>
      </c>
      <c r="C32" s="1639"/>
      <c r="D32" s="1639"/>
      <c r="E32" s="16"/>
    </row>
    <row r="33" spans="1:5">
      <c r="A33" s="1022">
        <v>16</v>
      </c>
      <c r="B33" s="1634" t="s">
        <v>2247</v>
      </c>
      <c r="C33" s="1639"/>
      <c r="D33" s="1639"/>
      <c r="E33" s="16"/>
    </row>
    <row r="34" spans="1:5">
      <c r="A34" s="1022">
        <v>17</v>
      </c>
      <c r="B34" s="1637" t="s">
        <v>2251</v>
      </c>
      <c r="C34" s="1640">
        <v>0</v>
      </c>
      <c r="D34" s="1640">
        <v>2021678</v>
      </c>
      <c r="E34" s="16"/>
    </row>
    <row r="35" spans="1:5">
      <c r="A35" s="1022">
        <v>18</v>
      </c>
      <c r="B35" s="1634" t="s">
        <v>1538</v>
      </c>
      <c r="C35" s="1636"/>
      <c r="D35" s="1636">
        <v>103966</v>
      </c>
      <c r="E35" s="16"/>
    </row>
    <row r="36" spans="1:5">
      <c r="A36" s="1022">
        <v>19</v>
      </c>
      <c r="B36" s="1634" t="s">
        <v>1537</v>
      </c>
      <c r="C36" s="1636"/>
      <c r="D36" s="1636"/>
      <c r="E36" s="16"/>
    </row>
    <row r="37" spans="1:5">
      <c r="A37" s="1022">
        <v>20</v>
      </c>
      <c r="B37" s="1634" t="s">
        <v>2642</v>
      </c>
      <c r="C37" s="1636"/>
      <c r="D37" s="1636">
        <v>-6317</v>
      </c>
      <c r="E37" s="16"/>
    </row>
    <row r="38" spans="1:5">
      <c r="A38" s="1022">
        <v>21</v>
      </c>
      <c r="B38" s="1637" t="s">
        <v>2252</v>
      </c>
      <c r="C38" s="1638">
        <v>0</v>
      </c>
      <c r="D38" s="1638">
        <v>2119327</v>
      </c>
      <c r="E38" s="16"/>
    </row>
    <row r="39" spans="1:5">
      <c r="A39" s="1022">
        <v>22</v>
      </c>
      <c r="B39" s="1634" t="s">
        <v>1538</v>
      </c>
      <c r="C39" s="1639"/>
      <c r="D39" s="1639">
        <v>95407</v>
      </c>
      <c r="E39" s="16"/>
    </row>
    <row r="40" spans="1:5">
      <c r="A40" s="1022">
        <v>23</v>
      </c>
      <c r="B40" s="1634" t="s">
        <v>1537</v>
      </c>
      <c r="C40" s="1639"/>
      <c r="D40" s="1639"/>
      <c r="E40" s="16"/>
    </row>
    <row r="41" spans="1:5">
      <c r="A41" s="1022">
        <v>24</v>
      </c>
      <c r="B41" s="1634" t="s">
        <v>2247</v>
      </c>
      <c r="C41" s="1639"/>
      <c r="D41" s="1639">
        <v>-1</v>
      </c>
      <c r="E41" s="16"/>
    </row>
    <row r="42" spans="1:5">
      <c r="A42" s="1022">
        <v>25</v>
      </c>
      <c r="B42" s="1637" t="s">
        <v>2253</v>
      </c>
      <c r="C42" s="1640">
        <v>0</v>
      </c>
      <c r="D42" s="1640">
        <v>2214733</v>
      </c>
      <c r="E42" s="16"/>
    </row>
    <row r="43" spans="1:5">
      <c r="A43" s="1022">
        <v>26</v>
      </c>
      <c r="B43" s="1634" t="s">
        <v>1538</v>
      </c>
      <c r="C43" s="1636"/>
      <c r="D43" s="1636">
        <v>95763</v>
      </c>
      <c r="E43" s="16"/>
    </row>
    <row r="44" spans="1:5">
      <c r="A44" s="1022">
        <v>27</v>
      </c>
      <c r="B44" s="1634" t="s">
        <v>1537</v>
      </c>
      <c r="C44" s="1636"/>
      <c r="D44" s="1636"/>
      <c r="E44" s="16"/>
    </row>
    <row r="45" spans="1:5">
      <c r="A45" s="1022">
        <v>28</v>
      </c>
      <c r="B45" s="1634" t="s">
        <v>2247</v>
      </c>
      <c r="C45" s="1636"/>
      <c r="D45" s="1636"/>
      <c r="E45" s="16"/>
    </row>
    <row r="46" spans="1:5">
      <c r="A46" s="1022">
        <v>29</v>
      </c>
      <c r="B46" s="1637" t="s">
        <v>2254</v>
      </c>
      <c r="C46" s="1638">
        <v>0</v>
      </c>
      <c r="D46" s="1638">
        <v>2310496</v>
      </c>
      <c r="E46" s="16"/>
    </row>
    <row r="47" spans="1:5">
      <c r="A47" s="1022">
        <v>30</v>
      </c>
      <c r="B47" s="1634" t="s">
        <v>1538</v>
      </c>
      <c r="C47" s="1639"/>
      <c r="D47" s="1639">
        <v>97217</v>
      </c>
      <c r="E47" s="16"/>
    </row>
    <row r="48" spans="1:5">
      <c r="A48" s="1022">
        <v>31</v>
      </c>
      <c r="B48" s="1634" t="s">
        <v>1537</v>
      </c>
      <c r="C48" s="1639"/>
      <c r="D48" s="1639"/>
      <c r="E48" s="16"/>
    </row>
    <row r="49" spans="1:5">
      <c r="A49" s="1022">
        <v>32</v>
      </c>
      <c r="B49" s="1634" t="s">
        <v>2247</v>
      </c>
      <c r="C49" s="1639"/>
      <c r="D49" s="1639">
        <v>-1</v>
      </c>
      <c r="E49" s="16"/>
    </row>
    <row r="50" spans="1:5">
      <c r="A50" s="1022">
        <v>33</v>
      </c>
      <c r="B50" s="1637" t="s">
        <v>2255</v>
      </c>
      <c r="C50" s="1640">
        <v>0</v>
      </c>
      <c r="D50" s="1640">
        <v>2407712</v>
      </c>
      <c r="E50" s="16"/>
    </row>
    <row r="51" spans="1:5">
      <c r="A51" s="1641"/>
      <c r="B51" s="1634"/>
      <c r="C51" s="1642"/>
      <c r="D51" s="1642"/>
      <c r="E51" s="16"/>
    </row>
    <row r="52" spans="1:5">
      <c r="A52" s="120"/>
      <c r="B52" s="1634"/>
      <c r="C52" s="120"/>
      <c r="D52" s="120"/>
      <c r="E52" s="120"/>
    </row>
    <row r="53" spans="1:5">
      <c r="A53" s="148"/>
      <c r="B53" s="1652"/>
      <c r="C53" s="153"/>
      <c r="D53" s="153"/>
      <c r="E53" s="120"/>
    </row>
    <row r="54" spans="1:5">
      <c r="A54" s="120"/>
      <c r="B54" s="120"/>
      <c r="C54" s="120"/>
      <c r="D54" s="120"/>
      <c r="E54" s="120"/>
    </row>
    <row r="55" spans="1:5">
      <c r="A55" s="120"/>
      <c r="B55" s="120"/>
      <c r="C55" s="120"/>
      <c r="D55" s="120"/>
      <c r="E55" s="120"/>
    </row>
    <row r="56" spans="1:5">
      <c r="A56" s="120"/>
      <c r="B56" s="120"/>
      <c r="C56" s="120"/>
      <c r="D56" s="120"/>
      <c r="E56" s="120"/>
    </row>
    <row r="57" spans="1:5">
      <c r="A57" s="120"/>
      <c r="B57" s="120"/>
      <c r="C57" s="120"/>
      <c r="D57" s="120"/>
      <c r="E57" s="120"/>
    </row>
    <row r="58" spans="1:5">
      <c r="A58" s="120"/>
      <c r="B58" s="120"/>
      <c r="C58" s="120"/>
      <c r="D58" s="120"/>
      <c r="E58" s="120"/>
    </row>
    <row r="59" spans="1:5">
      <c r="A59" s="120"/>
      <c r="B59" s="120"/>
      <c r="C59" s="120"/>
      <c r="D59" s="120"/>
      <c r="E59" s="120"/>
    </row>
    <row r="60" spans="1:5">
      <c r="A60" s="120"/>
      <c r="B60" s="120"/>
      <c r="C60" s="120"/>
      <c r="D60" s="120"/>
      <c r="E60" s="120"/>
    </row>
    <row r="61" spans="1:5">
      <c r="A61" s="120"/>
      <c r="B61" s="120"/>
      <c r="C61" s="120"/>
      <c r="D61" s="120"/>
      <c r="E61" s="120"/>
    </row>
    <row r="62" spans="1:5">
      <c r="A62" s="1345"/>
      <c r="B62" s="971"/>
      <c r="C62" s="1481"/>
      <c r="D62" s="1481"/>
    </row>
    <row r="63" spans="1:5" ht="14.25">
      <c r="A63" s="1345"/>
      <c r="B63" s="1341"/>
      <c r="C63" s="1482"/>
      <c r="D63" s="1481"/>
    </row>
    <row r="64" spans="1:5">
      <c r="A64" s="1483"/>
      <c r="B64" s="971"/>
      <c r="C64" s="1484"/>
      <c r="D64" s="1484"/>
    </row>
    <row r="69" spans="1:4">
      <c r="A69" s="1106"/>
      <c r="B69" s="1485"/>
      <c r="C69" s="1485"/>
      <c r="D69" s="1485"/>
    </row>
    <row r="89" spans="1:1">
      <c r="A89" s="1108"/>
    </row>
    <row r="90" spans="1:1">
      <c r="A90" s="1108"/>
    </row>
    <row r="91" spans="1:1">
      <c r="A91" s="1108"/>
    </row>
    <row r="92" spans="1:1">
      <c r="A92" s="1108"/>
    </row>
    <row r="93" spans="1:1">
      <c r="A93" s="1108"/>
    </row>
    <row r="94" spans="1:1">
      <c r="A94" s="1108"/>
    </row>
    <row r="95" spans="1:1">
      <c r="A95" s="1108"/>
    </row>
    <row r="96" spans="1:1">
      <c r="A96" s="1108"/>
    </row>
    <row r="97" spans="1:1">
      <c r="A97" s="1108"/>
    </row>
    <row r="98" spans="1:1">
      <c r="A98" s="1108"/>
    </row>
    <row r="99" spans="1:1">
      <c r="A99" s="1108"/>
    </row>
    <row r="100" spans="1:1">
      <c r="A100" s="1108"/>
    </row>
    <row r="101" spans="1:1">
      <c r="A101" s="1108"/>
    </row>
    <row r="102" spans="1:1">
      <c r="A102" s="1108"/>
    </row>
    <row r="103" spans="1:1">
      <c r="A103" s="1108"/>
    </row>
  </sheetData>
  <mergeCells count="1">
    <mergeCell ref="A8:D14"/>
  </mergeCells>
  <phoneticPr fontId="27" type="noConversion"/>
  <printOptions horizontalCentered="1"/>
  <pageMargins left="0.75" right="0.5" top="0.75" bottom="0.5" header="0.25" footer="0.25"/>
  <pageSetup orientation="portrait" r:id="rId1"/>
  <headerFooter alignWithMargins="0">
    <oddFooter xml:space="preserve">&amp;C&amp;"Garmond (W1),Bold"
</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18">
    <pageSetUpPr fitToPage="1"/>
  </sheetPr>
  <dimension ref="A1:I329"/>
  <sheetViews>
    <sheetView view="pageBreakPreview" zoomScale="60" zoomScaleNormal="100" workbookViewId="0">
      <selection sqref="A1:I55"/>
    </sheetView>
  </sheetViews>
  <sheetFormatPr defaultColWidth="10.85546875" defaultRowHeight="12"/>
  <cols>
    <col min="1" max="1" width="5.85546875" style="211" customWidth="1"/>
    <col min="2" max="2" width="30.28515625" style="211" customWidth="1"/>
    <col min="3" max="4" width="11" style="211" customWidth="1"/>
    <col min="5" max="5" width="12.28515625" style="211" customWidth="1"/>
    <col min="6" max="9" width="11" style="211" customWidth="1"/>
    <col min="10" max="16384" width="10.85546875" style="211"/>
  </cols>
  <sheetData>
    <row r="1" spans="1:9">
      <c r="A1" s="203" t="s">
        <v>964</v>
      </c>
      <c r="B1" s="203"/>
      <c r="C1" s="203"/>
      <c r="E1" s="203"/>
      <c r="G1" s="282" t="s">
        <v>1209</v>
      </c>
    </row>
    <row r="2" spans="1:9">
      <c r="A2" s="203" t="s">
        <v>965</v>
      </c>
      <c r="B2" s="203"/>
      <c r="C2" s="203"/>
      <c r="E2" s="203"/>
      <c r="G2" s="282"/>
    </row>
    <row r="3" spans="1:9">
      <c r="A3" s="203"/>
      <c r="B3" s="203"/>
      <c r="C3" s="203"/>
      <c r="E3" s="203"/>
      <c r="G3" s="1166" t="s">
        <v>474</v>
      </c>
      <c r="I3" s="203"/>
    </row>
    <row r="4" spans="1:9">
      <c r="A4" s="203" t="s">
        <v>2644</v>
      </c>
      <c r="B4" s="203"/>
      <c r="C4" s="203"/>
      <c r="E4" s="203"/>
      <c r="G4" s="140" t="s">
        <v>1455</v>
      </c>
    </row>
    <row r="5" spans="1:9">
      <c r="A5" s="203" t="s">
        <v>2645</v>
      </c>
      <c r="B5" s="203"/>
      <c r="C5" s="203"/>
      <c r="E5" s="203"/>
      <c r="G5" s="203" t="s">
        <v>2948</v>
      </c>
    </row>
    <row r="6" spans="1:9">
      <c r="A6" s="203" t="s">
        <v>1935</v>
      </c>
      <c r="B6" s="203"/>
      <c r="C6" s="203"/>
      <c r="D6" s="203"/>
      <c r="E6" s="203"/>
      <c r="F6" s="203"/>
      <c r="G6" s="203"/>
      <c r="H6" s="203"/>
      <c r="I6" s="203"/>
    </row>
    <row r="7" spans="1:9">
      <c r="A7" s="140" t="s">
        <v>1343</v>
      </c>
      <c r="B7" s="203"/>
      <c r="C7" s="203"/>
      <c r="D7" s="203"/>
      <c r="E7" s="203"/>
      <c r="F7" s="203"/>
      <c r="G7" s="203"/>
      <c r="H7" s="203"/>
      <c r="I7" s="203"/>
    </row>
    <row r="8" spans="1:9">
      <c r="A8" s="203"/>
      <c r="B8" s="203"/>
      <c r="C8" s="203"/>
      <c r="D8" s="203"/>
      <c r="E8" s="203"/>
      <c r="F8" s="203"/>
      <c r="G8" s="203"/>
      <c r="H8" s="203"/>
      <c r="I8" s="203"/>
    </row>
    <row r="9" spans="1:9">
      <c r="A9" s="2304" t="s">
        <v>966</v>
      </c>
      <c r="B9" s="2305"/>
      <c r="C9" s="2305"/>
      <c r="D9" s="2305"/>
      <c r="E9" s="2305"/>
      <c r="F9" s="2305"/>
      <c r="G9" s="2305"/>
      <c r="H9" s="2305"/>
      <c r="I9" s="2305"/>
    </row>
    <row r="10" spans="1:9">
      <c r="A10" s="2305"/>
      <c r="B10" s="2305"/>
      <c r="C10" s="2305"/>
      <c r="D10" s="2305"/>
      <c r="E10" s="2305"/>
      <c r="F10" s="2305"/>
      <c r="G10" s="2305"/>
      <c r="H10" s="2305"/>
      <c r="I10" s="2305"/>
    </row>
    <row r="11" spans="1:9" ht="12.75" thickBot="1">
      <c r="A11" s="283"/>
      <c r="B11" s="283"/>
      <c r="C11" s="283"/>
      <c r="D11" s="283"/>
      <c r="E11" s="283"/>
      <c r="F11" s="283"/>
      <c r="G11" s="283"/>
      <c r="H11" s="292"/>
      <c r="I11" s="292"/>
    </row>
    <row r="12" spans="1:9" s="1144" customFormat="1">
      <c r="A12" s="1140"/>
      <c r="B12" s="1141" t="s">
        <v>914</v>
      </c>
      <c r="C12" s="1141">
        <v>-2</v>
      </c>
      <c r="D12" s="1141">
        <v>-3</v>
      </c>
      <c r="E12" s="1171">
        <v>-4</v>
      </c>
      <c r="F12" s="1171">
        <v>-5</v>
      </c>
      <c r="G12" s="1171">
        <v>-6</v>
      </c>
      <c r="H12" s="1171">
        <v>-7</v>
      </c>
      <c r="I12" s="1171">
        <v>-8</v>
      </c>
    </row>
    <row r="13" spans="1:9">
      <c r="A13" s="210" t="s">
        <v>53</v>
      </c>
      <c r="B13" s="778"/>
      <c r="C13" s="293" t="s">
        <v>1397</v>
      </c>
      <c r="D13" s="293" t="s">
        <v>860</v>
      </c>
      <c r="E13" s="318" t="s">
        <v>1525</v>
      </c>
      <c r="F13" s="317"/>
      <c r="G13" s="317" t="s">
        <v>52</v>
      </c>
      <c r="H13" s="317" t="s">
        <v>778</v>
      </c>
      <c r="I13" s="262" t="s">
        <v>778</v>
      </c>
    </row>
    <row r="14" spans="1:9">
      <c r="A14" s="762" t="s">
        <v>730</v>
      </c>
      <c r="B14" s="762" t="s">
        <v>731</v>
      </c>
      <c r="C14" s="1124" t="s">
        <v>1896</v>
      </c>
      <c r="D14" s="1124" t="s">
        <v>1897</v>
      </c>
      <c r="E14" s="1167" t="s">
        <v>1524</v>
      </c>
      <c r="F14" s="1167" t="s">
        <v>733</v>
      </c>
      <c r="G14" s="1167" t="s">
        <v>74</v>
      </c>
      <c r="H14" s="1167" t="s">
        <v>977</v>
      </c>
      <c r="I14" s="761" t="s">
        <v>978</v>
      </c>
    </row>
    <row r="15" spans="1:9">
      <c r="A15" s="281"/>
      <c r="H15" s="265"/>
      <c r="I15" s="265"/>
    </row>
    <row r="16" spans="1:9">
      <c r="A16" s="281">
        <v>1</v>
      </c>
      <c r="B16" s="203" t="s">
        <v>1295</v>
      </c>
      <c r="E16" s="265"/>
      <c r="F16" s="265"/>
      <c r="G16" s="265"/>
      <c r="H16" s="281"/>
      <c r="I16" s="281"/>
    </row>
    <row r="17" spans="1:9">
      <c r="A17" s="281">
        <v>2</v>
      </c>
      <c r="C17" s="202"/>
      <c r="D17" s="202"/>
      <c r="E17" s="281"/>
      <c r="F17" s="281"/>
      <c r="G17" s="281"/>
    </row>
    <row r="18" spans="1:9">
      <c r="A18" s="281">
        <v>3</v>
      </c>
      <c r="B18" s="211" t="s">
        <v>824</v>
      </c>
      <c r="C18" s="202">
        <v>0</v>
      </c>
      <c r="D18" s="202">
        <v>0</v>
      </c>
      <c r="E18" s="202">
        <v>0</v>
      </c>
      <c r="F18" s="202"/>
      <c r="G18" s="202">
        <v>0</v>
      </c>
      <c r="H18" s="216"/>
      <c r="I18" s="212"/>
    </row>
    <row r="19" spans="1:9">
      <c r="A19" s="281">
        <v>4</v>
      </c>
      <c r="C19" s="202"/>
      <c r="D19" s="202"/>
      <c r="E19" s="202"/>
      <c r="F19" s="202"/>
      <c r="G19" s="202"/>
      <c r="H19" s="212"/>
      <c r="I19" s="212"/>
    </row>
    <row r="20" spans="1:9">
      <c r="A20" s="281">
        <v>5</v>
      </c>
      <c r="B20" s="211" t="s">
        <v>825</v>
      </c>
      <c r="C20" s="202">
        <v>0</v>
      </c>
      <c r="D20" s="202">
        <v>0</v>
      </c>
      <c r="E20" s="202">
        <v>0</v>
      </c>
      <c r="F20" s="202"/>
      <c r="G20" s="202">
        <v>0</v>
      </c>
      <c r="H20" s="212"/>
      <c r="I20" s="212"/>
    </row>
    <row r="21" spans="1:9">
      <c r="A21" s="281">
        <v>6</v>
      </c>
      <c r="C21" s="202"/>
      <c r="D21" s="202"/>
      <c r="E21" s="202"/>
      <c r="F21" s="202"/>
      <c r="G21" s="202"/>
      <c r="H21" s="212"/>
      <c r="I21" s="212"/>
    </row>
    <row r="22" spans="1:9">
      <c r="A22" s="281">
        <v>7</v>
      </c>
      <c r="B22" s="211" t="s">
        <v>532</v>
      </c>
      <c r="C22" s="202">
        <v>0</v>
      </c>
      <c r="D22" s="202">
        <v>0</v>
      </c>
      <c r="E22" s="202">
        <v>0</v>
      </c>
      <c r="F22" s="202"/>
      <c r="G22" s="202">
        <v>0</v>
      </c>
      <c r="H22" s="212"/>
      <c r="I22" s="212"/>
    </row>
    <row r="23" spans="1:9">
      <c r="A23" s="281">
        <v>8</v>
      </c>
      <c r="C23" s="202"/>
      <c r="D23" s="202"/>
      <c r="E23" s="202"/>
      <c r="F23" s="202"/>
      <c r="G23" s="202">
        <v>0</v>
      </c>
      <c r="H23" s="212"/>
      <c r="I23" s="212"/>
    </row>
    <row r="24" spans="1:9">
      <c r="A24" s="281">
        <v>9</v>
      </c>
      <c r="B24" s="211" t="s">
        <v>531</v>
      </c>
      <c r="C24" s="202">
        <v>0</v>
      </c>
      <c r="D24" s="202">
        <v>0</v>
      </c>
      <c r="E24" s="202">
        <v>0</v>
      </c>
      <c r="F24" s="202"/>
      <c r="G24" s="202">
        <v>0</v>
      </c>
      <c r="H24" s="212"/>
      <c r="I24" s="212"/>
    </row>
    <row r="25" spans="1:9">
      <c r="A25" s="281">
        <v>10</v>
      </c>
      <c r="C25" s="202"/>
      <c r="D25" s="202"/>
      <c r="E25" s="202"/>
      <c r="F25" s="202"/>
      <c r="G25" s="202">
        <v>0</v>
      </c>
      <c r="H25" s="212"/>
      <c r="I25" s="212"/>
    </row>
    <row r="26" spans="1:9">
      <c r="A26" s="281">
        <v>11</v>
      </c>
      <c r="B26" s="211" t="s">
        <v>1325</v>
      </c>
      <c r="C26" s="202">
        <v>0</v>
      </c>
      <c r="D26" s="202">
        <v>0</v>
      </c>
      <c r="E26" s="202">
        <v>0</v>
      </c>
      <c r="F26" s="202"/>
      <c r="G26" s="202">
        <v>0</v>
      </c>
      <c r="H26" s="216"/>
      <c r="I26" s="212"/>
    </row>
    <row r="27" spans="1:9">
      <c r="A27" s="281">
        <v>12</v>
      </c>
      <c r="C27" s="261"/>
      <c r="D27" s="261"/>
      <c r="E27" s="261"/>
      <c r="F27" s="261"/>
      <c r="G27" s="261"/>
      <c r="H27" s="271" t="s">
        <v>560</v>
      </c>
      <c r="I27" s="271" t="s">
        <v>560</v>
      </c>
    </row>
    <row r="28" spans="1:9">
      <c r="A28" s="281">
        <v>13</v>
      </c>
      <c r="C28" s="212"/>
      <c r="D28" s="212"/>
      <c r="E28" s="212"/>
      <c r="F28" s="212"/>
      <c r="G28" s="212"/>
      <c r="H28" s="227"/>
      <c r="I28" s="227"/>
    </row>
    <row r="29" spans="1:9" ht="12.75" thickBot="1">
      <c r="A29" s="281">
        <v>14</v>
      </c>
      <c r="B29" s="211" t="s">
        <v>1299</v>
      </c>
      <c r="C29" s="273">
        <v>0</v>
      </c>
      <c r="D29" s="273">
        <v>0</v>
      </c>
      <c r="E29" s="273">
        <v>0</v>
      </c>
      <c r="F29" s="273">
        <v>0</v>
      </c>
      <c r="G29" s="273">
        <v>0</v>
      </c>
      <c r="H29" s="273"/>
      <c r="I29" s="1169"/>
    </row>
    <row r="30" spans="1:9" ht="12.75" thickTop="1">
      <c r="A30" s="281">
        <v>15</v>
      </c>
      <c r="C30" s="203"/>
      <c r="D30" s="203"/>
      <c r="E30" s="203"/>
      <c r="F30" s="203"/>
      <c r="G30" s="203"/>
      <c r="H30" s="227"/>
      <c r="I30" s="227"/>
    </row>
    <row r="31" spans="1:9">
      <c r="A31" s="281">
        <v>16</v>
      </c>
      <c r="C31" s="203"/>
      <c r="D31" s="203"/>
      <c r="E31" s="203"/>
      <c r="F31" s="203"/>
      <c r="G31" s="203"/>
      <c r="H31" s="227"/>
      <c r="I31" s="227"/>
    </row>
    <row r="32" spans="1:9">
      <c r="A32" s="281">
        <v>17</v>
      </c>
      <c r="B32" s="203" t="s">
        <v>1300</v>
      </c>
      <c r="C32" s="202"/>
      <c r="D32" s="202"/>
      <c r="E32" s="202"/>
      <c r="F32" s="202"/>
      <c r="G32" s="202"/>
      <c r="H32" s="216"/>
      <c r="I32" s="216"/>
    </row>
    <row r="33" spans="1:9">
      <c r="A33" s="281">
        <v>18</v>
      </c>
      <c r="C33" s="202"/>
      <c r="D33" s="202"/>
      <c r="E33" s="202"/>
      <c r="F33" s="202"/>
      <c r="G33" s="202"/>
      <c r="H33" s="212"/>
      <c r="I33" s="212"/>
    </row>
    <row r="34" spans="1:9">
      <c r="A34" s="281">
        <v>19</v>
      </c>
      <c r="B34" s="211" t="s">
        <v>824</v>
      </c>
      <c r="C34" s="310">
        <v>5432.07</v>
      </c>
      <c r="D34" s="202">
        <v>8462.81</v>
      </c>
      <c r="E34" s="202">
        <v>6891</v>
      </c>
      <c r="F34" s="202"/>
      <c r="G34" s="202">
        <v>6891</v>
      </c>
      <c r="H34" s="216"/>
      <c r="I34" s="212"/>
    </row>
    <row r="35" spans="1:9">
      <c r="A35" s="281">
        <v>20</v>
      </c>
      <c r="C35" s="202"/>
      <c r="D35" s="202"/>
      <c r="E35" s="202"/>
      <c r="F35" s="202"/>
      <c r="G35" s="202"/>
      <c r="H35" s="212"/>
      <c r="I35" s="212"/>
    </row>
    <row r="36" spans="1:9">
      <c r="A36" s="281">
        <v>21</v>
      </c>
      <c r="B36" s="211" t="s">
        <v>825</v>
      </c>
      <c r="C36" s="202">
        <v>181254.21000000002</v>
      </c>
      <c r="D36" s="202">
        <v>198140.49000000002</v>
      </c>
      <c r="E36" s="202">
        <v>189697</v>
      </c>
      <c r="F36" s="202"/>
      <c r="G36" s="202">
        <v>189697</v>
      </c>
      <c r="H36" s="212"/>
      <c r="I36" s="212"/>
    </row>
    <row r="37" spans="1:9">
      <c r="A37" s="281">
        <v>22</v>
      </c>
      <c r="C37" s="202"/>
      <c r="D37" s="202"/>
      <c r="E37" s="202"/>
      <c r="F37" s="202"/>
      <c r="G37" s="202"/>
      <c r="H37" s="212"/>
      <c r="I37" s="212"/>
    </row>
    <row r="38" spans="1:9">
      <c r="A38" s="281">
        <v>23</v>
      </c>
      <c r="B38" s="211" t="s">
        <v>531</v>
      </c>
      <c r="C38" s="202">
        <v>2004832.8900000001</v>
      </c>
      <c r="D38" s="202">
        <v>2071633.4100000001</v>
      </c>
      <c r="E38" s="202">
        <v>2038233</v>
      </c>
      <c r="F38" s="202"/>
      <c r="G38" s="202">
        <v>2038233</v>
      </c>
      <c r="H38" s="212"/>
      <c r="I38" s="212"/>
    </row>
    <row r="39" spans="1:9">
      <c r="A39" s="281">
        <v>24</v>
      </c>
      <c r="C39" s="202"/>
      <c r="D39" s="202"/>
      <c r="E39" s="202"/>
      <c r="F39" s="202"/>
      <c r="G39" s="202"/>
      <c r="H39" s="212"/>
      <c r="I39" s="212"/>
    </row>
    <row r="40" spans="1:9">
      <c r="A40" s="281">
        <v>25</v>
      </c>
      <c r="B40" s="211" t="s">
        <v>1325</v>
      </c>
      <c r="C40" s="202">
        <v>118976.43</v>
      </c>
      <c r="D40" s="202">
        <v>129475.55</v>
      </c>
      <c r="E40" s="202">
        <v>124226</v>
      </c>
      <c r="F40" s="202"/>
      <c r="G40" s="202">
        <v>124226</v>
      </c>
      <c r="H40" s="212"/>
      <c r="I40" s="212"/>
    </row>
    <row r="41" spans="1:9">
      <c r="A41" s="281">
        <v>26</v>
      </c>
      <c r="C41" s="261"/>
      <c r="D41" s="261"/>
      <c r="E41" s="287"/>
      <c r="F41" s="287"/>
      <c r="G41" s="287"/>
      <c r="H41" s="271" t="s">
        <v>560</v>
      </c>
      <c r="I41" s="271" t="s">
        <v>560</v>
      </c>
    </row>
    <row r="42" spans="1:9">
      <c r="A42" s="281">
        <v>27</v>
      </c>
      <c r="C42" s="212"/>
      <c r="D42" s="212"/>
      <c r="E42" s="212"/>
      <c r="F42" s="212"/>
      <c r="G42" s="212"/>
      <c r="H42" s="227"/>
      <c r="I42" s="227"/>
    </row>
    <row r="43" spans="1:9" ht="12.75" thickBot="1">
      <c r="A43" s="281">
        <v>28</v>
      </c>
      <c r="B43" s="211" t="s">
        <v>1299</v>
      </c>
      <c r="C43" s="273">
        <v>2310495.6</v>
      </c>
      <c r="D43" s="273">
        <v>2407712.2599999998</v>
      </c>
      <c r="E43" s="273">
        <v>2359047</v>
      </c>
      <c r="F43" s="273">
        <v>0</v>
      </c>
      <c r="G43" s="273">
        <v>2359047</v>
      </c>
      <c r="H43" s="273"/>
      <c r="I43" s="1169"/>
    </row>
    <row r="44" spans="1:9" ht="12.75" thickTop="1">
      <c r="A44" s="281"/>
      <c r="C44" s="140"/>
      <c r="D44" s="140"/>
      <c r="H44" s="227"/>
      <c r="I44" s="227"/>
    </row>
    <row r="45" spans="1:9">
      <c r="A45" s="281"/>
      <c r="C45" s="1172"/>
      <c r="D45" s="1172"/>
    </row>
    <row r="46" spans="1:9">
      <c r="C46" s="203"/>
      <c r="D46" s="203"/>
    </row>
    <row r="47" spans="1:9">
      <c r="C47" s="203"/>
      <c r="D47" s="203"/>
    </row>
    <row r="48" spans="1:9">
      <c r="C48" s="203"/>
      <c r="D48" s="203"/>
    </row>
    <row r="49" spans="1:9">
      <c r="C49" s="203"/>
      <c r="D49" s="203"/>
    </row>
    <row r="50" spans="1:9">
      <c r="C50" s="203"/>
      <c r="D50" s="203"/>
    </row>
    <row r="51" spans="1:9">
      <c r="A51" s="203"/>
      <c r="B51" s="203"/>
      <c r="C51" s="210"/>
      <c r="D51" s="210"/>
      <c r="E51" s="210"/>
      <c r="F51" s="210"/>
      <c r="G51" s="210"/>
    </row>
    <row r="52" spans="1:9">
      <c r="A52" s="203"/>
      <c r="B52" s="203"/>
    </row>
    <row r="53" spans="1:9">
      <c r="A53" s="203"/>
      <c r="B53" s="203"/>
    </row>
    <row r="54" spans="1:9">
      <c r="A54" s="203"/>
      <c r="B54" s="203"/>
    </row>
    <row r="55" spans="1:9">
      <c r="A55" s="203"/>
      <c r="B55" s="203" t="s">
        <v>3248</v>
      </c>
    </row>
    <row r="56" spans="1:9">
      <c r="A56" s="203"/>
      <c r="B56" s="203"/>
    </row>
    <row r="57" spans="1:9">
      <c r="A57" s="203"/>
    </row>
    <row r="58" spans="1:9">
      <c r="A58" s="210"/>
      <c r="B58" s="281"/>
      <c r="C58" s="281"/>
      <c r="D58" s="281"/>
      <c r="E58" s="281"/>
      <c r="F58" s="281"/>
      <c r="G58" s="281"/>
      <c r="H58" s="281"/>
      <c r="I58" s="281"/>
    </row>
    <row r="59" spans="1:9">
      <c r="A59" s="203"/>
      <c r="B59" s="203"/>
    </row>
    <row r="60" spans="1:9">
      <c r="A60" s="210"/>
      <c r="B60" s="210"/>
      <c r="H60" s="210"/>
      <c r="I60" s="210"/>
    </row>
    <row r="155" spans="1:2">
      <c r="A155" s="286"/>
      <c r="B155" s="286"/>
    </row>
    <row r="156" spans="1:2">
      <c r="A156" s="286"/>
      <c r="B156" s="286"/>
    </row>
    <row r="157" spans="1:2">
      <c r="A157" s="286"/>
      <c r="B157" s="286"/>
    </row>
    <row r="158" spans="1:2">
      <c r="A158" s="286"/>
      <c r="B158" s="286"/>
    </row>
    <row r="159" spans="1:2">
      <c r="A159" s="286"/>
      <c r="B159" s="286"/>
    </row>
    <row r="189" spans="1:1">
      <c r="A189" s="286"/>
    </row>
    <row r="258" spans="1:1">
      <c r="A258" s="203"/>
    </row>
    <row r="275" spans="1:1">
      <c r="A275" s="286"/>
    </row>
    <row r="276" spans="1:1">
      <c r="A276" s="286"/>
    </row>
    <row r="277" spans="1:1">
      <c r="A277" s="286"/>
    </row>
    <row r="278" spans="1:1">
      <c r="A278" s="286"/>
    </row>
    <row r="279" spans="1:1">
      <c r="A279" s="286"/>
    </row>
    <row r="280" spans="1:1">
      <c r="A280" s="286"/>
    </row>
    <row r="281" spans="1:1">
      <c r="A281" s="286"/>
    </row>
    <row r="282" spans="1:1">
      <c r="A282" s="286"/>
    </row>
    <row r="283" spans="1:1">
      <c r="A283" s="286"/>
    </row>
    <row r="284" spans="1:1">
      <c r="A284" s="286"/>
    </row>
    <row r="285" spans="1:1">
      <c r="A285" s="286"/>
    </row>
    <row r="286" spans="1:1">
      <c r="A286" s="286"/>
    </row>
    <row r="287" spans="1:1">
      <c r="A287" s="286"/>
    </row>
    <row r="288" spans="1:1">
      <c r="A288" s="286"/>
    </row>
    <row r="289" spans="1:1">
      <c r="A289" s="286"/>
    </row>
    <row r="290" spans="1:1">
      <c r="A290" s="286"/>
    </row>
    <row r="291" spans="1:1">
      <c r="A291" s="286"/>
    </row>
    <row r="292" spans="1:1">
      <c r="A292" s="286"/>
    </row>
    <row r="293" spans="1:1">
      <c r="A293" s="286"/>
    </row>
    <row r="294" spans="1:1">
      <c r="A294" s="286"/>
    </row>
    <row r="295" spans="1:1">
      <c r="A295" s="286"/>
    </row>
    <row r="296" spans="1:1">
      <c r="A296" s="286"/>
    </row>
    <row r="297" spans="1:1">
      <c r="A297" s="286"/>
    </row>
    <row r="298" spans="1:1">
      <c r="A298" s="286"/>
    </row>
    <row r="299" spans="1:1">
      <c r="A299" s="286"/>
    </row>
    <row r="300" spans="1:1">
      <c r="A300" s="286"/>
    </row>
    <row r="301" spans="1:1">
      <c r="A301" s="286"/>
    </row>
    <row r="302" spans="1:1">
      <c r="A302" s="286"/>
    </row>
    <row r="303" spans="1:1">
      <c r="A303" s="286"/>
    </row>
    <row r="304" spans="1:1">
      <c r="A304" s="286"/>
    </row>
    <row r="305" spans="1:1">
      <c r="A305" s="286"/>
    </row>
    <row r="306" spans="1:1">
      <c r="A306" s="286"/>
    </row>
    <row r="307" spans="1:1">
      <c r="A307" s="286"/>
    </row>
    <row r="308" spans="1:1">
      <c r="A308" s="286"/>
    </row>
    <row r="309" spans="1:1">
      <c r="A309" s="286"/>
    </row>
    <row r="310" spans="1:1">
      <c r="A310" s="286"/>
    </row>
    <row r="311" spans="1:1">
      <c r="A311" s="286"/>
    </row>
    <row r="312" spans="1:1">
      <c r="A312" s="286"/>
    </row>
    <row r="313" spans="1:1">
      <c r="A313" s="286"/>
    </row>
    <row r="314" spans="1:1">
      <c r="A314" s="286"/>
    </row>
    <row r="315" spans="1:1">
      <c r="A315" s="286"/>
    </row>
    <row r="316" spans="1:1">
      <c r="A316" s="286"/>
    </row>
    <row r="317" spans="1:1">
      <c r="A317" s="286"/>
    </row>
    <row r="318" spans="1:1">
      <c r="A318" s="286"/>
    </row>
    <row r="319" spans="1:1">
      <c r="A319" s="286"/>
    </row>
    <row r="320" spans="1:1">
      <c r="A320" s="286"/>
    </row>
    <row r="321" spans="1:1">
      <c r="A321" s="286"/>
    </row>
    <row r="322" spans="1:1">
      <c r="A322" s="286"/>
    </row>
    <row r="323" spans="1:1">
      <c r="A323" s="286"/>
    </row>
    <row r="324" spans="1:1">
      <c r="A324" s="286"/>
    </row>
    <row r="325" spans="1:1">
      <c r="A325" s="286"/>
    </row>
    <row r="326" spans="1:1">
      <c r="A326" s="286"/>
    </row>
    <row r="327" spans="1:1">
      <c r="A327" s="286"/>
    </row>
    <row r="328" spans="1:1">
      <c r="A328" s="286"/>
    </row>
    <row r="329" spans="1:1">
      <c r="A329" s="286"/>
    </row>
  </sheetData>
  <mergeCells count="1">
    <mergeCell ref="A9:I10"/>
  </mergeCells>
  <phoneticPr fontId="27" type="noConversion"/>
  <printOptions horizontalCentered="1"/>
  <pageMargins left="0.75" right="0.5" top="0.75" bottom="0.5" header="0.25" footer="0.25"/>
  <pageSetup scale="82" orientation="portrait" r:id="rId1"/>
  <headerFooter alignWithMargins="0">
    <oddFooter xml:space="preserve">&amp;C&amp;"Garmond (W1),Bold"
</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62">
    <pageSetUpPr fitToPage="1"/>
  </sheetPr>
  <dimension ref="A1:P328"/>
  <sheetViews>
    <sheetView view="pageBreakPreview" zoomScale="60" zoomScaleNormal="100" workbookViewId="0">
      <selection sqref="A1:XFD1048576"/>
    </sheetView>
  </sheetViews>
  <sheetFormatPr defaultColWidth="10.85546875" defaultRowHeight="12"/>
  <cols>
    <col min="1" max="1" width="4.85546875" style="211" customWidth="1"/>
    <col min="2" max="2" width="24.5703125" style="211" customWidth="1"/>
    <col min="3" max="16" width="11" style="211" customWidth="1"/>
    <col min="17" max="18" width="9.7109375" style="211" customWidth="1"/>
    <col min="19" max="16384" width="10.85546875" style="211"/>
  </cols>
  <sheetData>
    <row r="1" spans="1:16">
      <c r="A1" s="203" t="s">
        <v>964</v>
      </c>
      <c r="B1" s="203"/>
      <c r="C1" s="203"/>
      <c r="E1" s="203"/>
      <c r="G1" s="203"/>
      <c r="H1" s="203"/>
      <c r="I1" s="203"/>
      <c r="J1" s="203"/>
      <c r="K1" s="203"/>
      <c r="L1" s="203"/>
      <c r="M1" s="282" t="s">
        <v>1209</v>
      </c>
      <c r="N1" s="203"/>
    </row>
    <row r="2" spans="1:16">
      <c r="A2" s="203" t="s">
        <v>965</v>
      </c>
      <c r="B2" s="203"/>
      <c r="C2" s="203"/>
      <c r="E2" s="203"/>
      <c r="G2" s="203"/>
      <c r="H2" s="203"/>
      <c r="I2" s="203"/>
      <c r="J2" s="203"/>
      <c r="K2" s="203"/>
      <c r="L2" s="203"/>
      <c r="M2" s="282"/>
      <c r="N2" s="203"/>
    </row>
    <row r="3" spans="1:16">
      <c r="A3" s="203"/>
      <c r="B3" s="203"/>
      <c r="C3" s="203"/>
      <c r="E3" s="203"/>
      <c r="G3" s="203"/>
      <c r="H3" s="203"/>
      <c r="I3" s="203"/>
      <c r="J3" s="203"/>
      <c r="K3" s="203"/>
      <c r="L3" s="203"/>
      <c r="M3" s="1166" t="s">
        <v>474</v>
      </c>
      <c r="N3" s="203"/>
    </row>
    <row r="4" spans="1:16">
      <c r="A4" s="203" t="s">
        <v>2644</v>
      </c>
      <c r="B4" s="203"/>
      <c r="C4" s="203"/>
      <c r="E4" s="203"/>
      <c r="G4" s="203"/>
      <c r="H4" s="203"/>
      <c r="I4" s="203"/>
      <c r="J4" s="203"/>
      <c r="K4" s="203"/>
      <c r="L4" s="203"/>
      <c r="M4" s="140" t="s">
        <v>1504</v>
      </c>
      <c r="N4" s="203"/>
    </row>
    <row r="5" spans="1:16">
      <c r="A5" s="203" t="s">
        <v>2645</v>
      </c>
      <c r="B5" s="203"/>
      <c r="C5" s="203"/>
      <c r="E5" s="203"/>
      <c r="G5" s="203"/>
      <c r="H5" s="203"/>
      <c r="I5" s="203"/>
      <c r="J5" s="203"/>
      <c r="K5" s="203"/>
      <c r="L5" s="203"/>
      <c r="M5" s="203" t="s">
        <v>2948</v>
      </c>
      <c r="N5" s="203"/>
    </row>
    <row r="6" spans="1:16">
      <c r="A6" s="203" t="s">
        <v>1935</v>
      </c>
      <c r="B6" s="203"/>
      <c r="C6" s="203"/>
      <c r="D6" s="203"/>
      <c r="E6" s="203"/>
      <c r="F6" s="203"/>
      <c r="G6" s="203"/>
      <c r="H6" s="203"/>
      <c r="I6" s="203"/>
      <c r="J6" s="203"/>
      <c r="K6" s="203"/>
      <c r="L6" s="203"/>
      <c r="M6" s="203"/>
      <c r="N6" s="203"/>
      <c r="O6" s="203"/>
    </row>
    <row r="7" spans="1:16">
      <c r="A7" s="140" t="s">
        <v>1343</v>
      </c>
      <c r="B7" s="203"/>
      <c r="C7" s="203"/>
      <c r="D7" s="203"/>
      <c r="E7" s="203"/>
      <c r="F7" s="203"/>
      <c r="G7" s="203"/>
      <c r="H7" s="203"/>
      <c r="I7" s="203"/>
      <c r="J7" s="203"/>
      <c r="K7" s="203"/>
      <c r="L7" s="203"/>
      <c r="M7" s="203"/>
      <c r="N7" s="203"/>
      <c r="O7" s="203"/>
      <c r="P7" s="203"/>
    </row>
    <row r="8" spans="1:16">
      <c r="A8" s="203"/>
      <c r="B8" s="203"/>
      <c r="C8" s="203"/>
      <c r="D8" s="203"/>
      <c r="E8" s="203"/>
      <c r="F8" s="203"/>
      <c r="G8" s="203"/>
      <c r="H8" s="203"/>
      <c r="I8" s="203"/>
      <c r="J8" s="203"/>
      <c r="K8" s="203"/>
      <c r="L8" s="203"/>
      <c r="M8" s="203"/>
      <c r="N8" s="203"/>
      <c r="O8" s="203"/>
      <c r="P8" s="203"/>
    </row>
    <row r="9" spans="1:16">
      <c r="A9" s="2304" t="s">
        <v>966</v>
      </c>
      <c r="B9" s="2305"/>
      <c r="C9" s="2305"/>
      <c r="D9" s="2305"/>
      <c r="E9" s="2305"/>
      <c r="F9" s="2305"/>
      <c r="G9" s="2305"/>
      <c r="H9" s="2305"/>
      <c r="I9" s="2305"/>
      <c r="J9" s="2305"/>
      <c r="K9" s="2305"/>
      <c r="L9" s="2305"/>
      <c r="M9" s="2305"/>
      <c r="N9" s="2305"/>
      <c r="O9" s="2305"/>
      <c r="P9" s="2305"/>
    </row>
    <row r="10" spans="1:16">
      <c r="A10" s="2305"/>
      <c r="B10" s="2305"/>
      <c r="C10" s="2305"/>
      <c r="D10" s="2305"/>
      <c r="E10" s="2305"/>
      <c r="F10" s="2305"/>
      <c r="G10" s="2305"/>
      <c r="H10" s="2305"/>
      <c r="I10" s="2305"/>
      <c r="J10" s="2305"/>
      <c r="K10" s="2305"/>
      <c r="L10" s="2305"/>
      <c r="M10" s="2305"/>
      <c r="N10" s="2305"/>
      <c r="O10" s="2305"/>
      <c r="P10" s="2305"/>
    </row>
    <row r="11" spans="1:16" ht="12.75" thickBot="1">
      <c r="A11" s="283"/>
      <c r="B11" s="283"/>
      <c r="C11" s="283"/>
      <c r="D11" s="283"/>
      <c r="E11" s="283"/>
      <c r="F11" s="283"/>
      <c r="G11" s="283"/>
      <c r="H11" s="283"/>
      <c r="I11" s="283"/>
      <c r="J11" s="283"/>
      <c r="K11" s="283"/>
      <c r="L11" s="283"/>
      <c r="M11" s="283"/>
      <c r="N11" s="283"/>
      <c r="O11" s="283"/>
      <c r="P11" s="292"/>
    </row>
    <row r="12" spans="1:16" s="1144" customFormat="1">
      <c r="A12" s="1140"/>
      <c r="B12" s="1141" t="s">
        <v>914</v>
      </c>
      <c r="C12" s="1141">
        <v>-2</v>
      </c>
      <c r="D12" s="1142">
        <v>-3</v>
      </c>
      <c r="E12" s="1142">
        <v>-4</v>
      </c>
      <c r="F12" s="1142">
        <v>-5</v>
      </c>
      <c r="G12" s="1142">
        <v>-6</v>
      </c>
      <c r="H12" s="1142">
        <v>-7</v>
      </c>
      <c r="I12" s="1142">
        <v>-8</v>
      </c>
      <c r="J12" s="1142">
        <v>-9</v>
      </c>
      <c r="K12" s="1142">
        <v>-10</v>
      </c>
      <c r="L12" s="1142">
        <v>-11</v>
      </c>
      <c r="M12" s="1142">
        <v>-12</v>
      </c>
      <c r="N12" s="1142">
        <v>-13</v>
      </c>
      <c r="O12" s="1142">
        <v>-14</v>
      </c>
      <c r="P12" s="1142">
        <v>-15</v>
      </c>
    </row>
    <row r="13" spans="1:16" ht="24">
      <c r="A13" s="1125" t="s">
        <v>802</v>
      </c>
      <c r="B13" s="762" t="s">
        <v>731</v>
      </c>
      <c r="C13" s="207" t="s">
        <v>1899</v>
      </c>
      <c r="D13" s="207">
        <v>42014</v>
      </c>
      <c r="E13" s="208">
        <v>42036</v>
      </c>
      <c r="F13" s="208">
        <v>42064</v>
      </c>
      <c r="G13" s="208">
        <v>42095</v>
      </c>
      <c r="H13" s="208">
        <v>42125</v>
      </c>
      <c r="I13" s="208">
        <v>42156</v>
      </c>
      <c r="J13" s="208">
        <v>42186</v>
      </c>
      <c r="K13" s="208">
        <v>42217</v>
      </c>
      <c r="L13" s="208">
        <v>42248</v>
      </c>
      <c r="M13" s="208">
        <v>42278</v>
      </c>
      <c r="N13" s="208">
        <v>42309</v>
      </c>
      <c r="O13" s="208">
        <v>42339</v>
      </c>
      <c r="P13" s="209" t="s">
        <v>45</v>
      </c>
    </row>
    <row r="14" spans="1:16">
      <c r="A14" s="281"/>
      <c r="P14" s="265"/>
    </row>
    <row r="15" spans="1:16">
      <c r="A15" s="281">
        <v>1</v>
      </c>
      <c r="B15" s="203" t="s">
        <v>1295</v>
      </c>
      <c r="C15" s="203"/>
      <c r="P15" s="281"/>
    </row>
    <row r="16" spans="1:16">
      <c r="A16" s="281">
        <v>2</v>
      </c>
      <c r="C16" s="203"/>
      <c r="D16" s="202"/>
      <c r="E16" s="202"/>
      <c r="F16" s="202"/>
      <c r="G16" s="202"/>
      <c r="H16" s="202"/>
      <c r="I16" s="202"/>
      <c r="J16" s="202"/>
      <c r="K16" s="202"/>
      <c r="L16" s="202"/>
      <c r="M16" s="202"/>
      <c r="N16" s="202"/>
      <c r="O16" s="202"/>
    </row>
    <row r="17" spans="1:16">
      <c r="A17" s="281">
        <v>3</v>
      </c>
      <c r="B17" s="211" t="s">
        <v>824</v>
      </c>
      <c r="C17" s="310">
        <v>0</v>
      </c>
      <c r="D17" s="310">
        <v>0</v>
      </c>
      <c r="E17" s="310">
        <v>0</v>
      </c>
      <c r="F17" s="310">
        <v>0</v>
      </c>
      <c r="G17" s="310">
        <v>0</v>
      </c>
      <c r="H17" s="310">
        <v>0</v>
      </c>
      <c r="I17" s="310">
        <v>0</v>
      </c>
      <c r="J17" s="310">
        <v>0</v>
      </c>
      <c r="K17" s="310">
        <v>0</v>
      </c>
      <c r="L17" s="310">
        <v>0</v>
      </c>
      <c r="M17" s="310">
        <v>0</v>
      </c>
      <c r="N17" s="310">
        <v>0</v>
      </c>
      <c r="O17" s="310">
        <v>0</v>
      </c>
      <c r="P17" s="310">
        <v>0</v>
      </c>
    </row>
    <row r="18" spans="1:16">
      <c r="A18" s="281">
        <v>4</v>
      </c>
      <c r="C18" s="203"/>
      <c r="D18" s="202"/>
      <c r="E18" s="202"/>
      <c r="F18" s="202"/>
      <c r="G18" s="202"/>
      <c r="H18" s="202"/>
      <c r="I18" s="202"/>
      <c r="J18" s="202"/>
      <c r="K18" s="202"/>
      <c r="L18" s="202"/>
      <c r="M18" s="202"/>
      <c r="N18" s="202"/>
      <c r="O18" s="202"/>
      <c r="P18" s="212"/>
    </row>
    <row r="19" spans="1:16">
      <c r="A19" s="281">
        <v>5</v>
      </c>
      <c r="B19" s="211" t="s">
        <v>825</v>
      </c>
      <c r="C19" s="202">
        <v>0</v>
      </c>
      <c r="D19" s="202">
        <v>0</v>
      </c>
      <c r="E19" s="202">
        <v>0</v>
      </c>
      <c r="F19" s="202">
        <v>0</v>
      </c>
      <c r="G19" s="202">
        <v>0</v>
      </c>
      <c r="H19" s="202">
        <v>0</v>
      </c>
      <c r="I19" s="202">
        <v>0</v>
      </c>
      <c r="J19" s="202">
        <v>0</v>
      </c>
      <c r="K19" s="202">
        <v>0</v>
      </c>
      <c r="L19" s="202">
        <v>0</v>
      </c>
      <c r="M19" s="202">
        <v>0</v>
      </c>
      <c r="N19" s="202">
        <v>0</v>
      </c>
      <c r="O19" s="202">
        <v>0</v>
      </c>
      <c r="P19" s="202">
        <v>0</v>
      </c>
    </row>
    <row r="20" spans="1:16">
      <c r="A20" s="281">
        <v>6</v>
      </c>
      <c r="D20" s="202"/>
      <c r="E20" s="202"/>
      <c r="F20" s="202"/>
      <c r="G20" s="202"/>
      <c r="H20" s="202"/>
      <c r="I20" s="202"/>
      <c r="J20" s="202"/>
      <c r="K20" s="202"/>
      <c r="L20" s="202"/>
      <c r="M20" s="202"/>
      <c r="N20" s="202"/>
      <c r="O20" s="202"/>
      <c r="P20" s="212"/>
    </row>
    <row r="21" spans="1:16">
      <c r="A21" s="281">
        <v>7</v>
      </c>
      <c r="B21" s="211" t="s">
        <v>532</v>
      </c>
      <c r="C21" s="202">
        <v>0</v>
      </c>
      <c r="D21" s="202">
        <v>0</v>
      </c>
      <c r="E21" s="202">
        <v>0</v>
      </c>
      <c r="F21" s="202">
        <v>0</v>
      </c>
      <c r="G21" s="202">
        <v>0</v>
      </c>
      <c r="H21" s="202">
        <v>0</v>
      </c>
      <c r="I21" s="202">
        <v>0</v>
      </c>
      <c r="J21" s="202">
        <v>0</v>
      </c>
      <c r="K21" s="202">
        <v>0</v>
      </c>
      <c r="L21" s="202">
        <v>0</v>
      </c>
      <c r="M21" s="202">
        <v>0</v>
      </c>
      <c r="N21" s="202">
        <v>0</v>
      </c>
      <c r="O21" s="202">
        <v>0</v>
      </c>
      <c r="P21" s="202">
        <v>0</v>
      </c>
    </row>
    <row r="22" spans="1:16">
      <c r="A22" s="281">
        <v>8</v>
      </c>
      <c r="P22" s="212"/>
    </row>
    <row r="23" spans="1:16">
      <c r="A23" s="281">
        <v>9</v>
      </c>
      <c r="B23" s="211" t="s">
        <v>531</v>
      </c>
      <c r="C23" s="202">
        <v>0</v>
      </c>
      <c r="D23" s="202">
        <v>0</v>
      </c>
      <c r="E23" s="202">
        <v>0</v>
      </c>
      <c r="F23" s="202">
        <v>0</v>
      </c>
      <c r="G23" s="202">
        <v>0</v>
      </c>
      <c r="H23" s="202">
        <v>0</v>
      </c>
      <c r="I23" s="202">
        <v>0</v>
      </c>
      <c r="J23" s="202">
        <v>0</v>
      </c>
      <c r="K23" s="202">
        <v>0</v>
      </c>
      <c r="L23" s="202">
        <v>0</v>
      </c>
      <c r="M23" s="202">
        <v>0</v>
      </c>
      <c r="N23" s="202">
        <v>0</v>
      </c>
      <c r="O23" s="202">
        <v>0</v>
      </c>
      <c r="P23" s="202">
        <v>0</v>
      </c>
    </row>
    <row r="24" spans="1:16">
      <c r="A24" s="281">
        <v>10</v>
      </c>
      <c r="P24" s="212"/>
    </row>
    <row r="25" spans="1:16">
      <c r="A25" s="281">
        <v>11</v>
      </c>
      <c r="B25" s="211" t="s">
        <v>1325</v>
      </c>
      <c r="C25" s="202">
        <v>0</v>
      </c>
      <c r="D25" s="202">
        <v>0</v>
      </c>
      <c r="E25" s="202">
        <v>0</v>
      </c>
      <c r="F25" s="202">
        <v>0</v>
      </c>
      <c r="G25" s="202">
        <v>0</v>
      </c>
      <c r="H25" s="202">
        <v>0</v>
      </c>
      <c r="I25" s="202">
        <v>0</v>
      </c>
      <c r="J25" s="202">
        <v>0</v>
      </c>
      <c r="K25" s="202">
        <v>0</v>
      </c>
      <c r="L25" s="202">
        <v>0</v>
      </c>
      <c r="M25" s="202">
        <v>0</v>
      </c>
      <c r="N25" s="202">
        <v>0</v>
      </c>
      <c r="O25" s="202">
        <v>0</v>
      </c>
      <c r="P25" s="202">
        <v>0</v>
      </c>
    </row>
    <row r="26" spans="1:16">
      <c r="A26" s="281">
        <v>12</v>
      </c>
      <c r="C26" s="261"/>
      <c r="D26" s="261"/>
      <c r="E26" s="261"/>
      <c r="F26" s="261"/>
      <c r="G26" s="261"/>
      <c r="H26" s="261"/>
      <c r="I26" s="261"/>
      <c r="J26" s="261"/>
      <c r="K26" s="261"/>
      <c r="L26" s="261"/>
      <c r="M26" s="261"/>
      <c r="N26" s="261"/>
      <c r="O26" s="261"/>
      <c r="P26" s="271"/>
    </row>
    <row r="27" spans="1:16">
      <c r="A27" s="281">
        <v>13</v>
      </c>
      <c r="C27" s="212"/>
      <c r="D27" s="212"/>
      <c r="E27" s="212"/>
      <c r="F27" s="212"/>
      <c r="G27" s="212"/>
      <c r="H27" s="212"/>
      <c r="I27" s="212"/>
      <c r="J27" s="212"/>
      <c r="K27" s="212"/>
      <c r="L27" s="212"/>
      <c r="M27" s="212"/>
      <c r="N27" s="212"/>
      <c r="O27" s="212"/>
      <c r="P27" s="227"/>
    </row>
    <row r="28" spans="1:16" ht="12.75" thickBot="1">
      <c r="A28" s="281">
        <v>14</v>
      </c>
      <c r="B28" s="211" t="s">
        <v>1299</v>
      </c>
      <c r="C28" s="273">
        <v>0</v>
      </c>
      <c r="D28" s="273">
        <v>0</v>
      </c>
      <c r="E28" s="273">
        <v>0</v>
      </c>
      <c r="F28" s="273">
        <v>0</v>
      </c>
      <c r="G28" s="273">
        <v>0</v>
      </c>
      <c r="H28" s="273">
        <v>0</v>
      </c>
      <c r="I28" s="273">
        <v>0</v>
      </c>
      <c r="J28" s="273">
        <v>0</v>
      </c>
      <c r="K28" s="273">
        <v>0</v>
      </c>
      <c r="L28" s="273">
        <v>0</v>
      </c>
      <c r="M28" s="273">
        <v>0</v>
      </c>
      <c r="N28" s="273">
        <v>0</v>
      </c>
      <c r="O28" s="273">
        <v>0</v>
      </c>
      <c r="P28" s="273">
        <v>0</v>
      </c>
    </row>
    <row r="29" spans="1:16" ht="12.75" thickTop="1">
      <c r="A29" s="281">
        <v>15</v>
      </c>
      <c r="C29" s="203"/>
      <c r="D29" s="203"/>
      <c r="E29" s="203"/>
      <c r="F29" s="203"/>
      <c r="G29" s="203"/>
      <c r="H29" s="203"/>
      <c r="I29" s="203"/>
      <c r="J29" s="203"/>
      <c r="K29" s="203"/>
      <c r="L29" s="203"/>
      <c r="M29" s="203"/>
      <c r="N29" s="203"/>
      <c r="O29" s="203"/>
      <c r="P29" s="227"/>
    </row>
    <row r="30" spans="1:16">
      <c r="A30" s="281">
        <v>16</v>
      </c>
      <c r="C30" s="203"/>
      <c r="D30" s="203"/>
      <c r="E30" s="203"/>
      <c r="F30" s="203"/>
      <c r="G30" s="203"/>
      <c r="H30" s="203"/>
      <c r="I30" s="203"/>
      <c r="J30" s="203"/>
      <c r="K30" s="203"/>
      <c r="L30" s="203"/>
      <c r="M30" s="203"/>
      <c r="N30" s="203"/>
      <c r="O30" s="203"/>
      <c r="P30" s="227"/>
    </row>
    <row r="31" spans="1:16">
      <c r="A31" s="281">
        <v>17</v>
      </c>
      <c r="B31" s="203" t="s">
        <v>1300</v>
      </c>
      <c r="C31" s="202"/>
      <c r="D31" s="202"/>
      <c r="E31" s="202"/>
      <c r="F31" s="202"/>
      <c r="G31" s="202"/>
      <c r="H31" s="202"/>
      <c r="I31" s="202"/>
      <c r="J31" s="202"/>
      <c r="K31" s="202"/>
      <c r="L31" s="202"/>
      <c r="M31" s="202"/>
      <c r="N31" s="202"/>
      <c r="O31" s="202"/>
      <c r="P31" s="216"/>
    </row>
    <row r="32" spans="1:16">
      <c r="A32" s="281">
        <v>18</v>
      </c>
      <c r="C32" s="202"/>
      <c r="D32" s="202"/>
      <c r="E32" s="202"/>
      <c r="F32" s="202"/>
      <c r="G32" s="202"/>
      <c r="H32" s="202"/>
      <c r="I32" s="202"/>
      <c r="J32" s="202"/>
      <c r="K32" s="202"/>
      <c r="L32" s="202"/>
      <c r="M32" s="202"/>
      <c r="N32" s="202"/>
      <c r="O32" s="202"/>
      <c r="P32" s="212"/>
    </row>
    <row r="33" spans="1:16">
      <c r="A33" s="281">
        <v>19</v>
      </c>
      <c r="B33" s="211" t="s">
        <v>824</v>
      </c>
      <c r="C33" s="310">
        <v>5432.07</v>
      </c>
      <c r="D33" s="310">
        <v>5562.88</v>
      </c>
      <c r="E33" s="310">
        <v>5826.51</v>
      </c>
      <c r="F33" s="310">
        <v>6090.14</v>
      </c>
      <c r="G33" s="310">
        <v>6353.77</v>
      </c>
      <c r="H33" s="310">
        <v>6617.4</v>
      </c>
      <c r="I33" s="310">
        <v>6881.03</v>
      </c>
      <c r="J33" s="310">
        <v>7144.66</v>
      </c>
      <c r="K33" s="310">
        <v>7408.29</v>
      </c>
      <c r="L33" s="310">
        <v>7671.92</v>
      </c>
      <c r="M33" s="310">
        <v>7935.55</v>
      </c>
      <c r="N33" s="310">
        <v>8199.18</v>
      </c>
      <c r="O33" s="310">
        <v>8462.81</v>
      </c>
      <c r="P33" s="202">
        <v>6891</v>
      </c>
    </row>
    <row r="34" spans="1:16">
      <c r="A34" s="281">
        <v>20</v>
      </c>
      <c r="C34" s="202"/>
      <c r="D34" s="202"/>
      <c r="E34" s="202"/>
      <c r="F34" s="202"/>
      <c r="G34" s="202"/>
      <c r="H34" s="202"/>
      <c r="I34" s="202"/>
      <c r="J34" s="202"/>
      <c r="K34" s="202"/>
      <c r="L34" s="202"/>
      <c r="M34" s="202"/>
      <c r="N34" s="202"/>
      <c r="O34" s="202"/>
      <c r="P34" s="212"/>
    </row>
    <row r="35" spans="1:16">
      <c r="A35" s="281">
        <v>21</v>
      </c>
      <c r="B35" s="211" t="s">
        <v>825</v>
      </c>
      <c r="C35" s="202">
        <v>181254.21000000002</v>
      </c>
      <c r="D35" s="202">
        <v>182661.4</v>
      </c>
      <c r="E35" s="202">
        <v>184068.59</v>
      </c>
      <c r="F35" s="202">
        <v>185475.78</v>
      </c>
      <c r="G35" s="202">
        <v>186882.97000000003</v>
      </c>
      <c r="H35" s="202">
        <v>188290.16</v>
      </c>
      <c r="I35" s="202">
        <v>189697.35</v>
      </c>
      <c r="J35" s="202">
        <v>191104.54</v>
      </c>
      <c r="K35" s="202">
        <v>192511.73</v>
      </c>
      <c r="L35" s="202">
        <v>193918.91999999998</v>
      </c>
      <c r="M35" s="202">
        <v>195326.11000000004</v>
      </c>
      <c r="N35" s="202">
        <v>196733.30000000002</v>
      </c>
      <c r="O35" s="202">
        <v>198140.49000000002</v>
      </c>
      <c r="P35" s="202">
        <v>189697</v>
      </c>
    </row>
    <row r="36" spans="1:16">
      <c r="A36" s="281">
        <v>22</v>
      </c>
      <c r="C36" s="202"/>
      <c r="D36" s="202"/>
      <c r="E36" s="202"/>
      <c r="F36" s="202"/>
      <c r="G36" s="202"/>
      <c r="H36" s="202"/>
      <c r="I36" s="202"/>
      <c r="J36" s="202"/>
      <c r="K36" s="202"/>
      <c r="L36" s="202"/>
      <c r="M36" s="202"/>
      <c r="N36" s="202"/>
      <c r="O36" s="202"/>
      <c r="P36" s="212"/>
    </row>
    <row r="37" spans="1:16">
      <c r="A37" s="281">
        <v>23</v>
      </c>
      <c r="B37" s="211" t="s">
        <v>531</v>
      </c>
      <c r="C37" s="202">
        <v>2004832.8900000001</v>
      </c>
      <c r="D37" s="202">
        <v>2010399.5999999999</v>
      </c>
      <c r="E37" s="202">
        <v>2015966.31</v>
      </c>
      <c r="F37" s="202">
        <v>2021533.02</v>
      </c>
      <c r="G37" s="202">
        <v>2027099.7299999997</v>
      </c>
      <c r="H37" s="202">
        <v>2032666.4400000002</v>
      </c>
      <c r="I37" s="202">
        <v>2038233.1500000001</v>
      </c>
      <c r="J37" s="202">
        <v>2043799.8599999999</v>
      </c>
      <c r="K37" s="202">
        <v>2049366.57</v>
      </c>
      <c r="L37" s="202">
        <v>2054933.2799999998</v>
      </c>
      <c r="M37" s="202">
        <v>2060499.9900000002</v>
      </c>
      <c r="N37" s="202">
        <v>2066066.7</v>
      </c>
      <c r="O37" s="202">
        <v>2071633.4100000001</v>
      </c>
      <c r="P37" s="202">
        <v>2038233</v>
      </c>
    </row>
    <row r="38" spans="1:16">
      <c r="A38" s="281">
        <v>24</v>
      </c>
      <c r="C38" s="202"/>
      <c r="D38" s="202"/>
      <c r="E38" s="202"/>
      <c r="F38" s="202"/>
      <c r="G38" s="202"/>
      <c r="H38" s="202"/>
      <c r="I38" s="202"/>
      <c r="J38" s="202"/>
      <c r="K38" s="202"/>
      <c r="L38" s="202"/>
      <c r="M38" s="202"/>
      <c r="N38" s="202"/>
      <c r="O38" s="202"/>
      <c r="P38" s="212"/>
    </row>
    <row r="39" spans="1:16">
      <c r="A39" s="281">
        <v>25</v>
      </c>
      <c r="B39" s="211" t="s">
        <v>1325</v>
      </c>
      <c r="C39" s="202">
        <v>118976.43</v>
      </c>
      <c r="D39" s="202">
        <v>119851.31</v>
      </c>
      <c r="E39" s="202">
        <v>120726.19</v>
      </c>
      <c r="F39" s="202">
        <v>121601.07</v>
      </c>
      <c r="G39" s="202">
        <v>122475.95</v>
      </c>
      <c r="H39" s="202">
        <v>123350.91</v>
      </c>
      <c r="I39" s="202">
        <v>124225.87</v>
      </c>
      <c r="J39" s="202">
        <v>125100.83</v>
      </c>
      <c r="K39" s="202">
        <v>125975.79</v>
      </c>
      <c r="L39" s="202">
        <v>126850.75</v>
      </c>
      <c r="M39" s="202">
        <v>127725.71</v>
      </c>
      <c r="N39" s="202">
        <v>128600.63</v>
      </c>
      <c r="O39" s="202">
        <v>129475.55</v>
      </c>
      <c r="P39" s="202">
        <v>124226</v>
      </c>
    </row>
    <row r="40" spans="1:16">
      <c r="A40" s="281">
        <v>26</v>
      </c>
      <c r="C40" s="261"/>
      <c r="D40" s="261"/>
      <c r="E40" s="261"/>
      <c r="F40" s="261"/>
      <c r="G40" s="261"/>
      <c r="H40" s="261"/>
      <c r="I40" s="261"/>
      <c r="J40" s="261"/>
      <c r="K40" s="261"/>
      <c r="L40" s="261"/>
      <c r="M40" s="261"/>
      <c r="N40" s="261"/>
      <c r="O40" s="261"/>
      <c r="P40" s="271"/>
    </row>
    <row r="41" spans="1:16">
      <c r="A41" s="281">
        <v>27</v>
      </c>
      <c r="C41" s="212"/>
      <c r="D41" s="212"/>
      <c r="E41" s="212"/>
      <c r="F41" s="212"/>
      <c r="G41" s="212"/>
      <c r="H41" s="212"/>
      <c r="I41" s="212"/>
      <c r="J41" s="212"/>
      <c r="K41" s="212"/>
      <c r="L41" s="212"/>
      <c r="M41" s="212"/>
      <c r="N41" s="212"/>
      <c r="O41" s="212"/>
      <c r="P41" s="227"/>
    </row>
    <row r="42" spans="1:16" ht="12.75" thickBot="1">
      <c r="A42" s="281">
        <v>28</v>
      </c>
      <c r="B42" s="211" t="s">
        <v>1299</v>
      </c>
      <c r="C42" s="273">
        <v>2310495.6</v>
      </c>
      <c r="D42" s="273">
        <v>2318475.19</v>
      </c>
      <c r="E42" s="273">
        <v>2326587.6</v>
      </c>
      <c r="F42" s="273">
        <v>2334700.0099999998</v>
      </c>
      <c r="G42" s="273">
        <v>2342812.42</v>
      </c>
      <c r="H42" s="273">
        <v>2350924.91</v>
      </c>
      <c r="I42" s="273">
        <v>2359037.4000000004</v>
      </c>
      <c r="J42" s="273">
        <v>2367149.89</v>
      </c>
      <c r="K42" s="273">
        <v>2375262.38</v>
      </c>
      <c r="L42" s="273">
        <v>2383374.8699999996</v>
      </c>
      <c r="M42" s="273">
        <v>2391487.3600000003</v>
      </c>
      <c r="N42" s="273">
        <v>2399599.81</v>
      </c>
      <c r="O42" s="273">
        <v>2407712.2599999998</v>
      </c>
      <c r="P42" s="273">
        <v>2359047</v>
      </c>
    </row>
    <row r="43" spans="1:16" ht="12.75" thickTop="1">
      <c r="A43" s="210"/>
      <c r="B43" s="203"/>
      <c r="C43" s="203"/>
      <c r="D43" s="140"/>
      <c r="E43" s="140"/>
      <c r="F43" s="140"/>
      <c r="G43" s="140"/>
      <c r="H43" s="140"/>
      <c r="I43" s="140"/>
      <c r="J43" s="140"/>
      <c r="K43" s="140"/>
      <c r="L43" s="140"/>
      <c r="M43" s="140"/>
      <c r="N43" s="140"/>
      <c r="O43" s="140"/>
      <c r="P43" s="227"/>
    </row>
    <row r="44" spans="1:16">
      <c r="A44" s="210"/>
      <c r="B44" s="203"/>
      <c r="C44" s="203"/>
      <c r="D44" s="1172"/>
      <c r="E44" s="1172"/>
      <c r="F44" s="1172"/>
      <c r="G44" s="1172"/>
      <c r="H44" s="1172"/>
      <c r="I44" s="1172"/>
      <c r="J44" s="1172"/>
      <c r="K44" s="1172"/>
      <c r="L44" s="1172"/>
      <c r="M44" s="1172"/>
      <c r="N44" s="1172"/>
      <c r="O44" s="1172"/>
    </row>
    <row r="45" spans="1:16">
      <c r="A45" s="203"/>
      <c r="B45" s="203" t="s">
        <v>3248</v>
      </c>
      <c r="C45" s="203"/>
      <c r="D45" s="203"/>
      <c r="E45" s="203"/>
      <c r="F45" s="203"/>
      <c r="G45" s="203"/>
      <c r="H45" s="203"/>
      <c r="I45" s="203"/>
      <c r="J45" s="203"/>
      <c r="K45" s="203"/>
      <c r="L45" s="203"/>
      <c r="M45" s="203"/>
      <c r="N45" s="203"/>
      <c r="O45" s="203"/>
    </row>
    <row r="46" spans="1:16">
      <c r="A46" s="203"/>
      <c r="B46" s="203"/>
      <c r="C46" s="203"/>
      <c r="D46" s="203"/>
      <c r="E46" s="203"/>
      <c r="F46" s="203"/>
      <c r="G46" s="203"/>
      <c r="H46" s="203"/>
      <c r="I46" s="203"/>
      <c r="J46" s="203"/>
      <c r="K46" s="203"/>
      <c r="L46" s="203"/>
      <c r="M46" s="203"/>
      <c r="N46" s="203"/>
      <c r="O46" s="203"/>
    </row>
    <row r="47" spans="1:16">
      <c r="A47" s="203"/>
      <c r="B47" s="203"/>
      <c r="C47" s="203"/>
      <c r="D47" s="203"/>
      <c r="E47" s="203"/>
      <c r="F47" s="203"/>
      <c r="G47" s="203"/>
      <c r="H47" s="203"/>
      <c r="I47" s="203"/>
      <c r="J47" s="203"/>
      <c r="K47" s="203"/>
      <c r="L47" s="203"/>
      <c r="M47" s="203"/>
      <c r="N47" s="203"/>
      <c r="O47" s="203"/>
    </row>
    <row r="48" spans="1:16">
      <c r="A48" s="203"/>
      <c r="B48" s="203"/>
      <c r="C48" s="203"/>
      <c r="D48" s="203"/>
      <c r="E48" s="203"/>
      <c r="F48" s="203"/>
      <c r="G48" s="203"/>
      <c r="H48" s="203"/>
      <c r="I48" s="203"/>
      <c r="J48" s="203"/>
      <c r="K48" s="203"/>
      <c r="L48" s="203"/>
      <c r="M48" s="203"/>
      <c r="N48" s="203"/>
      <c r="O48" s="203"/>
    </row>
    <row r="49" spans="1:16">
      <c r="A49" s="203"/>
      <c r="B49" s="203"/>
      <c r="C49" s="203"/>
      <c r="D49" s="203"/>
      <c r="E49" s="203"/>
      <c r="F49" s="203"/>
      <c r="G49" s="203"/>
      <c r="H49" s="203"/>
      <c r="I49" s="203"/>
      <c r="J49" s="203"/>
      <c r="K49" s="203"/>
      <c r="L49" s="203"/>
      <c r="M49" s="203"/>
      <c r="N49" s="203"/>
      <c r="O49" s="203"/>
    </row>
    <row r="50" spans="1:16">
      <c r="A50" s="203"/>
      <c r="B50" s="203"/>
      <c r="C50" s="203"/>
      <c r="D50" s="210"/>
      <c r="E50" s="210"/>
      <c r="F50" s="210"/>
      <c r="G50" s="210"/>
      <c r="H50" s="210"/>
      <c r="I50" s="210"/>
      <c r="J50" s="210"/>
      <c r="K50" s="210"/>
      <c r="L50" s="210"/>
      <c r="M50" s="210"/>
      <c r="N50" s="210"/>
      <c r="O50" s="210"/>
    </row>
    <row r="51" spans="1:16">
      <c r="A51" s="203"/>
      <c r="B51" s="203"/>
      <c r="C51" s="203"/>
    </row>
    <row r="52" spans="1:16">
      <c r="A52" s="203"/>
      <c r="B52" s="203"/>
      <c r="C52" s="203"/>
    </row>
    <row r="53" spans="1:16">
      <c r="A53" s="203"/>
      <c r="B53" s="203"/>
      <c r="C53" s="203"/>
    </row>
    <row r="54" spans="1:16">
      <c r="A54" s="203"/>
      <c r="C54" s="203"/>
    </row>
    <row r="55" spans="1:16">
      <c r="A55" s="203"/>
      <c r="B55" s="203"/>
      <c r="C55" s="203"/>
    </row>
    <row r="56" spans="1:16">
      <c r="A56" s="203"/>
    </row>
    <row r="57" spans="1:16">
      <c r="A57" s="210"/>
      <c r="B57" s="281"/>
      <c r="C57" s="281"/>
      <c r="D57" s="281"/>
      <c r="E57" s="281"/>
      <c r="F57" s="281"/>
      <c r="G57" s="281"/>
      <c r="H57" s="281"/>
      <c r="I57" s="281"/>
      <c r="J57" s="281"/>
      <c r="K57" s="281"/>
      <c r="L57" s="281"/>
      <c r="M57" s="281"/>
      <c r="N57" s="281"/>
      <c r="O57" s="281"/>
      <c r="P57" s="281"/>
    </row>
    <row r="58" spans="1:16">
      <c r="A58" s="203"/>
      <c r="B58" s="203"/>
      <c r="C58" s="203"/>
    </row>
    <row r="59" spans="1:16">
      <c r="A59" s="210"/>
      <c r="B59" s="210"/>
      <c r="C59" s="210"/>
      <c r="P59" s="210"/>
    </row>
    <row r="154" spans="1:3">
      <c r="A154" s="286"/>
      <c r="B154" s="286"/>
      <c r="C154" s="286"/>
    </row>
    <row r="155" spans="1:3">
      <c r="A155" s="286"/>
      <c r="B155" s="286"/>
      <c r="C155" s="286"/>
    </row>
    <row r="156" spans="1:3">
      <c r="A156" s="286"/>
      <c r="B156" s="286"/>
      <c r="C156" s="286"/>
    </row>
    <row r="157" spans="1:3">
      <c r="A157" s="286"/>
      <c r="B157" s="286"/>
      <c r="C157" s="286"/>
    </row>
    <row r="158" spans="1:3">
      <c r="A158" s="286"/>
      <c r="B158" s="286"/>
      <c r="C158" s="286"/>
    </row>
    <row r="188" spans="1:1">
      <c r="A188" s="286"/>
    </row>
    <row r="257" spans="1:1">
      <c r="A257" s="203"/>
    </row>
    <row r="274" spans="1:1">
      <c r="A274" s="286"/>
    </row>
    <row r="275" spans="1:1">
      <c r="A275" s="286"/>
    </row>
    <row r="276" spans="1:1">
      <c r="A276" s="286"/>
    </row>
    <row r="277" spans="1:1">
      <c r="A277" s="286"/>
    </row>
    <row r="278" spans="1:1">
      <c r="A278" s="286"/>
    </row>
    <row r="279" spans="1:1">
      <c r="A279" s="286"/>
    </row>
    <row r="280" spans="1:1">
      <c r="A280" s="286"/>
    </row>
    <row r="281" spans="1:1">
      <c r="A281" s="286"/>
    </row>
    <row r="282" spans="1:1">
      <c r="A282" s="286"/>
    </row>
    <row r="283" spans="1:1">
      <c r="A283" s="286"/>
    </row>
    <row r="284" spans="1:1">
      <c r="A284" s="286"/>
    </row>
    <row r="285" spans="1:1">
      <c r="A285" s="286"/>
    </row>
    <row r="286" spans="1:1">
      <c r="A286" s="286"/>
    </row>
    <row r="287" spans="1:1">
      <c r="A287" s="286"/>
    </row>
    <row r="288" spans="1:1">
      <c r="A288" s="286"/>
    </row>
    <row r="289" spans="1:1">
      <c r="A289" s="286"/>
    </row>
    <row r="290" spans="1:1">
      <c r="A290" s="286"/>
    </row>
    <row r="291" spans="1:1">
      <c r="A291" s="286"/>
    </row>
    <row r="292" spans="1:1">
      <c r="A292" s="286"/>
    </row>
    <row r="293" spans="1:1">
      <c r="A293" s="286"/>
    </row>
    <row r="294" spans="1:1">
      <c r="A294" s="286"/>
    </row>
    <row r="295" spans="1:1">
      <c r="A295" s="286"/>
    </row>
    <row r="296" spans="1:1">
      <c r="A296" s="286"/>
    </row>
    <row r="297" spans="1:1">
      <c r="A297" s="286"/>
    </row>
    <row r="298" spans="1:1">
      <c r="A298" s="286"/>
    </row>
    <row r="299" spans="1:1">
      <c r="A299" s="286"/>
    </row>
    <row r="300" spans="1:1">
      <c r="A300" s="286"/>
    </row>
    <row r="301" spans="1:1">
      <c r="A301" s="286"/>
    </row>
    <row r="302" spans="1:1">
      <c r="A302" s="286"/>
    </row>
    <row r="303" spans="1:1">
      <c r="A303" s="286"/>
    </row>
    <row r="304" spans="1:1">
      <c r="A304" s="286"/>
    </row>
    <row r="305" spans="1:1">
      <c r="A305" s="286"/>
    </row>
    <row r="306" spans="1:1">
      <c r="A306" s="286"/>
    </row>
    <row r="307" spans="1:1">
      <c r="A307" s="286"/>
    </row>
    <row r="308" spans="1:1">
      <c r="A308" s="286"/>
    </row>
    <row r="309" spans="1:1">
      <c r="A309" s="286"/>
    </row>
    <row r="310" spans="1:1">
      <c r="A310" s="286"/>
    </row>
    <row r="311" spans="1:1">
      <c r="A311" s="286"/>
    </row>
    <row r="312" spans="1:1">
      <c r="A312" s="286"/>
    </row>
    <row r="313" spans="1:1">
      <c r="A313" s="286"/>
    </row>
    <row r="314" spans="1:1">
      <c r="A314" s="286"/>
    </row>
    <row r="315" spans="1:1">
      <c r="A315" s="286"/>
    </row>
    <row r="316" spans="1:1">
      <c r="A316" s="286"/>
    </row>
    <row r="317" spans="1:1">
      <c r="A317" s="286"/>
    </row>
    <row r="318" spans="1:1">
      <c r="A318" s="286"/>
    </row>
    <row r="319" spans="1:1">
      <c r="A319" s="286"/>
    </row>
    <row r="320" spans="1:1">
      <c r="A320" s="286"/>
    </row>
    <row r="321" spans="1:1">
      <c r="A321" s="286"/>
    </row>
    <row r="322" spans="1:1">
      <c r="A322" s="286"/>
    </row>
    <row r="323" spans="1:1">
      <c r="A323" s="286"/>
    </row>
    <row r="324" spans="1:1">
      <c r="A324" s="286"/>
    </row>
    <row r="325" spans="1:1">
      <c r="A325" s="286"/>
    </row>
    <row r="326" spans="1:1">
      <c r="A326" s="286"/>
    </row>
    <row r="327" spans="1:1">
      <c r="A327" s="286"/>
    </row>
    <row r="328" spans="1:1">
      <c r="A328" s="286"/>
    </row>
  </sheetData>
  <mergeCells count="1">
    <mergeCell ref="A9:P10"/>
  </mergeCells>
  <phoneticPr fontId="27" type="noConversion"/>
  <pageMargins left="0.75" right="0.5" top="0.75" bottom="0.5" header="0.25" footer="0.25"/>
  <pageSetup scale="69" orientation="landscape" r:id="rId1"/>
  <headerFooter alignWithMargins="0">
    <oddFooter>&amp;C&amp;"Garmond (W1),Bold"6</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19">
    <pageSetUpPr fitToPage="1"/>
  </sheetPr>
  <dimension ref="A1:D450"/>
  <sheetViews>
    <sheetView view="pageBreakPreview" zoomScale="60" zoomScaleNormal="100" workbookViewId="0">
      <selection sqref="A1:XFD1048576"/>
    </sheetView>
  </sheetViews>
  <sheetFormatPr defaultColWidth="10.85546875" defaultRowHeight="12"/>
  <cols>
    <col min="1" max="1" width="6.85546875" style="120" customWidth="1"/>
    <col min="2" max="2" width="52.85546875" style="120" customWidth="1"/>
    <col min="3" max="3" width="19.140625" style="120" customWidth="1"/>
    <col min="4" max="4" width="11.7109375" style="120" customWidth="1"/>
    <col min="5" max="16384" width="10.85546875" style="120"/>
  </cols>
  <sheetData>
    <row r="1" spans="1:4">
      <c r="A1" s="117" t="s">
        <v>764</v>
      </c>
      <c r="B1" s="117"/>
      <c r="C1" s="117" t="s">
        <v>1209</v>
      </c>
    </row>
    <row r="2" spans="1:4">
      <c r="A2" s="117"/>
      <c r="B2" s="117"/>
      <c r="C2" s="117"/>
    </row>
    <row r="3" spans="1:4">
      <c r="A3" s="117" t="s">
        <v>2644</v>
      </c>
      <c r="B3" s="117"/>
      <c r="C3" s="117" t="s">
        <v>765</v>
      </c>
    </row>
    <row r="4" spans="1:4">
      <c r="A4" s="117" t="s">
        <v>2645</v>
      </c>
      <c r="B4" s="117"/>
      <c r="C4" s="117" t="s">
        <v>766</v>
      </c>
    </row>
    <row r="5" spans="1:4">
      <c r="A5" s="117" t="s">
        <v>1936</v>
      </c>
      <c r="B5" s="117"/>
      <c r="C5" s="117" t="s">
        <v>2948</v>
      </c>
    </row>
    <row r="6" spans="1:4">
      <c r="A6" s="117"/>
      <c r="B6" s="117"/>
      <c r="C6" s="117"/>
      <c r="D6" s="117"/>
    </row>
    <row r="7" spans="1:4">
      <c r="A7" s="2306" t="s">
        <v>1122</v>
      </c>
      <c r="B7" s="2306"/>
      <c r="C7" s="2306"/>
      <c r="D7" s="2306"/>
    </row>
    <row r="8" spans="1:4">
      <c r="A8" s="2306"/>
      <c r="B8" s="2306"/>
      <c r="C8" s="2306"/>
      <c r="D8" s="2306"/>
    </row>
    <row r="9" spans="1:4">
      <c r="A9" s="2306"/>
      <c r="B9" s="2306"/>
      <c r="C9" s="2306"/>
      <c r="D9" s="2306"/>
    </row>
    <row r="10" spans="1:4" ht="12.75" thickBot="1">
      <c r="A10" s="230"/>
      <c r="B10" s="230"/>
      <c r="C10" s="230"/>
      <c r="D10" s="230"/>
    </row>
    <row r="11" spans="1:4">
      <c r="A11" s="481"/>
      <c r="B11" s="481" t="s">
        <v>914</v>
      </c>
      <c r="C11" s="481" t="s">
        <v>915</v>
      </c>
      <c r="D11" s="481" t="s">
        <v>560</v>
      </c>
    </row>
    <row r="12" spans="1:4">
      <c r="A12" s="1114" t="s">
        <v>53</v>
      </c>
      <c r="B12" s="153"/>
      <c r="C12" s="153"/>
      <c r="D12" s="153"/>
    </row>
    <row r="13" spans="1:4">
      <c r="A13" s="156" t="s">
        <v>730</v>
      </c>
      <c r="B13" s="482" t="s">
        <v>731</v>
      </c>
      <c r="C13" s="483" t="s">
        <v>125</v>
      </c>
    </row>
    <row r="14" spans="1:4">
      <c r="B14" s="134"/>
    </row>
    <row r="15" spans="1:4" ht="12.75" customHeight="1">
      <c r="A15" s="1021">
        <v>1</v>
      </c>
      <c r="B15" s="235" t="s">
        <v>2654</v>
      </c>
      <c r="C15" s="236">
        <v>9.0300000000000005E-2</v>
      </c>
      <c r="D15" s="234"/>
    </row>
    <row r="16" spans="1:4">
      <c r="A16" s="231">
        <v>2</v>
      </c>
      <c r="B16" s="120" t="s">
        <v>2655</v>
      </c>
      <c r="D16" s="237"/>
    </row>
    <row r="17" spans="1:4">
      <c r="A17" s="231">
        <v>3</v>
      </c>
      <c r="B17" s="238" t="s">
        <v>2656</v>
      </c>
      <c r="C17" s="233"/>
      <c r="D17" s="1113"/>
    </row>
    <row r="18" spans="1:4">
      <c r="A18" s="231"/>
      <c r="B18" s="232"/>
      <c r="C18" s="232"/>
      <c r="D18" s="232"/>
    </row>
    <row r="19" spans="1:4" ht="15" customHeight="1">
      <c r="A19" s="239"/>
      <c r="B19" s="1113"/>
      <c r="C19" s="1113"/>
      <c r="D19" s="1113"/>
    </row>
    <row r="20" spans="1:4">
      <c r="A20" s="179"/>
      <c r="B20" s="232"/>
      <c r="C20" s="211"/>
      <c r="D20" s="211"/>
    </row>
    <row r="21" spans="1:4">
      <c r="A21" s="179"/>
      <c r="B21" s="211"/>
      <c r="C21" s="211"/>
      <c r="D21" s="211"/>
    </row>
    <row r="22" spans="1:4">
      <c r="B22" s="211"/>
      <c r="C22" s="211"/>
      <c r="D22" s="211"/>
    </row>
    <row r="23" spans="1:4">
      <c r="B23" s="211"/>
      <c r="C23" s="211"/>
      <c r="D23" s="211"/>
    </row>
    <row r="24" spans="1:4">
      <c r="B24" s="211"/>
      <c r="C24" s="211"/>
      <c r="D24" s="211"/>
    </row>
    <row r="57" spans="1:4">
      <c r="A57" s="148"/>
      <c r="B57" s="148"/>
      <c r="C57" s="148"/>
      <c r="D57" s="148"/>
    </row>
    <row r="150" spans="2:2">
      <c r="B150" s="137"/>
    </row>
    <row r="153" spans="2:2">
      <c r="B153" s="137"/>
    </row>
    <row r="276" spans="1:1">
      <c r="A276" s="138"/>
    </row>
    <row r="277" spans="1:1">
      <c r="A277" s="138"/>
    </row>
    <row r="278" spans="1:1">
      <c r="A278" s="138"/>
    </row>
    <row r="279" spans="1:1">
      <c r="A279" s="138"/>
    </row>
    <row r="280" spans="1:1">
      <c r="A280" s="138"/>
    </row>
    <row r="310" spans="1:1">
      <c r="A310" s="138"/>
    </row>
    <row r="379" spans="1:1">
      <c r="A379" s="117"/>
    </row>
    <row r="396" spans="1:1">
      <c r="A396" s="138"/>
    </row>
    <row r="397" spans="1:1">
      <c r="A397" s="138"/>
    </row>
    <row r="398" spans="1:1">
      <c r="A398" s="138"/>
    </row>
    <row r="399" spans="1:1">
      <c r="A399" s="138"/>
    </row>
    <row r="400" spans="1:1">
      <c r="A400" s="138"/>
    </row>
    <row r="401" spans="1:1">
      <c r="A401" s="138"/>
    </row>
    <row r="402" spans="1:1">
      <c r="A402" s="138"/>
    </row>
    <row r="403" spans="1:1">
      <c r="A403" s="138"/>
    </row>
    <row r="404" spans="1:1">
      <c r="A404" s="138"/>
    </row>
    <row r="405" spans="1:1">
      <c r="A405" s="138"/>
    </row>
    <row r="406" spans="1:1">
      <c r="A406" s="138"/>
    </row>
    <row r="407" spans="1:1">
      <c r="A407" s="138"/>
    </row>
    <row r="408" spans="1:1">
      <c r="A408" s="138"/>
    </row>
    <row r="409" spans="1:1">
      <c r="A409" s="138"/>
    </row>
    <row r="410" spans="1:1">
      <c r="A410" s="138"/>
    </row>
    <row r="411" spans="1:1">
      <c r="A411" s="138"/>
    </row>
    <row r="412" spans="1:1">
      <c r="A412" s="138"/>
    </row>
    <row r="413" spans="1:1">
      <c r="A413" s="138"/>
    </row>
    <row r="414" spans="1:1">
      <c r="A414" s="138"/>
    </row>
    <row r="415" spans="1:1">
      <c r="A415" s="138"/>
    </row>
    <row r="416" spans="1:1">
      <c r="A416" s="138"/>
    </row>
    <row r="417" spans="1:1">
      <c r="A417" s="138"/>
    </row>
    <row r="418" spans="1:1">
      <c r="A418" s="138"/>
    </row>
    <row r="419" spans="1:1">
      <c r="A419" s="138"/>
    </row>
    <row r="420" spans="1:1">
      <c r="A420" s="138"/>
    </row>
    <row r="421" spans="1:1">
      <c r="A421" s="138"/>
    </row>
    <row r="422" spans="1:1">
      <c r="A422" s="138"/>
    </row>
    <row r="423" spans="1:1">
      <c r="A423" s="138"/>
    </row>
    <row r="424" spans="1:1">
      <c r="A424" s="138"/>
    </row>
    <row r="425" spans="1:1">
      <c r="A425" s="138"/>
    </row>
    <row r="426" spans="1:1">
      <c r="A426" s="138"/>
    </row>
    <row r="427" spans="1:1">
      <c r="A427" s="138"/>
    </row>
    <row r="428" spans="1:1">
      <c r="A428" s="138"/>
    </row>
    <row r="429" spans="1:1">
      <c r="A429" s="138"/>
    </row>
    <row r="430" spans="1:1">
      <c r="A430" s="138"/>
    </row>
    <row r="431" spans="1:1">
      <c r="A431" s="138"/>
    </row>
    <row r="432" spans="1:1">
      <c r="A432" s="138"/>
    </row>
    <row r="433" spans="1:1">
      <c r="A433" s="138"/>
    </row>
    <row r="434" spans="1:1">
      <c r="A434" s="138"/>
    </row>
    <row r="435" spans="1:1">
      <c r="A435" s="138"/>
    </row>
    <row r="436" spans="1:1">
      <c r="A436" s="138"/>
    </row>
    <row r="437" spans="1:1">
      <c r="A437" s="138"/>
    </row>
    <row r="438" spans="1:1">
      <c r="A438" s="138"/>
    </row>
    <row r="439" spans="1:1">
      <c r="A439" s="138"/>
    </row>
    <row r="440" spans="1:1">
      <c r="A440" s="138"/>
    </row>
    <row r="441" spans="1:1">
      <c r="A441" s="138"/>
    </row>
    <row r="442" spans="1:1">
      <c r="A442" s="138"/>
    </row>
    <row r="443" spans="1:1">
      <c r="A443" s="138"/>
    </row>
    <row r="444" spans="1:1">
      <c r="A444" s="138"/>
    </row>
    <row r="445" spans="1:1">
      <c r="A445" s="138"/>
    </row>
    <row r="446" spans="1:1">
      <c r="A446" s="138"/>
    </row>
    <row r="447" spans="1:1">
      <c r="A447" s="138"/>
    </row>
    <row r="448" spans="1:1">
      <c r="A448" s="138"/>
    </row>
    <row r="449" spans="1:1">
      <c r="A449" s="138"/>
    </row>
    <row r="450" spans="1:1">
      <c r="A450" s="138"/>
    </row>
  </sheetData>
  <mergeCells count="1">
    <mergeCell ref="A7:D9"/>
  </mergeCells>
  <phoneticPr fontId="27" type="noConversion"/>
  <printOptions horizontalCentered="1"/>
  <pageMargins left="0.75" right="0.5" top="0.75" bottom="0.5" header="0.25" footer="0.25"/>
  <pageSetup orientation="portrait" r:id="rId1"/>
  <headerFooter alignWithMargins="0">
    <oddFooter xml:space="preserve">&amp;C&amp;"Garmond (W1),Bold"
</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20">
    <pageSetUpPr fitToPage="1"/>
  </sheetPr>
  <dimension ref="A1:D203"/>
  <sheetViews>
    <sheetView view="pageBreakPreview" zoomScale="60" zoomScaleNormal="100" workbookViewId="0">
      <selection sqref="A1:XFD1048576"/>
    </sheetView>
  </sheetViews>
  <sheetFormatPr defaultColWidth="10.85546875" defaultRowHeight="12"/>
  <cols>
    <col min="1" max="1" width="6.85546875" style="120" customWidth="1"/>
    <col min="2" max="2" width="69.42578125" style="120" customWidth="1"/>
    <col min="3" max="3" width="19.85546875" style="120" customWidth="1"/>
    <col min="4" max="4" width="15.85546875" style="120" customWidth="1"/>
    <col min="5" max="16384" width="10.85546875" style="120"/>
  </cols>
  <sheetData>
    <row r="1" spans="1:4">
      <c r="A1" s="117" t="s">
        <v>767</v>
      </c>
      <c r="B1" s="117"/>
      <c r="C1" s="117" t="s">
        <v>1209</v>
      </c>
    </row>
    <row r="2" spans="1:4">
      <c r="A2" s="117" t="s">
        <v>624</v>
      </c>
      <c r="B2" s="117"/>
      <c r="C2" s="117"/>
    </row>
    <row r="3" spans="1:4">
      <c r="A3" s="117"/>
      <c r="B3" s="117"/>
      <c r="C3" s="117"/>
    </row>
    <row r="4" spans="1:4">
      <c r="A4" s="117" t="s">
        <v>2644</v>
      </c>
      <c r="B4" s="117"/>
      <c r="C4" s="123" t="s">
        <v>768</v>
      </c>
    </row>
    <row r="5" spans="1:4">
      <c r="A5" s="117" t="s">
        <v>2645</v>
      </c>
      <c r="B5" s="117"/>
      <c r="C5" s="117" t="s">
        <v>766</v>
      </c>
    </row>
    <row r="6" spans="1:4">
      <c r="A6" s="117" t="s">
        <v>1935</v>
      </c>
      <c r="B6" s="117"/>
      <c r="C6" s="117" t="s">
        <v>2948</v>
      </c>
      <c r="D6" s="117"/>
    </row>
    <row r="7" spans="1:4">
      <c r="A7" s="117"/>
      <c r="B7" s="117"/>
      <c r="C7" s="117"/>
      <c r="D7" s="117"/>
    </row>
    <row r="8" spans="1:4">
      <c r="A8" s="117"/>
      <c r="B8" s="117"/>
      <c r="C8" s="117"/>
      <c r="D8" s="117"/>
    </row>
    <row r="9" spans="1:4">
      <c r="A9" s="2292" t="s">
        <v>784</v>
      </c>
      <c r="B9" s="2293"/>
      <c r="C9" s="2293"/>
      <c r="D9" s="2293"/>
    </row>
    <row r="10" spans="1:4">
      <c r="A10" s="2293"/>
      <c r="B10" s="2293"/>
      <c r="C10" s="2293"/>
      <c r="D10" s="2293"/>
    </row>
    <row r="11" spans="1:4">
      <c r="A11" s="2293"/>
      <c r="B11" s="2293"/>
      <c r="C11" s="2293"/>
      <c r="D11" s="2293"/>
    </row>
    <row r="12" spans="1:4" ht="30" customHeight="1">
      <c r="A12" s="2293"/>
      <c r="B12" s="2293"/>
      <c r="C12" s="2293"/>
      <c r="D12" s="2293"/>
    </row>
    <row r="13" spans="1:4" hidden="1">
      <c r="A13" s="2293"/>
      <c r="B13" s="2293"/>
      <c r="C13" s="2293"/>
      <c r="D13" s="2293"/>
    </row>
    <row r="14" spans="1:4" hidden="1">
      <c r="A14" s="2293"/>
      <c r="B14" s="2293"/>
      <c r="C14" s="2293"/>
      <c r="D14" s="2293"/>
    </row>
    <row r="15" spans="1:4" hidden="1">
      <c r="A15" s="2293"/>
      <c r="B15" s="2293"/>
      <c r="C15" s="2293"/>
      <c r="D15" s="2293"/>
    </row>
    <row r="16" spans="1:4" hidden="1">
      <c r="A16" s="2293"/>
      <c r="B16" s="2293"/>
      <c r="C16" s="2293"/>
      <c r="D16" s="2293"/>
    </row>
    <row r="17" spans="1:4" ht="12.75" thickBot="1">
      <c r="A17" s="194"/>
      <c r="B17" s="194"/>
      <c r="C17" s="218"/>
      <c r="D17" s="218"/>
    </row>
    <row r="18" spans="1:4">
      <c r="A18" s="1114" t="s">
        <v>53</v>
      </c>
      <c r="B18" s="170"/>
      <c r="C18" s="240" t="s">
        <v>47</v>
      </c>
      <c r="D18" s="1253"/>
    </row>
    <row r="19" spans="1:4">
      <c r="A19" s="1117" t="s">
        <v>730</v>
      </c>
      <c r="B19" s="808" t="s">
        <v>731</v>
      </c>
      <c r="C19" s="1117" t="s">
        <v>498</v>
      </c>
      <c r="D19" s="1117" t="s">
        <v>499</v>
      </c>
    </row>
    <row r="20" spans="1:4">
      <c r="A20" s="162"/>
      <c r="B20" s="218"/>
      <c r="C20" s="157"/>
      <c r="D20" s="157"/>
    </row>
    <row r="21" spans="1:4">
      <c r="A21" s="341">
        <v>1</v>
      </c>
      <c r="B21" s="469" t="s">
        <v>1115</v>
      </c>
      <c r="C21" s="157"/>
      <c r="D21" s="157"/>
    </row>
    <row r="22" spans="1:4">
      <c r="A22" s="1114"/>
      <c r="B22" s="193"/>
      <c r="C22" s="241"/>
      <c r="D22" s="241"/>
    </row>
    <row r="23" spans="1:4">
      <c r="A23" s="1114"/>
      <c r="B23" s="193"/>
      <c r="C23" s="150"/>
      <c r="D23" s="150"/>
    </row>
    <row r="24" spans="1:4">
      <c r="A24" s="1114"/>
      <c r="B24" s="193"/>
      <c r="C24" s="150"/>
      <c r="D24" s="150"/>
    </row>
    <row r="25" spans="1:4" ht="14.25">
      <c r="A25" s="1114"/>
      <c r="C25" s="188"/>
      <c r="D25" s="188"/>
    </row>
    <row r="26" spans="1:4">
      <c r="A26" s="1114"/>
      <c r="B26" s="193"/>
      <c r="C26" s="150"/>
      <c r="D26" s="150"/>
    </row>
    <row r="27" spans="1:4">
      <c r="A27" s="1114"/>
      <c r="B27" s="193"/>
      <c r="C27" s="150"/>
      <c r="D27" s="150"/>
    </row>
    <row r="28" spans="1:4">
      <c r="A28" s="1114"/>
      <c r="B28" s="193"/>
      <c r="C28" s="150"/>
      <c r="D28" s="150"/>
    </row>
    <row r="29" spans="1:4" ht="14.25">
      <c r="A29" s="1114"/>
      <c r="B29" s="193"/>
      <c r="C29" s="188"/>
      <c r="D29" s="188"/>
    </row>
    <row r="30" spans="1:4">
      <c r="A30" s="1114"/>
      <c r="B30" s="193"/>
      <c r="C30" s="150"/>
      <c r="D30" s="150"/>
    </row>
    <row r="31" spans="1:4">
      <c r="A31" s="1114"/>
      <c r="B31" s="193"/>
      <c r="C31" s="150"/>
      <c r="D31" s="150"/>
    </row>
    <row r="32" spans="1:4">
      <c r="A32" s="1114"/>
      <c r="B32" s="193"/>
      <c r="C32" s="150"/>
      <c r="D32" s="150"/>
    </row>
    <row r="33" spans="1:4" ht="14.25">
      <c r="A33" s="1114"/>
      <c r="C33" s="188"/>
      <c r="D33" s="188"/>
    </row>
    <row r="34" spans="1:4">
      <c r="A34" s="1114"/>
      <c r="B34" s="193"/>
      <c r="C34" s="150"/>
      <c r="D34" s="150"/>
    </row>
    <row r="35" spans="1:4">
      <c r="A35" s="1114"/>
      <c r="B35" s="193"/>
      <c r="C35" s="150"/>
      <c r="D35" s="150"/>
    </row>
    <row r="36" spans="1:4">
      <c r="A36" s="1114"/>
      <c r="B36" s="193"/>
      <c r="C36" s="150"/>
      <c r="D36" s="150"/>
    </row>
    <row r="37" spans="1:4" ht="14.25">
      <c r="A37" s="1114"/>
      <c r="C37" s="188"/>
      <c r="D37" s="188"/>
    </row>
    <row r="38" spans="1:4">
      <c r="A38" s="1114"/>
      <c r="B38" s="193"/>
      <c r="C38" s="150"/>
      <c r="D38" s="150"/>
    </row>
    <row r="39" spans="1:4">
      <c r="A39" s="1114"/>
      <c r="B39" s="193"/>
      <c r="C39" s="150"/>
      <c r="D39" s="150"/>
    </row>
    <row r="40" spans="1:4">
      <c r="A40" s="1114"/>
      <c r="B40" s="193"/>
      <c r="C40" s="150"/>
      <c r="D40" s="150"/>
    </row>
    <row r="41" spans="1:4" ht="14.25">
      <c r="A41" s="1114"/>
      <c r="B41" s="193"/>
      <c r="C41" s="188"/>
      <c r="D41" s="188"/>
    </row>
    <row r="42" spans="1:4">
      <c r="A42" s="1114"/>
      <c r="B42" s="193"/>
      <c r="C42" s="180"/>
      <c r="D42" s="180"/>
    </row>
    <row r="43" spans="1:4" ht="14.25">
      <c r="A43" s="1114"/>
      <c r="B43" s="193"/>
      <c r="C43" s="242"/>
      <c r="D43" s="242"/>
    </row>
    <row r="44" spans="1:4">
      <c r="A44" s="1114"/>
      <c r="B44" s="193"/>
      <c r="C44" s="243"/>
      <c r="D44" s="243"/>
    </row>
    <row r="45" spans="1:4">
      <c r="A45" s="1114"/>
      <c r="B45" s="193"/>
      <c r="C45" s="244"/>
      <c r="D45" s="244"/>
    </row>
    <row r="46" spans="1:4" ht="14.25">
      <c r="A46" s="1114"/>
      <c r="B46" s="193"/>
      <c r="C46" s="245"/>
      <c r="D46" s="245"/>
    </row>
    <row r="47" spans="1:4">
      <c r="A47" s="1114"/>
      <c r="B47" s="159"/>
      <c r="C47" s="243"/>
      <c r="D47" s="243"/>
    </row>
    <row r="48" spans="1:4">
      <c r="A48" s="1114"/>
      <c r="B48" s="159"/>
      <c r="C48" s="243"/>
      <c r="D48" s="243"/>
    </row>
    <row r="49" spans="1:4">
      <c r="A49" s="1114"/>
      <c r="B49" s="246"/>
      <c r="C49" s="243"/>
      <c r="D49" s="243"/>
    </row>
    <row r="50" spans="1:4">
      <c r="A50" s="1114"/>
      <c r="B50" s="159"/>
      <c r="C50" s="243"/>
      <c r="D50" s="243"/>
    </row>
    <row r="51" spans="1:4">
      <c r="A51" s="1114"/>
      <c r="B51" s="159"/>
      <c r="C51" s="243"/>
      <c r="D51" s="243"/>
    </row>
    <row r="52" spans="1:4">
      <c r="A52" s="1114"/>
      <c r="B52" s="159"/>
      <c r="C52" s="243"/>
      <c r="D52" s="243"/>
    </row>
    <row r="53" spans="1:4">
      <c r="A53" s="1114"/>
      <c r="B53" s="159"/>
      <c r="C53" s="243"/>
      <c r="D53" s="243"/>
    </row>
    <row r="54" spans="1:4">
      <c r="A54" s="1114"/>
      <c r="B54" s="159"/>
      <c r="C54" s="243"/>
      <c r="D54" s="243"/>
    </row>
    <row r="55" spans="1:4">
      <c r="A55" s="1114"/>
      <c r="B55" s="159"/>
      <c r="C55" s="243"/>
      <c r="D55" s="243"/>
    </row>
    <row r="56" spans="1:4">
      <c r="A56" s="1114"/>
      <c r="B56" s="159"/>
      <c r="C56" s="243"/>
      <c r="D56" s="243"/>
    </row>
    <row r="57" spans="1:4">
      <c r="A57" s="1114"/>
      <c r="B57" s="159"/>
      <c r="C57" s="243"/>
      <c r="D57" s="243"/>
    </row>
    <row r="58" spans="1:4">
      <c r="A58" s="1114"/>
      <c r="B58" s="159"/>
      <c r="C58" s="243"/>
      <c r="D58" s="243"/>
    </row>
    <row r="59" spans="1:4">
      <c r="A59" s="1114"/>
      <c r="B59" s="159"/>
      <c r="C59" s="243"/>
      <c r="D59" s="243"/>
    </row>
    <row r="60" spans="1:4">
      <c r="A60" s="1114"/>
      <c r="B60" s="159"/>
      <c r="C60" s="243"/>
      <c r="D60" s="243"/>
    </row>
    <row r="61" spans="1:4">
      <c r="A61" s="1114"/>
      <c r="B61" s="159"/>
      <c r="C61" s="243"/>
      <c r="D61" s="243"/>
    </row>
    <row r="62" spans="1:4">
      <c r="A62" s="1114"/>
      <c r="B62" s="159"/>
      <c r="C62" s="243"/>
      <c r="D62" s="243"/>
    </row>
    <row r="63" spans="1:4">
      <c r="A63" s="1114"/>
      <c r="B63" s="159"/>
      <c r="C63" s="243"/>
      <c r="D63" s="243"/>
    </row>
    <row r="64" spans="1:4">
      <c r="A64" s="1114"/>
      <c r="B64" s="159"/>
      <c r="C64" s="243"/>
      <c r="D64" s="243"/>
    </row>
    <row r="65" spans="1:4">
      <c r="A65" s="1114"/>
      <c r="B65" s="159"/>
      <c r="C65" s="243"/>
      <c r="D65" s="243"/>
    </row>
    <row r="66" spans="1:4" ht="14.25">
      <c r="A66" s="1114"/>
      <c r="B66" s="159"/>
      <c r="C66" s="245"/>
      <c r="D66" s="245"/>
    </row>
    <row r="67" spans="1:4">
      <c r="A67" s="159"/>
      <c r="B67" s="159"/>
      <c r="C67" s="243"/>
      <c r="D67" s="243"/>
    </row>
    <row r="68" spans="1:4">
      <c r="A68" s="159"/>
      <c r="B68" s="159"/>
      <c r="C68" s="243"/>
      <c r="D68" s="243"/>
    </row>
    <row r="69" spans="1:4">
      <c r="A69" s="117"/>
      <c r="B69" s="117"/>
    </row>
    <row r="70" spans="1:4">
      <c r="A70" s="117"/>
      <c r="B70" s="117" t="s">
        <v>1173</v>
      </c>
    </row>
    <row r="71" spans="1:4">
      <c r="A71" s="117"/>
      <c r="B71" s="117"/>
    </row>
    <row r="72" spans="1:4">
      <c r="A72" s="148"/>
      <c r="B72" s="148"/>
      <c r="C72" s="148"/>
      <c r="D72" s="148"/>
    </row>
    <row r="132" spans="1:1">
      <c r="A132" s="117"/>
    </row>
    <row r="149" spans="1:1">
      <c r="A149" s="138"/>
    </row>
    <row r="150" spans="1:1">
      <c r="A150" s="138"/>
    </row>
    <row r="151" spans="1:1">
      <c r="A151" s="138"/>
    </row>
    <row r="152" spans="1:1">
      <c r="A152" s="138"/>
    </row>
    <row r="153" spans="1:1">
      <c r="A153" s="138"/>
    </row>
    <row r="154" spans="1:1">
      <c r="A154" s="138"/>
    </row>
    <row r="155" spans="1:1">
      <c r="A155" s="138"/>
    </row>
    <row r="156" spans="1:1">
      <c r="A156" s="138"/>
    </row>
    <row r="157" spans="1:1">
      <c r="A157" s="138"/>
    </row>
    <row r="158" spans="1:1">
      <c r="A158" s="138"/>
    </row>
    <row r="159" spans="1:1">
      <c r="A159" s="138"/>
    </row>
    <row r="160" spans="1:1">
      <c r="A160" s="138"/>
    </row>
    <row r="161" spans="1:1">
      <c r="A161" s="138"/>
    </row>
    <row r="162" spans="1:1">
      <c r="A162" s="138"/>
    </row>
    <row r="163" spans="1:1">
      <c r="A163" s="138"/>
    </row>
    <row r="164" spans="1:1">
      <c r="A164" s="138"/>
    </row>
    <row r="165" spans="1:1">
      <c r="A165" s="138"/>
    </row>
    <row r="166" spans="1:1">
      <c r="A166" s="138"/>
    </row>
    <row r="167" spans="1:1">
      <c r="A167" s="138"/>
    </row>
    <row r="168" spans="1:1">
      <c r="A168" s="138"/>
    </row>
    <row r="169" spans="1:1">
      <c r="A169" s="138"/>
    </row>
    <row r="170" spans="1:1">
      <c r="A170" s="138"/>
    </row>
    <row r="171" spans="1:1">
      <c r="A171" s="138"/>
    </row>
    <row r="172" spans="1:1">
      <c r="A172" s="138"/>
    </row>
    <row r="173" spans="1:1">
      <c r="A173" s="138"/>
    </row>
    <row r="174" spans="1:1">
      <c r="A174" s="138"/>
    </row>
    <row r="175" spans="1:1">
      <c r="A175" s="138"/>
    </row>
    <row r="176" spans="1:1">
      <c r="A176" s="138"/>
    </row>
    <row r="177" spans="1:1">
      <c r="A177" s="138"/>
    </row>
    <row r="178" spans="1:1">
      <c r="A178" s="138"/>
    </row>
    <row r="179" spans="1:1">
      <c r="A179" s="138"/>
    </row>
    <row r="180" spans="1:1">
      <c r="A180" s="138"/>
    </row>
    <row r="181" spans="1:1">
      <c r="A181" s="138"/>
    </row>
    <row r="182" spans="1:1">
      <c r="A182" s="138"/>
    </row>
    <row r="183" spans="1:1">
      <c r="A183" s="138"/>
    </row>
    <row r="184" spans="1:1">
      <c r="A184" s="138"/>
    </row>
    <row r="185" spans="1:1">
      <c r="A185" s="138"/>
    </row>
    <row r="186" spans="1:1">
      <c r="A186" s="138"/>
    </row>
    <row r="187" spans="1:1">
      <c r="A187" s="138"/>
    </row>
    <row r="188" spans="1:1">
      <c r="A188" s="138"/>
    </row>
    <row r="189" spans="1:1">
      <c r="A189" s="138"/>
    </row>
    <row r="190" spans="1:1">
      <c r="A190" s="138"/>
    </row>
    <row r="191" spans="1:1">
      <c r="A191" s="138"/>
    </row>
    <row r="192" spans="1:1">
      <c r="A192" s="138"/>
    </row>
    <row r="193" spans="1:1">
      <c r="A193" s="138"/>
    </row>
    <row r="194" spans="1:1">
      <c r="A194" s="138"/>
    </row>
    <row r="195" spans="1:1">
      <c r="A195" s="138"/>
    </row>
    <row r="196" spans="1:1">
      <c r="A196" s="138"/>
    </row>
    <row r="197" spans="1:1">
      <c r="A197" s="138"/>
    </row>
    <row r="198" spans="1:1">
      <c r="A198" s="138"/>
    </row>
    <row r="199" spans="1:1">
      <c r="A199" s="138"/>
    </row>
    <row r="200" spans="1:1">
      <c r="A200" s="138"/>
    </row>
    <row r="201" spans="1:1">
      <c r="A201" s="138"/>
    </row>
    <row r="202" spans="1:1">
      <c r="A202" s="138"/>
    </row>
    <row r="203" spans="1:1">
      <c r="A203" s="138"/>
    </row>
  </sheetData>
  <mergeCells count="1">
    <mergeCell ref="A9:D16"/>
  </mergeCells>
  <phoneticPr fontId="27" type="noConversion"/>
  <printOptions horizontalCentered="1"/>
  <pageMargins left="0.75" right="0.5" top="0.75" bottom="0.5" header="0.25" footer="0.25"/>
  <pageSetup scale="84" orientation="portrait" r:id="rId1"/>
  <headerFooter alignWithMargins="0">
    <oddFooter xml:space="preserve">&amp;C&amp;"Garmond (W1),Bold"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3"/>
  <dimension ref="A1:Q490"/>
  <sheetViews>
    <sheetView view="pageBreakPreview" zoomScale="85" zoomScaleNormal="100" zoomScaleSheetLayoutView="85" workbookViewId="0">
      <selection activeCell="G29" sqref="G29"/>
    </sheetView>
  </sheetViews>
  <sheetFormatPr defaultColWidth="10.85546875" defaultRowHeight="12.75"/>
  <cols>
    <col min="1" max="1" width="16" style="32" customWidth="1"/>
    <col min="2" max="2" width="1.42578125" style="32" customWidth="1"/>
    <col min="3" max="3" width="16.140625" style="32" customWidth="1"/>
    <col min="4" max="4" width="2" style="32" customWidth="1"/>
    <col min="5" max="5" width="76.5703125" style="32" customWidth="1"/>
    <col min="6" max="16384" width="10.85546875" style="32"/>
  </cols>
  <sheetData>
    <row r="1" spans="1:17">
      <c r="A1" s="74" t="s">
        <v>1043</v>
      </c>
      <c r="B1" s="73"/>
      <c r="C1" s="73"/>
      <c r="D1" s="73"/>
      <c r="E1" s="73"/>
    </row>
    <row r="2" spans="1:17">
      <c r="A2" s="74" t="s">
        <v>1044</v>
      </c>
      <c r="B2" s="73"/>
      <c r="C2" s="73"/>
      <c r="D2" s="73"/>
      <c r="E2" s="73"/>
    </row>
    <row r="3" spans="1:17">
      <c r="A3" s="74" t="s">
        <v>1088</v>
      </c>
      <c r="B3" s="73"/>
      <c r="C3" s="73"/>
      <c r="D3" s="73"/>
      <c r="E3" s="73"/>
    </row>
    <row r="4" spans="1:17">
      <c r="B4" s="73"/>
      <c r="C4" s="73"/>
      <c r="D4" s="73"/>
      <c r="E4" s="73"/>
    </row>
    <row r="5" spans="1:17">
      <c r="A5" s="74" t="s">
        <v>1062</v>
      </c>
      <c r="B5" s="73"/>
      <c r="C5" s="73"/>
      <c r="D5" s="73"/>
      <c r="E5" s="73"/>
    </row>
    <row r="6" spans="1:17">
      <c r="F6" s="73"/>
      <c r="G6" s="73"/>
      <c r="H6" s="73"/>
      <c r="I6" s="73"/>
      <c r="J6" s="73"/>
      <c r="K6" s="73"/>
      <c r="L6" s="73"/>
      <c r="M6" s="73"/>
      <c r="N6" s="73"/>
      <c r="O6" s="73"/>
      <c r="P6" s="73"/>
      <c r="Q6" s="73"/>
    </row>
    <row r="7" spans="1:17" ht="15">
      <c r="A7" s="72" t="s">
        <v>1045</v>
      </c>
      <c r="B7" s="75"/>
      <c r="C7" s="72" t="s">
        <v>1046</v>
      </c>
      <c r="D7" s="75"/>
      <c r="E7" s="72" t="s">
        <v>1369</v>
      </c>
      <c r="F7" s="73"/>
      <c r="G7" s="73"/>
      <c r="H7" s="73"/>
      <c r="I7" s="73"/>
      <c r="J7" s="73"/>
      <c r="K7" s="73"/>
      <c r="L7" s="73"/>
      <c r="M7" s="73"/>
      <c r="N7" s="73"/>
      <c r="O7" s="73"/>
      <c r="P7" s="73"/>
      <c r="Q7" s="73"/>
    </row>
    <row r="9" spans="1:17">
      <c r="A9" s="74" t="s">
        <v>980</v>
      </c>
      <c r="B9" s="73"/>
      <c r="C9" s="73"/>
      <c r="D9" s="73"/>
      <c r="E9" s="73"/>
    </row>
    <row r="10" spans="1:17">
      <c r="A10" s="76" t="s">
        <v>1345</v>
      </c>
      <c r="B10" s="73"/>
      <c r="C10" s="73"/>
      <c r="D10" s="73"/>
      <c r="E10" s="73"/>
      <c r="F10" s="73"/>
      <c r="G10" s="73"/>
      <c r="H10" s="73"/>
      <c r="I10" s="73"/>
    </row>
    <row r="11" spans="1:17">
      <c r="D11" s="35"/>
      <c r="F11" s="73"/>
      <c r="G11" s="73"/>
      <c r="H11" s="73"/>
      <c r="Q11" s="73"/>
    </row>
    <row r="12" spans="1:17">
      <c r="A12" s="71" t="s">
        <v>1387</v>
      </c>
      <c r="C12" s="77" t="s">
        <v>1328</v>
      </c>
      <c r="D12" s="35"/>
      <c r="E12" s="33" t="s">
        <v>1388</v>
      </c>
      <c r="F12" s="73"/>
      <c r="G12" s="73"/>
      <c r="H12" s="73"/>
      <c r="Q12" s="73"/>
    </row>
    <row r="13" spans="1:17">
      <c r="A13" s="78" t="s">
        <v>1370</v>
      </c>
      <c r="C13" s="77">
        <v>1</v>
      </c>
      <c r="E13" s="33" t="s">
        <v>841</v>
      </c>
    </row>
    <row r="14" spans="1:17">
      <c r="A14" s="78" t="s">
        <v>454</v>
      </c>
      <c r="C14" s="77" t="s">
        <v>2998</v>
      </c>
      <c r="E14" s="79" t="s">
        <v>1371</v>
      </c>
    </row>
    <row r="15" spans="1:17">
      <c r="A15" s="78" t="s">
        <v>1372</v>
      </c>
      <c r="C15" s="77">
        <v>4</v>
      </c>
      <c r="E15" s="79" t="s">
        <v>1373</v>
      </c>
    </row>
    <row r="16" spans="1:17">
      <c r="A16" s="78" t="s">
        <v>1389</v>
      </c>
      <c r="C16" s="77" t="s">
        <v>1328</v>
      </c>
      <c r="E16" s="79" t="s">
        <v>1390</v>
      </c>
    </row>
    <row r="17" spans="1:5">
      <c r="A17" s="78" t="s">
        <v>815</v>
      </c>
      <c r="C17" s="77" t="s">
        <v>2999</v>
      </c>
      <c r="E17" s="79" t="s">
        <v>1374</v>
      </c>
    </row>
    <row r="18" spans="1:5">
      <c r="A18" s="78" t="s">
        <v>816</v>
      </c>
      <c r="C18" s="77">
        <v>7</v>
      </c>
      <c r="E18" s="79" t="s">
        <v>1375</v>
      </c>
    </row>
    <row r="19" spans="1:5">
      <c r="A19" s="78" t="s">
        <v>1376</v>
      </c>
      <c r="C19" s="77">
        <v>8</v>
      </c>
      <c r="E19" s="79" t="s">
        <v>1377</v>
      </c>
    </row>
    <row r="20" spans="1:5">
      <c r="A20" s="78" t="s">
        <v>1391</v>
      </c>
      <c r="C20" s="77" t="s">
        <v>1328</v>
      </c>
      <c r="E20" s="79" t="s">
        <v>842</v>
      </c>
    </row>
    <row r="21" spans="1:5">
      <c r="A21" s="78" t="s">
        <v>817</v>
      </c>
      <c r="C21" s="77" t="s">
        <v>3000</v>
      </c>
      <c r="E21" s="79" t="s">
        <v>519</v>
      </c>
    </row>
    <row r="22" spans="1:5">
      <c r="A22" s="78" t="s">
        <v>520</v>
      </c>
      <c r="C22" s="77">
        <v>11</v>
      </c>
      <c r="E22" s="79" t="s">
        <v>1392</v>
      </c>
    </row>
    <row r="23" spans="1:5">
      <c r="A23" s="78" t="s">
        <v>818</v>
      </c>
      <c r="C23" s="77" t="s">
        <v>3001</v>
      </c>
      <c r="E23" s="79" t="s">
        <v>1393</v>
      </c>
    </row>
    <row r="24" spans="1:5">
      <c r="A24" s="78" t="s">
        <v>521</v>
      </c>
      <c r="C24" s="77">
        <v>14</v>
      </c>
      <c r="E24" s="79" t="s">
        <v>1394</v>
      </c>
    </row>
    <row r="25" spans="1:5">
      <c r="A25" s="78" t="s">
        <v>819</v>
      </c>
      <c r="C25" s="77" t="s">
        <v>3002</v>
      </c>
      <c r="E25" s="79" t="s">
        <v>641</v>
      </c>
    </row>
    <row r="26" spans="1:5">
      <c r="A26" s="78" t="s">
        <v>522</v>
      </c>
      <c r="C26" s="77">
        <v>17</v>
      </c>
      <c r="E26" s="79" t="s">
        <v>523</v>
      </c>
    </row>
    <row r="27" spans="1:5">
      <c r="A27" s="78" t="s">
        <v>820</v>
      </c>
      <c r="C27" s="77">
        <v>18</v>
      </c>
      <c r="E27" s="79" t="s">
        <v>642</v>
      </c>
    </row>
    <row r="28" spans="1:5">
      <c r="A28" s="78" t="s">
        <v>821</v>
      </c>
      <c r="C28" s="77">
        <v>19</v>
      </c>
      <c r="E28" s="79" t="s">
        <v>643</v>
      </c>
    </row>
    <row r="29" spans="1:5">
      <c r="A29" s="78" t="s">
        <v>740</v>
      </c>
      <c r="C29" s="77" t="s">
        <v>3003</v>
      </c>
      <c r="E29" s="79" t="s">
        <v>719</v>
      </c>
    </row>
    <row r="30" spans="1:5">
      <c r="A30" s="78" t="s">
        <v>741</v>
      </c>
      <c r="C30" s="77" t="s">
        <v>3004</v>
      </c>
      <c r="E30" s="79" t="s">
        <v>644</v>
      </c>
    </row>
    <row r="32" spans="1:5">
      <c r="A32" s="76" t="s">
        <v>1344</v>
      </c>
      <c r="B32" s="73"/>
      <c r="C32" s="73"/>
      <c r="D32" s="73"/>
      <c r="E32" s="73"/>
    </row>
    <row r="34" spans="1:5">
      <c r="A34" s="71" t="s">
        <v>645</v>
      </c>
      <c r="C34" s="77" t="s">
        <v>1328</v>
      </c>
      <c r="E34" s="33" t="s">
        <v>646</v>
      </c>
    </row>
    <row r="35" spans="1:5">
      <c r="A35" s="78" t="s">
        <v>742</v>
      </c>
      <c r="C35" s="77">
        <v>24</v>
      </c>
      <c r="E35" s="33" t="s">
        <v>647</v>
      </c>
    </row>
    <row r="36" spans="1:5">
      <c r="A36" s="78" t="s">
        <v>477</v>
      </c>
      <c r="C36" s="77" t="s">
        <v>3005</v>
      </c>
      <c r="E36" s="80" t="s">
        <v>648</v>
      </c>
    </row>
    <row r="37" spans="1:5">
      <c r="A37" s="78" t="s">
        <v>743</v>
      </c>
      <c r="C37" s="77">
        <v>27</v>
      </c>
      <c r="E37" s="79" t="s">
        <v>744</v>
      </c>
    </row>
    <row r="38" spans="1:5">
      <c r="A38" s="78" t="s">
        <v>649</v>
      </c>
      <c r="C38" s="77" t="s">
        <v>1328</v>
      </c>
      <c r="E38" s="79" t="s">
        <v>650</v>
      </c>
    </row>
    <row r="39" spans="1:5">
      <c r="A39" s="78" t="s">
        <v>745</v>
      </c>
      <c r="C39" s="77">
        <v>28</v>
      </c>
      <c r="E39" s="79" t="s">
        <v>651</v>
      </c>
    </row>
    <row r="40" spans="1:5">
      <c r="A40" s="78" t="s">
        <v>652</v>
      </c>
      <c r="C40" s="77" t="s">
        <v>1328</v>
      </c>
      <c r="E40" s="79" t="s">
        <v>1443</v>
      </c>
    </row>
    <row r="41" spans="1:5">
      <c r="A41" s="78" t="s">
        <v>746</v>
      </c>
      <c r="C41" s="77">
        <v>29</v>
      </c>
      <c r="E41" s="79" t="s">
        <v>1444</v>
      </c>
    </row>
    <row r="42" spans="1:5">
      <c r="A42" s="78" t="s">
        <v>747</v>
      </c>
      <c r="C42" s="77">
        <v>30</v>
      </c>
      <c r="E42" s="79" t="s">
        <v>1445</v>
      </c>
    </row>
    <row r="43" spans="1:5">
      <c r="A43" s="78" t="s">
        <v>748</v>
      </c>
      <c r="C43" s="77">
        <v>31</v>
      </c>
      <c r="E43" s="79" t="s">
        <v>604</v>
      </c>
    </row>
    <row r="44" spans="1:5">
      <c r="A44" s="78" t="s">
        <v>749</v>
      </c>
      <c r="C44" s="77">
        <v>32</v>
      </c>
      <c r="E44" s="79" t="s">
        <v>1446</v>
      </c>
    </row>
    <row r="45" spans="1:5">
      <c r="A45" s="78" t="s">
        <v>1381</v>
      </c>
      <c r="C45" s="77" t="s">
        <v>3006</v>
      </c>
      <c r="E45" s="79" t="s">
        <v>1382</v>
      </c>
    </row>
    <row r="46" spans="1:5">
      <c r="A46" s="78" t="s">
        <v>1447</v>
      </c>
      <c r="C46" s="77" t="s">
        <v>1328</v>
      </c>
      <c r="E46" s="79" t="s">
        <v>1448</v>
      </c>
    </row>
    <row r="47" spans="1:5">
      <c r="A47" s="78" t="s">
        <v>1383</v>
      </c>
      <c r="C47" s="77">
        <v>46</v>
      </c>
      <c r="E47" s="79" t="s">
        <v>1449</v>
      </c>
    </row>
    <row r="48" spans="1:5">
      <c r="A48" s="78" t="s">
        <v>988</v>
      </c>
      <c r="C48" s="77">
        <v>47</v>
      </c>
      <c r="E48" s="79" t="s">
        <v>1450</v>
      </c>
    </row>
    <row r="49" spans="1:5">
      <c r="A49" s="78"/>
      <c r="C49" s="77"/>
      <c r="E49" s="79"/>
    </row>
    <row r="50" spans="1:5">
      <c r="A50" s="76" t="s">
        <v>989</v>
      </c>
      <c r="B50" s="73"/>
      <c r="C50" s="73"/>
      <c r="D50" s="73"/>
      <c r="E50" s="73"/>
    </row>
    <row r="51" spans="1:5">
      <c r="C51" s="81"/>
    </row>
    <row r="52" spans="1:5">
      <c r="A52" s="78" t="s">
        <v>990</v>
      </c>
      <c r="B52" s="33"/>
      <c r="C52" s="77">
        <v>48</v>
      </c>
      <c r="D52" s="33"/>
      <c r="E52" s="80" t="s">
        <v>862</v>
      </c>
    </row>
    <row r="53" spans="1:5">
      <c r="A53" s="78" t="s">
        <v>923</v>
      </c>
      <c r="B53" s="33"/>
      <c r="C53" s="77">
        <v>49</v>
      </c>
      <c r="D53" s="33"/>
      <c r="E53" s="80" t="s">
        <v>863</v>
      </c>
    </row>
    <row r="54" spans="1:5">
      <c r="A54" s="78" t="s">
        <v>864</v>
      </c>
      <c r="B54" s="33"/>
      <c r="C54" s="77">
        <v>50</v>
      </c>
      <c r="D54" s="33"/>
      <c r="E54" s="79" t="s">
        <v>1396</v>
      </c>
    </row>
    <row r="55" spans="1:5">
      <c r="A55" s="78" t="s">
        <v>865</v>
      </c>
      <c r="B55" s="33"/>
      <c r="C55" s="77">
        <v>51</v>
      </c>
      <c r="D55" s="33"/>
      <c r="E55" s="79" t="s">
        <v>1165</v>
      </c>
    </row>
    <row r="56" spans="1:5">
      <c r="A56" s="78" t="s">
        <v>924</v>
      </c>
      <c r="B56" s="33"/>
      <c r="C56" s="77">
        <v>52</v>
      </c>
      <c r="D56" s="33"/>
      <c r="E56" s="79" t="s">
        <v>838</v>
      </c>
    </row>
    <row r="57" spans="1:5">
      <c r="A57" s="78" t="s">
        <v>739</v>
      </c>
      <c r="B57" s="33"/>
      <c r="C57" s="77" t="s">
        <v>3007</v>
      </c>
      <c r="D57" s="33"/>
      <c r="E57" s="80" t="s">
        <v>893</v>
      </c>
    </row>
    <row r="58" spans="1:5">
      <c r="A58" s="78" t="s">
        <v>839</v>
      </c>
      <c r="B58" s="33"/>
      <c r="C58" s="77">
        <v>56</v>
      </c>
      <c r="D58" s="33"/>
      <c r="E58" s="79" t="s">
        <v>898</v>
      </c>
    </row>
    <row r="59" spans="1:5">
      <c r="A59" s="78" t="s">
        <v>925</v>
      </c>
      <c r="B59" s="33"/>
      <c r="C59" s="77">
        <v>57</v>
      </c>
      <c r="D59" s="33"/>
      <c r="E59" s="79" t="s">
        <v>481</v>
      </c>
    </row>
    <row r="60" spans="1:5">
      <c r="A60" s="78" t="s">
        <v>926</v>
      </c>
      <c r="B60" s="33"/>
      <c r="C60" s="77">
        <v>58</v>
      </c>
      <c r="D60" s="33"/>
      <c r="E60" s="79" t="s">
        <v>1204</v>
      </c>
    </row>
    <row r="61" spans="1:5">
      <c r="A61" s="78" t="s">
        <v>657</v>
      </c>
      <c r="B61" s="33"/>
      <c r="C61" s="77">
        <v>59</v>
      </c>
      <c r="D61" s="33"/>
      <c r="E61" s="80" t="s">
        <v>1454</v>
      </c>
    </row>
    <row r="62" spans="1:5">
      <c r="A62" s="78"/>
      <c r="B62" s="33"/>
      <c r="C62" s="77"/>
      <c r="D62" s="33"/>
      <c r="E62" s="80"/>
    </row>
    <row r="63" spans="1:5">
      <c r="C63" s="81"/>
      <c r="E63" s="2158" t="s">
        <v>3009</v>
      </c>
    </row>
    <row r="64" spans="1:5">
      <c r="A64" s="76" t="s">
        <v>769</v>
      </c>
      <c r="B64" s="73"/>
      <c r="C64" s="73"/>
      <c r="D64" s="73"/>
      <c r="E64" s="73"/>
    </row>
    <row r="65" spans="1:5">
      <c r="C65" s="81"/>
    </row>
    <row r="66" spans="1:5">
      <c r="A66" s="78" t="s">
        <v>770</v>
      </c>
      <c r="B66" s="33"/>
      <c r="C66" s="77">
        <v>60</v>
      </c>
      <c r="D66" s="33"/>
      <c r="E66" s="80" t="s">
        <v>899</v>
      </c>
    </row>
    <row r="67" spans="1:5">
      <c r="A67" s="78" t="s">
        <v>771</v>
      </c>
      <c r="B67" s="33"/>
      <c r="C67" s="77">
        <v>61</v>
      </c>
      <c r="D67" s="33"/>
      <c r="E67" s="80" t="s">
        <v>1413</v>
      </c>
    </row>
    <row r="68" spans="1:5">
      <c r="A68" s="78" t="s">
        <v>772</v>
      </c>
      <c r="B68" s="33"/>
      <c r="C68" s="77">
        <v>62</v>
      </c>
      <c r="D68" s="33"/>
      <c r="E68" s="79" t="s">
        <v>1211</v>
      </c>
    </row>
    <row r="69" spans="1:5">
      <c r="A69" s="78" t="s">
        <v>1212</v>
      </c>
      <c r="B69" s="33"/>
      <c r="C69" s="77">
        <v>63</v>
      </c>
      <c r="D69" s="33"/>
      <c r="E69" s="79" t="s">
        <v>660</v>
      </c>
    </row>
    <row r="70" spans="1:5">
      <c r="A70" s="78" t="s">
        <v>1213</v>
      </c>
      <c r="B70" s="33"/>
      <c r="C70" s="77">
        <v>64</v>
      </c>
      <c r="D70" s="33"/>
      <c r="E70" s="79" t="s">
        <v>514</v>
      </c>
    </row>
    <row r="71" spans="1:5">
      <c r="A71" s="78" t="s">
        <v>1214</v>
      </c>
      <c r="B71" s="33"/>
      <c r="C71" s="77">
        <v>65</v>
      </c>
      <c r="D71" s="33"/>
      <c r="E71" s="79" t="s">
        <v>1414</v>
      </c>
    </row>
    <row r="72" spans="1:5">
      <c r="A72" s="78" t="s">
        <v>68</v>
      </c>
      <c r="B72" s="33"/>
      <c r="C72" s="77">
        <v>66</v>
      </c>
      <c r="D72" s="33"/>
      <c r="E72" s="79" t="s">
        <v>780</v>
      </c>
    </row>
    <row r="73" spans="1:5">
      <c r="C73" s="81"/>
    </row>
    <row r="74" spans="1:5">
      <c r="A74" s="76" t="s">
        <v>69</v>
      </c>
      <c r="B74" s="73"/>
      <c r="C74" s="73"/>
      <c r="D74" s="73"/>
      <c r="E74" s="73"/>
    </row>
    <row r="75" spans="1:5">
      <c r="C75" s="81"/>
    </row>
    <row r="76" spans="1:5">
      <c r="A76" s="78" t="s">
        <v>70</v>
      </c>
      <c r="B76" s="33"/>
      <c r="C76" s="77">
        <v>67</v>
      </c>
      <c r="D76" s="33"/>
      <c r="E76" s="80" t="s">
        <v>886</v>
      </c>
    </row>
    <row r="77" spans="1:5">
      <c r="A77" s="78" t="s">
        <v>1178</v>
      </c>
      <c r="B77" s="33"/>
      <c r="C77" s="77">
        <v>68</v>
      </c>
      <c r="D77" s="33"/>
      <c r="E77" s="79" t="s">
        <v>1415</v>
      </c>
    </row>
    <row r="78" spans="1:5">
      <c r="A78" s="78" t="s">
        <v>1179</v>
      </c>
      <c r="B78" s="33"/>
      <c r="C78" s="77">
        <v>69</v>
      </c>
      <c r="D78" s="33"/>
      <c r="E78" s="79" t="s">
        <v>887</v>
      </c>
    </row>
    <row r="79" spans="1:5">
      <c r="A79" s="78" t="s">
        <v>1180</v>
      </c>
      <c r="B79" s="33"/>
      <c r="C79" s="77">
        <v>70</v>
      </c>
      <c r="D79" s="33"/>
      <c r="E79" s="79" t="s">
        <v>888</v>
      </c>
    </row>
    <row r="80" spans="1:5">
      <c r="A80" s="78" t="s">
        <v>1181</v>
      </c>
      <c r="B80" s="33"/>
      <c r="C80" s="77">
        <v>71</v>
      </c>
      <c r="D80" s="33"/>
      <c r="E80" s="79" t="s">
        <v>1182</v>
      </c>
    </row>
    <row r="81" spans="1:5">
      <c r="A81" s="78" t="s">
        <v>1183</v>
      </c>
      <c r="B81" s="33"/>
      <c r="C81" s="77">
        <v>72</v>
      </c>
      <c r="D81" s="33"/>
      <c r="E81" s="79" t="s">
        <v>1317</v>
      </c>
    </row>
    <row r="82" spans="1:5">
      <c r="A82" s="78" t="s">
        <v>1184</v>
      </c>
      <c r="B82" s="33"/>
      <c r="C82" s="77">
        <v>73</v>
      </c>
      <c r="D82" s="33"/>
      <c r="E82" s="79" t="s">
        <v>1416</v>
      </c>
    </row>
    <row r="83" spans="1:5">
      <c r="A83" s="78" t="s">
        <v>1185</v>
      </c>
      <c r="B83" s="33"/>
      <c r="C83" s="77">
        <v>74</v>
      </c>
      <c r="D83" s="33"/>
      <c r="E83" s="79" t="s">
        <v>889</v>
      </c>
    </row>
    <row r="84" spans="1:5">
      <c r="A84" s="78" t="s">
        <v>1186</v>
      </c>
      <c r="B84" s="33"/>
      <c r="C84" s="77">
        <v>75</v>
      </c>
      <c r="D84" s="33"/>
      <c r="E84" s="79" t="s">
        <v>617</v>
      </c>
    </row>
    <row r="85" spans="1:5">
      <c r="A85" s="78" t="s">
        <v>1187</v>
      </c>
      <c r="B85" s="33"/>
      <c r="C85" s="77">
        <v>76</v>
      </c>
      <c r="D85" s="33"/>
      <c r="E85" s="79" t="s">
        <v>524</v>
      </c>
    </row>
    <row r="86" spans="1:5">
      <c r="A86" s="78" t="s">
        <v>1188</v>
      </c>
      <c r="B86" s="33"/>
      <c r="C86" s="77">
        <v>77</v>
      </c>
      <c r="D86" s="33"/>
      <c r="E86" s="79" t="s">
        <v>1417</v>
      </c>
    </row>
    <row r="87" spans="1:5">
      <c r="A87" s="78" t="s">
        <v>1189</v>
      </c>
      <c r="B87" s="33"/>
      <c r="C87" s="77">
        <v>78</v>
      </c>
      <c r="D87" s="33"/>
      <c r="E87" s="79" t="s">
        <v>71</v>
      </c>
    </row>
    <row r="88" spans="1:5">
      <c r="A88" s="78" t="s">
        <v>1190</v>
      </c>
      <c r="B88" s="33"/>
      <c r="C88" s="77">
        <v>79</v>
      </c>
      <c r="D88" s="33"/>
      <c r="E88" s="80" t="s">
        <v>72</v>
      </c>
    </row>
    <row r="89" spans="1:5">
      <c r="A89" s="78" t="s">
        <v>1191</v>
      </c>
      <c r="B89" s="33"/>
      <c r="C89" s="77">
        <v>80</v>
      </c>
      <c r="D89" s="33"/>
      <c r="E89" s="79" t="s">
        <v>1418</v>
      </c>
    </row>
    <row r="91" spans="1:5">
      <c r="A91" s="76" t="s">
        <v>1192</v>
      </c>
      <c r="B91" s="73"/>
      <c r="C91" s="73"/>
      <c r="D91" s="73"/>
      <c r="E91" s="73"/>
    </row>
    <row r="92" spans="1:5">
      <c r="C92" s="81"/>
    </row>
    <row r="93" spans="1:5">
      <c r="A93" s="71" t="s">
        <v>1419</v>
      </c>
      <c r="C93" s="77" t="s">
        <v>1328</v>
      </c>
      <c r="E93" s="33" t="s">
        <v>1420</v>
      </c>
    </row>
    <row r="94" spans="1:5">
      <c r="A94" s="78" t="s">
        <v>1193</v>
      </c>
      <c r="B94" s="33"/>
      <c r="C94" s="77">
        <v>81</v>
      </c>
      <c r="D94" s="33"/>
      <c r="E94" s="79" t="s">
        <v>814</v>
      </c>
    </row>
    <row r="95" spans="1:5">
      <c r="A95" s="78" t="s">
        <v>1421</v>
      </c>
      <c r="B95" s="33"/>
      <c r="C95" s="77" t="s">
        <v>1328</v>
      </c>
      <c r="D95" s="33"/>
      <c r="E95" s="79" t="s">
        <v>1422</v>
      </c>
    </row>
    <row r="96" spans="1:5">
      <c r="A96" s="78" t="s">
        <v>1194</v>
      </c>
      <c r="B96" s="33"/>
      <c r="C96" s="77">
        <v>82</v>
      </c>
      <c r="D96" s="33"/>
      <c r="E96" s="79" t="s">
        <v>610</v>
      </c>
    </row>
    <row r="97" spans="1:5">
      <c r="A97" s="78" t="s">
        <v>1423</v>
      </c>
      <c r="B97" s="33"/>
      <c r="C97" s="77" t="s">
        <v>1328</v>
      </c>
      <c r="D97" s="33"/>
      <c r="E97" s="79" t="s">
        <v>1424</v>
      </c>
    </row>
    <row r="98" spans="1:5">
      <c r="A98" s="78" t="s">
        <v>1195</v>
      </c>
      <c r="B98" s="33"/>
      <c r="C98" s="77" t="s">
        <v>3008</v>
      </c>
      <c r="D98" s="33"/>
      <c r="E98" s="79" t="s">
        <v>1425</v>
      </c>
    </row>
    <row r="99" spans="1:5">
      <c r="A99" s="82" t="s">
        <v>895</v>
      </c>
      <c r="B99" s="33"/>
      <c r="C99" s="77">
        <v>85</v>
      </c>
      <c r="D99" s="33"/>
      <c r="E99" s="79" t="s">
        <v>1196</v>
      </c>
    </row>
    <row r="100" spans="1:5">
      <c r="A100" s="78"/>
      <c r="B100" s="33"/>
      <c r="C100" s="77"/>
      <c r="D100" s="33"/>
      <c r="E100" s="83" t="s">
        <v>897</v>
      </c>
    </row>
    <row r="101" spans="1:5">
      <c r="A101" s="82" t="s">
        <v>894</v>
      </c>
      <c r="B101" s="33"/>
      <c r="C101" s="77">
        <v>86</v>
      </c>
      <c r="D101" s="33"/>
      <c r="E101" s="80" t="s">
        <v>896</v>
      </c>
    </row>
    <row r="102" spans="1:5">
      <c r="A102" s="78" t="s">
        <v>1426</v>
      </c>
      <c r="B102" s="33"/>
      <c r="C102" s="77" t="s">
        <v>1328</v>
      </c>
      <c r="D102" s="33"/>
      <c r="E102" s="79" t="s">
        <v>1427</v>
      </c>
    </row>
    <row r="103" spans="1:5">
      <c r="A103" s="78" t="s">
        <v>1197</v>
      </c>
      <c r="B103" s="33"/>
      <c r="C103" s="77">
        <v>87</v>
      </c>
      <c r="D103" s="33"/>
      <c r="E103" s="79" t="s">
        <v>1349</v>
      </c>
    </row>
    <row r="104" spans="1:5">
      <c r="A104" s="78"/>
      <c r="B104" s="33"/>
      <c r="C104" s="77"/>
      <c r="D104" s="33"/>
      <c r="E104" s="79"/>
    </row>
    <row r="105" spans="1:5">
      <c r="A105" s="78"/>
      <c r="B105" s="33"/>
      <c r="C105" s="77"/>
      <c r="D105" s="33"/>
    </row>
    <row r="106" spans="1:5">
      <c r="A106" s="78"/>
      <c r="B106" s="33"/>
      <c r="C106" s="77"/>
      <c r="D106" s="33"/>
      <c r="E106" s="2157"/>
    </row>
    <row r="107" spans="1:5">
      <c r="A107" s="78"/>
      <c r="B107" s="33"/>
      <c r="C107" s="77"/>
      <c r="D107" s="33"/>
      <c r="E107" s="2157"/>
    </row>
    <row r="108" spans="1:5">
      <c r="A108" s="78"/>
      <c r="B108" s="33"/>
      <c r="C108" s="77"/>
      <c r="D108" s="33"/>
      <c r="E108" s="2157"/>
    </row>
    <row r="109" spans="1:5">
      <c r="A109" s="78"/>
      <c r="B109" s="33"/>
      <c r="C109" s="77"/>
      <c r="D109" s="33"/>
      <c r="E109" s="2157"/>
    </row>
    <row r="110" spans="1:5">
      <c r="A110" s="78"/>
      <c r="B110" s="33"/>
      <c r="C110" s="77"/>
      <c r="D110" s="33"/>
      <c r="E110" s="2157"/>
    </row>
    <row r="111" spans="1:5">
      <c r="A111" s="78"/>
      <c r="B111" s="33"/>
      <c r="C111" s="77"/>
      <c r="D111" s="33"/>
      <c r="E111" s="2157"/>
    </row>
    <row r="112" spans="1:5">
      <c r="A112" s="78"/>
      <c r="B112" s="33"/>
      <c r="C112" s="77"/>
      <c r="D112" s="33"/>
      <c r="E112" s="2157"/>
    </row>
    <row r="113" spans="1:5">
      <c r="A113" s="78"/>
      <c r="B113" s="33"/>
      <c r="C113" s="77"/>
      <c r="D113" s="33"/>
      <c r="E113" s="2157"/>
    </row>
    <row r="114" spans="1:5">
      <c r="A114" s="78"/>
      <c r="B114" s="33"/>
      <c r="C114" s="77"/>
      <c r="D114" s="33"/>
      <c r="E114" s="2158" t="s">
        <v>3011</v>
      </c>
    </row>
    <row r="115" spans="1:5">
      <c r="A115" s="78"/>
      <c r="B115" s="33"/>
      <c r="C115" s="77"/>
      <c r="D115" s="33"/>
      <c r="E115" s="2157"/>
    </row>
    <row r="116" spans="1:5">
      <c r="A116" s="78"/>
      <c r="B116" s="33"/>
      <c r="C116" s="77"/>
      <c r="D116" s="33"/>
      <c r="E116" s="2157"/>
    </row>
    <row r="117" spans="1:5">
      <c r="A117" s="78"/>
      <c r="B117" s="33"/>
      <c r="C117" s="77"/>
      <c r="D117" s="33"/>
      <c r="E117" s="2157"/>
    </row>
    <row r="118" spans="1:5">
      <c r="A118" s="78"/>
      <c r="B118" s="33"/>
      <c r="C118" s="77"/>
      <c r="D118" s="33"/>
      <c r="E118" s="2157"/>
    </row>
    <row r="119" spans="1:5">
      <c r="A119" s="78"/>
      <c r="B119" s="33"/>
      <c r="C119" s="77"/>
      <c r="D119" s="33"/>
      <c r="E119" s="2157"/>
    </row>
    <row r="121" spans="1:5">
      <c r="A121" s="76" t="s">
        <v>902</v>
      </c>
      <c r="B121" s="73"/>
      <c r="C121" s="73"/>
      <c r="D121" s="73"/>
      <c r="E121" s="73"/>
    </row>
    <row r="122" spans="1:5">
      <c r="C122" s="81"/>
    </row>
    <row r="123" spans="1:5">
      <c r="A123" s="82" t="s">
        <v>1428</v>
      </c>
      <c r="C123" s="77" t="s">
        <v>1328</v>
      </c>
      <c r="E123" s="33" t="s">
        <v>1429</v>
      </c>
    </row>
    <row r="124" spans="1:5">
      <c r="A124" s="82" t="s">
        <v>903</v>
      </c>
      <c r="C124" s="71">
        <v>88</v>
      </c>
      <c r="E124" s="80" t="s">
        <v>1430</v>
      </c>
    </row>
    <row r="125" spans="1:5">
      <c r="A125" s="82" t="s">
        <v>904</v>
      </c>
      <c r="C125" s="71">
        <v>89</v>
      </c>
      <c r="E125" s="80" t="s">
        <v>1050</v>
      </c>
    </row>
    <row r="126" spans="1:5">
      <c r="A126" s="82" t="s">
        <v>1431</v>
      </c>
      <c r="C126" s="77" t="s">
        <v>1328</v>
      </c>
      <c r="E126" s="79" t="s">
        <v>1432</v>
      </c>
    </row>
    <row r="127" spans="1:5">
      <c r="A127" s="82" t="s">
        <v>905</v>
      </c>
      <c r="C127" s="71">
        <v>90</v>
      </c>
      <c r="E127" s="79" t="s">
        <v>1433</v>
      </c>
    </row>
    <row r="128" spans="1:5">
      <c r="A128" s="82" t="s">
        <v>906</v>
      </c>
      <c r="C128" s="71">
        <v>91</v>
      </c>
      <c r="E128" s="80" t="s">
        <v>1434</v>
      </c>
    </row>
    <row r="129" spans="1:5">
      <c r="A129" s="82" t="s">
        <v>907</v>
      </c>
      <c r="B129" s="33"/>
      <c r="C129" s="71">
        <v>92</v>
      </c>
      <c r="D129" s="33"/>
      <c r="E129" s="80" t="s">
        <v>1051</v>
      </c>
    </row>
    <row r="130" spans="1:5">
      <c r="A130" s="82" t="s">
        <v>1047</v>
      </c>
      <c r="B130" s="33"/>
      <c r="C130" s="71">
        <v>93</v>
      </c>
      <c r="D130" s="33"/>
      <c r="E130" s="80" t="s">
        <v>1052</v>
      </c>
    </row>
    <row r="131" spans="1:5">
      <c r="A131" s="82" t="s">
        <v>1048</v>
      </c>
      <c r="B131" s="33"/>
      <c r="C131" s="71">
        <v>94</v>
      </c>
      <c r="D131" s="33"/>
      <c r="E131" s="80" t="s">
        <v>49</v>
      </c>
    </row>
    <row r="132" spans="1:5">
      <c r="A132" s="82" t="s">
        <v>1049</v>
      </c>
      <c r="B132" s="33"/>
      <c r="C132" s="77">
        <v>95</v>
      </c>
      <c r="D132" s="33"/>
      <c r="E132" s="79" t="s">
        <v>1435</v>
      </c>
    </row>
    <row r="133" spans="1:5">
      <c r="A133" s="82"/>
      <c r="B133" s="33"/>
      <c r="C133" s="71"/>
      <c r="D133" s="33"/>
      <c r="E133" s="79"/>
    </row>
    <row r="134" spans="1:5">
      <c r="A134" s="82"/>
      <c r="B134" s="33"/>
      <c r="C134" s="71"/>
      <c r="D134" s="33"/>
      <c r="E134" s="79"/>
    </row>
    <row r="135" spans="1:5">
      <c r="A135" s="82"/>
      <c r="B135" s="33"/>
      <c r="C135" s="71"/>
      <c r="D135" s="33"/>
      <c r="E135" s="79"/>
    </row>
    <row r="136" spans="1:5">
      <c r="A136" s="82"/>
      <c r="B136" s="33"/>
      <c r="C136" s="71"/>
      <c r="D136" s="33"/>
      <c r="E136" s="79"/>
    </row>
    <row r="137" spans="1:5">
      <c r="A137" s="82"/>
      <c r="B137" s="33"/>
      <c r="C137" s="71"/>
      <c r="D137" s="33"/>
      <c r="E137" s="79"/>
    </row>
    <row r="138" spans="1:5">
      <c r="A138" s="82"/>
      <c r="B138" s="33"/>
      <c r="C138" s="71"/>
      <c r="D138" s="33"/>
      <c r="E138" s="79"/>
    </row>
    <row r="139" spans="1:5">
      <c r="A139" s="82"/>
      <c r="B139" s="33"/>
      <c r="C139" s="71"/>
      <c r="D139" s="33"/>
      <c r="E139" s="79"/>
    </row>
    <row r="140" spans="1:5">
      <c r="A140" s="82"/>
      <c r="B140" s="33"/>
      <c r="C140" s="71"/>
      <c r="D140" s="33"/>
      <c r="E140" s="79"/>
    </row>
    <row r="141" spans="1:5">
      <c r="A141" s="82"/>
      <c r="B141" s="33"/>
      <c r="C141" s="71"/>
      <c r="D141" s="33"/>
      <c r="E141" s="79"/>
    </row>
    <row r="142" spans="1:5">
      <c r="A142" s="82"/>
      <c r="B142" s="33"/>
      <c r="C142" s="71"/>
      <c r="D142" s="33"/>
      <c r="E142" s="79"/>
    </row>
    <row r="143" spans="1:5">
      <c r="A143" s="82"/>
      <c r="B143" s="33"/>
      <c r="C143" s="71"/>
      <c r="D143" s="33"/>
      <c r="E143" s="79"/>
    </row>
    <row r="144" spans="1:5">
      <c r="A144" s="82"/>
      <c r="B144" s="33"/>
      <c r="C144" s="71"/>
      <c r="D144" s="33"/>
      <c r="E144" s="79"/>
    </row>
    <row r="145" spans="1:5">
      <c r="A145" s="82"/>
      <c r="B145" s="33"/>
      <c r="C145" s="71"/>
      <c r="D145" s="33"/>
      <c r="E145" s="79"/>
    </row>
    <row r="146" spans="1:5">
      <c r="A146" s="82"/>
      <c r="B146" s="33"/>
      <c r="C146" s="71"/>
      <c r="D146" s="33"/>
      <c r="E146" s="79"/>
    </row>
    <row r="147" spans="1:5">
      <c r="A147" s="82"/>
      <c r="B147" s="33"/>
      <c r="C147" s="71"/>
      <c r="D147" s="33"/>
      <c r="E147" s="79"/>
    </row>
    <row r="148" spans="1:5">
      <c r="A148" s="82"/>
      <c r="B148" s="33"/>
      <c r="C148" s="71"/>
      <c r="D148" s="33"/>
      <c r="E148" s="79"/>
    </row>
    <row r="149" spans="1:5">
      <c r="A149" s="82"/>
      <c r="B149" s="33"/>
      <c r="C149" s="71"/>
      <c r="D149" s="33"/>
      <c r="E149" s="79"/>
    </row>
    <row r="150" spans="1:5">
      <c r="A150" s="82"/>
      <c r="B150" s="33"/>
      <c r="C150" s="71"/>
      <c r="D150" s="33"/>
      <c r="E150" s="79"/>
    </row>
    <row r="151" spans="1:5">
      <c r="A151" s="82"/>
      <c r="B151" s="33"/>
      <c r="C151" s="71"/>
      <c r="D151" s="33"/>
      <c r="E151" s="79"/>
    </row>
    <row r="152" spans="1:5">
      <c r="A152" s="82"/>
      <c r="B152" s="33"/>
      <c r="C152" s="71"/>
      <c r="D152" s="33"/>
      <c r="E152" s="79"/>
    </row>
    <row r="153" spans="1:5">
      <c r="A153" s="82"/>
      <c r="B153" s="33"/>
      <c r="C153" s="71"/>
      <c r="D153" s="33"/>
      <c r="E153" s="79"/>
    </row>
    <row r="154" spans="1:5">
      <c r="A154" s="82"/>
      <c r="B154" s="33"/>
      <c r="C154" s="71"/>
      <c r="D154" s="33"/>
      <c r="E154" s="79"/>
    </row>
    <row r="155" spans="1:5">
      <c r="A155" s="82"/>
      <c r="B155" s="33"/>
      <c r="C155" s="71"/>
      <c r="D155" s="33"/>
      <c r="E155" s="79"/>
    </row>
    <row r="156" spans="1:5">
      <c r="A156" s="82"/>
      <c r="B156" s="33"/>
      <c r="C156" s="77"/>
      <c r="D156" s="33"/>
      <c r="E156" s="79"/>
    </row>
    <row r="157" spans="1:5">
      <c r="C157" s="81"/>
      <c r="E157" s="2158" t="s">
        <v>3010</v>
      </c>
    </row>
    <row r="158" spans="1:5">
      <c r="C158" s="81"/>
    </row>
    <row r="159" spans="1:5">
      <c r="C159" s="81"/>
    </row>
    <row r="160" spans="1:5">
      <c r="C160" s="81"/>
    </row>
    <row r="161" spans="3:3">
      <c r="C161" s="81"/>
    </row>
    <row r="162" spans="3:3">
      <c r="C162" s="81"/>
    </row>
    <row r="163" spans="3:3">
      <c r="C163" s="81"/>
    </row>
    <row r="164" spans="3:3">
      <c r="C164" s="81"/>
    </row>
    <row r="165" spans="3:3">
      <c r="C165" s="81"/>
    </row>
    <row r="166" spans="3:3">
      <c r="C166" s="81"/>
    </row>
    <row r="167" spans="3:3">
      <c r="C167" s="81"/>
    </row>
    <row r="190" spans="9:13">
      <c r="I190" s="69"/>
      <c r="M190" s="69"/>
    </row>
    <row r="193" spans="9:13">
      <c r="I193" s="69"/>
      <c r="M193" s="69"/>
    </row>
    <row r="232" spans="5:5">
      <c r="E232" s="41"/>
    </row>
    <row r="234" spans="5:5">
      <c r="E234" s="41"/>
    </row>
    <row r="235" spans="5:5">
      <c r="E235" s="41"/>
    </row>
    <row r="236" spans="5:5">
      <c r="E236" s="41"/>
    </row>
    <row r="237" spans="5:5">
      <c r="E237" s="41"/>
    </row>
    <row r="238" spans="5:5">
      <c r="E238" s="41"/>
    </row>
    <row r="239" spans="5:5">
      <c r="E239" s="41"/>
    </row>
    <row r="240" spans="5:5">
      <c r="E240" s="41"/>
    </row>
    <row r="241" spans="5:5">
      <c r="E241" s="41"/>
    </row>
    <row r="316" spans="1:4">
      <c r="A316" s="41"/>
      <c r="B316" s="41"/>
      <c r="C316" s="41"/>
      <c r="D316" s="41"/>
    </row>
    <row r="317" spans="1:4">
      <c r="A317" s="41"/>
      <c r="B317" s="41"/>
      <c r="C317" s="41"/>
      <c r="D317" s="41"/>
    </row>
    <row r="318" spans="1:4">
      <c r="A318" s="41"/>
      <c r="B318" s="41"/>
      <c r="C318" s="41"/>
      <c r="D318" s="41"/>
    </row>
    <row r="319" spans="1:4">
      <c r="A319" s="41"/>
      <c r="B319" s="41"/>
      <c r="C319" s="41"/>
      <c r="D319" s="41"/>
    </row>
    <row r="320" spans="1:4">
      <c r="A320" s="41"/>
      <c r="B320" s="41"/>
      <c r="C320" s="41"/>
      <c r="D320" s="41"/>
    </row>
    <row r="350" spans="1:3">
      <c r="A350" s="41"/>
      <c r="B350" s="41"/>
      <c r="C350" s="41"/>
    </row>
    <row r="419" spans="1:1">
      <c r="A419" s="33"/>
    </row>
    <row r="436" spans="1:1">
      <c r="A436" s="41"/>
    </row>
    <row r="437" spans="1:1">
      <c r="A437" s="41"/>
    </row>
    <row r="438" spans="1:1">
      <c r="A438" s="41"/>
    </row>
    <row r="439" spans="1:1">
      <c r="A439" s="41"/>
    </row>
    <row r="440" spans="1:1">
      <c r="A440" s="41"/>
    </row>
    <row r="441" spans="1:1">
      <c r="A441" s="41"/>
    </row>
    <row r="442" spans="1:1">
      <c r="A442" s="41"/>
    </row>
    <row r="443" spans="1:1">
      <c r="A443" s="41"/>
    </row>
    <row r="444" spans="1:1">
      <c r="A444" s="41"/>
    </row>
    <row r="445" spans="1:1">
      <c r="A445" s="41"/>
    </row>
    <row r="446" spans="1:1">
      <c r="A446" s="41"/>
    </row>
    <row r="447" spans="1:1">
      <c r="A447" s="41"/>
    </row>
    <row r="448" spans="1:1">
      <c r="A448" s="41"/>
    </row>
    <row r="449" spans="1:1">
      <c r="A449" s="41"/>
    </row>
    <row r="450" spans="1:1">
      <c r="A450" s="41"/>
    </row>
    <row r="451" spans="1:1">
      <c r="A451" s="41"/>
    </row>
    <row r="452" spans="1:1">
      <c r="A452" s="41"/>
    </row>
    <row r="453" spans="1:1">
      <c r="A453" s="41"/>
    </row>
    <row r="454" spans="1:1">
      <c r="A454" s="41"/>
    </row>
    <row r="455" spans="1:1">
      <c r="A455" s="41"/>
    </row>
    <row r="456" spans="1:1">
      <c r="A456" s="41"/>
    </row>
    <row r="457" spans="1:1">
      <c r="A457" s="41"/>
    </row>
    <row r="458" spans="1:1">
      <c r="A458" s="41"/>
    </row>
    <row r="459" spans="1:1">
      <c r="A459" s="41"/>
    </row>
    <row r="460" spans="1:1">
      <c r="A460" s="41"/>
    </row>
    <row r="461" spans="1:1">
      <c r="A461" s="41"/>
    </row>
    <row r="462" spans="1:1">
      <c r="A462" s="41"/>
    </row>
    <row r="463" spans="1:1">
      <c r="A463" s="41"/>
    </row>
    <row r="464" spans="1:1">
      <c r="A464" s="41"/>
    </row>
    <row r="465" spans="1:1">
      <c r="A465" s="41"/>
    </row>
    <row r="466" spans="1:1">
      <c r="A466" s="41"/>
    </row>
    <row r="467" spans="1:1">
      <c r="A467" s="41"/>
    </row>
    <row r="468" spans="1:1">
      <c r="A468" s="41"/>
    </row>
    <row r="469" spans="1:1">
      <c r="A469" s="41"/>
    </row>
    <row r="470" spans="1:1">
      <c r="A470" s="41"/>
    </row>
    <row r="471" spans="1:1">
      <c r="A471" s="41"/>
    </row>
    <row r="472" spans="1:1">
      <c r="A472" s="41"/>
    </row>
    <row r="473" spans="1:1">
      <c r="A473" s="41"/>
    </row>
    <row r="474" spans="1:1">
      <c r="A474" s="41"/>
    </row>
    <row r="475" spans="1:1">
      <c r="A475" s="41"/>
    </row>
    <row r="476" spans="1:1">
      <c r="A476" s="41"/>
    </row>
    <row r="477" spans="1:1">
      <c r="A477" s="41"/>
    </row>
    <row r="478" spans="1:1">
      <c r="A478" s="41"/>
    </row>
    <row r="479" spans="1:1">
      <c r="A479" s="41"/>
    </row>
    <row r="480" spans="1:1">
      <c r="A480" s="41"/>
    </row>
    <row r="481" spans="1:1">
      <c r="A481" s="41"/>
    </row>
    <row r="482" spans="1:1">
      <c r="A482" s="41"/>
    </row>
    <row r="483" spans="1:1">
      <c r="A483" s="41"/>
    </row>
    <row r="484" spans="1:1">
      <c r="A484" s="41"/>
    </row>
    <row r="485" spans="1:1">
      <c r="A485" s="41"/>
    </row>
    <row r="486" spans="1:1">
      <c r="A486" s="41"/>
    </row>
    <row r="487" spans="1:1">
      <c r="A487" s="41"/>
    </row>
    <row r="488" spans="1:1">
      <c r="A488" s="41"/>
    </row>
    <row r="489" spans="1:1">
      <c r="A489" s="41"/>
    </row>
    <row r="490" spans="1:1">
      <c r="A490" s="41"/>
    </row>
  </sheetData>
  <phoneticPr fontId="27" type="noConversion"/>
  <printOptions horizontalCentered="1"/>
  <pageMargins left="0.5" right="0" top="0.5" bottom="0.5" header="0.5" footer="0.5"/>
  <pageSetup scale="91" fitToHeight="5" orientation="portrait" r:id="rId1"/>
  <headerFooter alignWithMargins="0"/>
  <rowBreaks count="1" manualBreakCount="1">
    <brk id="63" max="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21">
    <pageSetUpPr fitToPage="1"/>
  </sheetPr>
  <dimension ref="A1:G450"/>
  <sheetViews>
    <sheetView view="pageBreakPreview" topLeftCell="A13" zoomScale="60" zoomScaleNormal="100" workbookViewId="0">
      <selection sqref="A1:XFD1048576"/>
    </sheetView>
  </sheetViews>
  <sheetFormatPr defaultColWidth="10.85546875" defaultRowHeight="12"/>
  <cols>
    <col min="1" max="1" width="6.85546875" style="120" customWidth="1"/>
    <col min="2" max="2" width="49.42578125" style="120" customWidth="1"/>
    <col min="3" max="3" width="4.7109375" style="1119" customWidth="1"/>
    <col min="4" max="5" width="15.7109375" style="120" customWidth="1"/>
    <col min="6" max="16384" width="10.85546875" style="120"/>
  </cols>
  <sheetData>
    <row r="1" spans="1:5">
      <c r="A1" s="117" t="s">
        <v>1174</v>
      </c>
      <c r="B1" s="117"/>
      <c r="C1" s="1114"/>
      <c r="D1" s="117" t="s">
        <v>1209</v>
      </c>
    </row>
    <row r="2" spans="1:5">
      <c r="A2" s="117"/>
      <c r="B2" s="117"/>
      <c r="C2" s="1114"/>
      <c r="D2" s="117"/>
    </row>
    <row r="3" spans="1:5">
      <c r="A3" s="117" t="s">
        <v>2644</v>
      </c>
      <c r="B3" s="117"/>
      <c r="C3" s="1114"/>
      <c r="D3" s="123" t="s">
        <v>1531</v>
      </c>
    </row>
    <row r="4" spans="1:5">
      <c r="A4" s="117" t="s">
        <v>2645</v>
      </c>
      <c r="B4" s="117"/>
      <c r="C4" s="1114"/>
      <c r="D4" s="117" t="s">
        <v>766</v>
      </c>
    </row>
    <row r="5" spans="1:5">
      <c r="A5" s="117" t="s">
        <v>1935</v>
      </c>
      <c r="B5" s="117"/>
      <c r="C5" s="1114"/>
      <c r="D5" s="117" t="s">
        <v>2948</v>
      </c>
    </row>
    <row r="6" spans="1:5">
      <c r="A6" s="203"/>
      <c r="B6" s="203"/>
      <c r="C6" s="262"/>
      <c r="D6" s="117" t="s">
        <v>668</v>
      </c>
    </row>
    <row r="7" spans="1:5">
      <c r="A7" s="117"/>
      <c r="B7" s="117"/>
      <c r="C7" s="1114"/>
    </row>
    <row r="8" spans="1:5" ht="48.75" customHeight="1">
      <c r="A8" s="2307" t="s">
        <v>1042</v>
      </c>
      <c r="B8" s="2307"/>
      <c r="C8" s="2307"/>
      <c r="D8" s="2307"/>
      <c r="E8" s="2307"/>
    </row>
    <row r="9" spans="1:5" ht="13.5" customHeight="1" thickBot="1">
      <c r="A9" s="124"/>
      <c r="B9" s="194"/>
      <c r="C9" s="462"/>
      <c r="D9" s="194"/>
      <c r="E9" s="194"/>
    </row>
    <row r="10" spans="1:5">
      <c r="A10" s="1114" t="s">
        <v>53</v>
      </c>
      <c r="B10" s="1114"/>
      <c r="C10" s="1114"/>
      <c r="D10" s="1114"/>
      <c r="E10" s="1114"/>
    </row>
    <row r="11" spans="1:5">
      <c r="A11" s="1115" t="s">
        <v>669</v>
      </c>
      <c r="B11" s="1115" t="s">
        <v>911</v>
      </c>
      <c r="C11" s="1115"/>
      <c r="D11" s="809" t="s">
        <v>498</v>
      </c>
      <c r="E11" s="809" t="s">
        <v>670</v>
      </c>
    </row>
    <row r="12" spans="1:5">
      <c r="A12" s="153">
        <v>1</v>
      </c>
      <c r="B12" s="248" t="s">
        <v>861</v>
      </c>
      <c r="C12" s="583"/>
      <c r="D12" s="248"/>
    </row>
    <row r="13" spans="1:5">
      <c r="A13" s="153">
        <v>2</v>
      </c>
      <c r="B13" s="1118" t="s">
        <v>128</v>
      </c>
      <c r="D13" s="134"/>
      <c r="E13" s="180"/>
    </row>
    <row r="14" spans="1:5">
      <c r="A14" s="153">
        <v>3</v>
      </c>
      <c r="B14" s="132" t="s">
        <v>997</v>
      </c>
      <c r="D14" s="250"/>
      <c r="E14" s="221">
        <v>0</v>
      </c>
    </row>
    <row r="15" spans="1:5">
      <c r="A15" s="153">
        <v>4</v>
      </c>
      <c r="B15" s="132" t="s">
        <v>126</v>
      </c>
      <c r="D15" s="480"/>
      <c r="E15" s="480">
        <v>326544</v>
      </c>
    </row>
    <row r="16" spans="1:5">
      <c r="A16" s="153">
        <v>5</v>
      </c>
      <c r="B16" s="132" t="s">
        <v>920</v>
      </c>
      <c r="D16" s="480"/>
      <c r="E16" s="480">
        <v>33875</v>
      </c>
    </row>
    <row r="17" spans="1:7">
      <c r="A17" s="153">
        <v>6</v>
      </c>
      <c r="B17" s="132" t="s">
        <v>127</v>
      </c>
      <c r="D17" s="480"/>
      <c r="E17" s="480">
        <v>60</v>
      </c>
    </row>
    <row r="18" spans="1:7">
      <c r="A18" s="153">
        <v>7</v>
      </c>
      <c r="B18" s="132" t="s">
        <v>2940</v>
      </c>
      <c r="D18" s="480"/>
      <c r="E18" s="480">
        <v>95909.428461538468</v>
      </c>
    </row>
    <row r="19" spans="1:7">
      <c r="A19" s="153">
        <v>8</v>
      </c>
      <c r="B19" s="132" t="s">
        <v>3253</v>
      </c>
      <c r="C19" s="166"/>
      <c r="D19" s="134"/>
      <c r="E19" s="180">
        <v>-1683</v>
      </c>
    </row>
    <row r="20" spans="1:7">
      <c r="A20" s="153">
        <v>9</v>
      </c>
      <c r="B20" s="1118" t="s">
        <v>129</v>
      </c>
      <c r="C20" s="166"/>
      <c r="D20" s="134"/>
      <c r="E20" s="180"/>
    </row>
    <row r="21" spans="1:7">
      <c r="A21" s="153">
        <v>10</v>
      </c>
      <c r="B21" s="132" t="s">
        <v>787</v>
      </c>
      <c r="D21" s="251"/>
      <c r="E21" s="251">
        <v>-181184</v>
      </c>
    </row>
    <row r="22" spans="1:7">
      <c r="A22" s="153">
        <v>11</v>
      </c>
      <c r="B22" s="132" t="s">
        <v>1118</v>
      </c>
      <c r="D22" s="228"/>
      <c r="E22" s="2007">
        <v>0</v>
      </c>
    </row>
    <row r="23" spans="1:7">
      <c r="A23" s="153">
        <v>12</v>
      </c>
      <c r="B23" s="132" t="s">
        <v>1119</v>
      </c>
      <c r="D23" s="228"/>
      <c r="E23" s="228">
        <v>-88645</v>
      </c>
    </row>
    <row r="24" spans="1:7" s="158" customFormat="1">
      <c r="A24" s="153">
        <v>13</v>
      </c>
      <c r="B24" s="132" t="s">
        <v>700</v>
      </c>
      <c r="C24" s="1119"/>
      <c r="D24" s="228"/>
      <c r="E24" s="2007">
        <v>0</v>
      </c>
      <c r="F24" s="120"/>
    </row>
    <row r="25" spans="1:7" s="158" customFormat="1">
      <c r="A25" s="153">
        <v>14</v>
      </c>
      <c r="B25" s="132" t="s">
        <v>364</v>
      </c>
      <c r="C25" s="1119"/>
      <c r="D25" s="228"/>
      <c r="E25" s="2007">
        <v>0</v>
      </c>
      <c r="F25" s="120"/>
    </row>
    <row r="26" spans="1:7" s="158" customFormat="1">
      <c r="A26" s="153">
        <v>15</v>
      </c>
      <c r="C26" s="341"/>
      <c r="D26" s="253"/>
      <c r="E26" s="243"/>
      <c r="F26" s="120"/>
    </row>
    <row r="27" spans="1:7" s="158" customFormat="1" ht="12.75" thickBot="1">
      <c r="A27" s="153">
        <v>16</v>
      </c>
      <c r="B27" s="158" t="s">
        <v>130</v>
      </c>
      <c r="C27" s="341"/>
      <c r="D27" s="484">
        <v>0</v>
      </c>
      <c r="E27" s="484">
        <v>184875.42846153845</v>
      </c>
      <c r="F27" s="120"/>
      <c r="G27" s="804"/>
    </row>
    <row r="28" spans="1:7" s="158" customFormat="1" ht="12.75" thickTop="1">
      <c r="A28" s="153">
        <v>17</v>
      </c>
      <c r="C28" s="341"/>
      <c r="D28" s="804"/>
      <c r="E28" s="804"/>
      <c r="F28" s="120"/>
      <c r="G28" s="804"/>
    </row>
    <row r="29" spans="1:7" s="158" customFormat="1">
      <c r="A29" s="153">
        <v>18</v>
      </c>
      <c r="C29" s="341"/>
      <c r="D29" s="804"/>
      <c r="E29" s="804"/>
      <c r="F29" s="120"/>
      <c r="G29" s="804"/>
    </row>
    <row r="30" spans="1:7" s="158" customFormat="1" ht="11.45" customHeight="1">
      <c r="A30" s="153">
        <v>19</v>
      </c>
      <c r="B30" s="248" t="s">
        <v>2909</v>
      </c>
      <c r="C30" s="583"/>
      <c r="D30" s="248"/>
      <c r="E30" s="120"/>
    </row>
    <row r="31" spans="1:7" s="158" customFormat="1">
      <c r="A31" s="153">
        <v>20</v>
      </c>
      <c r="B31" s="2006" t="s">
        <v>128</v>
      </c>
      <c r="C31" s="1210"/>
      <c r="D31" s="134"/>
      <c r="E31" s="180"/>
    </row>
    <row r="32" spans="1:7" s="158" customFormat="1">
      <c r="A32" s="153">
        <v>21</v>
      </c>
      <c r="B32" s="132" t="s">
        <v>997</v>
      </c>
      <c r="C32" s="1210"/>
      <c r="D32" s="250"/>
      <c r="E32" s="221">
        <v>0</v>
      </c>
    </row>
    <row r="33" spans="1:5" s="158" customFormat="1">
      <c r="A33" s="153">
        <v>22</v>
      </c>
      <c r="B33" s="132" t="s">
        <v>126</v>
      </c>
      <c r="C33" s="1210"/>
      <c r="D33" s="480"/>
      <c r="E33" s="2007">
        <v>326544</v>
      </c>
    </row>
    <row r="34" spans="1:5" s="158" customFormat="1">
      <c r="A34" s="153">
        <v>23</v>
      </c>
      <c r="B34" s="132" t="s">
        <v>920</v>
      </c>
      <c r="C34" s="1210"/>
      <c r="D34" s="480"/>
      <c r="E34" s="2007">
        <v>33875</v>
      </c>
    </row>
    <row r="35" spans="1:5" s="158" customFormat="1">
      <c r="A35" s="153">
        <v>24</v>
      </c>
      <c r="B35" s="132" t="s">
        <v>127</v>
      </c>
      <c r="C35" s="1210"/>
      <c r="D35" s="480"/>
      <c r="E35" s="2007">
        <v>60</v>
      </c>
    </row>
    <row r="36" spans="1:5" s="158" customFormat="1">
      <c r="A36" s="153">
        <v>25</v>
      </c>
      <c r="B36" s="132" t="s">
        <v>2940</v>
      </c>
      <c r="C36" s="1210"/>
      <c r="D36" s="480"/>
      <c r="E36" s="2007">
        <v>95909.428461538468</v>
      </c>
    </row>
    <row r="37" spans="1:5" s="158" customFormat="1">
      <c r="A37" s="153">
        <v>26</v>
      </c>
      <c r="B37" s="133"/>
      <c r="C37" s="166"/>
      <c r="D37" s="134"/>
      <c r="E37" s="2007"/>
    </row>
    <row r="38" spans="1:5" s="158" customFormat="1">
      <c r="A38" s="153">
        <v>27</v>
      </c>
      <c r="B38" s="2006" t="s">
        <v>129</v>
      </c>
      <c r="C38" s="166"/>
      <c r="D38" s="134"/>
      <c r="E38" s="221"/>
    </row>
    <row r="39" spans="1:5">
      <c r="A39" s="153">
        <v>28</v>
      </c>
      <c r="B39" s="132" t="s">
        <v>787</v>
      </c>
      <c r="C39" s="1210"/>
      <c r="D39" s="251"/>
      <c r="E39" s="221">
        <v>-181184</v>
      </c>
    </row>
    <row r="40" spans="1:5">
      <c r="A40" s="153">
        <v>29</v>
      </c>
      <c r="B40" s="132" t="s">
        <v>1118</v>
      </c>
      <c r="C40" s="1210"/>
      <c r="D40" s="228"/>
      <c r="E40" s="2007">
        <v>0</v>
      </c>
    </row>
    <row r="41" spans="1:5">
      <c r="A41" s="153">
        <v>30</v>
      </c>
      <c r="B41" s="132" t="s">
        <v>1119</v>
      </c>
      <c r="C41" s="1210"/>
      <c r="D41" s="228"/>
      <c r="E41" s="2007">
        <v>-88645</v>
      </c>
    </row>
    <row r="42" spans="1:5">
      <c r="A42" s="153">
        <v>31</v>
      </c>
      <c r="B42" s="132" t="s">
        <v>700</v>
      </c>
      <c r="C42" s="1210"/>
      <c r="D42" s="228"/>
      <c r="E42" s="2007">
        <v>0</v>
      </c>
    </row>
    <row r="43" spans="1:5">
      <c r="A43" s="153">
        <v>32</v>
      </c>
      <c r="B43" s="132" t="s">
        <v>364</v>
      </c>
      <c r="C43" s="1210"/>
      <c r="D43" s="228"/>
      <c r="E43" s="2007">
        <v>0</v>
      </c>
    </row>
    <row r="44" spans="1:5">
      <c r="A44" s="153">
        <v>33</v>
      </c>
      <c r="B44" s="158"/>
      <c r="C44" s="341"/>
      <c r="D44" s="253"/>
      <c r="E44" s="2007">
        <v>0</v>
      </c>
    </row>
    <row r="45" spans="1:5" ht="12.75" thickBot="1">
      <c r="A45" s="153">
        <v>34</v>
      </c>
      <c r="B45" s="158" t="s">
        <v>130</v>
      </c>
      <c r="C45" s="341"/>
      <c r="D45" s="484">
        <v>0</v>
      </c>
      <c r="E45" s="484">
        <v>186558.42846153845</v>
      </c>
    </row>
    <row r="46" spans="1:5" ht="13.5" thickTop="1" thickBot="1">
      <c r="A46" s="153">
        <v>35</v>
      </c>
      <c r="B46" s="158" t="s">
        <v>2942</v>
      </c>
      <c r="C46" s="1210"/>
      <c r="D46" s="2008"/>
      <c r="E46" s="484">
        <v>135096.84418750001</v>
      </c>
    </row>
    <row r="47" spans="1:5" ht="12.75" thickTop="1">
      <c r="A47" s="153"/>
      <c r="B47" s="158"/>
      <c r="C47" s="1210"/>
    </row>
    <row r="48" spans="1:5">
      <c r="A48" s="153"/>
      <c r="B48" s="582"/>
      <c r="C48" s="1210"/>
    </row>
    <row r="49" spans="1:3">
      <c r="B49" s="211"/>
      <c r="C49" s="1210"/>
    </row>
    <row r="50" spans="1:3">
      <c r="A50" s="148"/>
      <c r="B50" s="211"/>
      <c r="C50" s="1210"/>
    </row>
    <row r="51" spans="1:3">
      <c r="B51" s="211"/>
      <c r="C51" s="1210"/>
    </row>
    <row r="150" spans="2:4">
      <c r="B150" s="137"/>
      <c r="C150" s="581"/>
      <c r="D150" s="137"/>
    </row>
    <row r="153" spans="2:4">
      <c r="B153" s="137"/>
      <c r="C153" s="581"/>
      <c r="D153" s="137"/>
    </row>
    <row r="276" spans="1:1">
      <c r="A276" s="138"/>
    </row>
    <row r="277" spans="1:1">
      <c r="A277" s="138"/>
    </row>
    <row r="278" spans="1:1">
      <c r="A278" s="138"/>
    </row>
    <row r="279" spans="1:1">
      <c r="A279" s="138"/>
    </row>
    <row r="280" spans="1:1">
      <c r="A280" s="138"/>
    </row>
    <row r="310" spans="1:1">
      <c r="A310" s="138"/>
    </row>
    <row r="379" spans="1:1">
      <c r="A379" s="117"/>
    </row>
    <row r="396" spans="1:1">
      <c r="A396" s="138"/>
    </row>
    <row r="397" spans="1:1">
      <c r="A397" s="138"/>
    </row>
    <row r="398" spans="1:1">
      <c r="A398" s="138"/>
    </row>
    <row r="399" spans="1:1">
      <c r="A399" s="138"/>
    </row>
    <row r="400" spans="1:1">
      <c r="A400" s="138"/>
    </row>
    <row r="401" spans="1:1">
      <c r="A401" s="138"/>
    </row>
    <row r="402" spans="1:1">
      <c r="A402" s="138"/>
    </row>
    <row r="403" spans="1:1">
      <c r="A403" s="138"/>
    </row>
    <row r="404" spans="1:1">
      <c r="A404" s="138"/>
    </row>
    <row r="405" spans="1:1">
      <c r="A405" s="138"/>
    </row>
    <row r="406" spans="1:1">
      <c r="A406" s="138"/>
    </row>
    <row r="407" spans="1:1">
      <c r="A407" s="138"/>
    </row>
    <row r="408" spans="1:1">
      <c r="A408" s="138"/>
    </row>
    <row r="409" spans="1:1">
      <c r="A409" s="138"/>
    </row>
    <row r="410" spans="1:1">
      <c r="A410" s="138"/>
    </row>
    <row r="411" spans="1:1">
      <c r="A411" s="138"/>
    </row>
    <row r="412" spans="1:1">
      <c r="A412" s="138"/>
    </row>
    <row r="413" spans="1:1">
      <c r="A413" s="138"/>
    </row>
    <row r="414" spans="1:1">
      <c r="A414" s="138"/>
    </row>
    <row r="415" spans="1:1">
      <c r="A415" s="138"/>
    </row>
    <row r="416" spans="1:1">
      <c r="A416" s="138"/>
    </row>
    <row r="417" spans="1:1">
      <c r="A417" s="138"/>
    </row>
    <row r="418" spans="1:1">
      <c r="A418" s="138"/>
    </row>
    <row r="419" spans="1:1">
      <c r="A419" s="138"/>
    </row>
    <row r="420" spans="1:1">
      <c r="A420" s="138"/>
    </row>
    <row r="421" spans="1:1">
      <c r="A421" s="138"/>
    </row>
    <row r="422" spans="1:1">
      <c r="A422" s="138"/>
    </row>
    <row r="423" spans="1:1">
      <c r="A423" s="138"/>
    </row>
    <row r="424" spans="1:1">
      <c r="A424" s="138"/>
    </row>
    <row r="425" spans="1:1">
      <c r="A425" s="138"/>
    </row>
    <row r="426" spans="1:1">
      <c r="A426" s="138"/>
    </row>
    <row r="427" spans="1:1">
      <c r="A427" s="138"/>
    </row>
    <row r="428" spans="1:1">
      <c r="A428" s="138"/>
    </row>
    <row r="429" spans="1:1">
      <c r="A429" s="138"/>
    </row>
    <row r="430" spans="1:1">
      <c r="A430" s="138"/>
    </row>
    <row r="431" spans="1:1">
      <c r="A431" s="138"/>
    </row>
    <row r="432" spans="1:1">
      <c r="A432" s="138"/>
    </row>
    <row r="433" spans="1:1">
      <c r="A433" s="138"/>
    </row>
    <row r="434" spans="1:1">
      <c r="A434" s="138"/>
    </row>
    <row r="435" spans="1:1">
      <c r="A435" s="138"/>
    </row>
    <row r="436" spans="1:1">
      <c r="A436" s="138"/>
    </row>
    <row r="437" spans="1:1">
      <c r="A437" s="138"/>
    </row>
    <row r="438" spans="1:1">
      <c r="A438" s="138"/>
    </row>
    <row r="439" spans="1:1">
      <c r="A439" s="138"/>
    </row>
    <row r="440" spans="1:1">
      <c r="A440" s="138"/>
    </row>
    <row r="441" spans="1:1">
      <c r="A441" s="138"/>
    </row>
    <row r="442" spans="1:1">
      <c r="A442" s="138"/>
    </row>
    <row r="443" spans="1:1">
      <c r="A443" s="138"/>
    </row>
    <row r="444" spans="1:1">
      <c r="A444" s="138"/>
    </row>
    <row r="445" spans="1:1">
      <c r="A445" s="138"/>
    </row>
    <row r="446" spans="1:1">
      <c r="A446" s="138"/>
    </row>
    <row r="447" spans="1:1">
      <c r="A447" s="138"/>
    </row>
    <row r="448" spans="1:1">
      <c r="A448" s="138"/>
    </row>
    <row r="449" spans="1:1">
      <c r="A449" s="138"/>
    </row>
    <row r="450" spans="1:1">
      <c r="A450" s="138"/>
    </row>
  </sheetData>
  <mergeCells count="1">
    <mergeCell ref="A8:E8"/>
  </mergeCells>
  <phoneticPr fontId="27" type="noConversion"/>
  <printOptions horizontalCentered="1"/>
  <pageMargins left="0.75" right="0.5" top="0.75" bottom="0.5" header="0.25" footer="0.25"/>
  <pageSetup orientation="portrait" r:id="rId1"/>
  <headerFooter alignWithMargins="0">
    <oddFooter xml:space="preserve">&amp;C&amp;"Garmond (W1),Bold"
</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22">
    <pageSetUpPr fitToPage="1"/>
  </sheetPr>
  <dimension ref="A1:J451"/>
  <sheetViews>
    <sheetView view="pageBreakPreview" topLeftCell="A7" zoomScale="60" zoomScaleNormal="100" workbookViewId="0">
      <selection sqref="A1:XFD1048576"/>
    </sheetView>
  </sheetViews>
  <sheetFormatPr defaultColWidth="10.85546875" defaultRowHeight="12"/>
  <cols>
    <col min="1" max="1" width="5.140625" style="120" customWidth="1"/>
    <col min="2" max="2" width="28.5703125" style="120" customWidth="1"/>
    <col min="3" max="3" width="1.7109375" style="120" customWidth="1"/>
    <col min="4" max="4" width="15.7109375" style="120" customWidth="1"/>
    <col min="5" max="5" width="13.5703125" style="120" customWidth="1"/>
    <col min="6" max="7" width="15.7109375" style="120" customWidth="1"/>
    <col min="8" max="8" width="15.85546875" style="120" customWidth="1"/>
    <col min="9" max="9" width="12.7109375" style="120" customWidth="1"/>
    <col min="10" max="16384" width="10.85546875" style="120"/>
  </cols>
  <sheetData>
    <row r="1" spans="1:10">
      <c r="A1" s="203" t="s">
        <v>719</v>
      </c>
      <c r="B1" s="203"/>
      <c r="C1" s="203"/>
      <c r="E1" s="117"/>
      <c r="F1" s="117"/>
      <c r="H1" s="117" t="s">
        <v>1209</v>
      </c>
    </row>
    <row r="2" spans="1:10">
      <c r="A2" s="203"/>
      <c r="B2" s="203"/>
      <c r="C2" s="203"/>
      <c r="E2" s="117"/>
      <c r="F2" s="117"/>
      <c r="H2" s="117"/>
    </row>
    <row r="3" spans="1:10">
      <c r="A3" s="117" t="s">
        <v>2644</v>
      </c>
      <c r="B3" s="117"/>
      <c r="C3" s="117"/>
      <c r="E3" s="123"/>
      <c r="F3" s="123"/>
      <c r="H3" s="123" t="s">
        <v>720</v>
      </c>
    </row>
    <row r="4" spans="1:10">
      <c r="A4" s="117" t="s">
        <v>2645</v>
      </c>
      <c r="B4" s="117"/>
      <c r="C4" s="117"/>
      <c r="E4" s="117"/>
      <c r="F4" s="117"/>
      <c r="H4" s="117" t="s">
        <v>1455</v>
      </c>
    </row>
    <row r="5" spans="1:10">
      <c r="A5" s="117" t="s">
        <v>1935</v>
      </c>
      <c r="B5" s="117"/>
      <c r="C5" s="117"/>
      <c r="E5" s="117"/>
      <c r="F5" s="117"/>
      <c r="H5" s="117" t="s">
        <v>2948</v>
      </c>
    </row>
    <row r="6" spans="1:10">
      <c r="A6" s="117"/>
      <c r="B6" s="117"/>
      <c r="C6" s="117"/>
      <c r="D6" s="117"/>
      <c r="E6" s="117"/>
      <c r="F6" s="117"/>
      <c r="G6" s="117"/>
      <c r="H6" s="117"/>
    </row>
    <row r="7" spans="1:10" ht="12" customHeight="1">
      <c r="A7" s="2294" t="s">
        <v>1451</v>
      </c>
      <c r="B7" s="2294"/>
      <c r="C7" s="2294"/>
      <c r="D7" s="2294"/>
      <c r="E7" s="2294"/>
      <c r="F7" s="2294"/>
      <c r="G7" s="2294"/>
      <c r="H7" s="2294"/>
    </row>
    <row r="8" spans="1:10" ht="12.75" thickBot="1">
      <c r="A8" s="124"/>
      <c r="B8" s="124"/>
      <c r="C8" s="124"/>
      <c r="D8" s="124"/>
      <c r="E8" s="124"/>
      <c r="F8" s="124"/>
      <c r="G8" s="124"/>
      <c r="H8" s="124"/>
      <c r="I8" s="124"/>
      <c r="J8" s="124"/>
    </row>
    <row r="9" spans="1:10">
      <c r="A9" s="117"/>
      <c r="B9" s="1114" t="s">
        <v>914</v>
      </c>
      <c r="C9" s="1114"/>
      <c r="D9" s="178" t="s">
        <v>915</v>
      </c>
      <c r="E9" s="198">
        <v>-3</v>
      </c>
      <c r="F9" s="198">
        <v>-4</v>
      </c>
      <c r="G9" s="206">
        <v>-5</v>
      </c>
      <c r="H9" s="206">
        <v>-6</v>
      </c>
      <c r="I9" s="206">
        <v>-7</v>
      </c>
      <c r="J9" s="206">
        <v>-8</v>
      </c>
    </row>
    <row r="10" spans="1:10">
      <c r="A10" s="148" t="s">
        <v>53</v>
      </c>
      <c r="B10" s="117"/>
      <c r="C10" s="117"/>
      <c r="D10" s="1114" t="s">
        <v>1397</v>
      </c>
      <c r="F10" s="117" t="s">
        <v>1725</v>
      </c>
      <c r="G10" s="1114" t="s">
        <v>74</v>
      </c>
      <c r="H10" s="178" t="s">
        <v>1523</v>
      </c>
      <c r="J10" s="162" t="s">
        <v>869</v>
      </c>
    </row>
    <row r="11" spans="1:10" ht="14.25">
      <c r="A11" s="805" t="s">
        <v>730</v>
      </c>
      <c r="B11" s="1115" t="s">
        <v>721</v>
      </c>
      <c r="C11" s="128"/>
      <c r="D11" s="1471" t="s">
        <v>1915</v>
      </c>
      <c r="E11" s="846" t="s">
        <v>733</v>
      </c>
      <c r="F11" s="1471" t="s">
        <v>1915</v>
      </c>
      <c r="G11" s="1471" t="s">
        <v>1916</v>
      </c>
      <c r="H11" s="1115" t="s">
        <v>976</v>
      </c>
      <c r="I11" s="846" t="s">
        <v>733</v>
      </c>
      <c r="J11" s="1215" t="s">
        <v>976</v>
      </c>
    </row>
    <row r="12" spans="1:10">
      <c r="A12" s="153">
        <v>1</v>
      </c>
      <c r="B12" s="120" t="s">
        <v>1124</v>
      </c>
      <c r="C12" s="117"/>
      <c r="D12" s="181">
        <v>7924165.2999999989</v>
      </c>
      <c r="E12" s="181">
        <v>0</v>
      </c>
      <c r="F12" s="181">
        <v>7924165.2999999989</v>
      </c>
      <c r="G12" s="181">
        <v>8371235.8799999999</v>
      </c>
      <c r="H12" s="181">
        <v>8200863</v>
      </c>
      <c r="J12" s="201">
        <v>8200863</v>
      </c>
    </row>
    <row r="13" spans="1:10">
      <c r="A13" s="153">
        <v>2</v>
      </c>
      <c r="B13" s="120" t="s">
        <v>1127</v>
      </c>
      <c r="C13" s="117"/>
      <c r="D13" s="150">
        <v>115587.57000000004</v>
      </c>
      <c r="E13" s="150">
        <v>0</v>
      </c>
      <c r="F13" s="150">
        <v>115587.57000000004</v>
      </c>
      <c r="G13" s="150">
        <v>97863.549999999901</v>
      </c>
      <c r="H13" s="150">
        <v>197566</v>
      </c>
      <c r="J13" s="149">
        <v>197566</v>
      </c>
    </row>
    <row r="14" spans="1:10">
      <c r="A14" s="153">
        <v>3</v>
      </c>
      <c r="B14" s="120" t="s">
        <v>722</v>
      </c>
      <c r="C14" s="117"/>
      <c r="D14" s="150">
        <v>45879.72</v>
      </c>
      <c r="E14" s="150">
        <v>0</v>
      </c>
      <c r="F14" s="150">
        <v>45879.72</v>
      </c>
      <c r="G14" s="150">
        <v>45879.72</v>
      </c>
      <c r="H14" s="150">
        <v>45880</v>
      </c>
      <c r="J14" s="149">
        <v>45880</v>
      </c>
    </row>
    <row r="15" spans="1:10">
      <c r="A15" s="153">
        <v>4</v>
      </c>
      <c r="C15" s="117"/>
      <c r="D15" s="182"/>
      <c r="E15" s="182"/>
      <c r="F15" s="182"/>
      <c r="G15" s="182"/>
      <c r="H15" s="182"/>
      <c r="I15" s="182"/>
      <c r="J15" s="182"/>
    </row>
    <row r="16" spans="1:10">
      <c r="A16" s="153">
        <v>5</v>
      </c>
      <c r="B16" s="120" t="s">
        <v>723</v>
      </c>
      <c r="C16" s="117"/>
      <c r="D16" s="150">
        <v>8085632.5899999989</v>
      </c>
      <c r="E16" s="150">
        <v>0</v>
      </c>
      <c r="F16" s="150">
        <v>8085632.5899999989</v>
      </c>
      <c r="G16" s="150">
        <v>8514979.1500000004</v>
      </c>
      <c r="H16" s="150">
        <v>8444309</v>
      </c>
      <c r="I16" s="150">
        <v>0</v>
      </c>
      <c r="J16" s="150">
        <v>8444309</v>
      </c>
    </row>
    <row r="17" spans="1:10">
      <c r="A17" s="153">
        <v>6</v>
      </c>
      <c r="B17" s="120" t="s">
        <v>724</v>
      </c>
      <c r="C17" s="117"/>
      <c r="D17" s="150">
        <v>-3974527.8899999992</v>
      </c>
      <c r="E17" s="150">
        <v>0</v>
      </c>
      <c r="F17" s="150">
        <v>-3974527.8899999992</v>
      </c>
      <c r="G17" s="150">
        <v>-4138198.2699999986</v>
      </c>
      <c r="H17" s="150">
        <v>-4046684</v>
      </c>
      <c r="J17" s="149">
        <v>-4046684</v>
      </c>
    </row>
    <row r="18" spans="1:10">
      <c r="A18" s="153">
        <v>7</v>
      </c>
      <c r="C18" s="117"/>
      <c r="D18" s="163"/>
      <c r="E18" s="163"/>
      <c r="F18" s="163"/>
      <c r="G18" s="182"/>
      <c r="H18" s="182"/>
      <c r="I18" s="182"/>
      <c r="J18" s="182"/>
    </row>
    <row r="19" spans="1:10">
      <c r="A19" s="153">
        <v>8</v>
      </c>
      <c r="B19" s="120" t="s">
        <v>725</v>
      </c>
      <c r="C19" s="117"/>
      <c r="D19" s="259">
        <v>4111104.6999999997</v>
      </c>
      <c r="E19" s="259">
        <v>0</v>
      </c>
      <c r="F19" s="259">
        <v>4111104.6999999997</v>
      </c>
      <c r="G19" s="182">
        <v>4376780.8800000018</v>
      </c>
      <c r="H19" s="182">
        <v>4397625</v>
      </c>
      <c r="I19" s="182">
        <v>0</v>
      </c>
      <c r="J19" s="182">
        <v>4397625</v>
      </c>
    </row>
    <row r="20" spans="1:10">
      <c r="A20" s="153">
        <v>9</v>
      </c>
      <c r="C20" s="117"/>
      <c r="D20" s="150"/>
      <c r="E20" s="150"/>
      <c r="F20" s="150"/>
      <c r="G20" s="150"/>
      <c r="H20" s="150"/>
    </row>
    <row r="21" spans="1:10">
      <c r="A21" s="153">
        <v>10</v>
      </c>
      <c r="B21" s="120" t="s">
        <v>997</v>
      </c>
      <c r="C21" s="117"/>
      <c r="D21" s="150">
        <v>0</v>
      </c>
      <c r="E21" s="150">
        <v>0</v>
      </c>
      <c r="F21" s="150">
        <v>0</v>
      </c>
      <c r="G21" s="150">
        <v>0</v>
      </c>
      <c r="H21" s="150">
        <v>0</v>
      </c>
      <c r="J21" s="149">
        <v>0</v>
      </c>
    </row>
    <row r="22" spans="1:10">
      <c r="A22" s="153">
        <v>11</v>
      </c>
      <c r="B22" s="120" t="s">
        <v>998</v>
      </c>
      <c r="C22" s="117"/>
      <c r="D22" s="150">
        <v>261619.53</v>
      </c>
      <c r="E22" s="150">
        <v>0</v>
      </c>
      <c r="F22" s="150">
        <v>261619.53</v>
      </c>
      <c r="G22" s="150">
        <v>395526.38</v>
      </c>
      <c r="H22" s="150">
        <v>327047</v>
      </c>
      <c r="J22" s="149">
        <v>327047</v>
      </c>
    </row>
    <row r="23" spans="1:10">
      <c r="A23" s="153">
        <v>12</v>
      </c>
      <c r="B23" s="120" t="s">
        <v>927</v>
      </c>
      <c r="C23" s="258"/>
      <c r="D23" s="150">
        <v>0</v>
      </c>
      <c r="E23" s="150">
        <v>0</v>
      </c>
      <c r="F23" s="150">
        <v>0</v>
      </c>
      <c r="G23" s="150">
        <v>0</v>
      </c>
      <c r="H23" s="150">
        <v>0</v>
      </c>
      <c r="J23" s="149">
        <v>0</v>
      </c>
    </row>
    <row r="24" spans="1:10">
      <c r="A24" s="153">
        <v>13</v>
      </c>
      <c r="B24" s="120" t="s">
        <v>684</v>
      </c>
      <c r="C24" s="117"/>
      <c r="D24" s="150">
        <v>1838443.95</v>
      </c>
      <c r="E24" s="150">
        <v>0</v>
      </c>
      <c r="F24" s="150">
        <v>1838443.95</v>
      </c>
      <c r="G24" s="150">
        <v>1871199.94</v>
      </c>
      <c r="H24" s="150">
        <v>1844145</v>
      </c>
      <c r="J24" s="149">
        <v>1844145</v>
      </c>
    </row>
    <row r="25" spans="1:10">
      <c r="A25" s="153">
        <v>14</v>
      </c>
      <c r="B25" s="120" t="s">
        <v>685</v>
      </c>
      <c r="C25" s="117"/>
      <c r="D25" s="150">
        <v>0</v>
      </c>
      <c r="E25" s="150">
        <v>0</v>
      </c>
      <c r="F25" s="150">
        <v>0</v>
      </c>
      <c r="G25" s="150">
        <v>0</v>
      </c>
      <c r="H25" s="150">
        <v>0</v>
      </c>
      <c r="J25" s="149">
        <v>0</v>
      </c>
    </row>
    <row r="26" spans="1:10">
      <c r="A26" s="153">
        <v>15</v>
      </c>
      <c r="B26" s="464" t="s">
        <v>738</v>
      </c>
      <c r="C26" s="123"/>
      <c r="D26" s="150">
        <v>0</v>
      </c>
      <c r="E26" s="150">
        <v>0</v>
      </c>
      <c r="F26" s="150">
        <v>0</v>
      </c>
      <c r="G26" s="150">
        <v>0</v>
      </c>
      <c r="H26" s="150">
        <v>0</v>
      </c>
      <c r="J26" s="149">
        <v>0</v>
      </c>
    </row>
    <row r="27" spans="1:10">
      <c r="A27" s="153">
        <v>16</v>
      </c>
      <c r="B27" s="120" t="s">
        <v>918</v>
      </c>
      <c r="C27" s="117"/>
      <c r="D27" s="150">
        <v>0</v>
      </c>
      <c r="E27" s="150">
        <v>0</v>
      </c>
      <c r="F27" s="150">
        <v>0</v>
      </c>
      <c r="G27" s="150">
        <v>0</v>
      </c>
      <c r="H27" s="150">
        <v>0</v>
      </c>
      <c r="J27" s="149">
        <v>0</v>
      </c>
    </row>
    <row r="28" spans="1:10">
      <c r="A28" s="153">
        <v>17</v>
      </c>
      <c r="B28" s="120" t="s">
        <v>919</v>
      </c>
      <c r="C28" s="117"/>
      <c r="D28" s="150">
        <v>-63</v>
      </c>
      <c r="E28" s="150">
        <v>0</v>
      </c>
      <c r="F28" s="150">
        <v>-63</v>
      </c>
      <c r="G28" s="150">
        <v>-34</v>
      </c>
      <c r="H28" s="150">
        <v>-503</v>
      </c>
      <c r="J28" s="149">
        <v>-503</v>
      </c>
    </row>
    <row r="29" spans="1:10">
      <c r="A29" s="153">
        <v>18</v>
      </c>
      <c r="B29" s="120" t="s">
        <v>920</v>
      </c>
      <c r="C29" s="117"/>
      <c r="D29" s="150">
        <v>33974</v>
      </c>
      <c r="E29" s="150">
        <v>0</v>
      </c>
      <c r="F29" s="150">
        <v>33974</v>
      </c>
      <c r="G29" s="150">
        <v>32691</v>
      </c>
      <c r="H29" s="150">
        <v>33875</v>
      </c>
      <c r="J29" s="149">
        <v>33875</v>
      </c>
    </row>
    <row r="30" spans="1:10">
      <c r="A30" s="153">
        <v>19</v>
      </c>
      <c r="B30" s="120" t="s">
        <v>607</v>
      </c>
      <c r="C30" s="117"/>
      <c r="D30" s="150">
        <v>60</v>
      </c>
      <c r="E30" s="150">
        <v>0</v>
      </c>
      <c r="F30" s="150">
        <v>60</v>
      </c>
      <c r="G30" s="150">
        <v>60</v>
      </c>
      <c r="H30" s="150">
        <v>60</v>
      </c>
      <c r="J30" s="149">
        <v>60</v>
      </c>
    </row>
    <row r="31" spans="1:10">
      <c r="A31" s="153">
        <v>20</v>
      </c>
      <c r="C31" s="117"/>
      <c r="D31" s="163"/>
      <c r="E31" s="163"/>
      <c r="F31" s="163"/>
      <c r="G31" s="182"/>
      <c r="H31" s="182"/>
      <c r="I31" s="182"/>
      <c r="J31" s="182"/>
    </row>
    <row r="32" spans="1:10">
      <c r="A32" s="153">
        <v>21</v>
      </c>
      <c r="B32" s="120" t="s">
        <v>608</v>
      </c>
      <c r="C32" s="117"/>
      <c r="D32" s="259">
        <v>2134034.48</v>
      </c>
      <c r="E32" s="259">
        <v>0</v>
      </c>
      <c r="F32" s="259">
        <v>2134034.48</v>
      </c>
      <c r="G32" s="182">
        <v>2299443.3199999998</v>
      </c>
      <c r="H32" s="182">
        <v>2204624</v>
      </c>
      <c r="I32" s="182">
        <v>0</v>
      </c>
      <c r="J32" s="182">
        <v>2204624</v>
      </c>
    </row>
    <row r="33" spans="1:10">
      <c r="A33" s="153">
        <v>22</v>
      </c>
      <c r="C33" s="117"/>
      <c r="D33" s="150"/>
      <c r="E33" s="150"/>
      <c r="F33" s="150"/>
      <c r="G33" s="150"/>
      <c r="H33" s="150"/>
    </row>
    <row r="34" spans="1:10">
      <c r="A34" s="153">
        <v>23</v>
      </c>
      <c r="B34" s="120" t="s">
        <v>1723</v>
      </c>
      <c r="C34" s="117"/>
      <c r="D34" s="150">
        <v>0</v>
      </c>
      <c r="E34" s="150"/>
      <c r="F34" s="150">
        <v>0</v>
      </c>
      <c r="G34" s="150">
        <v>0</v>
      </c>
      <c r="H34" s="150">
        <v>0</v>
      </c>
      <c r="J34" s="149">
        <v>0</v>
      </c>
    </row>
    <row r="35" spans="1:10">
      <c r="A35" s="153">
        <v>24</v>
      </c>
      <c r="B35" s="120" t="s">
        <v>1054</v>
      </c>
      <c r="C35" s="117"/>
      <c r="D35" s="150">
        <v>0</v>
      </c>
      <c r="E35" s="150"/>
      <c r="F35" s="150">
        <v>0</v>
      </c>
      <c r="G35" s="150">
        <v>0</v>
      </c>
      <c r="H35" s="150">
        <v>0</v>
      </c>
      <c r="J35" s="149">
        <v>0</v>
      </c>
    </row>
    <row r="36" spans="1:10">
      <c r="A36" s="153">
        <v>25</v>
      </c>
      <c r="B36" s="120" t="s">
        <v>1129</v>
      </c>
      <c r="C36" s="117"/>
      <c r="D36" s="150">
        <v>0</v>
      </c>
      <c r="E36" s="150"/>
      <c r="F36" s="150">
        <v>0</v>
      </c>
      <c r="G36" s="150">
        <v>0</v>
      </c>
      <c r="H36" s="150">
        <v>0</v>
      </c>
      <c r="J36" s="149">
        <v>0</v>
      </c>
    </row>
    <row r="37" spans="1:10">
      <c r="A37" s="153">
        <v>26</v>
      </c>
      <c r="B37" s="120" t="s">
        <v>1130</v>
      </c>
      <c r="C37" s="117"/>
      <c r="D37" s="150">
        <v>0</v>
      </c>
      <c r="E37" s="150"/>
      <c r="F37" s="150">
        <v>0</v>
      </c>
      <c r="G37" s="150">
        <v>0</v>
      </c>
      <c r="H37" s="150">
        <v>0</v>
      </c>
      <c r="J37" s="149">
        <v>0</v>
      </c>
    </row>
    <row r="38" spans="1:10">
      <c r="A38" s="153">
        <v>27</v>
      </c>
      <c r="B38" s="120" t="s">
        <v>1337</v>
      </c>
      <c r="C38" s="117"/>
      <c r="D38" s="150">
        <v>6945</v>
      </c>
      <c r="E38" s="150"/>
      <c r="F38" s="150">
        <v>6945</v>
      </c>
      <c r="G38" s="150">
        <v>6944.9999999999709</v>
      </c>
      <c r="H38" s="150">
        <v>6945</v>
      </c>
      <c r="I38" s="149"/>
      <c r="J38" s="149">
        <v>6945</v>
      </c>
    </row>
    <row r="39" spans="1:10">
      <c r="A39" s="153">
        <v>28</v>
      </c>
      <c r="B39" s="120" t="s">
        <v>1338</v>
      </c>
      <c r="C39" s="117"/>
      <c r="D39" s="150">
        <v>1222.4999999999964</v>
      </c>
      <c r="E39" s="150"/>
      <c r="F39" s="150">
        <v>1222.4999999999964</v>
      </c>
      <c r="G39" s="150">
        <v>29136.529999999992</v>
      </c>
      <c r="H39" s="150">
        <v>9593</v>
      </c>
      <c r="I39" s="149"/>
      <c r="J39" s="149">
        <v>9593</v>
      </c>
    </row>
    <row r="40" spans="1:10">
      <c r="A40" s="153">
        <v>29</v>
      </c>
      <c r="B40" s="120" t="s">
        <v>1339</v>
      </c>
      <c r="C40" s="117"/>
      <c r="D40" s="150">
        <v>0</v>
      </c>
      <c r="E40" s="150"/>
      <c r="F40" s="150">
        <v>0</v>
      </c>
      <c r="G40" s="150">
        <v>0</v>
      </c>
      <c r="H40" s="150">
        <v>0</v>
      </c>
      <c r="J40" s="149">
        <v>0</v>
      </c>
    </row>
    <row r="41" spans="1:10">
      <c r="A41" s="153">
        <v>30</v>
      </c>
      <c r="B41" s="158" t="s">
        <v>1340</v>
      </c>
      <c r="C41" s="159"/>
      <c r="D41" s="259">
        <v>8167.4999999999964</v>
      </c>
      <c r="E41" s="259">
        <v>0</v>
      </c>
      <c r="F41" s="259">
        <v>8167.4999999999964</v>
      </c>
      <c r="G41" s="259">
        <v>36081.529999999962</v>
      </c>
      <c r="H41" s="259">
        <v>16538</v>
      </c>
      <c r="I41" s="259">
        <v>0</v>
      </c>
      <c r="J41" s="259">
        <v>16538</v>
      </c>
    </row>
    <row r="42" spans="1:10">
      <c r="A42" s="153">
        <v>31</v>
      </c>
      <c r="C42" s="117"/>
      <c r="D42" s="180"/>
      <c r="E42" s="180"/>
      <c r="F42" s="180"/>
      <c r="G42" s="180"/>
      <c r="H42" s="180"/>
      <c r="I42" s="180"/>
      <c r="J42" s="180"/>
    </row>
    <row r="43" spans="1:10" ht="12.75" thickBot="1">
      <c r="A43" s="153">
        <v>32</v>
      </c>
      <c r="B43" s="120" t="s">
        <v>1341</v>
      </c>
      <c r="C43" s="117"/>
      <c r="D43" s="875">
        <v>6253306.6799999997</v>
      </c>
      <c r="E43" s="875">
        <v>0</v>
      </c>
      <c r="F43" s="875">
        <v>6253306.6799999997</v>
      </c>
      <c r="G43" s="875">
        <v>6712305.7300000014</v>
      </c>
      <c r="H43" s="875">
        <v>6618787</v>
      </c>
      <c r="I43" s="875">
        <v>0</v>
      </c>
      <c r="J43" s="875">
        <v>6618787</v>
      </c>
    </row>
    <row r="44" spans="1:10" ht="12.75" thickTop="1">
      <c r="A44" s="153"/>
      <c r="C44" s="117"/>
      <c r="D44" s="180"/>
      <c r="E44" s="180"/>
      <c r="F44" s="180"/>
      <c r="G44" s="180"/>
      <c r="H44" s="180"/>
    </row>
    <row r="45" spans="1:10">
      <c r="A45" s="153"/>
      <c r="C45" s="117"/>
      <c r="D45" s="180"/>
      <c r="E45" s="180"/>
      <c r="F45" s="180"/>
      <c r="G45" s="180"/>
      <c r="H45" s="180"/>
    </row>
    <row r="46" spans="1:10">
      <c r="A46" s="153"/>
      <c r="C46" s="117"/>
    </row>
    <row r="47" spans="1:10">
      <c r="A47" s="153"/>
      <c r="C47" s="117"/>
    </row>
    <row r="48" spans="1:10">
      <c r="A48" s="153"/>
      <c r="C48" s="117"/>
    </row>
    <row r="49" spans="1:8">
      <c r="C49" s="117"/>
    </row>
    <row r="50" spans="1:8">
      <c r="C50" s="117"/>
    </row>
    <row r="51" spans="1:8">
      <c r="A51" s="153"/>
      <c r="B51" s="153"/>
      <c r="C51" s="148"/>
      <c r="D51" s="148"/>
      <c r="E51" s="148"/>
      <c r="F51" s="148"/>
      <c r="G51" s="148"/>
      <c r="H51" s="148"/>
    </row>
    <row r="52" spans="1:8">
      <c r="C52" s="117"/>
    </row>
    <row r="53" spans="1:8">
      <c r="C53" s="117"/>
    </row>
    <row r="54" spans="1:8">
      <c r="C54" s="117"/>
    </row>
    <row r="55" spans="1:8">
      <c r="C55" s="117"/>
    </row>
    <row r="56" spans="1:8">
      <c r="C56" s="117"/>
    </row>
    <row r="57" spans="1:8">
      <c r="C57" s="117"/>
    </row>
    <row r="58" spans="1:8">
      <c r="C58" s="117"/>
    </row>
    <row r="151" spans="2:3">
      <c r="B151" s="137"/>
      <c r="C151" s="137"/>
    </row>
    <row r="154" spans="2:3">
      <c r="B154" s="137"/>
      <c r="C154" s="137"/>
    </row>
    <row r="277" spans="1:1">
      <c r="A277" s="138"/>
    </row>
    <row r="278" spans="1:1">
      <c r="A278" s="138"/>
    </row>
    <row r="279" spans="1:1">
      <c r="A279" s="138"/>
    </row>
    <row r="280" spans="1:1">
      <c r="A280" s="138"/>
    </row>
    <row r="281" spans="1:1">
      <c r="A281" s="138"/>
    </row>
    <row r="311" spans="1:1">
      <c r="A311" s="138"/>
    </row>
    <row r="380" spans="1:1">
      <c r="A380" s="117"/>
    </row>
    <row r="397" spans="1:1">
      <c r="A397" s="138"/>
    </row>
    <row r="398" spans="1:1">
      <c r="A398" s="138"/>
    </row>
    <row r="399" spans="1:1">
      <c r="A399" s="138"/>
    </row>
    <row r="400" spans="1:1">
      <c r="A400" s="138"/>
    </row>
    <row r="401" spans="1:1">
      <c r="A401" s="138"/>
    </row>
    <row r="402" spans="1:1">
      <c r="A402" s="138"/>
    </row>
    <row r="403" spans="1:1">
      <c r="A403" s="138"/>
    </row>
    <row r="404" spans="1:1">
      <c r="A404" s="138"/>
    </row>
    <row r="405" spans="1:1">
      <c r="A405" s="138"/>
    </row>
    <row r="406" spans="1:1">
      <c r="A406" s="138"/>
    </row>
    <row r="407" spans="1:1">
      <c r="A407" s="138"/>
    </row>
    <row r="408" spans="1:1">
      <c r="A408" s="138"/>
    </row>
    <row r="409" spans="1:1">
      <c r="A409" s="138"/>
    </row>
    <row r="410" spans="1:1">
      <c r="A410" s="138"/>
    </row>
    <row r="411" spans="1:1">
      <c r="A411" s="138"/>
    </row>
    <row r="412" spans="1:1">
      <c r="A412" s="138"/>
    </row>
    <row r="413" spans="1:1">
      <c r="A413" s="138"/>
    </row>
    <row r="414" spans="1:1">
      <c r="A414" s="138"/>
    </row>
    <row r="415" spans="1:1">
      <c r="A415" s="138"/>
    </row>
    <row r="416" spans="1:1">
      <c r="A416" s="138"/>
    </row>
    <row r="417" spans="1:1">
      <c r="A417" s="138"/>
    </row>
    <row r="418" spans="1:1">
      <c r="A418" s="138"/>
    </row>
    <row r="419" spans="1:1">
      <c r="A419" s="138"/>
    </row>
    <row r="420" spans="1:1">
      <c r="A420" s="138"/>
    </row>
    <row r="421" spans="1:1">
      <c r="A421" s="138"/>
    </row>
    <row r="422" spans="1:1">
      <c r="A422" s="138"/>
    </row>
    <row r="423" spans="1:1">
      <c r="A423" s="138"/>
    </row>
    <row r="424" spans="1:1">
      <c r="A424" s="138"/>
    </row>
    <row r="425" spans="1:1">
      <c r="A425" s="138"/>
    </row>
    <row r="426" spans="1:1">
      <c r="A426" s="138"/>
    </row>
    <row r="427" spans="1:1">
      <c r="A427" s="138"/>
    </row>
    <row r="428" spans="1:1">
      <c r="A428" s="138"/>
    </row>
    <row r="429" spans="1:1">
      <c r="A429" s="138"/>
    </row>
    <row r="430" spans="1:1">
      <c r="A430" s="138"/>
    </row>
    <row r="431" spans="1:1">
      <c r="A431" s="138"/>
    </row>
    <row r="432" spans="1:1">
      <c r="A432" s="138"/>
    </row>
    <row r="433" spans="1:1">
      <c r="A433" s="138"/>
    </row>
    <row r="434" spans="1:1">
      <c r="A434" s="138"/>
    </row>
    <row r="435" spans="1:1">
      <c r="A435" s="138"/>
    </row>
    <row r="436" spans="1:1">
      <c r="A436" s="138"/>
    </row>
    <row r="437" spans="1:1">
      <c r="A437" s="138"/>
    </row>
    <row r="438" spans="1:1">
      <c r="A438" s="138"/>
    </row>
    <row r="439" spans="1:1">
      <c r="A439" s="138"/>
    </row>
    <row r="440" spans="1:1">
      <c r="A440" s="138"/>
    </row>
    <row r="441" spans="1:1">
      <c r="A441" s="138"/>
    </row>
    <row r="442" spans="1:1">
      <c r="A442" s="138"/>
    </row>
    <row r="443" spans="1:1">
      <c r="A443" s="138"/>
    </row>
    <row r="444" spans="1:1">
      <c r="A444" s="138"/>
    </row>
    <row r="445" spans="1:1">
      <c r="A445" s="138"/>
    </row>
    <row r="446" spans="1:1">
      <c r="A446" s="138"/>
    </row>
    <row r="447" spans="1:1">
      <c r="A447" s="138"/>
    </row>
    <row r="448" spans="1:1">
      <c r="A448" s="138"/>
    </row>
    <row r="449" spans="1:1">
      <c r="A449" s="138"/>
    </row>
    <row r="450" spans="1:1">
      <c r="A450" s="138"/>
    </row>
    <row r="451" spans="1:1">
      <c r="A451" s="138"/>
    </row>
  </sheetData>
  <mergeCells count="1">
    <mergeCell ref="A7:H7"/>
  </mergeCells>
  <phoneticPr fontId="27" type="noConversion"/>
  <pageMargins left="0.75" right="0.5" top="0.75" bottom="0.5" header="0.25" footer="0.25"/>
  <pageSetup scale="93" orientation="landscape" r:id="rId1"/>
  <headerFooter alignWithMargins="0">
    <oddFooter>&amp;C&amp;"Garmond (W1),Bold"6</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66">
    <pageSetUpPr fitToPage="1"/>
  </sheetPr>
  <dimension ref="A1:R445"/>
  <sheetViews>
    <sheetView view="pageBreakPreview" topLeftCell="A21" zoomScale="60" zoomScaleNormal="100" workbookViewId="0">
      <selection sqref="A1:XFD1048576"/>
    </sheetView>
  </sheetViews>
  <sheetFormatPr defaultColWidth="10.85546875" defaultRowHeight="12"/>
  <cols>
    <col min="1" max="1" width="5.140625" style="120" customWidth="1"/>
    <col min="2" max="2" width="33.42578125" style="120" customWidth="1"/>
    <col min="3" max="3" width="11.7109375" style="120" customWidth="1"/>
    <col min="4" max="5" width="11.7109375" style="120" hidden="1" customWidth="1"/>
    <col min="6" max="18" width="11.7109375" style="120" customWidth="1"/>
    <col min="19" max="20" width="9.7109375" style="120" customWidth="1"/>
    <col min="21" max="16384" width="10.85546875" style="120"/>
  </cols>
  <sheetData>
    <row r="1" spans="1:18">
      <c r="A1" s="203" t="s">
        <v>719</v>
      </c>
      <c r="B1" s="203"/>
      <c r="N1" s="203" t="s">
        <v>1209</v>
      </c>
      <c r="O1" s="117"/>
    </row>
    <row r="2" spans="1:18">
      <c r="A2" s="203"/>
      <c r="B2" s="203"/>
      <c r="N2" s="203"/>
      <c r="O2" s="117"/>
    </row>
    <row r="3" spans="1:18">
      <c r="A3" s="117" t="s">
        <v>2644</v>
      </c>
      <c r="B3" s="117"/>
      <c r="N3" s="117" t="s">
        <v>720</v>
      </c>
      <c r="O3" s="117"/>
    </row>
    <row r="4" spans="1:18">
      <c r="A4" s="117" t="s">
        <v>2645</v>
      </c>
      <c r="B4" s="117"/>
      <c r="N4" s="123" t="s">
        <v>1504</v>
      </c>
      <c r="O4" s="117"/>
    </row>
    <row r="5" spans="1:18">
      <c r="A5" s="117" t="s">
        <v>1935</v>
      </c>
      <c r="B5" s="117"/>
      <c r="N5" s="117" t="s">
        <v>2948</v>
      </c>
      <c r="O5" s="117"/>
    </row>
    <row r="6" spans="1:18">
      <c r="A6" s="117"/>
      <c r="B6" s="117"/>
      <c r="C6" s="117"/>
      <c r="D6" s="117"/>
      <c r="E6" s="117"/>
      <c r="F6" s="117"/>
      <c r="G6" s="117"/>
      <c r="H6" s="117"/>
      <c r="I6" s="117"/>
      <c r="J6" s="117"/>
      <c r="K6" s="117"/>
      <c r="L6" s="117"/>
      <c r="M6" s="117"/>
      <c r="N6" s="117"/>
      <c r="O6" s="117"/>
    </row>
    <row r="7" spans="1:18">
      <c r="A7" s="2306" t="s">
        <v>1451</v>
      </c>
      <c r="B7" s="2293"/>
      <c r="C7" s="2293"/>
      <c r="D7" s="2293"/>
      <c r="E7" s="2293"/>
      <c r="F7" s="2293"/>
      <c r="G7" s="2293"/>
      <c r="H7" s="2293"/>
      <c r="I7" s="2293"/>
      <c r="J7" s="2293"/>
      <c r="K7" s="2293"/>
      <c r="L7" s="2293"/>
      <c r="M7" s="2293"/>
      <c r="N7" s="2293"/>
      <c r="O7" s="2293"/>
    </row>
    <row r="8" spans="1:18" ht="12.75" thickBot="1">
      <c r="A8" s="124"/>
      <c r="B8" s="124"/>
      <c r="C8" s="124"/>
      <c r="D8" s="124"/>
      <c r="E8" s="124"/>
      <c r="F8" s="124"/>
      <c r="G8" s="124"/>
      <c r="H8" s="124"/>
      <c r="I8" s="124"/>
      <c r="J8" s="124"/>
      <c r="K8" s="124"/>
      <c r="L8" s="124"/>
      <c r="M8" s="124"/>
      <c r="N8" s="124"/>
      <c r="O8" s="124"/>
      <c r="P8" s="124"/>
      <c r="Q8" s="124"/>
      <c r="R8" s="124"/>
    </row>
    <row r="9" spans="1:18">
      <c r="A9" s="117"/>
      <c r="B9" s="2010" t="s">
        <v>914</v>
      </c>
      <c r="C9" s="198">
        <v>-2</v>
      </c>
      <c r="D9" s="198">
        <v>-3</v>
      </c>
      <c r="E9" s="198">
        <v>-4</v>
      </c>
      <c r="F9" s="199">
        <v>-3</v>
      </c>
      <c r="G9" s="199">
        <v>-4</v>
      </c>
      <c r="H9" s="199">
        <v>-5</v>
      </c>
      <c r="I9" s="199">
        <v>-6</v>
      </c>
      <c r="J9" s="199">
        <v>-7</v>
      </c>
      <c r="K9" s="199">
        <v>-8</v>
      </c>
      <c r="L9" s="199">
        <v>-9</v>
      </c>
      <c r="M9" s="199">
        <v>-10</v>
      </c>
      <c r="N9" s="199">
        <v>-11</v>
      </c>
      <c r="O9" s="199">
        <v>-12</v>
      </c>
      <c r="P9" s="199">
        <v>-13</v>
      </c>
      <c r="Q9" s="199">
        <v>-14</v>
      </c>
      <c r="R9" s="199">
        <v>-15</v>
      </c>
    </row>
    <row r="10" spans="1:18" ht="24">
      <c r="A10" s="846" t="s">
        <v>802</v>
      </c>
      <c r="B10" s="156" t="s">
        <v>721</v>
      </c>
      <c r="C10" s="207" t="s">
        <v>1899</v>
      </c>
      <c r="D10" s="846" t="s">
        <v>733</v>
      </c>
      <c r="E10" s="208" t="s">
        <v>1898</v>
      </c>
      <c r="F10" s="207">
        <v>42014</v>
      </c>
      <c r="G10" s="208">
        <v>42036</v>
      </c>
      <c r="H10" s="208">
        <v>42064</v>
      </c>
      <c r="I10" s="208">
        <v>42095</v>
      </c>
      <c r="J10" s="208">
        <v>42125</v>
      </c>
      <c r="K10" s="208">
        <v>42156</v>
      </c>
      <c r="L10" s="208">
        <v>42186</v>
      </c>
      <c r="M10" s="208">
        <v>42217</v>
      </c>
      <c r="N10" s="208">
        <v>42248</v>
      </c>
      <c r="O10" s="208">
        <v>42278</v>
      </c>
      <c r="P10" s="208">
        <v>42309</v>
      </c>
      <c r="Q10" s="208">
        <v>42339</v>
      </c>
      <c r="R10" s="209" t="s">
        <v>45</v>
      </c>
    </row>
    <row r="11" spans="1:18">
      <c r="A11" s="153">
        <v>1</v>
      </c>
      <c r="B11" s="120" t="s">
        <v>1124</v>
      </c>
      <c r="C11" s="181">
        <v>7924165.2999999989</v>
      </c>
      <c r="D11" s="181">
        <v>0</v>
      </c>
      <c r="E11" s="181">
        <v>7924165.2999999989</v>
      </c>
      <c r="F11" s="181">
        <v>7929348.4400000004</v>
      </c>
      <c r="G11" s="181">
        <v>7935342.5299999975</v>
      </c>
      <c r="H11" s="181">
        <v>7953606.8499999996</v>
      </c>
      <c r="I11" s="181">
        <v>7979781.9899999984</v>
      </c>
      <c r="J11" s="181">
        <v>7970538.0799999982</v>
      </c>
      <c r="K11" s="181">
        <v>8486655.0400000028</v>
      </c>
      <c r="L11" s="181">
        <v>8540937.5999999996</v>
      </c>
      <c r="M11" s="181">
        <v>8545903.5800000001</v>
      </c>
      <c r="N11" s="181">
        <v>8301157.2800000003</v>
      </c>
      <c r="O11" s="181">
        <v>8310693.7300000004</v>
      </c>
      <c r="P11" s="181">
        <v>8361853.4899999993</v>
      </c>
      <c r="Q11" s="181">
        <v>8371235.8799999999</v>
      </c>
      <c r="R11" s="202">
        <v>8200863</v>
      </c>
    </row>
    <row r="12" spans="1:18">
      <c r="A12" s="153">
        <v>2</v>
      </c>
      <c r="B12" s="120" t="s">
        <v>1127</v>
      </c>
      <c r="C12" s="150">
        <v>115587.57000000004</v>
      </c>
      <c r="D12" s="150">
        <v>0</v>
      </c>
      <c r="E12" s="217">
        <v>115587.57000000004</v>
      </c>
      <c r="F12" s="150">
        <v>375650.28</v>
      </c>
      <c r="G12" s="150">
        <v>443789.66</v>
      </c>
      <c r="H12" s="150">
        <v>513206.50999999995</v>
      </c>
      <c r="I12" s="150">
        <v>519425.33</v>
      </c>
      <c r="J12" s="150">
        <v>328750.46000000002</v>
      </c>
      <c r="K12" s="150">
        <v>15896.620000000003</v>
      </c>
      <c r="L12" s="150">
        <v>15896.61</v>
      </c>
      <c r="M12" s="150">
        <v>15896.59</v>
      </c>
      <c r="N12" s="150">
        <v>17935.71999999979</v>
      </c>
      <c r="O12" s="150">
        <v>53887.299999999865</v>
      </c>
      <c r="P12" s="150">
        <v>54575.839999999931</v>
      </c>
      <c r="Q12" s="150">
        <v>97863.549999999901</v>
      </c>
      <c r="R12" s="202">
        <v>197566</v>
      </c>
    </row>
    <row r="13" spans="1:18">
      <c r="A13" s="153">
        <v>3</v>
      </c>
      <c r="B13" s="120" t="s">
        <v>722</v>
      </c>
      <c r="C13" s="150">
        <v>45879.72</v>
      </c>
      <c r="D13" s="150"/>
      <c r="E13" s="217">
        <v>45879.72</v>
      </c>
      <c r="F13" s="150">
        <v>45879.72</v>
      </c>
      <c r="G13" s="150">
        <v>45879.72</v>
      </c>
      <c r="H13" s="150">
        <v>45879.72</v>
      </c>
      <c r="I13" s="150">
        <v>45879.72</v>
      </c>
      <c r="J13" s="150">
        <v>45879.72</v>
      </c>
      <c r="K13" s="150">
        <v>45879.72</v>
      </c>
      <c r="L13" s="150">
        <v>45879.72</v>
      </c>
      <c r="M13" s="150">
        <v>45879.72</v>
      </c>
      <c r="N13" s="150">
        <v>45879.72</v>
      </c>
      <c r="O13" s="150">
        <v>45879.72</v>
      </c>
      <c r="P13" s="150">
        <v>45879.72</v>
      </c>
      <c r="Q13" s="150">
        <v>45879.72</v>
      </c>
      <c r="R13" s="202">
        <v>45880</v>
      </c>
    </row>
    <row r="14" spans="1:18">
      <c r="A14" s="153">
        <v>4</v>
      </c>
      <c r="C14" s="182"/>
      <c r="D14" s="182"/>
      <c r="E14" s="182"/>
      <c r="F14" s="182"/>
      <c r="G14" s="182"/>
      <c r="H14" s="182"/>
      <c r="I14" s="182"/>
      <c r="J14" s="182"/>
      <c r="K14" s="182"/>
      <c r="L14" s="182"/>
      <c r="M14" s="182"/>
      <c r="N14" s="182"/>
      <c r="O14" s="182"/>
      <c r="P14" s="182"/>
      <c r="Q14" s="182"/>
      <c r="R14" s="182"/>
    </row>
    <row r="15" spans="1:18">
      <c r="A15" s="153">
        <v>5</v>
      </c>
      <c r="B15" s="120" t="s">
        <v>723</v>
      </c>
      <c r="C15" s="150">
        <v>8085632.5899999989</v>
      </c>
      <c r="D15" s="150">
        <v>0</v>
      </c>
      <c r="E15" s="150">
        <v>8085632.5899999989</v>
      </c>
      <c r="F15" s="150">
        <v>8350878.4400000004</v>
      </c>
      <c r="G15" s="150">
        <v>8425011.9099999983</v>
      </c>
      <c r="H15" s="150">
        <v>8512693.0800000001</v>
      </c>
      <c r="I15" s="150">
        <v>8545087.0399999991</v>
      </c>
      <c r="J15" s="150">
        <v>8345168.2599999979</v>
      </c>
      <c r="K15" s="150">
        <v>8548431.3800000027</v>
      </c>
      <c r="L15" s="150">
        <v>8602713.9299999997</v>
      </c>
      <c r="M15" s="150">
        <v>8607679.8900000006</v>
      </c>
      <c r="N15" s="150">
        <v>8364972.7199999997</v>
      </c>
      <c r="O15" s="150">
        <v>8410460.75</v>
      </c>
      <c r="P15" s="150">
        <v>8462309.0500000007</v>
      </c>
      <c r="Q15" s="150">
        <v>8514979.1500000004</v>
      </c>
      <c r="R15" s="150">
        <v>8444309</v>
      </c>
    </row>
    <row r="16" spans="1:18">
      <c r="A16" s="153">
        <v>6</v>
      </c>
      <c r="B16" s="211" t="s">
        <v>724</v>
      </c>
      <c r="C16" s="212">
        <v>-3974527.8899999992</v>
      </c>
      <c r="D16" s="212">
        <v>0</v>
      </c>
      <c r="E16" s="215">
        <v>-3974527.8899999992</v>
      </c>
      <c r="F16" s="212">
        <v>-3990895.7699999996</v>
      </c>
      <c r="G16" s="212">
        <v>-4006444.58</v>
      </c>
      <c r="H16" s="212">
        <v>-4026219.669999999</v>
      </c>
      <c r="I16" s="212">
        <v>-4046365.6299999994</v>
      </c>
      <c r="J16" s="212">
        <v>-4056137.7700000009</v>
      </c>
      <c r="K16" s="212">
        <v>-4019491.129999999</v>
      </c>
      <c r="L16" s="212">
        <v>-4026307.5300000003</v>
      </c>
      <c r="M16" s="212">
        <v>-4050292.7299999986</v>
      </c>
      <c r="N16" s="212">
        <v>-4067363.95</v>
      </c>
      <c r="O16" s="212">
        <v>-4089738.8600000003</v>
      </c>
      <c r="P16" s="212">
        <v>-4114910.0199999996</v>
      </c>
      <c r="Q16" s="212">
        <v>-4138198.2699999986</v>
      </c>
      <c r="R16" s="202">
        <v>-4046684</v>
      </c>
    </row>
    <row r="17" spans="1:18">
      <c r="A17" s="153">
        <v>7</v>
      </c>
      <c r="C17" s="182"/>
      <c r="D17" s="182"/>
      <c r="E17" s="182"/>
      <c r="F17" s="182"/>
      <c r="G17" s="182"/>
      <c r="H17" s="182"/>
      <c r="I17" s="182"/>
      <c r="J17" s="182"/>
      <c r="K17" s="182"/>
      <c r="L17" s="182"/>
      <c r="M17" s="182"/>
      <c r="N17" s="182"/>
      <c r="O17" s="182"/>
      <c r="P17" s="182"/>
      <c r="Q17" s="182"/>
      <c r="R17" s="182"/>
    </row>
    <row r="18" spans="1:18">
      <c r="A18" s="153">
        <v>8</v>
      </c>
      <c r="B18" s="120" t="s">
        <v>725</v>
      </c>
      <c r="C18" s="182">
        <v>4111104.6999999997</v>
      </c>
      <c r="D18" s="182">
        <v>0</v>
      </c>
      <c r="E18" s="182">
        <v>4111104.6999999997</v>
      </c>
      <c r="F18" s="182">
        <v>4359982.6700000009</v>
      </c>
      <c r="G18" s="182">
        <v>4418567.3299999982</v>
      </c>
      <c r="H18" s="182">
        <v>4486473.4100000011</v>
      </c>
      <c r="I18" s="182">
        <v>4498721.41</v>
      </c>
      <c r="J18" s="182">
        <v>4289030.4899999965</v>
      </c>
      <c r="K18" s="182">
        <v>4528940.2500000037</v>
      </c>
      <c r="L18" s="182">
        <v>4576406.3999999994</v>
      </c>
      <c r="M18" s="182">
        <v>4557387.160000002</v>
      </c>
      <c r="N18" s="182">
        <v>4297608.7699999996</v>
      </c>
      <c r="O18" s="182">
        <v>4320721.8899999997</v>
      </c>
      <c r="P18" s="182">
        <v>4347399.0300000012</v>
      </c>
      <c r="Q18" s="182">
        <v>4376780.8800000018</v>
      </c>
      <c r="R18" s="182">
        <v>4397625</v>
      </c>
    </row>
    <row r="19" spans="1:18">
      <c r="A19" s="153">
        <v>9</v>
      </c>
      <c r="C19" s="150"/>
      <c r="D19" s="150"/>
      <c r="E19" s="150"/>
      <c r="F19" s="150"/>
      <c r="G19" s="150"/>
      <c r="H19" s="150"/>
      <c r="I19" s="150"/>
      <c r="J19" s="150"/>
      <c r="K19" s="150"/>
      <c r="L19" s="150"/>
      <c r="M19" s="150"/>
      <c r="N19" s="150"/>
      <c r="O19" s="150"/>
      <c r="P19" s="150"/>
      <c r="Q19" s="150"/>
      <c r="R19" s="150"/>
    </row>
    <row r="20" spans="1:18">
      <c r="A20" s="153">
        <v>10</v>
      </c>
      <c r="B20" s="120" t="s">
        <v>997</v>
      </c>
      <c r="C20" s="150"/>
      <c r="D20" s="150"/>
      <c r="E20" s="150"/>
      <c r="F20" s="151"/>
      <c r="G20" s="151"/>
      <c r="H20" s="151"/>
      <c r="I20" s="151"/>
      <c r="J20" s="151"/>
      <c r="K20" s="151"/>
      <c r="L20" s="151"/>
      <c r="M20" s="152"/>
      <c r="N20" s="152"/>
      <c r="O20" s="152"/>
      <c r="P20" s="152"/>
      <c r="Q20" s="152"/>
      <c r="R20" s="202">
        <v>0</v>
      </c>
    </row>
    <row r="21" spans="1:18">
      <c r="A21" s="153">
        <v>11</v>
      </c>
      <c r="B21" s="120" t="s">
        <v>998</v>
      </c>
      <c r="C21" s="212">
        <v>261619.53</v>
      </c>
      <c r="D21" s="150"/>
      <c r="E21" s="217">
        <v>261619.53</v>
      </c>
      <c r="F21" s="150">
        <v>237368.78999999998</v>
      </c>
      <c r="G21" s="150">
        <v>286555.90000000002</v>
      </c>
      <c r="H21" s="150">
        <v>299342.84999999998</v>
      </c>
      <c r="I21" s="150">
        <v>294184.03000000003</v>
      </c>
      <c r="J21" s="150">
        <v>362326.76999999996</v>
      </c>
      <c r="K21" s="150">
        <v>303507.71999999997</v>
      </c>
      <c r="L21" s="150">
        <v>278529.25</v>
      </c>
      <c r="M21" s="150">
        <v>324441.01</v>
      </c>
      <c r="N21" s="150">
        <v>402610.58</v>
      </c>
      <c r="O21" s="150">
        <v>366022.49</v>
      </c>
      <c r="P21" s="150">
        <v>439576.93000000005</v>
      </c>
      <c r="Q21" s="212">
        <v>395526.38</v>
      </c>
      <c r="R21" s="202">
        <v>327047</v>
      </c>
    </row>
    <row r="22" spans="1:18">
      <c r="A22" s="153">
        <v>12</v>
      </c>
      <c r="B22" s="120" t="s">
        <v>927</v>
      </c>
      <c r="C22" s="150"/>
      <c r="D22" s="150"/>
      <c r="E22" s="217">
        <v>0</v>
      </c>
      <c r="F22" s="150"/>
      <c r="G22" s="150"/>
      <c r="H22" s="150"/>
      <c r="I22" s="150"/>
      <c r="J22" s="150"/>
      <c r="K22" s="150"/>
      <c r="L22" s="150"/>
      <c r="M22" s="150"/>
      <c r="N22" s="150"/>
      <c r="O22" s="150"/>
      <c r="P22" s="150"/>
      <c r="Q22" s="150"/>
      <c r="R22" s="202">
        <v>0</v>
      </c>
    </row>
    <row r="23" spans="1:18">
      <c r="A23" s="153">
        <v>13</v>
      </c>
      <c r="B23" s="120" t="s">
        <v>684</v>
      </c>
      <c r="C23" s="150">
        <v>1838443.95</v>
      </c>
      <c r="D23" s="150"/>
      <c r="E23" s="217">
        <v>1838443.95</v>
      </c>
      <c r="F23" s="150">
        <v>1858529.27</v>
      </c>
      <c r="G23" s="150">
        <v>1864271.13</v>
      </c>
      <c r="H23" s="150">
        <v>1794587.1</v>
      </c>
      <c r="I23" s="150">
        <v>1856995.02</v>
      </c>
      <c r="J23" s="150">
        <v>1787109.15</v>
      </c>
      <c r="K23" s="150">
        <v>1878900.43</v>
      </c>
      <c r="L23" s="150">
        <v>1832393.71</v>
      </c>
      <c r="M23" s="150">
        <v>1859720</v>
      </c>
      <c r="N23" s="150">
        <v>1802759.35</v>
      </c>
      <c r="O23" s="150">
        <v>1891741.56</v>
      </c>
      <c r="P23" s="150">
        <v>1837238.69</v>
      </c>
      <c r="Q23" s="150">
        <v>1871199.94</v>
      </c>
      <c r="R23" s="202">
        <v>1844145</v>
      </c>
    </row>
    <row r="24" spans="1:18">
      <c r="A24" s="153">
        <v>14</v>
      </c>
      <c r="B24" s="120" t="s">
        <v>685</v>
      </c>
      <c r="C24" s="150"/>
      <c r="D24" s="150"/>
      <c r="E24" s="217">
        <v>0</v>
      </c>
      <c r="F24" s="150"/>
      <c r="G24" s="150"/>
      <c r="H24" s="150"/>
      <c r="I24" s="150"/>
      <c r="J24" s="150"/>
      <c r="K24" s="150"/>
      <c r="L24" s="150"/>
      <c r="M24" s="150"/>
      <c r="N24" s="150"/>
      <c r="O24" s="150"/>
      <c r="P24" s="150"/>
      <c r="Q24" s="150"/>
      <c r="R24" s="202">
        <v>0</v>
      </c>
    </row>
    <row r="25" spans="1:18">
      <c r="A25" s="153">
        <v>15</v>
      </c>
      <c r="B25" s="464" t="s">
        <v>738</v>
      </c>
      <c r="C25" s="150"/>
      <c r="D25" s="150"/>
      <c r="E25" s="217">
        <v>0</v>
      </c>
      <c r="F25" s="150"/>
      <c r="G25" s="150"/>
      <c r="H25" s="150"/>
      <c r="I25" s="150"/>
      <c r="J25" s="150"/>
      <c r="K25" s="150"/>
      <c r="L25" s="150"/>
      <c r="M25" s="150"/>
      <c r="N25" s="150"/>
      <c r="O25" s="150"/>
      <c r="P25" s="150"/>
      <c r="Q25" s="150"/>
      <c r="R25" s="202">
        <v>0</v>
      </c>
    </row>
    <row r="26" spans="1:18">
      <c r="A26" s="153">
        <v>16</v>
      </c>
      <c r="B26" s="120" t="s">
        <v>918</v>
      </c>
      <c r="C26" s="150"/>
      <c r="D26" s="150"/>
      <c r="E26" s="217">
        <v>0</v>
      </c>
      <c r="F26" s="150"/>
      <c r="G26" s="150"/>
      <c r="H26" s="150"/>
      <c r="I26" s="150"/>
      <c r="J26" s="150"/>
      <c r="K26" s="150"/>
      <c r="L26" s="150"/>
      <c r="M26" s="150"/>
      <c r="N26" s="150"/>
      <c r="O26" s="150"/>
      <c r="P26" s="150"/>
      <c r="Q26" s="150"/>
      <c r="R26" s="202">
        <v>0</v>
      </c>
    </row>
    <row r="27" spans="1:18">
      <c r="A27" s="153">
        <v>17</v>
      </c>
      <c r="B27" s="120" t="s">
        <v>919</v>
      </c>
      <c r="C27" s="150">
        <v>-63</v>
      </c>
      <c r="D27" s="150"/>
      <c r="E27" s="217">
        <v>-63</v>
      </c>
      <c r="F27" s="150">
        <v>-32</v>
      </c>
      <c r="G27" s="150">
        <v>-50</v>
      </c>
      <c r="H27" s="150">
        <v>-75</v>
      </c>
      <c r="I27" s="150">
        <v>-1193</v>
      </c>
      <c r="J27" s="150">
        <v>-1577</v>
      </c>
      <c r="K27" s="150">
        <v>-384</v>
      </c>
      <c r="L27" s="150">
        <v>-254</v>
      </c>
      <c r="M27" s="150">
        <v>-901</v>
      </c>
      <c r="N27" s="150">
        <v>-863</v>
      </c>
      <c r="O27" s="150">
        <v>-686</v>
      </c>
      <c r="P27" s="150">
        <v>-432</v>
      </c>
      <c r="Q27" s="150">
        <v>-34</v>
      </c>
      <c r="R27" s="202">
        <v>-503</v>
      </c>
    </row>
    <row r="28" spans="1:18">
      <c r="A28" s="153">
        <v>18</v>
      </c>
      <c r="B28" s="120" t="s">
        <v>920</v>
      </c>
      <c r="C28" s="150">
        <v>33974</v>
      </c>
      <c r="D28" s="150"/>
      <c r="E28" s="217">
        <v>33974</v>
      </c>
      <c r="F28" s="150">
        <v>33974</v>
      </c>
      <c r="G28" s="150">
        <v>33974</v>
      </c>
      <c r="H28" s="150">
        <v>33974</v>
      </c>
      <c r="I28" s="150">
        <v>33974</v>
      </c>
      <c r="J28" s="150">
        <v>33974</v>
      </c>
      <c r="K28" s="150">
        <v>33974</v>
      </c>
      <c r="L28" s="150">
        <v>33974</v>
      </c>
      <c r="M28" s="150">
        <v>33974</v>
      </c>
      <c r="N28" s="150">
        <v>33974</v>
      </c>
      <c r="O28" s="150">
        <v>33974</v>
      </c>
      <c r="P28" s="150">
        <v>33974</v>
      </c>
      <c r="Q28" s="150">
        <v>32691</v>
      </c>
      <c r="R28" s="202">
        <v>33875</v>
      </c>
    </row>
    <row r="29" spans="1:18">
      <c r="A29" s="153">
        <v>19</v>
      </c>
      <c r="B29" s="120" t="s">
        <v>607</v>
      </c>
      <c r="C29" s="150">
        <v>60</v>
      </c>
      <c r="D29" s="150"/>
      <c r="E29" s="217">
        <v>60</v>
      </c>
      <c r="F29" s="150">
        <v>60</v>
      </c>
      <c r="G29" s="150">
        <v>60</v>
      </c>
      <c r="H29" s="150">
        <v>60</v>
      </c>
      <c r="I29" s="150">
        <v>60</v>
      </c>
      <c r="J29" s="150">
        <v>60</v>
      </c>
      <c r="K29" s="150">
        <v>60</v>
      </c>
      <c r="L29" s="150">
        <v>60</v>
      </c>
      <c r="M29" s="150">
        <v>60</v>
      </c>
      <c r="N29" s="150">
        <v>60</v>
      </c>
      <c r="O29" s="150">
        <v>60</v>
      </c>
      <c r="P29" s="150">
        <v>60</v>
      </c>
      <c r="Q29" s="150">
        <v>60</v>
      </c>
      <c r="R29" s="202">
        <v>60</v>
      </c>
    </row>
    <row r="30" spans="1:18">
      <c r="A30" s="153">
        <v>20</v>
      </c>
      <c r="C30" s="182"/>
      <c r="D30" s="182"/>
      <c r="E30" s="182"/>
      <c r="F30" s="182"/>
      <c r="G30" s="182"/>
      <c r="H30" s="182"/>
      <c r="I30" s="182"/>
      <c r="J30" s="182"/>
      <c r="K30" s="182"/>
      <c r="L30" s="182"/>
      <c r="M30" s="182"/>
      <c r="N30" s="182"/>
      <c r="O30" s="182"/>
      <c r="P30" s="182"/>
      <c r="Q30" s="182"/>
      <c r="R30" s="182"/>
    </row>
    <row r="31" spans="1:18">
      <c r="A31" s="153">
        <v>21</v>
      </c>
      <c r="B31" s="120" t="s">
        <v>608</v>
      </c>
      <c r="C31" s="182">
        <v>2134034.48</v>
      </c>
      <c r="D31" s="182">
        <v>0</v>
      </c>
      <c r="E31" s="182">
        <v>2134034.48</v>
      </c>
      <c r="F31" s="182">
        <v>2129900.06</v>
      </c>
      <c r="G31" s="182">
        <v>2184811.0299999998</v>
      </c>
      <c r="H31" s="182">
        <v>2127888.9500000002</v>
      </c>
      <c r="I31" s="182">
        <v>2184020.0499999998</v>
      </c>
      <c r="J31" s="182">
        <v>2181892.92</v>
      </c>
      <c r="K31" s="182">
        <v>2216058.15</v>
      </c>
      <c r="L31" s="182">
        <v>2144702.96</v>
      </c>
      <c r="M31" s="182">
        <v>2217294.0099999998</v>
      </c>
      <c r="N31" s="182">
        <v>2238540.9300000002</v>
      </c>
      <c r="O31" s="182">
        <v>2291112.0499999998</v>
      </c>
      <c r="P31" s="182">
        <v>2310417.62</v>
      </c>
      <c r="Q31" s="182">
        <v>2299443.3199999998</v>
      </c>
      <c r="R31" s="182">
        <v>2204624</v>
      </c>
    </row>
    <row r="32" spans="1:18">
      <c r="A32" s="153">
        <v>22</v>
      </c>
      <c r="C32" s="150"/>
      <c r="D32" s="150"/>
      <c r="E32" s="150"/>
      <c r="F32" s="150"/>
      <c r="G32" s="150"/>
      <c r="H32" s="150"/>
      <c r="I32" s="150"/>
      <c r="J32" s="150"/>
      <c r="K32" s="150"/>
      <c r="L32" s="150"/>
      <c r="M32" s="150"/>
      <c r="N32" s="150"/>
      <c r="O32" s="150"/>
      <c r="P32" s="150"/>
      <c r="Q32" s="150"/>
      <c r="R32" s="150"/>
    </row>
    <row r="33" spans="1:18">
      <c r="A33" s="153">
        <v>23</v>
      </c>
      <c r="B33" s="120" t="s">
        <v>1723</v>
      </c>
      <c r="C33" s="150"/>
      <c r="D33" s="150"/>
      <c r="E33" s="150"/>
      <c r="F33" s="150"/>
      <c r="G33" s="150"/>
      <c r="H33" s="150"/>
      <c r="I33" s="150"/>
      <c r="J33" s="150"/>
      <c r="K33" s="150"/>
      <c r="L33" s="150"/>
      <c r="M33" s="150"/>
      <c r="N33" s="150"/>
      <c r="O33" s="150"/>
      <c r="P33" s="150"/>
      <c r="Q33" s="150"/>
      <c r="R33" s="202">
        <v>0</v>
      </c>
    </row>
    <row r="34" spans="1:18">
      <c r="A34" s="153">
        <v>24</v>
      </c>
      <c r="B34" s="120" t="s">
        <v>1054</v>
      </c>
      <c r="C34" s="150"/>
      <c r="D34" s="150"/>
      <c r="E34" s="150"/>
      <c r="F34" s="150"/>
      <c r="G34" s="150"/>
      <c r="H34" s="150"/>
      <c r="I34" s="150"/>
      <c r="J34" s="150"/>
      <c r="K34" s="150"/>
      <c r="L34" s="150"/>
      <c r="M34" s="150"/>
      <c r="N34" s="150"/>
      <c r="O34" s="150"/>
      <c r="P34" s="150"/>
      <c r="Q34" s="150"/>
      <c r="R34" s="202">
        <v>0</v>
      </c>
    </row>
    <row r="35" spans="1:18">
      <c r="A35" s="153">
        <v>25</v>
      </c>
      <c r="B35" s="120" t="s">
        <v>1129</v>
      </c>
      <c r="C35" s="150">
        <v>0</v>
      </c>
      <c r="D35" s="150"/>
      <c r="E35" s="217">
        <v>0</v>
      </c>
      <c r="F35" s="150">
        <v>0</v>
      </c>
      <c r="G35" s="150">
        <v>0</v>
      </c>
      <c r="H35" s="150">
        <v>0</v>
      </c>
      <c r="I35" s="150">
        <v>0</v>
      </c>
      <c r="J35" s="150">
        <v>0</v>
      </c>
      <c r="K35" s="150">
        <v>0</v>
      </c>
      <c r="L35" s="150">
        <v>0</v>
      </c>
      <c r="M35" s="150">
        <v>0</v>
      </c>
      <c r="N35" s="150">
        <v>0</v>
      </c>
      <c r="O35" s="150">
        <v>0</v>
      </c>
      <c r="P35" s="150">
        <v>0</v>
      </c>
      <c r="Q35" s="150">
        <v>0</v>
      </c>
      <c r="R35" s="202">
        <v>0</v>
      </c>
    </row>
    <row r="36" spans="1:18">
      <c r="A36" s="153">
        <v>26</v>
      </c>
      <c r="B36" s="120" t="s">
        <v>1130</v>
      </c>
      <c r="C36" s="150"/>
      <c r="D36" s="150"/>
      <c r="E36" s="217">
        <v>0</v>
      </c>
      <c r="F36" s="150"/>
      <c r="G36" s="150"/>
      <c r="H36" s="150"/>
      <c r="I36" s="150"/>
      <c r="J36" s="150"/>
      <c r="K36" s="150"/>
      <c r="L36" s="150"/>
      <c r="M36" s="150"/>
      <c r="N36" s="150"/>
      <c r="O36" s="150"/>
      <c r="P36" s="150"/>
      <c r="Q36" s="150"/>
      <c r="R36" s="202">
        <v>0</v>
      </c>
    </row>
    <row r="37" spans="1:18">
      <c r="A37" s="153">
        <v>27</v>
      </c>
      <c r="B37" s="120" t="s">
        <v>1337</v>
      </c>
      <c r="C37" s="150">
        <v>6945</v>
      </c>
      <c r="D37" s="150"/>
      <c r="E37" s="217">
        <v>6945</v>
      </c>
      <c r="F37" s="150">
        <v>6945</v>
      </c>
      <c r="G37" s="150">
        <v>6945</v>
      </c>
      <c r="H37" s="150">
        <v>6945</v>
      </c>
      <c r="I37" s="150">
        <v>6945</v>
      </c>
      <c r="J37" s="150">
        <v>6945</v>
      </c>
      <c r="K37" s="150">
        <v>6945</v>
      </c>
      <c r="L37" s="150">
        <v>6945</v>
      </c>
      <c r="M37" s="150">
        <v>6945</v>
      </c>
      <c r="N37" s="150">
        <v>6945</v>
      </c>
      <c r="O37" s="150">
        <v>6944.9999999999709</v>
      </c>
      <c r="P37" s="150">
        <v>6945</v>
      </c>
      <c r="Q37" s="150">
        <v>6944.9999999999709</v>
      </c>
      <c r="R37" s="202">
        <v>6945</v>
      </c>
    </row>
    <row r="38" spans="1:18">
      <c r="A38" s="153">
        <v>28</v>
      </c>
      <c r="B38" s="120" t="s">
        <v>1338</v>
      </c>
      <c r="C38" s="150">
        <v>1222.4999999999964</v>
      </c>
      <c r="D38" s="150"/>
      <c r="E38" s="217">
        <v>1222.4999999999964</v>
      </c>
      <c r="F38" s="150">
        <v>1047.8599999999969</v>
      </c>
      <c r="G38" s="150">
        <v>873.20999999999549</v>
      </c>
      <c r="H38" s="150">
        <v>698.56999999999607</v>
      </c>
      <c r="I38" s="150">
        <v>523.92999999999665</v>
      </c>
      <c r="J38" s="150">
        <v>349.28999999999724</v>
      </c>
      <c r="K38" s="150">
        <v>174.63999999999578</v>
      </c>
      <c r="L38" s="150">
        <v>0</v>
      </c>
      <c r="M38" s="150">
        <v>0</v>
      </c>
      <c r="N38" s="150">
        <v>30770.029999999992</v>
      </c>
      <c r="O38" s="150">
        <v>30225.529999999992</v>
      </c>
      <c r="P38" s="150">
        <v>29681.029999999992</v>
      </c>
      <c r="Q38" s="150">
        <v>29136.529999999992</v>
      </c>
      <c r="R38" s="202">
        <v>9593</v>
      </c>
    </row>
    <row r="39" spans="1:18">
      <c r="A39" s="153">
        <v>29</v>
      </c>
      <c r="B39" s="120" t="s">
        <v>1339</v>
      </c>
      <c r="C39" s="150"/>
      <c r="D39" s="150"/>
      <c r="E39" s="150"/>
      <c r="F39" s="150"/>
      <c r="G39" s="150"/>
      <c r="H39" s="150"/>
      <c r="I39" s="150"/>
      <c r="J39" s="150"/>
      <c r="K39" s="150"/>
      <c r="L39" s="150"/>
      <c r="M39" s="150"/>
      <c r="N39" s="150"/>
      <c r="O39" s="150"/>
      <c r="P39" s="150"/>
      <c r="Q39" s="212"/>
      <c r="R39" s="202">
        <v>0</v>
      </c>
    </row>
    <row r="40" spans="1:18">
      <c r="A40" s="153">
        <v>30</v>
      </c>
      <c r="B40" s="158" t="s">
        <v>1340</v>
      </c>
      <c r="C40" s="259">
        <v>8167.4999999999964</v>
      </c>
      <c r="D40" s="259">
        <v>0</v>
      </c>
      <c r="E40" s="259">
        <v>8167.4999999999964</v>
      </c>
      <c r="F40" s="259">
        <v>7992.8599999999969</v>
      </c>
      <c r="G40" s="259">
        <v>7818.2099999999955</v>
      </c>
      <c r="H40" s="259">
        <v>7643.5699999999961</v>
      </c>
      <c r="I40" s="259">
        <v>7468.9299999999967</v>
      </c>
      <c r="J40" s="259">
        <v>7294.2899999999972</v>
      </c>
      <c r="K40" s="259">
        <v>7119.6399999999958</v>
      </c>
      <c r="L40" s="259">
        <v>6945</v>
      </c>
      <c r="M40" s="259">
        <v>6945</v>
      </c>
      <c r="N40" s="259">
        <v>37715.029999999992</v>
      </c>
      <c r="O40" s="259">
        <v>37170.529999999962</v>
      </c>
      <c r="P40" s="259">
        <v>36626.029999999992</v>
      </c>
      <c r="Q40" s="259">
        <v>36081.529999999962</v>
      </c>
      <c r="R40" s="259">
        <v>16538</v>
      </c>
    </row>
    <row r="41" spans="1:18">
      <c r="A41" s="153">
        <v>31</v>
      </c>
      <c r="C41" s="180"/>
      <c r="D41" s="180"/>
      <c r="E41" s="180"/>
      <c r="F41" s="180"/>
      <c r="G41" s="180"/>
      <c r="H41" s="180"/>
      <c r="I41" s="180"/>
      <c r="J41" s="180"/>
      <c r="K41" s="180"/>
      <c r="L41" s="180"/>
      <c r="M41" s="180"/>
      <c r="N41" s="180"/>
      <c r="O41" s="180"/>
    </row>
    <row r="42" spans="1:18" ht="12.75" thickBot="1">
      <c r="A42" s="153">
        <v>32</v>
      </c>
      <c r="B42" s="120" t="s">
        <v>1341</v>
      </c>
      <c r="C42" s="187">
        <v>6253306.6799999997</v>
      </c>
      <c r="D42" s="187">
        <v>0</v>
      </c>
      <c r="E42" s="187">
        <v>6253306.6799999997</v>
      </c>
      <c r="F42" s="187">
        <v>6497875.5900000008</v>
      </c>
      <c r="G42" s="273">
        <v>6611196.5699999975</v>
      </c>
      <c r="H42" s="273">
        <v>6622005.9300000016</v>
      </c>
      <c r="I42" s="187">
        <v>6690210.3899999997</v>
      </c>
      <c r="J42" s="187">
        <v>6478217.6999999965</v>
      </c>
      <c r="K42" s="187">
        <v>6752118.0400000038</v>
      </c>
      <c r="L42" s="187">
        <v>6728054.3599999994</v>
      </c>
      <c r="M42" s="187">
        <v>6781626.1700000018</v>
      </c>
      <c r="N42" s="187">
        <v>6573864.7299999995</v>
      </c>
      <c r="O42" s="187">
        <v>6649004.4699999997</v>
      </c>
      <c r="P42" s="187">
        <v>6694442.6800000016</v>
      </c>
      <c r="Q42" s="187">
        <v>6712305.7300000014</v>
      </c>
      <c r="R42" s="187">
        <v>6618787</v>
      </c>
    </row>
    <row r="43" spans="1:18" ht="12.75" thickTop="1">
      <c r="A43" s="153"/>
      <c r="C43" s="180"/>
      <c r="D43" s="180"/>
      <c r="E43" s="180"/>
      <c r="F43" s="180"/>
      <c r="G43" s="180"/>
      <c r="H43" s="180"/>
      <c r="I43" s="180"/>
      <c r="J43" s="180"/>
      <c r="K43" s="180"/>
      <c r="L43" s="180"/>
      <c r="M43" s="180"/>
      <c r="N43" s="180"/>
      <c r="O43" s="180"/>
    </row>
    <row r="44" spans="1:18">
      <c r="A44" s="117"/>
      <c r="B44" s="117"/>
    </row>
    <row r="45" spans="1:18">
      <c r="A45" s="148"/>
      <c r="B45" s="148"/>
      <c r="C45" s="148"/>
      <c r="D45" s="148"/>
      <c r="E45" s="148"/>
      <c r="F45" s="148"/>
      <c r="G45" s="148"/>
      <c r="H45" s="148"/>
      <c r="I45" s="148"/>
      <c r="J45" s="148"/>
      <c r="K45" s="148"/>
      <c r="L45" s="148"/>
      <c r="M45" s="148"/>
      <c r="N45" s="148"/>
      <c r="O45" s="148"/>
    </row>
    <row r="46" spans="1:18">
      <c r="A46" s="117"/>
      <c r="B46" s="117"/>
    </row>
    <row r="47" spans="1:18">
      <c r="A47" s="117"/>
      <c r="B47" s="117"/>
    </row>
    <row r="48" spans="1:18">
      <c r="A48" s="117"/>
      <c r="B48" s="117"/>
    </row>
    <row r="49" spans="1:2">
      <c r="A49" s="117"/>
      <c r="B49" s="117"/>
    </row>
    <row r="50" spans="1:2">
      <c r="A50" s="117"/>
      <c r="B50" s="117"/>
    </row>
    <row r="51" spans="1:2">
      <c r="A51" s="117"/>
      <c r="B51" s="117"/>
    </row>
    <row r="52" spans="1:2">
      <c r="A52" s="117"/>
      <c r="B52" s="117"/>
    </row>
    <row r="145" spans="2:2">
      <c r="B145" s="137"/>
    </row>
    <row r="148" spans="2:2">
      <c r="B148" s="137"/>
    </row>
    <row r="271" spans="1:1">
      <c r="A271" s="138"/>
    </row>
    <row r="272" spans="1:1">
      <c r="A272" s="138"/>
    </row>
    <row r="273" spans="1:1">
      <c r="A273" s="138"/>
    </row>
    <row r="274" spans="1:1">
      <c r="A274" s="138"/>
    </row>
    <row r="275" spans="1:1">
      <c r="A275" s="138"/>
    </row>
    <row r="305" spans="1:1">
      <c r="A305" s="138"/>
    </row>
    <row r="374" spans="1:1">
      <c r="A374" s="117"/>
    </row>
    <row r="391" spans="1:1">
      <c r="A391" s="138"/>
    </row>
    <row r="392" spans="1:1">
      <c r="A392" s="138"/>
    </row>
    <row r="393" spans="1:1">
      <c r="A393" s="138"/>
    </row>
    <row r="394" spans="1:1">
      <c r="A394" s="138"/>
    </row>
    <row r="395" spans="1:1">
      <c r="A395" s="138"/>
    </row>
    <row r="396" spans="1:1">
      <c r="A396" s="138"/>
    </row>
    <row r="397" spans="1:1">
      <c r="A397" s="138"/>
    </row>
    <row r="398" spans="1:1">
      <c r="A398" s="138"/>
    </row>
    <row r="399" spans="1:1">
      <c r="A399" s="138"/>
    </row>
    <row r="400" spans="1:1">
      <c r="A400" s="138"/>
    </row>
    <row r="401" spans="1:1">
      <c r="A401" s="138"/>
    </row>
    <row r="402" spans="1:1">
      <c r="A402" s="138"/>
    </row>
    <row r="403" spans="1:1">
      <c r="A403" s="138"/>
    </row>
    <row r="404" spans="1:1">
      <c r="A404" s="138"/>
    </row>
    <row r="405" spans="1:1">
      <c r="A405" s="138"/>
    </row>
    <row r="406" spans="1:1">
      <c r="A406" s="138"/>
    </row>
    <row r="407" spans="1:1">
      <c r="A407" s="138"/>
    </row>
    <row r="408" spans="1:1">
      <c r="A408" s="138"/>
    </row>
    <row r="409" spans="1:1">
      <c r="A409" s="138"/>
    </row>
    <row r="410" spans="1:1">
      <c r="A410" s="138"/>
    </row>
    <row r="411" spans="1:1">
      <c r="A411" s="138"/>
    </row>
    <row r="412" spans="1:1">
      <c r="A412" s="138"/>
    </row>
    <row r="413" spans="1:1">
      <c r="A413" s="138"/>
    </row>
    <row r="414" spans="1:1">
      <c r="A414" s="138"/>
    </row>
    <row r="415" spans="1:1">
      <c r="A415" s="138"/>
    </row>
    <row r="416" spans="1:1">
      <c r="A416" s="138"/>
    </row>
    <row r="417" spans="1:1">
      <c r="A417" s="138"/>
    </row>
    <row r="418" spans="1:1">
      <c r="A418" s="138"/>
    </row>
    <row r="419" spans="1:1">
      <c r="A419" s="138"/>
    </row>
    <row r="420" spans="1:1">
      <c r="A420" s="138"/>
    </row>
    <row r="421" spans="1:1">
      <c r="A421" s="138"/>
    </row>
    <row r="422" spans="1:1">
      <c r="A422" s="138"/>
    </row>
    <row r="423" spans="1:1">
      <c r="A423" s="138"/>
    </row>
    <row r="424" spans="1:1">
      <c r="A424" s="138"/>
    </row>
    <row r="425" spans="1:1">
      <c r="A425" s="138"/>
    </row>
    <row r="426" spans="1:1">
      <c r="A426" s="138"/>
    </row>
    <row r="427" spans="1:1">
      <c r="A427" s="138"/>
    </row>
    <row r="428" spans="1:1">
      <c r="A428" s="138"/>
    </row>
    <row r="429" spans="1:1">
      <c r="A429" s="138"/>
    </row>
    <row r="430" spans="1:1">
      <c r="A430" s="138"/>
    </row>
    <row r="431" spans="1:1">
      <c r="A431" s="138"/>
    </row>
    <row r="432" spans="1:1">
      <c r="A432" s="138"/>
    </row>
    <row r="433" spans="1:1">
      <c r="A433" s="138"/>
    </row>
    <row r="434" spans="1:1">
      <c r="A434" s="138"/>
    </row>
    <row r="435" spans="1:1">
      <c r="A435" s="138"/>
    </row>
    <row r="436" spans="1:1">
      <c r="A436" s="138"/>
    </row>
    <row r="437" spans="1:1">
      <c r="A437" s="138"/>
    </row>
    <row r="438" spans="1:1">
      <c r="A438" s="138"/>
    </row>
    <row r="439" spans="1:1">
      <c r="A439" s="138"/>
    </row>
    <row r="440" spans="1:1">
      <c r="A440" s="138"/>
    </row>
    <row r="441" spans="1:1">
      <c r="A441" s="138"/>
    </row>
    <row r="442" spans="1:1">
      <c r="A442" s="138"/>
    </row>
    <row r="443" spans="1:1">
      <c r="A443" s="138"/>
    </row>
    <row r="444" spans="1:1">
      <c r="A444" s="138"/>
    </row>
    <row r="445" spans="1:1">
      <c r="A445" s="138"/>
    </row>
  </sheetData>
  <mergeCells count="1">
    <mergeCell ref="A7:O7"/>
  </mergeCells>
  <phoneticPr fontId="27" type="noConversion"/>
  <pageMargins left="0.75" right="0.5" top="0.75" bottom="0.5" header="0.25" footer="0.25"/>
  <pageSetup scale="62" orientation="landscape" r:id="rId1"/>
  <headerFooter alignWithMargins="0">
    <oddFooter>&amp;C&amp;"Garmond (W1),Bold"6</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23">
    <pageSetUpPr fitToPage="1"/>
  </sheetPr>
  <dimension ref="A1:L451"/>
  <sheetViews>
    <sheetView view="pageBreakPreview" topLeftCell="A33" zoomScale="60" zoomScaleNormal="100" workbookViewId="0">
      <selection activeCell="A58" sqref="A58:XFD58"/>
    </sheetView>
  </sheetViews>
  <sheetFormatPr defaultColWidth="10.85546875" defaultRowHeight="12"/>
  <cols>
    <col min="1" max="1" width="6.140625" style="120" customWidth="1"/>
    <col min="2" max="2" width="36.28515625" style="120" customWidth="1"/>
    <col min="3" max="3" width="2.7109375" style="120" customWidth="1"/>
    <col min="4" max="12" width="12.7109375" style="120" customWidth="1"/>
    <col min="13" max="16384" width="10.85546875" style="120"/>
  </cols>
  <sheetData>
    <row r="1" spans="1:12">
      <c r="A1" s="203" t="s">
        <v>1342</v>
      </c>
      <c r="B1" s="203"/>
      <c r="C1" s="203"/>
      <c r="J1" s="117" t="s">
        <v>1209</v>
      </c>
    </row>
    <row r="2" spans="1:12">
      <c r="A2" s="203"/>
      <c r="B2" s="203"/>
      <c r="C2" s="203"/>
      <c r="J2" s="117"/>
    </row>
    <row r="3" spans="1:12">
      <c r="A3" s="117" t="s">
        <v>2644</v>
      </c>
      <c r="B3" s="117"/>
      <c r="C3" s="117"/>
      <c r="J3" s="123" t="s">
        <v>1532</v>
      </c>
    </row>
    <row r="4" spans="1:12">
      <c r="A4" s="117" t="s">
        <v>2645</v>
      </c>
      <c r="B4" s="117"/>
      <c r="C4" s="117"/>
      <c r="J4" s="117" t="s">
        <v>1455</v>
      </c>
    </row>
    <row r="5" spans="1:12">
      <c r="A5" s="117" t="s">
        <v>1935</v>
      </c>
      <c r="B5" s="117"/>
      <c r="C5" s="117"/>
      <c r="J5" s="117" t="s">
        <v>2948</v>
      </c>
    </row>
    <row r="6" spans="1:12">
      <c r="A6" s="117"/>
      <c r="B6" s="117"/>
      <c r="C6" s="117"/>
      <c r="D6" s="117"/>
      <c r="E6" s="117"/>
      <c r="F6" s="117"/>
      <c r="G6" s="117"/>
      <c r="H6" s="117"/>
      <c r="I6" s="117"/>
      <c r="J6" s="117"/>
    </row>
    <row r="7" spans="1:12" ht="12.75" customHeight="1">
      <c r="A7" s="1112"/>
      <c r="B7" s="2294" t="s">
        <v>1451</v>
      </c>
      <c r="C7" s="2294"/>
      <c r="D7" s="2294"/>
      <c r="E7" s="2294"/>
      <c r="F7" s="2294"/>
      <c r="G7" s="2294"/>
      <c r="H7" s="2294"/>
      <c r="I7" s="2294"/>
      <c r="J7" s="1111"/>
    </row>
    <row r="8" spans="1:12" ht="12.75" thickBot="1">
      <c r="A8" s="124"/>
      <c r="B8" s="124"/>
      <c r="C8" s="124"/>
      <c r="D8" s="124"/>
      <c r="E8" s="124"/>
      <c r="F8" s="124"/>
      <c r="G8" s="124"/>
      <c r="H8" s="124"/>
      <c r="I8" s="124"/>
      <c r="J8" s="124"/>
      <c r="K8" s="124"/>
      <c r="L8" s="124"/>
    </row>
    <row r="9" spans="1:12">
      <c r="A9" s="117"/>
      <c r="B9" s="1114" t="s">
        <v>914</v>
      </c>
      <c r="C9" s="1114"/>
      <c r="D9" s="178" t="s">
        <v>915</v>
      </c>
      <c r="E9" s="876">
        <v>-3</v>
      </c>
      <c r="F9" s="876">
        <v>-4</v>
      </c>
      <c r="G9" s="206">
        <v>-5</v>
      </c>
      <c r="H9" s="876">
        <v>-6</v>
      </c>
      <c r="I9" s="206">
        <v>-7</v>
      </c>
      <c r="J9" s="206">
        <v>-8</v>
      </c>
      <c r="K9" s="206">
        <v>-9</v>
      </c>
      <c r="L9" s="206">
        <v>-10</v>
      </c>
    </row>
    <row r="10" spans="1:12">
      <c r="A10" s="148" t="s">
        <v>53</v>
      </c>
      <c r="B10" s="117"/>
      <c r="C10" s="117"/>
      <c r="D10" s="1114" t="s">
        <v>1397</v>
      </c>
      <c r="F10" s="117" t="s">
        <v>2789</v>
      </c>
      <c r="G10" s="1114" t="s">
        <v>74</v>
      </c>
      <c r="I10" s="1956" t="s">
        <v>2790</v>
      </c>
      <c r="J10" s="178" t="s">
        <v>1523</v>
      </c>
      <c r="L10" s="162" t="s">
        <v>869</v>
      </c>
    </row>
    <row r="11" spans="1:12" ht="14.25">
      <c r="A11" s="805" t="s">
        <v>730</v>
      </c>
      <c r="B11" s="1115" t="s">
        <v>576</v>
      </c>
      <c r="C11" s="128"/>
      <c r="D11" s="1471" t="s">
        <v>1915</v>
      </c>
      <c r="E11" s="846" t="s">
        <v>733</v>
      </c>
      <c r="F11" s="1471" t="s">
        <v>1915</v>
      </c>
      <c r="G11" s="1471" t="s">
        <v>1916</v>
      </c>
      <c r="H11" s="846" t="s">
        <v>733</v>
      </c>
      <c r="I11" s="1957" t="s">
        <v>1916</v>
      </c>
      <c r="J11" s="1115" t="s">
        <v>976</v>
      </c>
      <c r="K11" s="846" t="s">
        <v>733</v>
      </c>
      <c r="L11" s="1215" t="s">
        <v>976</v>
      </c>
    </row>
    <row r="12" spans="1:12">
      <c r="A12" s="153">
        <v>1</v>
      </c>
      <c r="B12" s="134" t="s">
        <v>577</v>
      </c>
      <c r="C12" s="193"/>
      <c r="D12" s="181">
        <v>500</v>
      </c>
      <c r="E12" s="181">
        <v>0</v>
      </c>
      <c r="F12" s="181">
        <v>500</v>
      </c>
      <c r="G12" s="181">
        <v>500</v>
      </c>
      <c r="H12" s="181"/>
      <c r="I12" s="181">
        <v>500</v>
      </c>
      <c r="J12" s="181">
        <v>500</v>
      </c>
      <c r="L12" s="201">
        <v>500</v>
      </c>
    </row>
    <row r="13" spans="1:12">
      <c r="A13" s="153">
        <v>2</v>
      </c>
      <c r="B13" s="134" t="s">
        <v>1301</v>
      </c>
      <c r="C13" s="193"/>
      <c r="D13" s="150">
        <v>0</v>
      </c>
      <c r="E13" s="150">
        <v>0</v>
      </c>
      <c r="F13" s="150">
        <v>0</v>
      </c>
      <c r="G13" s="150">
        <v>0</v>
      </c>
      <c r="H13" s="150"/>
      <c r="I13" s="150">
        <v>0</v>
      </c>
      <c r="J13" s="150">
        <v>0</v>
      </c>
      <c r="L13" s="149">
        <v>0</v>
      </c>
    </row>
    <row r="14" spans="1:12">
      <c r="A14" s="153">
        <v>3</v>
      </c>
      <c r="B14" s="134" t="s">
        <v>1302</v>
      </c>
      <c r="C14" s="193"/>
      <c r="D14" s="150">
        <v>4910301.01</v>
      </c>
      <c r="E14" s="150">
        <v>0</v>
      </c>
      <c r="F14" s="150">
        <v>4910301.01</v>
      </c>
      <c r="G14" s="150">
        <v>4910301.01</v>
      </c>
      <c r="H14" s="150"/>
      <c r="I14" s="150">
        <v>4910301.01</v>
      </c>
      <c r="J14" s="150">
        <v>4910301</v>
      </c>
      <c r="L14" s="149">
        <v>4910301</v>
      </c>
    </row>
    <row r="15" spans="1:12">
      <c r="A15" s="153">
        <v>4</v>
      </c>
      <c r="B15" s="134" t="s">
        <v>1303</v>
      </c>
      <c r="C15" s="193"/>
      <c r="D15" s="150">
        <v>89945.560000001511</v>
      </c>
      <c r="E15" s="150">
        <v>126311.32</v>
      </c>
      <c r="F15" s="150">
        <v>216256.88000000152</v>
      </c>
      <c r="G15" s="212">
        <v>399634.84000000183</v>
      </c>
      <c r="H15" s="150">
        <v>136581.32</v>
      </c>
      <c r="I15" s="150">
        <v>536216.16000000178</v>
      </c>
      <c r="J15" s="150">
        <v>322169</v>
      </c>
      <c r="K15" s="150">
        <v>127102.42846153847</v>
      </c>
      <c r="L15" s="163">
        <v>449271.42846153845</v>
      </c>
    </row>
    <row r="16" spans="1:12">
      <c r="A16" s="153">
        <v>5</v>
      </c>
      <c r="B16" s="134" t="s">
        <v>1304</v>
      </c>
      <c r="C16" s="193"/>
      <c r="D16" s="182">
        <v>0</v>
      </c>
      <c r="E16" s="182">
        <v>0</v>
      </c>
      <c r="F16" s="150">
        <v>0</v>
      </c>
      <c r="G16" s="182">
        <v>0</v>
      </c>
      <c r="H16" s="1958"/>
      <c r="I16" s="150">
        <v>0</v>
      </c>
      <c r="J16" s="182">
        <v>0</v>
      </c>
      <c r="K16" s="182"/>
      <c r="L16" s="182">
        <v>0</v>
      </c>
    </row>
    <row r="17" spans="1:12">
      <c r="A17" s="153">
        <v>6</v>
      </c>
      <c r="B17" s="134"/>
      <c r="C17" s="193"/>
      <c r="D17" s="150"/>
      <c r="E17" s="877"/>
      <c r="F17" s="877"/>
      <c r="G17" s="150"/>
      <c r="H17" s="150"/>
      <c r="I17" s="877"/>
      <c r="J17" s="150"/>
      <c r="K17" s="150"/>
      <c r="L17" s="150"/>
    </row>
    <row r="18" spans="1:12">
      <c r="A18" s="153">
        <v>7</v>
      </c>
      <c r="B18" s="134" t="s">
        <v>1305</v>
      </c>
      <c r="C18" s="193"/>
      <c r="D18" s="182">
        <v>5000746.5700000012</v>
      </c>
      <c r="E18" s="182">
        <v>126311.32</v>
      </c>
      <c r="F18" s="182">
        <v>5127057.8900000015</v>
      </c>
      <c r="G18" s="182">
        <v>5310435.8500000015</v>
      </c>
      <c r="H18" s="182">
        <v>136581.32</v>
      </c>
      <c r="I18" s="182">
        <v>5447017.1700000018</v>
      </c>
      <c r="J18" s="182">
        <v>5232970</v>
      </c>
      <c r="K18" s="182">
        <v>127102.42846153847</v>
      </c>
      <c r="L18" s="182">
        <v>5360072.4284615386</v>
      </c>
    </row>
    <row r="19" spans="1:12">
      <c r="A19" s="153">
        <v>8</v>
      </c>
      <c r="B19" s="134"/>
      <c r="C19" s="193"/>
      <c r="D19" s="150"/>
      <c r="E19" s="150"/>
      <c r="F19" s="150"/>
      <c r="G19" s="150"/>
      <c r="H19" s="150"/>
      <c r="I19" s="150"/>
      <c r="J19" s="150"/>
      <c r="K19" s="504"/>
      <c r="L19" s="504"/>
    </row>
    <row r="20" spans="1:12">
      <c r="A20" s="153">
        <v>9</v>
      </c>
      <c r="B20" s="134" t="s">
        <v>1306</v>
      </c>
      <c r="C20" s="193"/>
      <c r="D20" s="150">
        <v>0</v>
      </c>
      <c r="E20" s="150">
        <v>0</v>
      </c>
      <c r="F20" s="150">
        <v>0</v>
      </c>
      <c r="G20" s="150">
        <v>0</v>
      </c>
      <c r="H20" s="150"/>
      <c r="I20" s="150">
        <v>0</v>
      </c>
      <c r="J20" s="150">
        <v>0</v>
      </c>
      <c r="L20" s="149">
        <v>0</v>
      </c>
    </row>
    <row r="21" spans="1:12">
      <c r="A21" s="153">
        <v>10</v>
      </c>
      <c r="B21" s="134" t="s">
        <v>1307</v>
      </c>
      <c r="C21" s="193"/>
      <c r="D21" s="150">
        <v>0</v>
      </c>
      <c r="E21" s="150">
        <v>0</v>
      </c>
      <c r="F21" s="150">
        <v>0</v>
      </c>
      <c r="G21" s="150">
        <v>0</v>
      </c>
      <c r="H21" s="150"/>
      <c r="I21" s="150">
        <v>0</v>
      </c>
      <c r="J21" s="150">
        <v>0</v>
      </c>
      <c r="L21" s="149">
        <v>0</v>
      </c>
    </row>
    <row r="22" spans="1:12">
      <c r="A22" s="153">
        <v>11</v>
      </c>
      <c r="B22" s="120" t="s">
        <v>1123</v>
      </c>
      <c r="C22" s="117"/>
      <c r="D22" s="150">
        <v>477238.98</v>
      </c>
      <c r="E22" s="150">
        <v>0</v>
      </c>
      <c r="F22" s="150">
        <v>477238.98</v>
      </c>
      <c r="G22" s="212">
        <v>477238.98</v>
      </c>
      <c r="H22" s="212"/>
      <c r="I22" s="150">
        <v>477238.98</v>
      </c>
      <c r="J22" s="150">
        <v>477239</v>
      </c>
      <c r="L22" s="149">
        <v>477239</v>
      </c>
    </row>
    <row r="23" spans="1:12">
      <c r="A23" s="153">
        <v>12</v>
      </c>
      <c r="B23" s="120" t="s">
        <v>785</v>
      </c>
      <c r="C23" s="258"/>
      <c r="D23" s="182">
        <v>0</v>
      </c>
      <c r="E23" s="182">
        <v>0</v>
      </c>
      <c r="F23" s="150">
        <v>0</v>
      </c>
      <c r="G23" s="182">
        <v>0</v>
      </c>
      <c r="H23" s="1958"/>
      <c r="I23" s="150">
        <v>0</v>
      </c>
      <c r="J23" s="182">
        <v>0</v>
      </c>
      <c r="K23" s="1216"/>
      <c r="L23" s="1217">
        <v>0</v>
      </c>
    </row>
    <row r="24" spans="1:12">
      <c r="A24" s="153">
        <v>13</v>
      </c>
      <c r="C24" s="117"/>
      <c r="D24" s="150"/>
      <c r="E24" s="877"/>
      <c r="F24" s="877"/>
      <c r="G24" s="150"/>
      <c r="H24" s="150"/>
      <c r="I24" s="877"/>
      <c r="J24" s="150"/>
      <c r="L24" s="149"/>
    </row>
    <row r="25" spans="1:12">
      <c r="A25" s="153">
        <v>14</v>
      </c>
      <c r="B25" s="120" t="s">
        <v>786</v>
      </c>
      <c r="C25" s="117"/>
      <c r="D25" s="182">
        <v>477238.98</v>
      </c>
      <c r="E25" s="182">
        <v>0</v>
      </c>
      <c r="F25" s="182">
        <v>477238.98</v>
      </c>
      <c r="G25" s="182">
        <v>477238.98</v>
      </c>
      <c r="H25" s="1958"/>
      <c r="I25" s="182">
        <v>477238.98</v>
      </c>
      <c r="J25" s="182">
        <v>477239</v>
      </c>
      <c r="K25" s="182">
        <v>0</v>
      </c>
      <c r="L25" s="182">
        <v>477239</v>
      </c>
    </row>
    <row r="26" spans="1:12">
      <c r="A26" s="153">
        <v>15</v>
      </c>
      <c r="C26" s="117"/>
      <c r="D26" s="150"/>
      <c r="E26" s="150"/>
      <c r="F26" s="150"/>
      <c r="G26" s="150"/>
      <c r="H26" s="150"/>
      <c r="I26" s="150"/>
      <c r="J26" s="150"/>
      <c r="L26" s="149">
        <v>0</v>
      </c>
    </row>
    <row r="27" spans="1:12">
      <c r="A27" s="153">
        <v>16</v>
      </c>
      <c r="B27" s="120" t="s">
        <v>787</v>
      </c>
      <c r="C27" s="117"/>
      <c r="D27" s="150">
        <v>50782.720000000001</v>
      </c>
      <c r="E27" s="150">
        <v>0</v>
      </c>
      <c r="F27" s="150">
        <v>50782.720000000001</v>
      </c>
      <c r="G27" s="150">
        <v>109912.94</v>
      </c>
      <c r="H27" s="150"/>
      <c r="I27" s="150">
        <v>109912.94</v>
      </c>
      <c r="J27" s="150">
        <v>181184</v>
      </c>
      <c r="L27" s="149">
        <v>181184</v>
      </c>
    </row>
    <row r="28" spans="1:12">
      <c r="A28" s="153">
        <v>17</v>
      </c>
      <c r="B28" s="120" t="s">
        <v>788</v>
      </c>
      <c r="C28" s="117"/>
      <c r="D28" s="150">
        <v>0</v>
      </c>
      <c r="E28" s="150">
        <v>0</v>
      </c>
      <c r="F28" s="150">
        <v>0</v>
      </c>
      <c r="G28" s="150">
        <v>0</v>
      </c>
      <c r="H28" s="150"/>
      <c r="I28" s="150">
        <v>0</v>
      </c>
      <c r="J28" s="150">
        <v>0</v>
      </c>
      <c r="L28" s="149">
        <v>0</v>
      </c>
    </row>
    <row r="29" spans="1:12">
      <c r="A29" s="153">
        <v>18</v>
      </c>
      <c r="B29" s="120" t="s">
        <v>1117</v>
      </c>
      <c r="C29" s="117"/>
      <c r="D29" s="150">
        <v>-178082.21</v>
      </c>
      <c r="E29" s="150">
        <v>0</v>
      </c>
      <c r="F29" s="150">
        <v>-178082.21</v>
      </c>
      <c r="G29" s="150">
        <v>-178082.21</v>
      </c>
      <c r="H29" s="150"/>
      <c r="I29" s="150">
        <v>-178082.21</v>
      </c>
      <c r="J29" s="150">
        <v>-178082</v>
      </c>
      <c r="L29" s="149">
        <v>-178082</v>
      </c>
    </row>
    <row r="30" spans="1:12">
      <c r="A30" s="153">
        <v>19</v>
      </c>
      <c r="B30" s="120" t="s">
        <v>1118</v>
      </c>
      <c r="C30" s="117"/>
      <c r="D30" s="150">
        <v>0</v>
      </c>
      <c r="E30" s="150">
        <v>0</v>
      </c>
      <c r="F30" s="150">
        <v>0</v>
      </c>
      <c r="G30" s="150">
        <v>0</v>
      </c>
      <c r="H30" s="150"/>
      <c r="I30" s="150">
        <v>0</v>
      </c>
      <c r="J30" s="150">
        <v>0</v>
      </c>
      <c r="L30" s="149">
        <v>0</v>
      </c>
    </row>
    <row r="31" spans="1:12">
      <c r="A31" s="153">
        <v>20</v>
      </c>
      <c r="B31" s="120" t="s">
        <v>1119</v>
      </c>
      <c r="C31" s="117"/>
      <c r="D31" s="150">
        <v>100008.84</v>
      </c>
      <c r="E31" s="150">
        <v>0</v>
      </c>
      <c r="F31" s="150">
        <v>100008.84</v>
      </c>
      <c r="G31" s="150">
        <v>108345.19</v>
      </c>
      <c r="H31" s="150"/>
      <c r="I31" s="150">
        <v>108345.19</v>
      </c>
      <c r="J31" s="150">
        <v>88645</v>
      </c>
      <c r="K31" s="163"/>
      <c r="L31" s="149">
        <v>88645</v>
      </c>
    </row>
    <row r="32" spans="1:12">
      <c r="A32" s="153">
        <v>21</v>
      </c>
      <c r="B32" s="120" t="s">
        <v>1120</v>
      </c>
      <c r="C32" s="117"/>
      <c r="D32" s="150">
        <v>0</v>
      </c>
      <c r="E32" s="150">
        <v>0</v>
      </c>
      <c r="F32" s="150">
        <v>0</v>
      </c>
      <c r="G32" s="150">
        <v>0</v>
      </c>
      <c r="H32" s="150"/>
      <c r="I32" s="150">
        <v>0</v>
      </c>
      <c r="J32" s="150">
        <v>0</v>
      </c>
      <c r="K32" s="163"/>
      <c r="L32" s="149">
        <v>0</v>
      </c>
    </row>
    <row r="33" spans="1:12">
      <c r="A33" s="153">
        <v>22</v>
      </c>
      <c r="B33" s="120" t="s">
        <v>700</v>
      </c>
      <c r="C33" s="117"/>
      <c r="D33" s="150">
        <v>0</v>
      </c>
      <c r="E33" s="150">
        <v>0</v>
      </c>
      <c r="F33" s="150">
        <v>0</v>
      </c>
      <c r="G33" s="150">
        <v>0.5</v>
      </c>
      <c r="H33" s="150"/>
      <c r="I33" s="150">
        <v>0.5</v>
      </c>
      <c r="J33" s="150">
        <v>0</v>
      </c>
      <c r="K33" s="158"/>
      <c r="L33" s="149">
        <v>0</v>
      </c>
    </row>
    <row r="34" spans="1:12">
      <c r="A34" s="153">
        <v>23</v>
      </c>
      <c r="B34" s="120" t="s">
        <v>1121</v>
      </c>
      <c r="C34" s="117"/>
      <c r="D34" s="150">
        <v>0</v>
      </c>
      <c r="E34" s="150">
        <v>0</v>
      </c>
      <c r="F34" s="150">
        <v>0</v>
      </c>
      <c r="G34" s="150">
        <v>0</v>
      </c>
      <c r="H34" s="150"/>
      <c r="I34" s="150">
        <v>0</v>
      </c>
      <c r="J34" s="150">
        <v>0</v>
      </c>
      <c r="L34" s="149">
        <v>0</v>
      </c>
    </row>
    <row r="35" spans="1:12">
      <c r="A35" s="153">
        <v>24</v>
      </c>
      <c r="B35" s="120" t="s">
        <v>991</v>
      </c>
      <c r="C35" s="117"/>
      <c r="D35" s="182">
        <v>0</v>
      </c>
      <c r="E35" s="182">
        <v>0</v>
      </c>
      <c r="F35" s="150">
        <v>0</v>
      </c>
      <c r="G35" s="182">
        <v>0</v>
      </c>
      <c r="H35" s="1958"/>
      <c r="I35" s="150">
        <v>0</v>
      </c>
      <c r="J35" s="182">
        <v>0</v>
      </c>
      <c r="L35" s="149">
        <v>0</v>
      </c>
    </row>
    <row r="36" spans="1:12">
      <c r="A36" s="153">
        <v>25</v>
      </c>
      <c r="C36" s="117"/>
      <c r="D36" s="150"/>
      <c r="E36" s="848"/>
      <c r="F36" s="848"/>
      <c r="G36" s="150"/>
      <c r="H36" s="150"/>
      <c r="I36" s="848"/>
      <c r="J36" s="150"/>
      <c r="K36" s="871"/>
      <c r="L36" s="1218"/>
    </row>
    <row r="37" spans="1:12">
      <c r="A37" s="153">
        <v>26</v>
      </c>
      <c r="B37" s="120" t="s">
        <v>992</v>
      </c>
      <c r="C37" s="117"/>
      <c r="D37" s="182">
        <v>-27290.649999999994</v>
      </c>
      <c r="E37" s="182">
        <v>0</v>
      </c>
      <c r="F37" s="182">
        <v>-27290.649999999994</v>
      </c>
      <c r="G37" s="182">
        <v>40176.420000000013</v>
      </c>
      <c r="H37" s="1958"/>
      <c r="I37" s="182">
        <v>40176.420000000013</v>
      </c>
      <c r="J37" s="182">
        <v>91747</v>
      </c>
      <c r="K37" s="182">
        <v>0</v>
      </c>
      <c r="L37" s="182">
        <v>91747</v>
      </c>
    </row>
    <row r="38" spans="1:12">
      <c r="A38" s="153">
        <v>27</v>
      </c>
      <c r="C38" s="117"/>
      <c r="D38" s="150"/>
      <c r="E38" s="150"/>
      <c r="F38" s="150"/>
      <c r="G38" s="150"/>
      <c r="H38" s="150"/>
      <c r="I38" s="150"/>
      <c r="J38" s="150"/>
      <c r="K38" s="149"/>
      <c r="L38" s="149"/>
    </row>
    <row r="39" spans="1:12">
      <c r="A39" s="153">
        <v>28</v>
      </c>
      <c r="B39" s="120" t="s">
        <v>993</v>
      </c>
      <c r="C39" s="117"/>
      <c r="D39" s="150">
        <v>0</v>
      </c>
      <c r="E39" s="150">
        <v>0</v>
      </c>
      <c r="F39" s="150">
        <v>0</v>
      </c>
      <c r="G39" s="150">
        <v>0</v>
      </c>
      <c r="H39" s="150"/>
      <c r="I39" s="150">
        <v>0</v>
      </c>
      <c r="J39" s="150">
        <v>0</v>
      </c>
      <c r="K39" s="149"/>
      <c r="L39" s="149">
        <v>0</v>
      </c>
    </row>
    <row r="40" spans="1:12">
      <c r="A40" s="153">
        <v>29</v>
      </c>
      <c r="B40" s="120" t="s">
        <v>32</v>
      </c>
      <c r="C40" s="117"/>
      <c r="D40" s="150">
        <v>0</v>
      </c>
      <c r="E40" s="150">
        <v>0</v>
      </c>
      <c r="F40" s="150">
        <v>0</v>
      </c>
      <c r="G40" s="150">
        <v>0</v>
      </c>
      <c r="H40" s="150"/>
      <c r="I40" s="150">
        <v>0</v>
      </c>
      <c r="J40" s="150">
        <v>0</v>
      </c>
      <c r="K40" s="158"/>
      <c r="L40" s="149">
        <v>0</v>
      </c>
    </row>
    <row r="41" spans="1:12">
      <c r="A41" s="153">
        <v>30</v>
      </c>
      <c r="B41" s="120" t="s">
        <v>33</v>
      </c>
      <c r="C41" s="117"/>
      <c r="D41" s="150">
        <v>0</v>
      </c>
      <c r="E41" s="150">
        <v>0</v>
      </c>
      <c r="F41" s="150">
        <v>0</v>
      </c>
      <c r="G41" s="150">
        <v>0</v>
      </c>
      <c r="H41" s="150"/>
      <c r="I41" s="150">
        <v>0</v>
      </c>
      <c r="J41" s="150">
        <v>0</v>
      </c>
      <c r="K41" s="163"/>
      <c r="L41" s="149">
        <v>0</v>
      </c>
    </row>
    <row r="42" spans="1:12">
      <c r="A42" s="153">
        <v>31</v>
      </c>
      <c r="B42" s="120" t="s">
        <v>34</v>
      </c>
      <c r="C42" s="117"/>
      <c r="D42" s="182">
        <v>0</v>
      </c>
      <c r="E42" s="182">
        <v>0</v>
      </c>
      <c r="F42" s="150">
        <v>0</v>
      </c>
      <c r="G42" s="182">
        <v>0</v>
      </c>
      <c r="H42" s="1958"/>
      <c r="I42" s="150">
        <v>0</v>
      </c>
      <c r="J42" s="182">
        <v>0</v>
      </c>
      <c r="K42" s="182"/>
      <c r="L42" s="149">
        <v>0</v>
      </c>
    </row>
    <row r="43" spans="1:12">
      <c r="A43" s="153">
        <v>32</v>
      </c>
      <c r="C43" s="117"/>
      <c r="D43" s="150"/>
      <c r="E43" s="848"/>
      <c r="F43" s="848"/>
      <c r="G43" s="150"/>
      <c r="H43" s="150"/>
      <c r="I43" s="848"/>
      <c r="J43" s="150"/>
      <c r="K43" s="150"/>
      <c r="L43" s="877"/>
    </row>
    <row r="44" spans="1:12">
      <c r="A44" s="153">
        <v>33</v>
      </c>
      <c r="B44" s="120" t="s">
        <v>35</v>
      </c>
      <c r="C44" s="117"/>
      <c r="D44" s="182">
        <v>0</v>
      </c>
      <c r="E44" s="182">
        <v>0</v>
      </c>
      <c r="F44" s="182">
        <v>0</v>
      </c>
      <c r="G44" s="182">
        <v>0</v>
      </c>
      <c r="H44" s="1958"/>
      <c r="I44" s="182">
        <v>0</v>
      </c>
      <c r="J44" s="182">
        <v>0</v>
      </c>
      <c r="K44" s="182">
        <v>0</v>
      </c>
      <c r="L44" s="182">
        <v>0</v>
      </c>
    </row>
    <row r="45" spans="1:12">
      <c r="A45" s="153">
        <v>34</v>
      </c>
      <c r="C45" s="117"/>
      <c r="D45" s="150"/>
      <c r="E45" s="150"/>
      <c r="F45" s="150"/>
      <c r="G45" s="150"/>
      <c r="H45" s="150"/>
      <c r="I45" s="150"/>
      <c r="J45" s="150"/>
    </row>
    <row r="46" spans="1:12">
      <c r="A46" s="153">
        <v>35</v>
      </c>
      <c r="B46" s="120" t="s">
        <v>36</v>
      </c>
      <c r="C46" s="117"/>
      <c r="D46" s="150">
        <v>3090716.23</v>
      </c>
      <c r="E46" s="150">
        <v>0</v>
      </c>
      <c r="F46" s="150">
        <v>3090716.23</v>
      </c>
      <c r="G46" s="150">
        <v>3154493.23</v>
      </c>
      <c r="H46" s="150"/>
      <c r="I46" s="150">
        <v>3154493.23</v>
      </c>
      <c r="J46" s="150">
        <v>3144686.2299999995</v>
      </c>
      <c r="L46" s="149">
        <v>3144686.2299999995</v>
      </c>
    </row>
    <row r="47" spans="1:12">
      <c r="A47" s="153">
        <v>36</v>
      </c>
      <c r="B47" s="120" t="s">
        <v>1384</v>
      </c>
      <c r="C47" s="117"/>
      <c r="D47" s="150">
        <v>-2310495.6</v>
      </c>
      <c r="E47" s="150">
        <v>0</v>
      </c>
      <c r="F47" s="150">
        <v>-2310495.6</v>
      </c>
      <c r="G47" s="150">
        <v>-2407712.2600000002</v>
      </c>
      <c r="H47" s="150"/>
      <c r="I47" s="150">
        <v>-2407712.2600000002</v>
      </c>
      <c r="J47" s="150">
        <v>-2359048</v>
      </c>
      <c r="L47" s="149">
        <v>-2359048</v>
      </c>
    </row>
    <row r="48" spans="1:12">
      <c r="A48" s="153">
        <v>37</v>
      </c>
      <c r="C48" s="117"/>
      <c r="D48" s="150"/>
      <c r="E48" s="150"/>
      <c r="F48" s="150">
        <v>0</v>
      </c>
      <c r="G48" s="150"/>
      <c r="H48" s="150"/>
      <c r="I48" s="150">
        <v>0</v>
      </c>
      <c r="J48" s="150"/>
      <c r="L48" s="149"/>
    </row>
    <row r="49" spans="1:12">
      <c r="A49" s="153">
        <v>38</v>
      </c>
      <c r="B49" s="120" t="s">
        <v>1385</v>
      </c>
      <c r="C49" s="117"/>
      <c r="D49" s="182">
        <v>22391.150000000063</v>
      </c>
      <c r="E49" s="182">
        <v>-126311.32</v>
      </c>
      <c r="F49" s="150">
        <v>-103920.16999999994</v>
      </c>
      <c r="G49" s="182">
        <v>137673.51</v>
      </c>
      <c r="H49" s="182">
        <v>-136581.32</v>
      </c>
      <c r="I49" s="150">
        <v>1092.1900000000023</v>
      </c>
      <c r="J49" s="182">
        <v>31193</v>
      </c>
      <c r="K49" s="182">
        <v>-127102.42846153847</v>
      </c>
      <c r="L49" s="149">
        <v>-95909.428461538468</v>
      </c>
    </row>
    <row r="50" spans="1:12">
      <c r="A50" s="153">
        <v>39</v>
      </c>
      <c r="C50" s="117"/>
      <c r="D50" s="163"/>
      <c r="E50" s="848"/>
      <c r="F50" s="848"/>
      <c r="G50" s="163"/>
      <c r="H50" s="163"/>
      <c r="I50" s="848"/>
      <c r="J50" s="163"/>
      <c r="K50" s="877"/>
      <c r="L50" s="877"/>
    </row>
    <row r="51" spans="1:12" ht="12.75" thickBot="1">
      <c r="A51" s="153">
        <v>40</v>
      </c>
      <c r="B51" s="120" t="s">
        <v>1386</v>
      </c>
      <c r="C51" s="117"/>
      <c r="D51" s="187">
        <v>6253306.6800000016</v>
      </c>
      <c r="E51" s="187">
        <v>0</v>
      </c>
      <c r="F51" s="187">
        <v>6253306.6800000016</v>
      </c>
      <c r="G51" s="187">
        <v>6712305.7300000014</v>
      </c>
      <c r="H51" s="187">
        <v>0</v>
      </c>
      <c r="I51" s="187">
        <v>6712305.7300000014</v>
      </c>
      <c r="J51" s="187">
        <v>6618787.2299999995</v>
      </c>
      <c r="K51" s="187">
        <v>0</v>
      </c>
      <c r="L51" s="187">
        <v>6618787.2299999995</v>
      </c>
    </row>
    <row r="52" spans="1:12" ht="12.75" thickTop="1">
      <c r="A52" s="153">
        <v>41</v>
      </c>
      <c r="B52" s="117"/>
      <c r="C52" s="117"/>
    </row>
    <row r="53" spans="1:12">
      <c r="A53" s="153">
        <v>42</v>
      </c>
      <c r="B53" s="117" t="s">
        <v>2947</v>
      </c>
      <c r="C53" s="117"/>
    </row>
    <row r="54" spans="1:12">
      <c r="A54" s="153">
        <v>43</v>
      </c>
      <c r="B54" s="595" t="s">
        <v>2788</v>
      </c>
      <c r="C54" s="117"/>
      <c r="E54" s="161">
        <v>-126311.32</v>
      </c>
      <c r="F54" s="158"/>
      <c r="G54" s="158"/>
      <c r="H54" s="161">
        <v>-136581.32</v>
      </c>
      <c r="I54" s="158"/>
      <c r="J54" s="158"/>
      <c r="K54" s="163">
        <v>-127102.42846153847</v>
      </c>
    </row>
    <row r="55" spans="1:12" ht="12.75" thickBot="1">
      <c r="A55" s="153">
        <v>44</v>
      </c>
      <c r="E55" s="2282">
        <v>-126311.32</v>
      </c>
      <c r="H55" s="2282">
        <v>-136581.32</v>
      </c>
      <c r="K55" s="2282">
        <v>-127102.42846153847</v>
      </c>
    </row>
    <row r="56" spans="1:12" ht="12.75" thickTop="1">
      <c r="A56" s="117"/>
      <c r="B56" s="117"/>
      <c r="C56" s="117"/>
    </row>
    <row r="57" spans="1:12">
      <c r="A57" s="117"/>
      <c r="B57" s="117"/>
      <c r="C57" s="117"/>
    </row>
    <row r="58" spans="1:12">
      <c r="A58" s="117"/>
      <c r="B58" s="117"/>
      <c r="C58" s="117"/>
    </row>
    <row r="151" spans="4:9">
      <c r="D151" s="137"/>
      <c r="E151" s="137"/>
      <c r="F151" s="137"/>
      <c r="G151" s="137"/>
      <c r="H151" s="137"/>
      <c r="I151" s="137"/>
    </row>
    <row r="154" spans="4:9">
      <c r="D154" s="137"/>
      <c r="E154" s="137"/>
      <c r="F154" s="137"/>
      <c r="G154" s="137"/>
      <c r="H154" s="137"/>
      <c r="I154" s="137"/>
    </row>
    <row r="277" spans="1:3">
      <c r="A277" s="138"/>
      <c r="B277" s="138"/>
      <c r="C277" s="138"/>
    </row>
    <row r="278" spans="1:3">
      <c r="A278" s="138"/>
      <c r="B278" s="138"/>
      <c r="C278" s="138"/>
    </row>
    <row r="279" spans="1:3">
      <c r="A279" s="138"/>
      <c r="B279" s="138"/>
      <c r="C279" s="138"/>
    </row>
    <row r="280" spans="1:3">
      <c r="A280" s="138"/>
      <c r="B280" s="138"/>
      <c r="C280" s="138"/>
    </row>
    <row r="281" spans="1:3">
      <c r="A281" s="138"/>
      <c r="B281" s="138"/>
      <c r="C281" s="138"/>
    </row>
    <row r="311" spans="1:1">
      <c r="A311" s="138"/>
    </row>
    <row r="380" spans="1:1">
      <c r="A380" s="117"/>
    </row>
    <row r="397" spans="1:1">
      <c r="A397" s="138"/>
    </row>
    <row r="398" spans="1:1">
      <c r="A398" s="138"/>
    </row>
    <row r="399" spans="1:1">
      <c r="A399" s="138"/>
    </row>
    <row r="400" spans="1:1">
      <c r="A400" s="138"/>
    </row>
    <row r="401" spans="1:1">
      <c r="A401" s="138"/>
    </row>
    <row r="402" spans="1:1">
      <c r="A402" s="138"/>
    </row>
    <row r="403" spans="1:1">
      <c r="A403" s="138"/>
    </row>
    <row r="404" spans="1:1">
      <c r="A404" s="138"/>
    </row>
    <row r="405" spans="1:1">
      <c r="A405" s="138"/>
    </row>
    <row r="406" spans="1:1">
      <c r="A406" s="138"/>
    </row>
    <row r="407" spans="1:1">
      <c r="A407" s="138"/>
    </row>
    <row r="408" spans="1:1">
      <c r="A408" s="138"/>
    </row>
    <row r="409" spans="1:1">
      <c r="A409" s="138"/>
    </row>
    <row r="410" spans="1:1">
      <c r="A410" s="138"/>
    </row>
    <row r="411" spans="1:1">
      <c r="A411" s="138"/>
    </row>
    <row r="412" spans="1:1">
      <c r="A412" s="138"/>
    </row>
    <row r="413" spans="1:1">
      <c r="A413" s="138"/>
    </row>
    <row r="414" spans="1:1">
      <c r="A414" s="138"/>
    </row>
    <row r="415" spans="1:1">
      <c r="A415" s="138"/>
    </row>
    <row r="416" spans="1:1">
      <c r="A416" s="138"/>
    </row>
    <row r="417" spans="1:1">
      <c r="A417" s="138"/>
    </row>
    <row r="418" spans="1:1">
      <c r="A418" s="138"/>
    </row>
    <row r="419" spans="1:1">
      <c r="A419" s="138"/>
    </row>
    <row r="420" spans="1:1">
      <c r="A420" s="138"/>
    </row>
    <row r="421" spans="1:1">
      <c r="A421" s="138"/>
    </row>
    <row r="422" spans="1:1">
      <c r="A422" s="138"/>
    </row>
    <row r="423" spans="1:1">
      <c r="A423" s="138"/>
    </row>
    <row r="424" spans="1:1">
      <c r="A424" s="138"/>
    </row>
    <row r="425" spans="1:1">
      <c r="A425" s="138"/>
    </row>
    <row r="426" spans="1:1">
      <c r="A426" s="138"/>
    </row>
    <row r="427" spans="1:1">
      <c r="A427" s="138"/>
    </row>
    <row r="428" spans="1:1">
      <c r="A428" s="138"/>
    </row>
    <row r="429" spans="1:1">
      <c r="A429" s="138"/>
    </row>
    <row r="430" spans="1:1">
      <c r="A430" s="138"/>
    </row>
    <row r="431" spans="1:1">
      <c r="A431" s="138"/>
    </row>
    <row r="432" spans="1:1">
      <c r="A432" s="138"/>
    </row>
    <row r="433" spans="1:1">
      <c r="A433" s="138"/>
    </row>
    <row r="434" spans="1:1">
      <c r="A434" s="138"/>
    </row>
    <row r="435" spans="1:1">
      <c r="A435" s="138"/>
    </row>
    <row r="436" spans="1:1">
      <c r="A436" s="138"/>
    </row>
    <row r="437" spans="1:1">
      <c r="A437" s="138"/>
    </row>
    <row r="438" spans="1:1">
      <c r="A438" s="138"/>
    </row>
    <row r="439" spans="1:1">
      <c r="A439" s="138"/>
    </row>
    <row r="440" spans="1:1">
      <c r="A440" s="138"/>
    </row>
    <row r="441" spans="1:1">
      <c r="A441" s="138"/>
    </row>
    <row r="442" spans="1:1">
      <c r="A442" s="138"/>
    </row>
    <row r="443" spans="1:1">
      <c r="A443" s="138"/>
    </row>
    <row r="444" spans="1:1">
      <c r="A444" s="138"/>
    </row>
    <row r="445" spans="1:1">
      <c r="A445" s="138"/>
    </row>
    <row r="446" spans="1:1">
      <c r="A446" s="138"/>
    </row>
    <row r="447" spans="1:1">
      <c r="A447" s="138"/>
    </row>
    <row r="448" spans="1:1">
      <c r="A448" s="138"/>
    </row>
    <row r="449" spans="1:1">
      <c r="A449" s="138"/>
    </row>
    <row r="450" spans="1:1">
      <c r="A450" s="138"/>
    </row>
    <row r="451" spans="1:1">
      <c r="A451" s="138"/>
    </row>
  </sheetData>
  <mergeCells count="1">
    <mergeCell ref="B7:I7"/>
  </mergeCells>
  <phoneticPr fontId="27" type="noConversion"/>
  <pageMargins left="0.75" right="0.5" top="0.75" bottom="0.5" header="0.25" footer="0.25"/>
  <pageSetup scale="79" orientation="landscape" r:id="rId1"/>
  <headerFooter alignWithMargins="0">
    <oddFooter>&amp;C&amp;"Garmond (W1),Bold"6</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72">
    <pageSetUpPr fitToPage="1"/>
  </sheetPr>
  <dimension ref="A1:R449"/>
  <sheetViews>
    <sheetView view="pageBreakPreview" zoomScale="60" zoomScaleNormal="100" workbookViewId="0">
      <selection activeCell="A56" sqref="A56:XFD56"/>
    </sheetView>
  </sheetViews>
  <sheetFormatPr defaultColWidth="15" defaultRowHeight="12"/>
  <cols>
    <col min="1" max="1" width="4.7109375" style="120" customWidth="1"/>
    <col min="2" max="2" width="32.5703125" style="120" customWidth="1"/>
    <col min="3" max="3" width="11.7109375" style="120" customWidth="1"/>
    <col min="4" max="5" width="11.7109375" style="120" hidden="1" customWidth="1"/>
    <col min="6" max="15" width="11.7109375" style="120" customWidth="1"/>
    <col min="16" max="16" width="11.7109375" style="158" customWidth="1"/>
    <col min="17" max="17" width="11.7109375" style="120" customWidth="1"/>
    <col min="18" max="18" width="11.7109375" style="158" customWidth="1"/>
    <col min="19" max="16384" width="15" style="120"/>
  </cols>
  <sheetData>
    <row r="1" spans="1:18">
      <c r="A1" s="203" t="s">
        <v>1342</v>
      </c>
      <c r="B1" s="203"/>
      <c r="C1" s="203"/>
      <c r="D1" s="203"/>
      <c r="E1" s="203"/>
      <c r="G1" s="203"/>
      <c r="I1" s="203"/>
      <c r="J1" s="203"/>
      <c r="K1" s="203"/>
      <c r="L1" s="203"/>
      <c r="M1" s="203"/>
      <c r="N1" s="117" t="s">
        <v>1209</v>
      </c>
      <c r="P1" s="159"/>
      <c r="R1" s="159"/>
    </row>
    <row r="2" spans="1:18">
      <c r="A2" s="203"/>
      <c r="B2" s="203"/>
      <c r="C2" s="203"/>
      <c r="D2" s="203"/>
      <c r="E2" s="203"/>
      <c r="G2" s="203"/>
      <c r="I2" s="203"/>
      <c r="J2" s="203"/>
      <c r="K2" s="203"/>
      <c r="L2" s="203"/>
      <c r="M2" s="203"/>
      <c r="N2" s="117"/>
      <c r="P2" s="159"/>
      <c r="R2" s="159"/>
    </row>
    <row r="3" spans="1:18">
      <c r="A3" s="117" t="s">
        <v>2644</v>
      </c>
      <c r="B3" s="117"/>
      <c r="C3" s="117"/>
      <c r="D3" s="117"/>
      <c r="E3" s="117"/>
      <c r="G3" s="117"/>
      <c r="I3" s="117"/>
      <c r="J3" s="117"/>
      <c r="K3" s="117"/>
      <c r="L3" s="117"/>
      <c r="M3" s="117"/>
      <c r="N3" s="117" t="s">
        <v>1532</v>
      </c>
      <c r="P3" s="159"/>
      <c r="R3" s="159"/>
    </row>
    <row r="4" spans="1:18">
      <c r="A4" s="117" t="s">
        <v>2645</v>
      </c>
      <c r="B4" s="117"/>
      <c r="C4" s="117"/>
      <c r="D4" s="117"/>
      <c r="E4" s="117"/>
      <c r="G4" s="117"/>
      <c r="I4" s="117"/>
      <c r="J4" s="117"/>
      <c r="K4" s="117"/>
      <c r="L4" s="117"/>
      <c r="M4" s="117"/>
      <c r="N4" s="123" t="s">
        <v>1504</v>
      </c>
      <c r="P4" s="257"/>
      <c r="R4" s="257"/>
    </row>
    <row r="5" spans="1:18">
      <c r="A5" s="117" t="s">
        <v>1935</v>
      </c>
      <c r="B5" s="117"/>
      <c r="C5" s="117"/>
      <c r="D5" s="117"/>
      <c r="E5" s="117"/>
      <c r="G5" s="117"/>
      <c r="I5" s="117"/>
      <c r="J5" s="117"/>
      <c r="K5" s="117"/>
      <c r="L5" s="117"/>
      <c r="M5" s="117"/>
      <c r="N5" s="117" t="s">
        <v>2948</v>
      </c>
      <c r="P5" s="159"/>
      <c r="R5" s="159"/>
    </row>
    <row r="6" spans="1:18">
      <c r="A6" s="117"/>
      <c r="B6" s="117"/>
      <c r="C6" s="117"/>
      <c r="D6" s="117"/>
      <c r="E6" s="117"/>
      <c r="F6" s="117"/>
      <c r="G6" s="117"/>
      <c r="H6" s="117"/>
      <c r="I6" s="117"/>
      <c r="J6" s="117"/>
      <c r="K6" s="117"/>
      <c r="L6" s="117"/>
      <c r="M6" s="117"/>
      <c r="N6" s="117"/>
      <c r="O6" s="117"/>
      <c r="P6" s="159"/>
      <c r="Q6" s="117"/>
      <c r="R6" s="159"/>
    </row>
    <row r="7" spans="1:18">
      <c r="A7" s="1112"/>
      <c r="B7" s="2308" t="s">
        <v>1451</v>
      </c>
      <c r="C7" s="2297"/>
      <c r="D7" s="2297"/>
      <c r="E7" s="2297"/>
      <c r="F7" s="2297"/>
      <c r="G7" s="2297"/>
      <c r="H7" s="2297"/>
      <c r="I7" s="2297"/>
      <c r="J7" s="2297"/>
      <c r="K7" s="2297"/>
      <c r="L7" s="2297"/>
      <c r="M7" s="2297"/>
      <c r="N7" s="2297"/>
      <c r="O7" s="2297"/>
      <c r="P7" s="2297"/>
      <c r="Q7" s="2297"/>
      <c r="R7" s="1113"/>
    </row>
    <row r="8" spans="1:18" ht="12.75" thickBot="1">
      <c r="A8" s="124"/>
      <c r="B8" s="124"/>
      <c r="C8" s="124"/>
      <c r="D8" s="124"/>
      <c r="E8" s="124"/>
      <c r="F8" s="124"/>
      <c r="G8" s="124"/>
      <c r="H8" s="124"/>
      <c r="I8" s="124"/>
      <c r="J8" s="124"/>
      <c r="K8" s="124"/>
      <c r="L8" s="124"/>
      <c r="M8" s="124"/>
      <c r="N8" s="124"/>
      <c r="O8" s="124"/>
      <c r="P8" s="124"/>
      <c r="Q8" s="124"/>
      <c r="R8" s="124"/>
    </row>
    <row r="9" spans="1:18">
      <c r="A9" s="117"/>
      <c r="B9" s="1114" t="s">
        <v>914</v>
      </c>
      <c r="C9" s="198">
        <v>-2</v>
      </c>
      <c r="D9" s="198">
        <v>-3</v>
      </c>
      <c r="E9" s="198">
        <v>-4</v>
      </c>
      <c r="F9" s="199">
        <v>-3</v>
      </c>
      <c r="G9" s="199">
        <v>-4</v>
      </c>
      <c r="H9" s="199">
        <v>-5</v>
      </c>
      <c r="I9" s="199">
        <v>-6</v>
      </c>
      <c r="J9" s="199">
        <v>-7</v>
      </c>
      <c r="K9" s="199">
        <v>-8</v>
      </c>
      <c r="L9" s="199">
        <v>-9</v>
      </c>
      <c r="M9" s="199">
        <v>-10</v>
      </c>
      <c r="N9" s="199">
        <v>-11</v>
      </c>
      <c r="O9" s="199">
        <v>-12</v>
      </c>
      <c r="P9" s="199">
        <v>-13</v>
      </c>
      <c r="Q9" s="199">
        <v>-14</v>
      </c>
      <c r="R9" s="199">
        <v>-15</v>
      </c>
    </row>
    <row r="10" spans="1:18" ht="24">
      <c r="A10" s="846" t="s">
        <v>802</v>
      </c>
      <c r="B10" s="156" t="s">
        <v>576</v>
      </c>
      <c r="C10" s="207" t="s">
        <v>1899</v>
      </c>
      <c r="D10" s="846" t="s">
        <v>733</v>
      </c>
      <c r="E10" s="208" t="s">
        <v>1898</v>
      </c>
      <c r="F10" s="207">
        <v>42014</v>
      </c>
      <c r="G10" s="208">
        <v>42036</v>
      </c>
      <c r="H10" s="208">
        <v>42064</v>
      </c>
      <c r="I10" s="208">
        <v>42095</v>
      </c>
      <c r="J10" s="208">
        <v>42125</v>
      </c>
      <c r="K10" s="208">
        <v>42156</v>
      </c>
      <c r="L10" s="208">
        <v>42186</v>
      </c>
      <c r="M10" s="208">
        <v>42217</v>
      </c>
      <c r="N10" s="208">
        <v>42248</v>
      </c>
      <c r="O10" s="208">
        <v>42278</v>
      </c>
      <c r="P10" s="208">
        <v>42309</v>
      </c>
      <c r="Q10" s="208">
        <v>42339</v>
      </c>
      <c r="R10" s="209" t="s">
        <v>45</v>
      </c>
    </row>
    <row r="11" spans="1:18">
      <c r="A11" s="153">
        <v>1</v>
      </c>
      <c r="B11" s="134" t="s">
        <v>577</v>
      </c>
      <c r="C11" s="250">
        <v>500</v>
      </c>
      <c r="D11" s="250"/>
      <c r="E11" s="250">
        <v>500</v>
      </c>
      <c r="F11" s="250">
        <v>500</v>
      </c>
      <c r="G11" s="250">
        <v>500</v>
      </c>
      <c r="H11" s="250">
        <v>500</v>
      </c>
      <c r="I11" s="250">
        <v>500</v>
      </c>
      <c r="J11" s="250">
        <v>500</v>
      </c>
      <c r="K11" s="250">
        <v>500</v>
      </c>
      <c r="L11" s="250">
        <v>500</v>
      </c>
      <c r="M11" s="250">
        <v>500</v>
      </c>
      <c r="N11" s="250">
        <v>500</v>
      </c>
      <c r="O11" s="250">
        <v>500</v>
      </c>
      <c r="P11" s="250">
        <v>500</v>
      </c>
      <c r="Q11" s="250">
        <v>500</v>
      </c>
      <c r="R11" s="310">
        <v>500</v>
      </c>
    </row>
    <row r="12" spans="1:18">
      <c r="A12" s="153">
        <v>2</v>
      </c>
      <c r="B12" s="134" t="s">
        <v>1301</v>
      </c>
      <c r="C12" s="193"/>
      <c r="D12" s="193"/>
      <c r="E12" s="193"/>
      <c r="F12" s="193"/>
      <c r="G12" s="193"/>
      <c r="H12" s="193"/>
      <c r="I12" s="193"/>
      <c r="J12" s="193"/>
      <c r="K12" s="193"/>
      <c r="L12" s="193"/>
      <c r="M12" s="193"/>
      <c r="N12" s="193"/>
      <c r="O12" s="193"/>
      <c r="P12" s="193"/>
      <c r="Q12" s="193"/>
      <c r="R12" s="202">
        <v>0</v>
      </c>
    </row>
    <row r="13" spans="1:18">
      <c r="A13" s="153">
        <v>3</v>
      </c>
      <c r="B13" s="134" t="s">
        <v>1302</v>
      </c>
      <c r="C13" s="480">
        <v>4910301.01</v>
      </c>
      <c r="D13" s="480"/>
      <c r="E13" s="480">
        <v>4910301.01</v>
      </c>
      <c r="F13" s="480">
        <v>4910301.01</v>
      </c>
      <c r="G13" s="480">
        <v>4910301.01</v>
      </c>
      <c r="H13" s="480">
        <v>4910301.01</v>
      </c>
      <c r="I13" s="480">
        <v>4910301.01</v>
      </c>
      <c r="J13" s="480">
        <v>4910301.01</v>
      </c>
      <c r="K13" s="480">
        <v>4910301.01</v>
      </c>
      <c r="L13" s="480">
        <v>4910301.01</v>
      </c>
      <c r="M13" s="480">
        <v>4910301.01</v>
      </c>
      <c r="N13" s="480">
        <v>4910301.01</v>
      </c>
      <c r="O13" s="480">
        <v>4910301.01</v>
      </c>
      <c r="P13" s="480">
        <v>4910301.01</v>
      </c>
      <c r="Q13" s="480">
        <v>4910301.01</v>
      </c>
      <c r="R13" s="202">
        <v>4910301</v>
      </c>
    </row>
    <row r="14" spans="1:18" s="211" customFormat="1">
      <c r="A14" s="281">
        <v>4</v>
      </c>
      <c r="B14" s="232" t="s">
        <v>1303</v>
      </c>
      <c r="C14" s="514">
        <v>89945.560000001511</v>
      </c>
      <c r="D14" s="514">
        <v>0</v>
      </c>
      <c r="E14" s="480">
        <v>89945.560000001511</v>
      </c>
      <c r="F14" s="514">
        <v>152423.03</v>
      </c>
      <c r="G14" s="514">
        <v>199087.94000000012</v>
      </c>
      <c r="H14" s="514">
        <v>204620.35999999981</v>
      </c>
      <c r="I14" s="514">
        <v>267257.13000000047</v>
      </c>
      <c r="J14" s="514">
        <v>324440.65999999986</v>
      </c>
      <c r="K14" s="514">
        <v>329501.66999999993</v>
      </c>
      <c r="L14" s="514">
        <v>351568.6500000002</v>
      </c>
      <c r="M14" s="514">
        <v>381904.60000000038</v>
      </c>
      <c r="N14" s="514">
        <v>447378.73999999993</v>
      </c>
      <c r="O14" s="514">
        <v>496567.83</v>
      </c>
      <c r="P14" s="514">
        <v>543863.91000000027</v>
      </c>
      <c r="Q14" s="514">
        <v>399634.84000000183</v>
      </c>
      <c r="R14" s="202">
        <v>322169</v>
      </c>
    </row>
    <row r="15" spans="1:18">
      <c r="A15" s="153">
        <v>5</v>
      </c>
      <c r="B15" s="134" t="s">
        <v>1304</v>
      </c>
      <c r="C15" s="479"/>
      <c r="D15" s="479"/>
      <c r="E15" s="479"/>
      <c r="F15" s="479"/>
      <c r="G15" s="479"/>
      <c r="H15" s="479"/>
      <c r="I15" s="479"/>
      <c r="J15" s="479"/>
      <c r="K15" s="479"/>
      <c r="L15" s="479"/>
      <c r="M15" s="479"/>
      <c r="N15" s="479"/>
      <c r="O15" s="479"/>
      <c r="P15" s="479"/>
      <c r="Q15" s="479"/>
      <c r="R15" s="261"/>
    </row>
    <row r="16" spans="1:18">
      <c r="A16" s="153">
        <v>6</v>
      </c>
      <c r="B16" s="134"/>
      <c r="C16" s="150"/>
      <c r="D16" s="150"/>
      <c r="E16" s="150"/>
      <c r="F16" s="150"/>
      <c r="G16" s="150"/>
      <c r="H16" s="150"/>
      <c r="I16" s="150"/>
      <c r="J16" s="150"/>
      <c r="K16" s="150"/>
      <c r="L16" s="150"/>
      <c r="M16" s="150"/>
      <c r="N16" s="150"/>
      <c r="O16" s="150"/>
      <c r="P16" s="150"/>
      <c r="Q16" s="150"/>
      <c r="R16" s="150"/>
    </row>
    <row r="17" spans="1:18">
      <c r="A17" s="153">
        <v>7</v>
      </c>
      <c r="B17" s="134" t="s">
        <v>1305</v>
      </c>
      <c r="C17" s="182">
        <v>5000746.5700000012</v>
      </c>
      <c r="D17" s="182">
        <v>0</v>
      </c>
      <c r="E17" s="182">
        <v>5000746.5700000012</v>
      </c>
      <c r="F17" s="182">
        <v>5063224.04</v>
      </c>
      <c r="G17" s="182">
        <v>5109888.95</v>
      </c>
      <c r="H17" s="182">
        <v>5115421.3699999992</v>
      </c>
      <c r="I17" s="182">
        <v>5178058.1400000006</v>
      </c>
      <c r="J17" s="182">
        <v>5235241.67</v>
      </c>
      <c r="K17" s="182">
        <v>5240302.68</v>
      </c>
      <c r="L17" s="182">
        <v>5262369.66</v>
      </c>
      <c r="M17" s="182">
        <v>5292705.6100000003</v>
      </c>
      <c r="N17" s="182">
        <v>5358179.75</v>
      </c>
      <c r="O17" s="182">
        <v>5407368.8399999999</v>
      </c>
      <c r="P17" s="182">
        <v>5454664.9199999999</v>
      </c>
      <c r="Q17" s="182">
        <v>5310435.8500000015</v>
      </c>
      <c r="R17" s="182">
        <v>5232970</v>
      </c>
    </row>
    <row r="18" spans="1:18">
      <c r="A18" s="153">
        <v>8</v>
      </c>
      <c r="B18" s="134"/>
      <c r="C18" s="150"/>
      <c r="D18" s="150"/>
      <c r="E18" s="150"/>
      <c r="F18" s="150"/>
      <c r="G18" s="150"/>
      <c r="H18" s="150"/>
      <c r="I18" s="150"/>
      <c r="J18" s="150"/>
      <c r="K18" s="150"/>
      <c r="L18" s="150"/>
      <c r="M18" s="150"/>
      <c r="N18" s="150"/>
      <c r="O18" s="150"/>
      <c r="P18" s="150"/>
      <c r="Q18" s="150"/>
      <c r="R18" s="150"/>
    </row>
    <row r="19" spans="1:18">
      <c r="A19" s="153">
        <v>9</v>
      </c>
      <c r="B19" s="134" t="s">
        <v>1306</v>
      </c>
      <c r="C19" s="150"/>
      <c r="D19" s="150"/>
      <c r="E19" s="150"/>
      <c r="F19" s="150"/>
      <c r="G19" s="150"/>
      <c r="H19" s="150"/>
      <c r="I19" s="150"/>
      <c r="J19" s="150"/>
      <c r="K19" s="150"/>
      <c r="L19" s="150"/>
      <c r="M19" s="150"/>
      <c r="N19" s="150"/>
      <c r="O19" s="150"/>
      <c r="P19" s="150"/>
      <c r="Q19" s="150"/>
      <c r="R19" s="150"/>
    </row>
    <row r="20" spans="1:18">
      <c r="A20" s="153">
        <v>10</v>
      </c>
      <c r="B20" s="134" t="s">
        <v>1307</v>
      </c>
      <c r="C20" s="150"/>
      <c r="D20" s="150"/>
      <c r="E20" s="150"/>
      <c r="F20" s="150"/>
      <c r="G20" s="150"/>
      <c r="H20" s="150"/>
      <c r="I20" s="150"/>
      <c r="J20" s="150"/>
      <c r="K20" s="150"/>
      <c r="L20" s="150"/>
      <c r="M20" s="150"/>
      <c r="N20" s="150"/>
      <c r="O20" s="150"/>
      <c r="P20" s="150"/>
      <c r="Q20" s="150"/>
      <c r="R20" s="202">
        <v>0</v>
      </c>
    </row>
    <row r="21" spans="1:18">
      <c r="A21" s="153">
        <v>11</v>
      </c>
      <c r="B21" s="120" t="s">
        <v>1123</v>
      </c>
      <c r="C21" s="150">
        <v>477238.98</v>
      </c>
      <c r="D21" s="150"/>
      <c r="E21" s="480">
        <v>477238.98</v>
      </c>
      <c r="F21" s="150">
        <v>477238.98</v>
      </c>
      <c r="G21" s="150">
        <v>477238.98</v>
      </c>
      <c r="H21" s="150">
        <v>477238.98</v>
      </c>
      <c r="I21" s="150">
        <v>477238.98</v>
      </c>
      <c r="J21" s="150">
        <v>477238.98</v>
      </c>
      <c r="K21" s="150">
        <v>477238.98</v>
      </c>
      <c r="L21" s="150">
        <v>477238.98</v>
      </c>
      <c r="M21" s="150">
        <v>477238.98</v>
      </c>
      <c r="N21" s="150">
        <v>477238.98</v>
      </c>
      <c r="O21" s="150">
        <v>477238.98</v>
      </c>
      <c r="P21" s="150">
        <v>477238.98</v>
      </c>
      <c r="Q21" s="212">
        <v>477238.98</v>
      </c>
      <c r="R21" s="202">
        <v>477239</v>
      </c>
    </row>
    <row r="22" spans="1:18">
      <c r="A22" s="153">
        <v>12</v>
      </c>
      <c r="B22" s="120" t="s">
        <v>785</v>
      </c>
      <c r="C22" s="182"/>
      <c r="D22" s="182"/>
      <c r="E22" s="182"/>
      <c r="F22" s="182"/>
      <c r="G22" s="182"/>
      <c r="H22" s="182"/>
      <c r="I22" s="182"/>
      <c r="J22" s="182"/>
      <c r="K22" s="182"/>
      <c r="L22" s="182"/>
      <c r="M22" s="182"/>
      <c r="N22" s="182"/>
      <c r="O22" s="182"/>
      <c r="P22" s="182"/>
      <c r="Q22" s="182"/>
      <c r="R22" s="202">
        <v>0</v>
      </c>
    </row>
    <row r="23" spans="1:18">
      <c r="A23" s="153">
        <v>13</v>
      </c>
      <c r="C23" s="150"/>
      <c r="D23" s="150"/>
      <c r="E23" s="150"/>
      <c r="F23" s="150"/>
      <c r="G23" s="150"/>
      <c r="H23" s="150"/>
      <c r="I23" s="150"/>
      <c r="J23" s="150"/>
      <c r="K23" s="150"/>
      <c r="L23" s="150"/>
      <c r="M23" s="150"/>
      <c r="N23" s="150"/>
      <c r="O23" s="150"/>
      <c r="P23" s="150"/>
      <c r="Q23" s="150"/>
      <c r="R23" s="877"/>
    </row>
    <row r="24" spans="1:18">
      <c r="A24" s="153">
        <v>14</v>
      </c>
      <c r="B24" s="120" t="s">
        <v>786</v>
      </c>
      <c r="C24" s="182">
        <v>477238.98</v>
      </c>
      <c r="D24" s="182">
        <v>0</v>
      </c>
      <c r="E24" s="182">
        <v>477238.98</v>
      </c>
      <c r="F24" s="182">
        <v>477238.98</v>
      </c>
      <c r="G24" s="182">
        <v>477238.98</v>
      </c>
      <c r="H24" s="182">
        <v>477238.98</v>
      </c>
      <c r="I24" s="182">
        <v>477238.98</v>
      </c>
      <c r="J24" s="182">
        <v>477238.98</v>
      </c>
      <c r="K24" s="182">
        <v>477238.98</v>
      </c>
      <c r="L24" s="182">
        <v>477238.98</v>
      </c>
      <c r="M24" s="182">
        <v>477238.98</v>
      </c>
      <c r="N24" s="182">
        <v>477238.98</v>
      </c>
      <c r="O24" s="182">
        <v>477238.98</v>
      </c>
      <c r="P24" s="182">
        <v>477238.98</v>
      </c>
      <c r="Q24" s="182">
        <v>477238.98</v>
      </c>
      <c r="R24" s="182">
        <v>477239</v>
      </c>
    </row>
    <row r="25" spans="1:18">
      <c r="A25" s="153">
        <v>15</v>
      </c>
      <c r="C25" s="150"/>
      <c r="D25" s="150"/>
      <c r="E25" s="150"/>
      <c r="F25" s="150"/>
      <c r="G25" s="150"/>
      <c r="H25" s="150"/>
      <c r="I25" s="150"/>
      <c r="J25" s="150"/>
      <c r="K25" s="150"/>
      <c r="L25" s="150"/>
      <c r="M25" s="150"/>
      <c r="N25" s="150"/>
      <c r="O25" s="150"/>
      <c r="P25" s="150"/>
      <c r="Q25" s="150"/>
      <c r="R25" s="150"/>
    </row>
    <row r="26" spans="1:18">
      <c r="A26" s="153">
        <v>16</v>
      </c>
      <c r="B26" s="120" t="s">
        <v>787</v>
      </c>
      <c r="C26" s="212">
        <v>50782.720000000001</v>
      </c>
      <c r="D26" s="212"/>
      <c r="E26" s="480">
        <v>50782.720000000001</v>
      </c>
      <c r="F26" s="150">
        <v>276626.73</v>
      </c>
      <c r="G26" s="150">
        <v>280233.08</v>
      </c>
      <c r="H26" s="150">
        <v>280875.36</v>
      </c>
      <c r="I26" s="150">
        <v>291392.32</v>
      </c>
      <c r="J26" s="150">
        <v>17657.11</v>
      </c>
      <c r="K26" s="150">
        <v>286638.23</v>
      </c>
      <c r="L26" s="150">
        <v>284509.96000000002</v>
      </c>
      <c r="M26" s="150">
        <v>307906.33999999997</v>
      </c>
      <c r="N26" s="150">
        <v>36182.380000000005</v>
      </c>
      <c r="O26" s="150">
        <v>62269.66</v>
      </c>
      <c r="P26" s="150">
        <v>70410.59</v>
      </c>
      <c r="Q26" s="150">
        <v>109912.94</v>
      </c>
      <c r="R26" s="202">
        <v>181184</v>
      </c>
    </row>
    <row r="27" spans="1:18">
      <c r="A27" s="153">
        <v>17</v>
      </c>
      <c r="B27" s="120" t="s">
        <v>788</v>
      </c>
      <c r="C27" s="150"/>
      <c r="D27" s="150"/>
      <c r="E27" s="150"/>
      <c r="F27" s="150"/>
      <c r="G27" s="150"/>
      <c r="H27" s="150"/>
      <c r="I27" s="150"/>
      <c r="J27" s="150"/>
      <c r="K27" s="150"/>
      <c r="L27" s="150"/>
      <c r="M27" s="150"/>
      <c r="N27" s="150"/>
      <c r="O27" s="150"/>
      <c r="P27" s="150"/>
      <c r="Q27" s="150"/>
      <c r="R27" s="202">
        <v>0</v>
      </c>
    </row>
    <row r="28" spans="1:18">
      <c r="A28" s="153">
        <v>18</v>
      </c>
      <c r="B28" s="120" t="s">
        <v>1117</v>
      </c>
      <c r="C28" s="150">
        <v>-178082.21</v>
      </c>
      <c r="D28" s="150"/>
      <c r="E28" s="480">
        <v>-178082.21</v>
      </c>
      <c r="F28" s="150">
        <v>-178082.21</v>
      </c>
      <c r="G28" s="150">
        <v>-178082.21</v>
      </c>
      <c r="H28" s="150">
        <v>-178082.21</v>
      </c>
      <c r="I28" s="150">
        <v>-178082.21</v>
      </c>
      <c r="J28" s="150">
        <v>-178082.21</v>
      </c>
      <c r="K28" s="150">
        <v>-178082.21</v>
      </c>
      <c r="L28" s="150">
        <v>-178082.21</v>
      </c>
      <c r="M28" s="150">
        <v>-178082.21</v>
      </c>
      <c r="N28" s="150">
        <v>-178082.21</v>
      </c>
      <c r="O28" s="150">
        <v>-178082.21</v>
      </c>
      <c r="P28" s="150">
        <v>-178082.21</v>
      </c>
      <c r="Q28" s="150">
        <v>-178082.21</v>
      </c>
      <c r="R28" s="202">
        <v>-178082</v>
      </c>
    </row>
    <row r="29" spans="1:18">
      <c r="A29" s="153">
        <v>19</v>
      </c>
      <c r="B29" s="120" t="s">
        <v>1118</v>
      </c>
      <c r="C29" s="150">
        <v>0</v>
      </c>
      <c r="D29" s="150"/>
      <c r="E29" s="480">
        <v>0</v>
      </c>
      <c r="F29" s="150">
        <v>0</v>
      </c>
      <c r="G29" s="150">
        <v>0</v>
      </c>
      <c r="H29" s="150">
        <v>0</v>
      </c>
      <c r="I29" s="150">
        <v>0</v>
      </c>
      <c r="J29" s="150">
        <v>0</v>
      </c>
      <c r="K29" s="150">
        <v>0</v>
      </c>
      <c r="L29" s="150">
        <v>0</v>
      </c>
      <c r="M29" s="150">
        <v>0</v>
      </c>
      <c r="N29" s="150">
        <v>0</v>
      </c>
      <c r="O29" s="150">
        <v>0</v>
      </c>
      <c r="P29" s="150">
        <v>0</v>
      </c>
      <c r="Q29" s="150">
        <v>0</v>
      </c>
      <c r="R29" s="202">
        <v>0</v>
      </c>
    </row>
    <row r="30" spans="1:18">
      <c r="A30" s="153">
        <v>20</v>
      </c>
      <c r="B30" s="120" t="s">
        <v>1119</v>
      </c>
      <c r="C30" s="150">
        <v>100008.84</v>
      </c>
      <c r="D30" s="150"/>
      <c r="E30" s="480">
        <v>100008.84</v>
      </c>
      <c r="F30" s="150">
        <v>64235.91</v>
      </c>
      <c r="G30" s="150">
        <v>71703.53</v>
      </c>
      <c r="H30" s="150">
        <v>84460.55</v>
      </c>
      <c r="I30" s="150">
        <v>87607.34</v>
      </c>
      <c r="J30" s="150">
        <v>100244.09</v>
      </c>
      <c r="K30" s="150">
        <v>108214.04999999999</v>
      </c>
      <c r="L30" s="150">
        <v>72331.930000000008</v>
      </c>
      <c r="M30" s="150">
        <v>80292.140000000014</v>
      </c>
      <c r="N30" s="150">
        <v>86946.48000000001</v>
      </c>
      <c r="O30" s="150">
        <v>94923.69</v>
      </c>
      <c r="P30" s="150">
        <v>93065.75</v>
      </c>
      <c r="Q30" s="150">
        <v>108345.19</v>
      </c>
      <c r="R30" s="202">
        <v>88645</v>
      </c>
    </row>
    <row r="31" spans="1:18">
      <c r="A31" s="153">
        <v>21</v>
      </c>
      <c r="B31" s="120" t="s">
        <v>1120</v>
      </c>
      <c r="C31" s="150"/>
      <c r="D31" s="150"/>
      <c r="E31" s="150"/>
      <c r="F31" s="150"/>
      <c r="G31" s="150"/>
      <c r="H31" s="150"/>
      <c r="I31" s="150"/>
      <c r="J31" s="150"/>
      <c r="K31" s="150"/>
      <c r="L31" s="150"/>
      <c r="M31" s="150"/>
      <c r="N31" s="150"/>
      <c r="O31" s="150"/>
      <c r="P31" s="150"/>
      <c r="Q31" s="150"/>
      <c r="R31" s="202">
        <v>0</v>
      </c>
    </row>
    <row r="32" spans="1:18">
      <c r="A32" s="153">
        <v>22</v>
      </c>
      <c r="B32" s="120" t="s">
        <v>700</v>
      </c>
      <c r="C32" s="150">
        <v>0</v>
      </c>
      <c r="D32" s="150"/>
      <c r="E32" s="480">
        <v>0</v>
      </c>
      <c r="F32" s="150">
        <v>0</v>
      </c>
      <c r="G32" s="150">
        <v>0</v>
      </c>
      <c r="H32" s="150">
        <v>0</v>
      </c>
      <c r="I32" s="150">
        <v>0</v>
      </c>
      <c r="J32" s="150">
        <v>0</v>
      </c>
      <c r="K32" s="150">
        <v>0</v>
      </c>
      <c r="L32" s="150">
        <v>0</v>
      </c>
      <c r="M32" s="150">
        <v>0</v>
      </c>
      <c r="N32" s="150">
        <v>0</v>
      </c>
      <c r="O32" s="150">
        <v>0</v>
      </c>
      <c r="P32" s="150">
        <v>0</v>
      </c>
      <c r="Q32" s="150">
        <v>0.5</v>
      </c>
      <c r="R32" s="202">
        <v>0</v>
      </c>
    </row>
    <row r="33" spans="1:18">
      <c r="A33" s="153">
        <v>23</v>
      </c>
      <c r="B33" s="120" t="s">
        <v>1121</v>
      </c>
      <c r="C33" s="150"/>
      <c r="D33" s="150"/>
      <c r="E33" s="150"/>
      <c r="F33" s="150"/>
      <c r="G33" s="150"/>
      <c r="H33" s="150"/>
      <c r="I33" s="150"/>
      <c r="J33" s="150"/>
      <c r="K33" s="150"/>
      <c r="L33" s="150"/>
      <c r="M33" s="150"/>
      <c r="N33" s="150"/>
      <c r="O33" s="150"/>
      <c r="P33" s="150"/>
      <c r="Q33" s="150"/>
      <c r="R33" s="202">
        <v>0</v>
      </c>
    </row>
    <row r="34" spans="1:18">
      <c r="A34" s="153">
        <v>24</v>
      </c>
      <c r="B34" s="120" t="s">
        <v>991</v>
      </c>
      <c r="C34" s="182">
        <v>0</v>
      </c>
      <c r="D34" s="163">
        <v>0</v>
      </c>
      <c r="E34" s="480">
        <v>0</v>
      </c>
      <c r="F34" s="182">
        <v>0</v>
      </c>
      <c r="G34" s="182">
        <v>0</v>
      </c>
      <c r="H34" s="182">
        <v>0</v>
      </c>
      <c r="I34" s="182">
        <v>0</v>
      </c>
      <c r="J34" s="182">
        <v>0</v>
      </c>
      <c r="K34" s="182">
        <v>0</v>
      </c>
      <c r="L34" s="182">
        <v>0</v>
      </c>
      <c r="M34" s="182">
        <v>0</v>
      </c>
      <c r="N34" s="182">
        <v>0</v>
      </c>
      <c r="O34" s="182">
        <v>0</v>
      </c>
      <c r="P34" s="182">
        <v>0</v>
      </c>
      <c r="Q34" s="182">
        <v>0</v>
      </c>
      <c r="R34" s="202">
        <v>0</v>
      </c>
    </row>
    <row r="35" spans="1:18">
      <c r="A35" s="153">
        <v>25</v>
      </c>
      <c r="C35" s="150"/>
      <c r="D35" s="877"/>
      <c r="E35" s="877"/>
      <c r="F35" s="150"/>
      <c r="G35" s="150"/>
      <c r="H35" s="150"/>
      <c r="I35" s="150"/>
      <c r="J35" s="150"/>
      <c r="K35" s="150"/>
      <c r="L35" s="150"/>
      <c r="M35" s="150"/>
      <c r="N35" s="150"/>
      <c r="O35" s="150"/>
      <c r="P35" s="150"/>
      <c r="Q35" s="150"/>
      <c r="R35" s="877"/>
    </row>
    <row r="36" spans="1:18">
      <c r="A36" s="153">
        <v>26</v>
      </c>
      <c r="B36" s="120" t="s">
        <v>992</v>
      </c>
      <c r="C36" s="182">
        <v>-27290.649999999994</v>
      </c>
      <c r="D36" s="182">
        <v>0</v>
      </c>
      <c r="E36" s="182">
        <v>-27290.649999999994</v>
      </c>
      <c r="F36" s="182">
        <v>162780.43</v>
      </c>
      <c r="G36" s="182">
        <v>173854.40000000002</v>
      </c>
      <c r="H36" s="182">
        <v>187253.7</v>
      </c>
      <c r="I36" s="182">
        <v>200917.45</v>
      </c>
      <c r="J36" s="182">
        <v>-60181.00999999998</v>
      </c>
      <c r="K36" s="182">
        <v>216770.06999999998</v>
      </c>
      <c r="L36" s="182">
        <v>178759.68000000005</v>
      </c>
      <c r="M36" s="182">
        <v>210116.27</v>
      </c>
      <c r="N36" s="182">
        <v>-54953.349999999977</v>
      </c>
      <c r="O36" s="182">
        <v>-20888.859999999986</v>
      </c>
      <c r="P36" s="182">
        <v>-14605.869999999995</v>
      </c>
      <c r="Q36" s="182">
        <v>40176.420000000013</v>
      </c>
      <c r="R36" s="182">
        <v>91747</v>
      </c>
    </row>
    <row r="37" spans="1:18">
      <c r="A37" s="153">
        <v>27</v>
      </c>
      <c r="C37" s="150"/>
      <c r="D37" s="150"/>
      <c r="E37" s="150"/>
      <c r="F37" s="150"/>
      <c r="G37" s="150"/>
      <c r="H37" s="150"/>
      <c r="I37" s="150"/>
      <c r="J37" s="150"/>
      <c r="K37" s="150"/>
      <c r="L37" s="150"/>
      <c r="M37" s="150"/>
      <c r="N37" s="150"/>
      <c r="O37" s="150"/>
      <c r="P37" s="150"/>
      <c r="Q37" s="150"/>
      <c r="R37" s="150"/>
    </row>
    <row r="38" spans="1:18">
      <c r="A38" s="153">
        <v>28</v>
      </c>
      <c r="B38" s="120" t="s">
        <v>993</v>
      </c>
      <c r="C38" s="150"/>
      <c r="D38" s="150"/>
      <c r="E38" s="150"/>
      <c r="F38" s="150"/>
      <c r="G38" s="150"/>
      <c r="H38" s="150"/>
      <c r="I38" s="150"/>
      <c r="J38" s="150"/>
      <c r="K38" s="150"/>
      <c r="L38" s="150"/>
      <c r="M38" s="150"/>
      <c r="N38" s="150"/>
      <c r="O38" s="150"/>
      <c r="P38" s="150"/>
      <c r="Q38" s="150"/>
      <c r="R38" s="202">
        <v>0</v>
      </c>
    </row>
    <row r="39" spans="1:18">
      <c r="A39" s="153">
        <v>29</v>
      </c>
      <c r="B39" s="120" t="s">
        <v>32</v>
      </c>
      <c r="C39" s="150"/>
      <c r="D39" s="150"/>
      <c r="E39" s="150"/>
      <c r="F39" s="150"/>
      <c r="G39" s="150"/>
      <c r="H39" s="150"/>
      <c r="I39" s="150"/>
      <c r="J39" s="150"/>
      <c r="K39" s="150"/>
      <c r="L39" s="150"/>
      <c r="M39" s="150"/>
      <c r="N39" s="150"/>
      <c r="O39" s="150"/>
      <c r="P39" s="150"/>
      <c r="Q39" s="150"/>
      <c r="R39" s="202">
        <v>0</v>
      </c>
    </row>
    <row r="40" spans="1:18">
      <c r="A40" s="153">
        <v>30</v>
      </c>
      <c r="B40" s="120" t="s">
        <v>33</v>
      </c>
      <c r="C40" s="150"/>
      <c r="D40" s="150"/>
      <c r="E40" s="150"/>
      <c r="F40" s="150"/>
      <c r="G40" s="150"/>
      <c r="H40" s="150"/>
      <c r="I40" s="150"/>
      <c r="J40" s="150"/>
      <c r="K40" s="150"/>
      <c r="L40" s="150"/>
      <c r="M40" s="150"/>
      <c r="N40" s="150"/>
      <c r="O40" s="150"/>
      <c r="P40" s="150"/>
      <c r="Q40" s="150"/>
      <c r="R40" s="202">
        <v>0</v>
      </c>
    </row>
    <row r="41" spans="1:18">
      <c r="A41" s="153">
        <v>31</v>
      </c>
      <c r="B41" s="120" t="s">
        <v>34</v>
      </c>
      <c r="C41" s="182"/>
      <c r="D41" s="182"/>
      <c r="E41" s="182"/>
      <c r="F41" s="182"/>
      <c r="G41" s="182"/>
      <c r="H41" s="182"/>
      <c r="I41" s="182"/>
      <c r="J41" s="182"/>
      <c r="K41" s="182"/>
      <c r="L41" s="182"/>
      <c r="M41" s="182"/>
      <c r="N41" s="182"/>
      <c r="O41" s="182"/>
      <c r="P41" s="182"/>
      <c r="Q41" s="182"/>
      <c r="R41" s="202">
        <v>0</v>
      </c>
    </row>
    <row r="42" spans="1:18">
      <c r="A42" s="153">
        <v>32</v>
      </c>
      <c r="C42" s="150"/>
      <c r="D42" s="150"/>
      <c r="E42" s="150"/>
      <c r="F42" s="150"/>
      <c r="G42" s="150"/>
      <c r="H42" s="150"/>
      <c r="I42" s="150"/>
      <c r="J42" s="150"/>
      <c r="K42" s="150"/>
      <c r="L42" s="150"/>
      <c r="M42" s="150"/>
      <c r="N42" s="150"/>
      <c r="O42" s="150"/>
      <c r="P42" s="150"/>
      <c r="Q42" s="150"/>
      <c r="R42" s="877"/>
    </row>
    <row r="43" spans="1:18">
      <c r="A43" s="153">
        <v>33</v>
      </c>
      <c r="B43" s="120" t="s">
        <v>35</v>
      </c>
      <c r="C43" s="182">
        <v>0</v>
      </c>
      <c r="D43" s="182">
        <v>0</v>
      </c>
      <c r="E43" s="182">
        <v>0</v>
      </c>
      <c r="F43" s="182">
        <v>0</v>
      </c>
      <c r="G43" s="182">
        <v>0</v>
      </c>
      <c r="H43" s="182">
        <v>0</v>
      </c>
      <c r="I43" s="182">
        <v>0</v>
      </c>
      <c r="J43" s="182">
        <v>0</v>
      </c>
      <c r="K43" s="182">
        <v>0</v>
      </c>
      <c r="L43" s="182">
        <v>0</v>
      </c>
      <c r="M43" s="182">
        <v>0</v>
      </c>
      <c r="N43" s="182">
        <v>0</v>
      </c>
      <c r="O43" s="182">
        <v>0</v>
      </c>
      <c r="P43" s="182">
        <v>0</v>
      </c>
      <c r="Q43" s="182">
        <v>0</v>
      </c>
      <c r="R43" s="182">
        <v>0</v>
      </c>
    </row>
    <row r="44" spans="1:18">
      <c r="A44" s="153">
        <v>34</v>
      </c>
      <c r="C44" s="150"/>
      <c r="D44" s="150"/>
      <c r="E44" s="150"/>
      <c r="F44" s="150"/>
      <c r="G44" s="150"/>
      <c r="H44" s="150"/>
      <c r="I44" s="150"/>
      <c r="J44" s="150"/>
      <c r="K44" s="150"/>
      <c r="L44" s="150"/>
      <c r="M44" s="150"/>
      <c r="N44" s="150"/>
      <c r="O44" s="150"/>
      <c r="P44" s="150"/>
      <c r="Q44" s="150"/>
      <c r="R44" s="150"/>
    </row>
    <row r="45" spans="1:18">
      <c r="A45" s="153">
        <v>35</v>
      </c>
      <c r="B45" s="120" t="s">
        <v>36</v>
      </c>
      <c r="C45" s="150">
        <v>3090716.23</v>
      </c>
      <c r="D45" s="150">
        <v>0</v>
      </c>
      <c r="E45" s="480">
        <v>3090716.23</v>
      </c>
      <c r="F45" s="150">
        <v>3090716.23</v>
      </c>
      <c r="G45" s="150">
        <v>3154472.23</v>
      </c>
      <c r="H45" s="150">
        <v>3154472.23</v>
      </c>
      <c r="I45" s="150">
        <v>3154472.23</v>
      </c>
      <c r="J45" s="150">
        <v>3154514.23</v>
      </c>
      <c r="K45" s="150">
        <v>3154514.23</v>
      </c>
      <c r="L45" s="150">
        <v>3154514.23</v>
      </c>
      <c r="M45" s="150">
        <v>3154514.23</v>
      </c>
      <c r="N45" s="150">
        <v>3154514.23</v>
      </c>
      <c r="O45" s="150">
        <v>3154514.23</v>
      </c>
      <c r="P45" s="150">
        <v>3154493.23</v>
      </c>
      <c r="Q45" s="150">
        <v>3154493.23</v>
      </c>
      <c r="R45" s="150">
        <v>3144686.2299999995</v>
      </c>
    </row>
    <row r="46" spans="1:18">
      <c r="A46" s="153">
        <v>36</v>
      </c>
      <c r="B46" s="120" t="s">
        <v>1384</v>
      </c>
      <c r="C46" s="150">
        <v>-2310495.6</v>
      </c>
      <c r="D46" s="150">
        <v>0</v>
      </c>
      <c r="E46" s="480">
        <v>-2310495.6</v>
      </c>
      <c r="F46" s="150">
        <v>-2318475.19</v>
      </c>
      <c r="G46" s="150">
        <v>-2326587.5999999996</v>
      </c>
      <c r="H46" s="150">
        <v>-2334700.0099999998</v>
      </c>
      <c r="I46" s="150">
        <v>-2342812.42</v>
      </c>
      <c r="J46" s="150">
        <v>-2350924.91</v>
      </c>
      <c r="K46" s="150">
        <v>-2359037.4</v>
      </c>
      <c r="L46" s="150">
        <v>-2367149.89</v>
      </c>
      <c r="M46" s="150">
        <v>-2375262.3800000004</v>
      </c>
      <c r="N46" s="150">
        <v>-2383374.8699999996</v>
      </c>
      <c r="O46" s="150">
        <v>-2391487.36</v>
      </c>
      <c r="P46" s="150">
        <v>-2399599.81</v>
      </c>
      <c r="Q46" s="150">
        <v>-2407712.2600000002</v>
      </c>
      <c r="R46" s="202">
        <v>-2359048</v>
      </c>
    </row>
    <row r="47" spans="1:18">
      <c r="A47" s="153">
        <v>37</v>
      </c>
      <c r="C47" s="150"/>
      <c r="D47" s="150"/>
      <c r="E47" s="150"/>
      <c r="F47" s="150"/>
      <c r="G47" s="150"/>
      <c r="H47" s="150"/>
      <c r="I47" s="150"/>
      <c r="J47" s="150"/>
      <c r="K47" s="150"/>
      <c r="L47" s="150"/>
      <c r="M47" s="150"/>
      <c r="N47" s="150"/>
      <c r="O47" s="150"/>
      <c r="P47" s="150"/>
      <c r="Q47" s="150"/>
      <c r="R47" s="150"/>
    </row>
    <row r="48" spans="1:18">
      <c r="A48" s="153">
        <v>38</v>
      </c>
      <c r="B48" s="120" t="s">
        <v>1385</v>
      </c>
      <c r="C48" s="479">
        <v>22391.150000000063</v>
      </c>
      <c r="D48" s="182"/>
      <c r="E48" s="182">
        <v>22391.150000000063</v>
      </c>
      <c r="F48" s="182">
        <v>22391.100000000064</v>
      </c>
      <c r="G48" s="182">
        <v>22329.610000000052</v>
      </c>
      <c r="H48" s="182">
        <v>22319.660000000051</v>
      </c>
      <c r="I48" s="182">
        <v>22336.010000000042</v>
      </c>
      <c r="J48" s="182">
        <v>22328.740000000056</v>
      </c>
      <c r="K48" s="182">
        <v>22329.480000000058</v>
      </c>
      <c r="L48" s="182">
        <v>22321.70000000007</v>
      </c>
      <c r="M48" s="182">
        <v>22313.460000000043</v>
      </c>
      <c r="N48" s="182">
        <v>22259.990000000045</v>
      </c>
      <c r="O48" s="182">
        <v>22258.640000000061</v>
      </c>
      <c r="P48" s="182">
        <v>22251.230000000061</v>
      </c>
      <c r="Q48" s="182">
        <v>137673.51</v>
      </c>
      <c r="R48" s="202">
        <v>31193</v>
      </c>
    </row>
    <row r="49" spans="1:18">
      <c r="A49" s="153">
        <v>39</v>
      </c>
      <c r="C49" s="163"/>
      <c r="D49" s="163"/>
      <c r="E49" s="163"/>
      <c r="F49" s="163"/>
      <c r="G49" s="163"/>
      <c r="H49" s="163"/>
      <c r="I49" s="163"/>
      <c r="J49" s="163"/>
      <c r="K49" s="163"/>
      <c r="L49" s="163"/>
      <c r="M49" s="163"/>
      <c r="N49" s="163"/>
      <c r="O49" s="163"/>
      <c r="P49" s="163"/>
      <c r="Q49" s="163"/>
      <c r="R49" s="877"/>
    </row>
    <row r="50" spans="1:18" ht="12.75" thickBot="1">
      <c r="A50" s="153">
        <v>40</v>
      </c>
      <c r="B50" s="120" t="s">
        <v>1777</v>
      </c>
      <c r="C50" s="187">
        <v>6253306.6800000016</v>
      </c>
      <c r="D50" s="187">
        <v>0</v>
      </c>
      <c r="E50" s="187">
        <v>6253306.6800000016</v>
      </c>
      <c r="F50" s="187">
        <v>6497875.5899999999</v>
      </c>
      <c r="G50" s="273">
        <v>6611196.5700000003</v>
      </c>
      <c r="H50" s="187">
        <v>6622005.9299999997</v>
      </c>
      <c r="I50" s="187">
        <v>6690210.3900000006</v>
      </c>
      <c r="J50" s="187">
        <v>6478217.6999999993</v>
      </c>
      <c r="K50" s="187">
        <v>6752118.04</v>
      </c>
      <c r="L50" s="187">
        <v>6728054.3600000003</v>
      </c>
      <c r="M50" s="187">
        <v>6781626.1699999999</v>
      </c>
      <c r="N50" s="187">
        <v>6573864.7300000004</v>
      </c>
      <c r="O50" s="187">
        <v>6649004.4699999997</v>
      </c>
      <c r="P50" s="187">
        <v>6694442.6799999997</v>
      </c>
      <c r="Q50" s="187">
        <v>6712305.7300000014</v>
      </c>
      <c r="R50" s="187">
        <v>6618787.2299999995</v>
      </c>
    </row>
    <row r="51" spans="1:18" ht="12.75" thickTop="1">
      <c r="A51" s="117"/>
      <c r="B51" s="117"/>
      <c r="P51" s="120"/>
      <c r="R51" s="120"/>
    </row>
    <row r="52" spans="1:18">
      <c r="A52" s="117"/>
      <c r="B52" s="117"/>
      <c r="C52" s="117"/>
      <c r="D52" s="117"/>
      <c r="E52" s="117"/>
      <c r="F52" s="117"/>
      <c r="G52" s="117"/>
      <c r="H52" s="117"/>
      <c r="I52" s="117"/>
      <c r="J52" s="117"/>
      <c r="K52" s="117"/>
      <c r="L52" s="117"/>
      <c r="M52" s="117"/>
      <c r="N52" s="117"/>
    </row>
    <row r="53" spans="1:18">
      <c r="A53" s="148"/>
      <c r="B53" s="148"/>
      <c r="C53" s="148"/>
      <c r="D53" s="148"/>
      <c r="E53" s="148"/>
      <c r="F53" s="148"/>
      <c r="G53" s="148"/>
      <c r="H53" s="148"/>
      <c r="I53" s="148"/>
      <c r="J53" s="148"/>
      <c r="K53" s="148"/>
      <c r="L53" s="148"/>
      <c r="M53" s="148"/>
      <c r="N53" s="148"/>
      <c r="O53" s="153"/>
      <c r="P53" s="255"/>
      <c r="Q53" s="153"/>
      <c r="R53" s="255"/>
    </row>
    <row r="54" spans="1:18">
      <c r="A54" s="117"/>
      <c r="B54" s="117"/>
      <c r="C54" s="117"/>
      <c r="D54" s="117"/>
      <c r="E54" s="117"/>
      <c r="F54" s="117"/>
      <c r="G54" s="117"/>
      <c r="H54" s="117"/>
      <c r="I54" s="117"/>
      <c r="J54" s="117"/>
      <c r="K54" s="117"/>
      <c r="L54" s="117"/>
      <c r="M54" s="117"/>
      <c r="N54" s="117"/>
    </row>
    <row r="55" spans="1:18">
      <c r="A55" s="117"/>
      <c r="B55" s="117"/>
      <c r="C55" s="117"/>
      <c r="D55" s="117"/>
      <c r="E55" s="117"/>
      <c r="F55" s="117"/>
      <c r="G55" s="117"/>
      <c r="H55" s="117"/>
      <c r="I55" s="117"/>
      <c r="J55" s="117"/>
      <c r="K55" s="117"/>
      <c r="L55" s="117"/>
      <c r="M55" s="117"/>
      <c r="N55" s="117"/>
    </row>
    <row r="56" spans="1:18">
      <c r="A56" s="117"/>
      <c r="B56" s="117"/>
      <c r="C56" s="117"/>
      <c r="D56" s="117"/>
      <c r="E56" s="117"/>
      <c r="F56" s="117"/>
      <c r="G56" s="117"/>
      <c r="H56" s="117"/>
      <c r="I56" s="117"/>
      <c r="J56" s="117"/>
      <c r="K56" s="117"/>
      <c r="L56" s="117"/>
      <c r="M56" s="117"/>
      <c r="N56" s="117"/>
    </row>
    <row r="57" spans="1:18">
      <c r="Q57" s="201"/>
    </row>
    <row r="149" spans="15:18">
      <c r="O149" s="137"/>
      <c r="P149" s="260"/>
      <c r="Q149" s="137"/>
      <c r="R149" s="260"/>
    </row>
    <row r="152" spans="15:18">
      <c r="O152" s="137"/>
      <c r="P152" s="260"/>
      <c r="Q152" s="137"/>
      <c r="R152" s="260"/>
    </row>
    <row r="275" spans="1:14">
      <c r="A275" s="138"/>
      <c r="B275" s="138"/>
      <c r="C275" s="138"/>
      <c r="D275" s="138"/>
      <c r="E275" s="138"/>
      <c r="F275" s="138"/>
      <c r="G275" s="138"/>
      <c r="H275" s="138"/>
      <c r="I275" s="138"/>
      <c r="J275" s="138"/>
      <c r="K275" s="138"/>
      <c r="L275" s="138"/>
      <c r="M275" s="138"/>
      <c r="N275" s="138"/>
    </row>
    <row r="276" spans="1:14">
      <c r="A276" s="138"/>
      <c r="B276" s="138"/>
      <c r="C276" s="138"/>
      <c r="D276" s="138"/>
      <c r="E276" s="138"/>
      <c r="F276" s="138"/>
      <c r="G276" s="138"/>
      <c r="H276" s="138"/>
      <c r="I276" s="138"/>
      <c r="J276" s="138"/>
      <c r="K276" s="138"/>
      <c r="L276" s="138"/>
      <c r="M276" s="138"/>
      <c r="N276" s="138"/>
    </row>
    <row r="277" spans="1:14">
      <c r="A277" s="138"/>
      <c r="B277" s="138"/>
      <c r="C277" s="138"/>
      <c r="D277" s="138"/>
      <c r="E277" s="138"/>
      <c r="F277" s="138"/>
      <c r="G277" s="138"/>
      <c r="H277" s="138"/>
      <c r="I277" s="138"/>
      <c r="J277" s="138"/>
      <c r="K277" s="138"/>
      <c r="L277" s="138"/>
      <c r="M277" s="138"/>
      <c r="N277" s="138"/>
    </row>
    <row r="278" spans="1:14">
      <c r="A278" s="138"/>
      <c r="B278" s="138"/>
      <c r="C278" s="138"/>
      <c r="D278" s="138"/>
      <c r="E278" s="138"/>
      <c r="F278" s="138"/>
      <c r="G278" s="138"/>
      <c r="H278" s="138"/>
      <c r="I278" s="138"/>
      <c r="J278" s="138"/>
      <c r="K278" s="138"/>
      <c r="L278" s="138"/>
      <c r="M278" s="138"/>
      <c r="N278" s="138"/>
    </row>
    <row r="279" spans="1:14">
      <c r="A279" s="138"/>
      <c r="B279" s="138"/>
      <c r="C279" s="138"/>
      <c r="D279" s="138"/>
      <c r="E279" s="138"/>
      <c r="F279" s="138"/>
      <c r="G279" s="138"/>
      <c r="H279" s="138"/>
      <c r="I279" s="138"/>
      <c r="J279" s="138"/>
      <c r="K279" s="138"/>
      <c r="L279" s="138"/>
      <c r="M279" s="138"/>
      <c r="N279" s="138"/>
    </row>
    <row r="309" spans="1:1">
      <c r="A309" s="138"/>
    </row>
    <row r="378" spans="1:1">
      <c r="A378" s="117"/>
    </row>
    <row r="395" spans="1:1">
      <c r="A395" s="138"/>
    </row>
    <row r="396" spans="1:1">
      <c r="A396" s="138"/>
    </row>
    <row r="397" spans="1:1">
      <c r="A397" s="138"/>
    </row>
    <row r="398" spans="1:1">
      <c r="A398" s="138"/>
    </row>
    <row r="399" spans="1:1">
      <c r="A399" s="138"/>
    </row>
    <row r="400" spans="1:1">
      <c r="A400" s="138"/>
    </row>
    <row r="401" spans="1:1">
      <c r="A401" s="138"/>
    </row>
    <row r="402" spans="1:1">
      <c r="A402" s="138"/>
    </row>
    <row r="403" spans="1:1">
      <c r="A403" s="138"/>
    </row>
    <row r="404" spans="1:1">
      <c r="A404" s="138"/>
    </row>
    <row r="405" spans="1:1">
      <c r="A405" s="138"/>
    </row>
    <row r="406" spans="1:1">
      <c r="A406" s="138"/>
    </row>
    <row r="407" spans="1:1">
      <c r="A407" s="138"/>
    </row>
    <row r="408" spans="1:1">
      <c r="A408" s="138"/>
    </row>
    <row r="409" spans="1:1">
      <c r="A409" s="138"/>
    </row>
    <row r="410" spans="1:1">
      <c r="A410" s="138"/>
    </row>
    <row r="411" spans="1:1">
      <c r="A411" s="138"/>
    </row>
    <row r="412" spans="1:1">
      <c r="A412" s="138"/>
    </row>
    <row r="413" spans="1:1">
      <c r="A413" s="138"/>
    </row>
    <row r="414" spans="1:1">
      <c r="A414" s="138"/>
    </row>
    <row r="415" spans="1:1">
      <c r="A415" s="138"/>
    </row>
    <row r="416" spans="1:1">
      <c r="A416" s="138"/>
    </row>
    <row r="417" spans="1:1">
      <c r="A417" s="138"/>
    </row>
    <row r="418" spans="1:1">
      <c r="A418" s="138"/>
    </row>
    <row r="419" spans="1:1">
      <c r="A419" s="138"/>
    </row>
    <row r="420" spans="1:1">
      <c r="A420" s="138"/>
    </row>
    <row r="421" spans="1:1">
      <c r="A421" s="138"/>
    </row>
    <row r="422" spans="1:1">
      <c r="A422" s="138"/>
    </row>
    <row r="423" spans="1:1">
      <c r="A423" s="138"/>
    </row>
    <row r="424" spans="1:1">
      <c r="A424" s="138"/>
    </row>
    <row r="425" spans="1:1">
      <c r="A425" s="138"/>
    </row>
    <row r="426" spans="1:1">
      <c r="A426" s="138"/>
    </row>
    <row r="427" spans="1:1">
      <c r="A427" s="138"/>
    </row>
    <row r="428" spans="1:1">
      <c r="A428" s="138"/>
    </row>
    <row r="429" spans="1:1">
      <c r="A429" s="138"/>
    </row>
    <row r="430" spans="1:1">
      <c r="A430" s="138"/>
    </row>
    <row r="431" spans="1:1">
      <c r="A431" s="138"/>
    </row>
    <row r="432" spans="1:1">
      <c r="A432" s="138"/>
    </row>
    <row r="433" spans="1:1">
      <c r="A433" s="138"/>
    </row>
    <row r="434" spans="1:1">
      <c r="A434" s="138"/>
    </row>
    <row r="435" spans="1:1">
      <c r="A435" s="138"/>
    </row>
    <row r="436" spans="1:1">
      <c r="A436" s="138"/>
    </row>
    <row r="437" spans="1:1">
      <c r="A437" s="138"/>
    </row>
    <row r="438" spans="1:1">
      <c r="A438" s="138"/>
    </row>
    <row r="439" spans="1:1">
      <c r="A439" s="138"/>
    </row>
    <row r="440" spans="1:1">
      <c r="A440" s="138"/>
    </row>
    <row r="441" spans="1:1">
      <c r="A441" s="138"/>
    </row>
    <row r="442" spans="1:1">
      <c r="A442" s="138"/>
    </row>
    <row r="443" spans="1:1">
      <c r="A443" s="138"/>
    </row>
    <row r="444" spans="1:1">
      <c r="A444" s="138"/>
    </row>
    <row r="445" spans="1:1">
      <c r="A445" s="138"/>
    </row>
    <row r="446" spans="1:1">
      <c r="A446" s="138"/>
    </row>
    <row r="447" spans="1:1">
      <c r="A447" s="138"/>
    </row>
    <row r="448" spans="1:1">
      <c r="A448" s="138"/>
    </row>
    <row r="449" spans="1:1">
      <c r="A449" s="138"/>
    </row>
  </sheetData>
  <mergeCells count="1">
    <mergeCell ref="B7:Q7"/>
  </mergeCells>
  <phoneticPr fontId="27" type="noConversion"/>
  <pageMargins left="0.75" right="0.5" top="0.75" bottom="0.5" header="0.25" footer="0.25"/>
  <pageSetup scale="63" orientation="landscape" r:id="rId1"/>
  <headerFooter alignWithMargins="0">
    <oddFooter>&amp;C&amp;"Garmond (W1),Bold"6</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25">
    <pageSetUpPr fitToPage="1"/>
  </sheetPr>
  <dimension ref="A1:N296"/>
  <sheetViews>
    <sheetView view="pageBreakPreview" topLeftCell="C11" zoomScale="60" zoomScaleNormal="100" workbookViewId="0">
      <selection activeCell="M32" sqref="M32"/>
    </sheetView>
  </sheetViews>
  <sheetFormatPr defaultColWidth="10.85546875" defaultRowHeight="12.75"/>
  <cols>
    <col min="1" max="1" width="4.85546875" style="120" customWidth="1"/>
    <col min="2" max="2" width="26.42578125" style="120" customWidth="1"/>
    <col min="3" max="3" width="14.85546875" style="120" customWidth="1"/>
    <col min="4" max="4" width="13.85546875" style="120" customWidth="1"/>
    <col min="5" max="5" width="4.140625" style="120" customWidth="1"/>
    <col min="6" max="7" width="15.85546875" style="120" customWidth="1"/>
    <col min="8" max="8" width="3.28515625" style="120" bestFit="1" customWidth="1"/>
    <col min="9" max="9" width="14.140625" style="120" customWidth="1"/>
    <col min="10" max="10" width="14.42578125" style="120" customWidth="1"/>
    <col min="11" max="11" width="10.85546875" style="120"/>
    <col min="12" max="12" width="22.7109375" style="120" customWidth="1"/>
    <col min="13" max="13" width="11.140625" style="11" customWidth="1"/>
    <col min="14" max="15" width="10.85546875" style="11" customWidth="1"/>
    <col min="16" max="16384" width="10.85546875" style="11"/>
  </cols>
  <sheetData>
    <row r="1" spans="1:14" s="21" customFormat="1" ht="12">
      <c r="A1" s="123" t="s">
        <v>472</v>
      </c>
      <c r="B1" s="117"/>
      <c r="C1" s="117"/>
      <c r="E1" s="143"/>
      <c r="G1" s="1342" t="s">
        <v>1209</v>
      </c>
      <c r="H1" s="117"/>
      <c r="I1" s="117"/>
      <c r="J1" s="117"/>
      <c r="K1" s="120"/>
      <c r="L1" s="120"/>
    </row>
    <row r="2" spans="1:14" s="21" customFormat="1" ht="12">
      <c r="A2" s="117"/>
      <c r="B2" s="117"/>
      <c r="C2" s="117"/>
      <c r="E2" s="143"/>
      <c r="H2" s="117"/>
      <c r="I2" s="117"/>
      <c r="J2" s="117"/>
      <c r="K2" s="120"/>
      <c r="L2" s="120"/>
    </row>
    <row r="3" spans="1:14" s="21" customFormat="1" ht="12">
      <c r="A3" s="117" t="s">
        <v>2644</v>
      </c>
      <c r="B3" s="117"/>
      <c r="C3" s="117"/>
      <c r="E3" s="143"/>
      <c r="G3" s="20" t="s">
        <v>1533</v>
      </c>
      <c r="H3" s="117"/>
      <c r="I3" s="117"/>
      <c r="J3" s="117"/>
      <c r="K3" s="120"/>
      <c r="L3" s="120"/>
    </row>
    <row r="4" spans="1:14" s="21" customFormat="1" ht="12">
      <c r="A4" s="117" t="s">
        <v>1935</v>
      </c>
      <c r="B4" s="117"/>
      <c r="C4" s="117"/>
      <c r="E4" s="117"/>
      <c r="G4" s="20" t="s">
        <v>766</v>
      </c>
      <c r="H4" s="117"/>
      <c r="I4" s="117"/>
      <c r="J4" s="117"/>
      <c r="K4" s="120"/>
      <c r="L4" s="120"/>
    </row>
    <row r="5" spans="1:14" s="21" customFormat="1" ht="12">
      <c r="A5" s="117" t="s">
        <v>2645</v>
      </c>
      <c r="B5" s="117"/>
      <c r="C5" s="117"/>
      <c r="E5" s="117"/>
      <c r="G5" s="20" t="s">
        <v>2948</v>
      </c>
      <c r="H5" s="117"/>
      <c r="I5" s="117"/>
      <c r="J5" s="117"/>
      <c r="K5" s="120"/>
      <c r="L5" s="120"/>
    </row>
    <row r="6" spans="1:14" s="21" customFormat="1" ht="12">
      <c r="A6" s="117" t="s">
        <v>683</v>
      </c>
      <c r="B6" s="117"/>
      <c r="C6" s="117"/>
      <c r="D6" s="117"/>
      <c r="E6" s="117"/>
      <c r="F6" s="117"/>
      <c r="G6" s="117"/>
      <c r="H6" s="117"/>
      <c r="I6" s="117"/>
      <c r="J6" s="117"/>
      <c r="K6" s="120"/>
      <c r="L6" s="120"/>
    </row>
    <row r="7" spans="1:14" s="21" customFormat="1" ht="12">
      <c r="A7" s="123" t="s">
        <v>1348</v>
      </c>
      <c r="B7" s="176"/>
      <c r="C7" s="117"/>
      <c r="D7" s="117"/>
      <c r="E7" s="117"/>
      <c r="F7" s="117"/>
      <c r="G7" s="117"/>
      <c r="H7" s="117"/>
      <c r="I7" s="117"/>
      <c r="J7" s="117"/>
      <c r="K7" s="120"/>
      <c r="L7" s="120"/>
    </row>
    <row r="8" spans="1:14" s="21" customFormat="1" ht="12">
      <c r="A8" s="117"/>
      <c r="B8" s="117"/>
      <c r="C8" s="117"/>
      <c r="D8" s="117"/>
      <c r="E8" s="117"/>
      <c r="F8" s="117"/>
      <c r="G8" s="117"/>
      <c r="H8" s="117"/>
      <c r="I8" s="117"/>
      <c r="J8" s="117"/>
      <c r="K8" s="120"/>
      <c r="L8" s="120"/>
    </row>
    <row r="9" spans="1:14" s="21" customFormat="1" ht="12" customHeight="1">
      <c r="A9" s="2308" t="s">
        <v>1351</v>
      </c>
      <c r="B9" s="2308"/>
      <c r="C9" s="2308"/>
      <c r="D9" s="2308"/>
      <c r="E9" s="2308"/>
      <c r="F9" s="2308"/>
      <c r="G9" s="2308"/>
      <c r="H9" s="2308"/>
      <c r="I9" s="2308"/>
      <c r="J9" s="2308"/>
      <c r="K9" s="120"/>
      <c r="L9" s="120"/>
    </row>
    <row r="10" spans="1:14" s="21" customFormat="1" ht="12">
      <c r="A10" s="2308"/>
      <c r="B10" s="2308"/>
      <c r="C10" s="2308"/>
      <c r="D10" s="2308"/>
      <c r="E10" s="2308"/>
      <c r="F10" s="2308"/>
      <c r="G10" s="2308"/>
      <c r="H10" s="2308"/>
      <c r="I10" s="2308"/>
      <c r="J10" s="2308"/>
      <c r="K10" s="120"/>
      <c r="L10" s="120"/>
    </row>
    <row r="11" spans="1:14" s="21" customFormat="1" thickBot="1">
      <c r="A11" s="124"/>
      <c r="B11" s="124"/>
      <c r="C11" s="124"/>
      <c r="D11" s="124"/>
      <c r="E11" s="124"/>
      <c r="F11" s="124"/>
      <c r="G11" s="124"/>
      <c r="H11" s="124"/>
      <c r="I11" s="124"/>
      <c r="J11" s="124"/>
      <c r="K11" s="1210"/>
      <c r="L11" s="120"/>
    </row>
    <row r="12" spans="1:14" s="21" customFormat="1" ht="12">
      <c r="A12" s="117"/>
      <c r="B12" s="1476" t="s">
        <v>914</v>
      </c>
      <c r="C12" s="1476" t="s">
        <v>915</v>
      </c>
      <c r="D12" s="1476" t="s">
        <v>916</v>
      </c>
      <c r="E12" s="1476"/>
      <c r="F12" s="1476" t="s">
        <v>917</v>
      </c>
      <c r="G12" s="1476" t="s">
        <v>526</v>
      </c>
      <c r="H12" s="1476"/>
      <c r="I12" s="1476" t="s">
        <v>76</v>
      </c>
      <c r="J12" s="1476" t="s">
        <v>822</v>
      </c>
      <c r="K12" s="265"/>
      <c r="L12" s="211"/>
      <c r="M12" s="34"/>
      <c r="N12" s="34"/>
    </row>
    <row r="13" spans="1:14" s="21" customFormat="1" ht="12">
      <c r="A13" s="117"/>
      <c r="B13" s="1476"/>
      <c r="C13" s="1476" t="s">
        <v>74</v>
      </c>
      <c r="D13" s="2309" t="s">
        <v>728</v>
      </c>
      <c r="E13" s="2309"/>
      <c r="F13" s="1476" t="s">
        <v>728</v>
      </c>
      <c r="G13" s="262" t="s">
        <v>823</v>
      </c>
      <c r="H13" s="262"/>
      <c r="I13" s="262" t="s">
        <v>823</v>
      </c>
      <c r="J13" s="117"/>
      <c r="K13" s="265"/>
      <c r="L13" s="211"/>
      <c r="M13" s="34"/>
      <c r="N13" s="34"/>
    </row>
    <row r="14" spans="1:14" s="21" customFormat="1" ht="12">
      <c r="A14" s="1476" t="s">
        <v>53</v>
      </c>
      <c r="B14" s="263"/>
      <c r="C14" s="1476" t="s">
        <v>54</v>
      </c>
      <c r="D14" s="2309" t="s">
        <v>74</v>
      </c>
      <c r="E14" s="2309"/>
      <c r="F14" s="1476" t="s">
        <v>52</v>
      </c>
      <c r="G14" s="262" t="s">
        <v>455</v>
      </c>
      <c r="H14" s="262"/>
      <c r="I14" s="262" t="s">
        <v>456</v>
      </c>
      <c r="J14" s="1476" t="s">
        <v>729</v>
      </c>
      <c r="K14" s="211"/>
      <c r="L14" s="211"/>
      <c r="M14" s="34"/>
      <c r="N14" s="34"/>
    </row>
    <row r="15" spans="1:14" s="21" customFormat="1" ht="12">
      <c r="A15" s="1477" t="s">
        <v>730</v>
      </c>
      <c r="B15" s="1477" t="s">
        <v>731</v>
      </c>
      <c r="C15" s="1477" t="s">
        <v>732</v>
      </c>
      <c r="D15" s="2310" t="s">
        <v>733</v>
      </c>
      <c r="E15" s="2310"/>
      <c r="F15" s="1477" t="s">
        <v>74</v>
      </c>
      <c r="G15" s="809" t="s">
        <v>457</v>
      </c>
      <c r="H15" s="809"/>
      <c r="I15" s="809" t="s">
        <v>458</v>
      </c>
      <c r="J15" s="1477" t="s">
        <v>734</v>
      </c>
      <c r="K15" s="211"/>
      <c r="L15" s="211"/>
      <c r="M15" s="34"/>
      <c r="N15" s="34"/>
    </row>
    <row r="16" spans="1:14" s="21" customFormat="1" ht="12">
      <c r="A16" s="1476"/>
      <c r="B16" s="117"/>
      <c r="C16" s="120"/>
      <c r="D16" s="120"/>
      <c r="E16" s="117"/>
      <c r="F16" s="120"/>
      <c r="G16" s="120"/>
      <c r="H16" s="117"/>
      <c r="I16" s="120"/>
      <c r="J16" s="120"/>
      <c r="K16" s="211"/>
      <c r="L16" s="211"/>
      <c r="M16" s="34"/>
      <c r="N16" s="34"/>
    </row>
    <row r="17" spans="1:14" s="21" customFormat="1" ht="12">
      <c r="A17" s="265">
        <v>1</v>
      </c>
      <c r="B17" s="211" t="s">
        <v>459</v>
      </c>
      <c r="C17" s="223">
        <v>1933425.6500000001</v>
      </c>
      <c r="D17" s="223">
        <v>-143405.85000000021</v>
      </c>
      <c r="E17" s="264" t="s">
        <v>500</v>
      </c>
      <c r="F17" s="223">
        <v>1790019.7999999998</v>
      </c>
      <c r="G17" s="2012">
        <v>472791.78415484994</v>
      </c>
      <c r="H17" s="264" t="s">
        <v>500</v>
      </c>
      <c r="I17" s="223">
        <v>2262811.5841548499</v>
      </c>
      <c r="J17" s="265" t="s">
        <v>1464</v>
      </c>
      <c r="K17" s="211"/>
      <c r="L17" s="211"/>
      <c r="M17" s="34"/>
      <c r="N17" s="34"/>
    </row>
    <row r="18" spans="1:14" s="21" customFormat="1" ht="12">
      <c r="A18" s="265"/>
      <c r="B18" s="211"/>
      <c r="C18" s="227"/>
      <c r="D18" s="227"/>
      <c r="E18" s="264"/>
      <c r="F18" s="227"/>
      <c r="G18" s="227"/>
      <c r="H18" s="264"/>
      <c r="I18" s="227"/>
      <c r="J18" s="211"/>
      <c r="K18" s="211"/>
      <c r="L18" s="211"/>
      <c r="M18" s="34"/>
      <c r="N18" s="34"/>
    </row>
    <row r="19" spans="1:14" s="21" customFormat="1" ht="12">
      <c r="A19" s="265">
        <v>2</v>
      </c>
      <c r="B19" s="211" t="s">
        <v>461</v>
      </c>
      <c r="C19" s="212">
        <v>1083854.75</v>
      </c>
      <c r="D19" s="212">
        <v>86152.866421000013</v>
      </c>
      <c r="E19" s="264" t="s">
        <v>501</v>
      </c>
      <c r="F19" s="227">
        <v>1170007.6164210001</v>
      </c>
      <c r="G19" s="212"/>
      <c r="H19" s="264" t="s">
        <v>501</v>
      </c>
      <c r="I19" s="227">
        <v>1170007.6164210001</v>
      </c>
      <c r="J19" s="267" t="s">
        <v>1461</v>
      </c>
      <c r="K19" s="211"/>
      <c r="L19" s="211"/>
      <c r="M19" s="766"/>
      <c r="N19" s="34"/>
    </row>
    <row r="20" spans="1:14" s="21" customFormat="1" ht="12">
      <c r="A20" s="265"/>
      <c r="B20" s="211"/>
      <c r="C20" s="212"/>
      <c r="D20" s="212"/>
      <c r="E20" s="264"/>
      <c r="F20" s="227"/>
      <c r="G20" s="227"/>
      <c r="H20" s="264"/>
      <c r="I20" s="212"/>
      <c r="J20" s="211"/>
      <c r="K20" s="211"/>
      <c r="L20" s="211"/>
      <c r="M20" s="766"/>
      <c r="N20" s="34"/>
    </row>
    <row r="21" spans="1:14" s="21" customFormat="1" ht="12">
      <c r="A21" s="265">
        <v>3</v>
      </c>
      <c r="B21" s="211" t="s">
        <v>462</v>
      </c>
      <c r="C21" s="212">
        <v>212843.41</v>
      </c>
      <c r="D21" s="212">
        <v>66673.127777777787</v>
      </c>
      <c r="E21" s="268" t="s">
        <v>465</v>
      </c>
      <c r="F21" s="227">
        <v>279516.53777777776</v>
      </c>
      <c r="G21" s="212"/>
      <c r="H21" s="268" t="s">
        <v>465</v>
      </c>
      <c r="I21" s="212">
        <v>279516.53777777776</v>
      </c>
      <c r="J21" s="267" t="s">
        <v>1323</v>
      </c>
      <c r="K21" s="211"/>
      <c r="L21" s="211"/>
      <c r="M21" s="766"/>
      <c r="N21" s="34"/>
    </row>
    <row r="22" spans="1:14" s="21" customFormat="1" ht="12">
      <c r="A22" s="265"/>
      <c r="B22" s="211"/>
      <c r="C22" s="212"/>
      <c r="D22" s="212"/>
      <c r="E22" s="264"/>
      <c r="F22" s="227"/>
      <c r="G22" s="227"/>
      <c r="H22" s="264"/>
      <c r="I22" s="212"/>
      <c r="J22" s="211"/>
      <c r="K22" s="211"/>
      <c r="L22" s="211"/>
      <c r="M22" s="766"/>
      <c r="N22" s="34"/>
    </row>
    <row r="23" spans="1:14" s="21" customFormat="1" ht="12">
      <c r="A23" s="265">
        <v>4</v>
      </c>
      <c r="B23" s="211" t="s">
        <v>463</v>
      </c>
      <c r="C23" s="212"/>
      <c r="D23" s="212">
        <v>0</v>
      </c>
      <c r="E23" s="264" t="s">
        <v>460</v>
      </c>
      <c r="F23" s="222">
        <v>0</v>
      </c>
      <c r="G23" s="227">
        <v>0</v>
      </c>
      <c r="H23" s="264" t="s">
        <v>460</v>
      </c>
      <c r="I23" s="212">
        <v>0</v>
      </c>
      <c r="J23" s="267"/>
      <c r="K23" s="211"/>
      <c r="L23" s="211"/>
      <c r="M23" s="766"/>
      <c r="N23" s="34"/>
    </row>
    <row r="24" spans="1:14" s="21" customFormat="1" ht="12">
      <c r="A24" s="265"/>
      <c r="B24" s="211"/>
      <c r="C24" s="212"/>
      <c r="D24" s="212"/>
      <c r="E24" s="264"/>
      <c r="F24" s="227"/>
      <c r="G24" s="227"/>
      <c r="H24" s="264"/>
      <c r="I24" s="212"/>
      <c r="J24" s="211"/>
      <c r="K24" s="211"/>
      <c r="L24" s="211"/>
      <c r="M24" s="766"/>
      <c r="N24" s="34"/>
    </row>
    <row r="25" spans="1:14" s="21" customFormat="1" ht="12">
      <c r="A25" s="265">
        <v>5</v>
      </c>
      <c r="B25" s="211" t="s">
        <v>464</v>
      </c>
      <c r="C25" s="212">
        <v>116456.81</v>
      </c>
      <c r="D25" s="212">
        <v>30940.690909992471</v>
      </c>
      <c r="E25" s="266" t="s">
        <v>466</v>
      </c>
      <c r="F25" s="227">
        <v>147397.50090999246</v>
      </c>
      <c r="G25" s="227">
        <v>21276</v>
      </c>
      <c r="H25" s="266" t="s">
        <v>466</v>
      </c>
      <c r="I25" s="212">
        <v>168673.50090999246</v>
      </c>
      <c r="J25" s="267" t="s">
        <v>478</v>
      </c>
      <c r="K25" s="211"/>
      <c r="L25" s="211"/>
      <c r="M25" s="766"/>
      <c r="N25" s="34"/>
    </row>
    <row r="26" spans="1:14" s="21" customFormat="1" ht="12">
      <c r="A26" s="265"/>
      <c r="B26" s="211"/>
      <c r="C26" s="270"/>
      <c r="D26" s="270"/>
      <c r="E26" s="264"/>
      <c r="F26" s="227"/>
      <c r="G26" s="227"/>
      <c r="H26" s="264"/>
      <c r="I26" s="212"/>
      <c r="J26" s="211"/>
      <c r="K26" s="211"/>
      <c r="L26" s="211"/>
      <c r="M26" s="766"/>
      <c r="N26" s="34"/>
    </row>
    <row r="27" spans="1:14" s="21" customFormat="1" ht="12">
      <c r="A27" s="265">
        <v>6</v>
      </c>
      <c r="B27" s="211" t="s">
        <v>467</v>
      </c>
      <c r="C27" s="271">
        <v>119897.98</v>
      </c>
      <c r="D27" s="1281">
        <v>-119897.98</v>
      </c>
      <c r="E27" s="272" t="s">
        <v>383</v>
      </c>
      <c r="F27" s="973">
        <v>0</v>
      </c>
      <c r="G27" s="973">
        <v>174424</v>
      </c>
      <c r="H27" s="272" t="s">
        <v>383</v>
      </c>
      <c r="I27" s="271">
        <v>174424</v>
      </c>
      <c r="J27" s="267" t="s">
        <v>479</v>
      </c>
      <c r="K27" s="211"/>
      <c r="L27" s="211"/>
      <c r="M27" s="766"/>
      <c r="N27" s="34"/>
    </row>
    <row r="28" spans="1:14" s="21" customFormat="1" ht="12">
      <c r="A28" s="265"/>
      <c r="B28" s="211"/>
      <c r="C28" s="212"/>
      <c r="D28" s="212"/>
      <c r="E28" s="264"/>
      <c r="F28" s="227"/>
      <c r="G28" s="227"/>
      <c r="H28" s="266"/>
      <c r="I28" s="212"/>
      <c r="J28" s="211"/>
      <c r="K28" s="211"/>
      <c r="L28" s="211"/>
      <c r="M28" s="766"/>
      <c r="N28" s="34"/>
    </row>
    <row r="29" spans="1:14" s="21" customFormat="1" ht="12">
      <c r="A29" s="265">
        <v>7</v>
      </c>
      <c r="B29" s="211" t="s">
        <v>468</v>
      </c>
      <c r="C29" s="271">
        <v>1533052.95</v>
      </c>
      <c r="D29" s="271">
        <v>63868.705108770271</v>
      </c>
      <c r="E29" s="264"/>
      <c r="F29" s="271">
        <v>1596921.6551087704</v>
      </c>
      <c r="G29" s="271">
        <v>195700</v>
      </c>
      <c r="H29" s="266"/>
      <c r="I29" s="271">
        <v>1792621.6551087704</v>
      </c>
      <c r="J29" s="211"/>
      <c r="K29" s="211"/>
      <c r="L29" s="211"/>
      <c r="M29" s="766"/>
      <c r="N29" s="34"/>
    </row>
    <row r="30" spans="1:14" s="21" customFormat="1" ht="12">
      <c r="A30" s="265"/>
      <c r="B30" s="211"/>
      <c r="C30" s="212"/>
      <c r="D30" s="212"/>
      <c r="E30" s="264"/>
      <c r="F30" s="212"/>
      <c r="G30" s="212"/>
      <c r="H30" s="266"/>
      <c r="I30" s="212"/>
      <c r="J30" s="211"/>
      <c r="K30" s="211"/>
      <c r="L30" s="211"/>
      <c r="M30" s="766"/>
      <c r="N30" s="34"/>
    </row>
    <row r="31" spans="1:14" s="21" customFormat="1" thickBot="1">
      <c r="A31" s="265">
        <v>8</v>
      </c>
      <c r="B31" s="211" t="s">
        <v>1344</v>
      </c>
      <c r="C31" s="273">
        <v>400372.70000000019</v>
      </c>
      <c r="D31" s="273">
        <v>-207274.5551087705</v>
      </c>
      <c r="E31" s="274"/>
      <c r="F31" s="273">
        <v>193098.14489122946</v>
      </c>
      <c r="G31" s="273">
        <v>277092.15386788169</v>
      </c>
      <c r="H31" s="275"/>
      <c r="I31" s="273">
        <v>470190.29875911115</v>
      </c>
      <c r="J31" s="211"/>
      <c r="K31" s="211"/>
      <c r="L31" s="211"/>
      <c r="M31" s="766"/>
      <c r="N31" s="34"/>
    </row>
    <row r="32" spans="1:14" s="21" customFormat="1" thickTop="1">
      <c r="A32" s="265"/>
      <c r="B32" s="211"/>
      <c r="C32" s="212"/>
      <c r="D32" s="212"/>
      <c r="E32" s="264"/>
      <c r="F32" s="212"/>
      <c r="G32" s="212"/>
      <c r="H32" s="266"/>
      <c r="I32" s="227"/>
      <c r="J32" s="211"/>
      <c r="K32" s="211"/>
      <c r="L32" s="211"/>
      <c r="M32" s="766"/>
      <c r="N32" s="34"/>
    </row>
    <row r="33" spans="1:14" s="21" customFormat="1" ht="12">
      <c r="A33" s="265"/>
      <c r="B33" s="211"/>
      <c r="C33" s="212"/>
      <c r="D33" s="212"/>
      <c r="E33" s="264"/>
      <c r="F33" s="227"/>
      <c r="G33" s="227"/>
      <c r="H33" s="266"/>
      <c r="I33" s="227"/>
      <c r="J33" s="211"/>
      <c r="K33" s="211"/>
      <c r="L33" s="211"/>
      <c r="M33" s="766"/>
      <c r="N33" s="34"/>
    </row>
    <row r="34" spans="1:14" s="21" customFormat="1" thickBot="1">
      <c r="A34" s="265">
        <v>9</v>
      </c>
      <c r="B34" s="211" t="s">
        <v>1944</v>
      </c>
      <c r="C34" s="273">
        <v>3550194.6546153845</v>
      </c>
      <c r="D34" s="273"/>
      <c r="E34" s="274"/>
      <c r="F34" s="273">
        <v>5651325.7062393166</v>
      </c>
      <c r="G34" s="216"/>
      <c r="H34" s="275"/>
      <c r="I34" s="273">
        <v>5651325.7062393166</v>
      </c>
      <c r="J34" s="211"/>
      <c r="K34" s="211"/>
      <c r="L34" s="211"/>
      <c r="M34" s="766"/>
      <c r="N34" s="34"/>
    </row>
    <row r="35" spans="1:14" s="21" customFormat="1" thickTop="1">
      <c r="A35" s="265"/>
      <c r="B35" s="211"/>
      <c r="C35" s="212"/>
      <c r="D35" s="212"/>
      <c r="E35" s="276"/>
      <c r="F35" s="211"/>
      <c r="G35" s="211"/>
      <c r="H35" s="203"/>
      <c r="I35" s="211"/>
      <c r="J35" s="211"/>
      <c r="K35" s="211"/>
      <c r="L35" s="211"/>
      <c r="M35" s="766"/>
      <c r="N35" s="34"/>
    </row>
    <row r="36" spans="1:14" s="21" customFormat="1" ht="12">
      <c r="A36" s="265"/>
      <c r="B36" s="211"/>
      <c r="C36" s="212"/>
      <c r="D36" s="212"/>
      <c r="E36" s="276"/>
      <c r="F36" s="211"/>
      <c r="G36" s="211"/>
      <c r="H36" s="203"/>
      <c r="I36" s="211"/>
      <c r="J36" s="211"/>
      <c r="K36" s="211"/>
      <c r="L36" s="211"/>
      <c r="M36" s="766"/>
      <c r="N36" s="1254"/>
    </row>
    <row r="37" spans="1:14" s="21" customFormat="1" ht="15" thickBot="1">
      <c r="A37" s="265">
        <v>10</v>
      </c>
      <c r="B37" s="211" t="s">
        <v>1346</v>
      </c>
      <c r="C37" s="277">
        <v>11.28</v>
      </c>
      <c r="D37" s="278" t="s">
        <v>1347</v>
      </c>
      <c r="E37" s="279"/>
      <c r="F37" s="277">
        <v>3.42</v>
      </c>
      <c r="G37" s="278" t="s">
        <v>1347</v>
      </c>
      <c r="H37" s="280"/>
      <c r="I37" s="760">
        <v>8.3199999999999996E-2</v>
      </c>
      <c r="J37" s="1404" t="s">
        <v>1347</v>
      </c>
      <c r="K37" s="211"/>
      <c r="L37" s="211"/>
      <c r="M37" s="34"/>
      <c r="N37" s="34"/>
    </row>
    <row r="38" spans="1:14" s="21" customFormat="1" thickTop="1">
      <c r="A38" s="265"/>
      <c r="B38" s="211"/>
      <c r="C38" s="211"/>
      <c r="D38" s="211"/>
      <c r="E38" s="276"/>
      <c r="F38" s="211"/>
      <c r="G38" s="211"/>
      <c r="H38" s="203"/>
      <c r="I38" s="211"/>
      <c r="J38" s="211"/>
      <c r="K38" s="120"/>
      <c r="L38" s="120"/>
    </row>
    <row r="39" spans="1:14" s="21" customFormat="1" ht="12">
      <c r="A39" s="262"/>
      <c r="B39" s="203"/>
      <c r="C39" s="211"/>
      <c r="D39" s="211"/>
      <c r="E39" s="276"/>
      <c r="F39" s="211"/>
      <c r="G39" s="211"/>
      <c r="H39" s="203"/>
      <c r="I39" s="211"/>
      <c r="J39" s="211"/>
      <c r="K39" s="120"/>
      <c r="L39" s="120"/>
    </row>
    <row r="40" spans="1:14" ht="14.25">
      <c r="A40" s="211"/>
      <c r="B40" s="1403"/>
      <c r="C40" s="211"/>
      <c r="D40" s="211"/>
      <c r="E40" s="203"/>
      <c r="F40" s="211"/>
      <c r="G40" s="211"/>
      <c r="H40" s="203"/>
      <c r="I40" s="1146"/>
      <c r="J40" s="211"/>
    </row>
    <row r="41" spans="1:14">
      <c r="A41" s="262"/>
      <c r="B41" s="265"/>
      <c r="C41" s="265"/>
      <c r="D41" s="265"/>
      <c r="E41" s="262"/>
      <c r="F41" s="265"/>
      <c r="G41" s="265"/>
      <c r="H41" s="262"/>
      <c r="I41" s="265"/>
      <c r="J41" s="265"/>
    </row>
    <row r="42" spans="1:14" s="21" customFormat="1" ht="12">
      <c r="A42" s="120"/>
      <c r="B42" s="120"/>
      <c r="C42" s="120"/>
      <c r="D42" s="120"/>
      <c r="E42" s="120"/>
      <c r="F42" s="120"/>
      <c r="G42" s="120"/>
      <c r="H42" s="120"/>
      <c r="I42" s="120"/>
      <c r="J42" s="120"/>
      <c r="K42" s="120"/>
      <c r="L42" s="120"/>
    </row>
    <row r="43" spans="1:14" s="21" customFormat="1" ht="12">
      <c r="A43" s="120"/>
      <c r="B43" s="120"/>
      <c r="C43" s="120"/>
      <c r="D43" s="120"/>
      <c r="E43" s="120"/>
      <c r="F43" s="120"/>
      <c r="G43" s="120"/>
      <c r="H43" s="120"/>
      <c r="I43" s="120"/>
      <c r="J43" s="120"/>
      <c r="K43" s="120"/>
      <c r="L43" s="120"/>
    </row>
    <row r="44" spans="1:14" s="21" customFormat="1" ht="12">
      <c r="A44" s="120"/>
      <c r="B44" s="120"/>
      <c r="C44" s="120"/>
      <c r="D44" s="120"/>
      <c r="E44" s="120"/>
      <c r="F44" s="120"/>
      <c r="G44" s="120"/>
      <c r="H44" s="120"/>
      <c r="I44" s="120"/>
      <c r="J44" s="120"/>
      <c r="K44" s="120"/>
      <c r="L44" s="120"/>
    </row>
    <row r="45" spans="1:14" s="21" customFormat="1" ht="12">
      <c r="A45" s="120"/>
      <c r="B45" s="120"/>
      <c r="C45" s="120"/>
      <c r="D45" s="120"/>
      <c r="E45" s="120"/>
      <c r="F45" s="120"/>
      <c r="G45" s="120"/>
      <c r="H45" s="120"/>
      <c r="I45" s="120"/>
      <c r="J45" s="120"/>
      <c r="K45" s="120"/>
      <c r="L45" s="120"/>
    </row>
    <row r="46" spans="1:14" s="21" customFormat="1" ht="12">
      <c r="A46" s="120"/>
      <c r="B46" s="120"/>
      <c r="C46" s="120"/>
      <c r="D46" s="120"/>
      <c r="E46" s="120"/>
      <c r="F46" s="120"/>
      <c r="G46" s="120"/>
      <c r="H46" s="120"/>
      <c r="I46" s="120"/>
      <c r="J46" s="120"/>
      <c r="K46" s="120"/>
      <c r="L46" s="120"/>
    </row>
    <row r="47" spans="1:14" s="21" customFormat="1" ht="12">
      <c r="A47" s="120"/>
      <c r="B47" s="120"/>
      <c r="C47" s="120"/>
      <c r="D47" s="120"/>
      <c r="E47" s="120"/>
      <c r="F47" s="120"/>
      <c r="G47" s="120"/>
      <c r="H47" s="120"/>
      <c r="I47" s="120"/>
      <c r="J47" s="120"/>
      <c r="K47" s="120"/>
      <c r="L47" s="120"/>
    </row>
    <row r="48" spans="1:14" s="21" customFormat="1" ht="12">
      <c r="A48" s="120"/>
      <c r="B48" s="120"/>
      <c r="C48" s="120"/>
      <c r="D48" s="120"/>
      <c r="E48" s="120"/>
      <c r="F48" s="120"/>
      <c r="G48" s="120"/>
      <c r="H48" s="120"/>
      <c r="I48" s="120"/>
      <c r="J48" s="120"/>
      <c r="K48" s="120"/>
      <c r="L48" s="120"/>
    </row>
    <row r="49" spans="1:12" s="21" customFormat="1" ht="12">
      <c r="A49" s="120"/>
      <c r="B49" s="120"/>
      <c r="C49" s="120"/>
      <c r="D49" s="120"/>
      <c r="E49" s="120"/>
      <c r="F49" s="120"/>
      <c r="G49" s="120"/>
      <c r="H49" s="120"/>
      <c r="I49" s="120"/>
      <c r="J49" s="120"/>
      <c r="K49" s="120"/>
      <c r="L49" s="120"/>
    </row>
    <row r="50" spans="1:12" s="21" customFormat="1" ht="12">
      <c r="A50" s="120"/>
      <c r="B50" s="120"/>
      <c r="C50" s="120"/>
      <c r="D50" s="120"/>
      <c r="E50" s="120"/>
      <c r="F50" s="120"/>
      <c r="G50" s="120"/>
      <c r="H50" s="120"/>
      <c r="I50" s="120"/>
      <c r="J50" s="120"/>
      <c r="K50" s="120"/>
      <c r="L50" s="120"/>
    </row>
    <row r="51" spans="1:12" s="21" customFormat="1" ht="12">
      <c r="A51" s="120"/>
      <c r="B51" s="120"/>
      <c r="C51" s="120"/>
      <c r="D51" s="120"/>
      <c r="E51" s="120"/>
      <c r="F51" s="120"/>
      <c r="G51" s="120"/>
      <c r="H51" s="120"/>
      <c r="I51" s="120"/>
      <c r="J51" s="120"/>
      <c r="K51" s="120"/>
      <c r="L51" s="120"/>
    </row>
    <row r="52" spans="1:12" s="21" customFormat="1" ht="12">
      <c r="A52" s="120"/>
      <c r="B52" s="120"/>
      <c r="C52" s="120"/>
      <c r="D52" s="120"/>
      <c r="E52" s="120"/>
      <c r="F52" s="120"/>
      <c r="G52" s="120"/>
      <c r="H52" s="120"/>
      <c r="I52" s="120"/>
      <c r="J52" s="120"/>
      <c r="K52" s="120"/>
      <c r="L52" s="120"/>
    </row>
    <row r="53" spans="1:12" s="21" customFormat="1" ht="12">
      <c r="A53" s="120"/>
      <c r="B53" s="120"/>
      <c r="C53" s="120"/>
      <c r="D53" s="120"/>
      <c r="E53" s="120"/>
      <c r="F53" s="120"/>
      <c r="G53" s="120"/>
      <c r="H53" s="120"/>
      <c r="I53" s="120"/>
      <c r="J53" s="120"/>
      <c r="K53" s="120"/>
      <c r="L53" s="120"/>
    </row>
    <row r="54" spans="1:12" s="21" customFormat="1" ht="12">
      <c r="A54" s="120"/>
      <c r="B54" s="120"/>
      <c r="C54" s="120"/>
      <c r="D54" s="120"/>
      <c r="E54" s="120"/>
      <c r="F54" s="120"/>
      <c r="G54" s="120"/>
      <c r="H54" s="120"/>
      <c r="I54" s="120"/>
      <c r="J54" s="120"/>
      <c r="K54" s="120"/>
      <c r="L54" s="120"/>
    </row>
    <row r="55" spans="1:12" s="21" customFormat="1" ht="12">
      <c r="A55" s="120"/>
      <c r="B55" s="120"/>
      <c r="C55" s="120"/>
      <c r="D55" s="120"/>
      <c r="E55" s="120"/>
      <c r="F55" s="120"/>
      <c r="G55" s="120"/>
      <c r="H55" s="120"/>
      <c r="I55" s="120"/>
      <c r="J55" s="120"/>
      <c r="K55" s="120"/>
      <c r="L55" s="120"/>
    </row>
    <row r="56" spans="1:12" s="21" customFormat="1" ht="12">
      <c r="A56" s="120"/>
      <c r="B56" s="120"/>
      <c r="C56" s="120"/>
      <c r="D56" s="120"/>
      <c r="E56" s="120"/>
      <c r="F56" s="120"/>
      <c r="G56" s="120"/>
      <c r="H56" s="120"/>
      <c r="I56" s="120"/>
      <c r="J56" s="120"/>
      <c r="K56" s="120"/>
      <c r="L56" s="120"/>
    </row>
    <row r="57" spans="1:12" s="21" customFormat="1" ht="12">
      <c r="A57" s="120"/>
      <c r="B57" s="120"/>
      <c r="C57" s="120"/>
      <c r="D57" s="120"/>
      <c r="E57" s="120"/>
      <c r="F57" s="120"/>
      <c r="G57" s="120"/>
      <c r="H57" s="120"/>
      <c r="I57" s="120"/>
      <c r="J57" s="120"/>
      <c r="K57" s="120"/>
      <c r="L57" s="120"/>
    </row>
    <row r="58" spans="1:12" s="21" customFormat="1" ht="12">
      <c r="A58" s="120"/>
      <c r="B58" s="120"/>
      <c r="C58" s="120"/>
      <c r="D58" s="120"/>
      <c r="E58" s="120"/>
      <c r="F58" s="120"/>
      <c r="G58" s="120"/>
      <c r="H58" s="120"/>
      <c r="I58" s="120"/>
      <c r="J58" s="120"/>
      <c r="K58" s="120"/>
      <c r="L58" s="120"/>
    </row>
    <row r="59" spans="1:12" s="21" customFormat="1" ht="12">
      <c r="A59" s="120"/>
      <c r="B59" s="120"/>
      <c r="C59" s="120"/>
      <c r="D59" s="120"/>
      <c r="E59" s="120"/>
      <c r="F59" s="120"/>
      <c r="G59" s="120"/>
      <c r="H59" s="120"/>
      <c r="I59" s="120"/>
      <c r="J59" s="120"/>
      <c r="K59" s="120"/>
      <c r="L59" s="120"/>
    </row>
    <row r="60" spans="1:12" s="21" customFormat="1" ht="12">
      <c r="A60" s="120"/>
      <c r="B60" s="120"/>
      <c r="C60" s="120"/>
      <c r="D60" s="120"/>
      <c r="E60" s="120"/>
      <c r="F60" s="120"/>
      <c r="G60" s="120"/>
      <c r="H60" s="120"/>
      <c r="I60" s="120"/>
      <c r="J60" s="120"/>
      <c r="K60" s="120"/>
      <c r="L60" s="120"/>
    </row>
    <row r="61" spans="1:12" s="21" customFormat="1" ht="12">
      <c r="A61" s="120"/>
      <c r="B61" s="120"/>
      <c r="C61" s="120"/>
      <c r="D61" s="120"/>
      <c r="E61" s="120"/>
      <c r="F61" s="120"/>
      <c r="G61" s="120"/>
      <c r="H61" s="120"/>
      <c r="I61" s="120"/>
      <c r="J61" s="120"/>
      <c r="K61" s="120"/>
      <c r="L61" s="120"/>
    </row>
    <row r="62" spans="1:12" s="21" customFormat="1" ht="12">
      <c r="A62" s="120"/>
      <c r="B62" s="120"/>
      <c r="C62" s="120"/>
      <c r="D62" s="120"/>
      <c r="E62" s="120"/>
      <c r="F62" s="120"/>
      <c r="G62" s="120"/>
      <c r="H62" s="120"/>
      <c r="I62" s="120"/>
      <c r="J62" s="120"/>
      <c r="K62" s="120"/>
      <c r="L62" s="120"/>
    </row>
    <row r="63" spans="1:12" s="21" customFormat="1" ht="12">
      <c r="A63" s="120"/>
      <c r="B63" s="120"/>
      <c r="C63" s="120"/>
      <c r="D63" s="120"/>
      <c r="E63" s="120"/>
      <c r="F63" s="120"/>
      <c r="G63" s="120"/>
      <c r="H63" s="120"/>
      <c r="I63" s="120"/>
      <c r="J63" s="120"/>
      <c r="K63" s="120"/>
      <c r="L63" s="120"/>
    </row>
    <row r="64" spans="1:12" s="21" customFormat="1" ht="12">
      <c r="A64" s="120"/>
      <c r="B64" s="120"/>
      <c r="C64" s="120"/>
      <c r="D64" s="120"/>
      <c r="E64" s="120"/>
      <c r="F64" s="120"/>
      <c r="G64" s="120"/>
      <c r="H64" s="120"/>
      <c r="I64" s="120"/>
      <c r="J64" s="120"/>
      <c r="K64" s="120"/>
      <c r="L64" s="120"/>
    </row>
    <row r="65" spans="1:12" s="21" customFormat="1" ht="12">
      <c r="A65" s="120"/>
      <c r="B65" s="120"/>
      <c r="C65" s="120"/>
      <c r="D65" s="120"/>
      <c r="E65" s="120"/>
      <c r="F65" s="120"/>
      <c r="G65" s="120"/>
      <c r="H65" s="120"/>
      <c r="I65" s="120"/>
      <c r="J65" s="120"/>
      <c r="K65" s="120"/>
      <c r="L65" s="120"/>
    </row>
    <row r="66" spans="1:12" s="21" customFormat="1" ht="12">
      <c r="A66" s="120"/>
      <c r="B66" s="120"/>
      <c r="C66" s="120"/>
      <c r="D66" s="120"/>
      <c r="E66" s="120"/>
      <c r="F66" s="120"/>
      <c r="G66" s="120"/>
      <c r="H66" s="120"/>
      <c r="I66" s="120"/>
      <c r="J66" s="120"/>
      <c r="K66" s="120"/>
      <c r="L66" s="120"/>
    </row>
    <row r="67" spans="1:12" s="21" customFormat="1" ht="12">
      <c r="A67" s="120"/>
      <c r="B67" s="120"/>
      <c r="C67" s="120"/>
      <c r="D67" s="120"/>
      <c r="E67" s="120"/>
      <c r="F67" s="120"/>
      <c r="G67" s="120"/>
      <c r="H67" s="120"/>
      <c r="I67" s="120"/>
      <c r="J67" s="120"/>
      <c r="K67" s="120"/>
      <c r="L67" s="120"/>
    </row>
    <row r="68" spans="1:12" s="21" customFormat="1" ht="12">
      <c r="A68" s="120"/>
      <c r="B68" s="120"/>
      <c r="C68" s="120"/>
      <c r="D68" s="120"/>
      <c r="E68" s="120"/>
      <c r="F68" s="120"/>
      <c r="G68" s="120"/>
      <c r="H68" s="120"/>
      <c r="I68" s="120"/>
      <c r="J68" s="120"/>
      <c r="K68" s="120"/>
      <c r="L68" s="120"/>
    </row>
    <row r="69" spans="1:12" s="21" customFormat="1" ht="12">
      <c r="A69" s="120"/>
      <c r="B69" s="120"/>
      <c r="C69" s="120"/>
      <c r="D69" s="120"/>
      <c r="E69" s="120"/>
      <c r="F69" s="120"/>
      <c r="G69" s="120"/>
      <c r="H69" s="120"/>
      <c r="I69" s="120"/>
      <c r="J69" s="120"/>
      <c r="K69" s="120"/>
      <c r="L69" s="120"/>
    </row>
    <row r="70" spans="1:12" s="21" customFormat="1" ht="12">
      <c r="A70" s="120"/>
      <c r="B70" s="120"/>
      <c r="C70" s="120"/>
      <c r="D70" s="120"/>
      <c r="E70" s="120"/>
      <c r="F70" s="120"/>
      <c r="G70" s="120"/>
      <c r="H70" s="120"/>
      <c r="I70" s="120"/>
      <c r="J70" s="120"/>
      <c r="K70" s="120"/>
      <c r="L70" s="120"/>
    </row>
    <row r="71" spans="1:12" s="21" customFormat="1" ht="12">
      <c r="A71" s="120"/>
      <c r="B71" s="120"/>
      <c r="C71" s="120"/>
      <c r="D71" s="120"/>
      <c r="E71" s="120"/>
      <c r="F71" s="120"/>
      <c r="G71" s="120"/>
      <c r="H71" s="120"/>
      <c r="I71" s="120"/>
      <c r="J71" s="120"/>
      <c r="K71" s="120"/>
      <c r="L71" s="120"/>
    </row>
    <row r="72" spans="1:12" s="21" customFormat="1" ht="12">
      <c r="A72" s="120"/>
      <c r="B72" s="120"/>
      <c r="C72" s="120"/>
      <c r="D72" s="120"/>
      <c r="E72" s="120"/>
      <c r="F72" s="120"/>
      <c r="G72" s="120"/>
      <c r="H72" s="120"/>
      <c r="I72" s="120"/>
      <c r="J72" s="120"/>
      <c r="K72" s="120"/>
      <c r="L72" s="120"/>
    </row>
    <row r="73" spans="1:12" s="21" customFormat="1" ht="12">
      <c r="A73" s="120"/>
      <c r="B73" s="120"/>
      <c r="C73" s="120"/>
      <c r="D73" s="120"/>
      <c r="E73" s="120"/>
      <c r="F73" s="120"/>
      <c r="G73" s="120"/>
      <c r="H73" s="120"/>
      <c r="I73" s="120"/>
      <c r="J73" s="120"/>
      <c r="K73" s="120"/>
      <c r="L73" s="120"/>
    </row>
    <row r="74" spans="1:12" s="21" customFormat="1" ht="12">
      <c r="A74" s="120"/>
      <c r="B74" s="120"/>
      <c r="C74" s="120"/>
      <c r="D74" s="120"/>
      <c r="E74" s="120"/>
      <c r="F74" s="120"/>
      <c r="G74" s="120"/>
      <c r="H74" s="120"/>
      <c r="I74" s="120"/>
      <c r="J74" s="120"/>
      <c r="K74" s="120"/>
      <c r="L74" s="120"/>
    </row>
    <row r="75" spans="1:12" s="21" customFormat="1" ht="12">
      <c r="A75" s="120"/>
      <c r="B75" s="120"/>
      <c r="C75" s="120"/>
      <c r="D75" s="120"/>
      <c r="E75" s="120"/>
      <c r="F75" s="120"/>
      <c r="G75" s="120"/>
      <c r="H75" s="120"/>
      <c r="I75" s="120"/>
      <c r="J75" s="120"/>
      <c r="K75" s="120"/>
      <c r="L75" s="120"/>
    </row>
    <row r="76" spans="1:12" s="21" customFormat="1" ht="12">
      <c r="A76" s="120"/>
      <c r="B76" s="120"/>
      <c r="C76" s="120"/>
      <c r="D76" s="120"/>
      <c r="E76" s="120"/>
      <c r="F76" s="120"/>
      <c r="G76" s="120"/>
      <c r="H76" s="120"/>
      <c r="I76" s="120"/>
      <c r="J76" s="120"/>
      <c r="K76" s="120"/>
      <c r="L76" s="120"/>
    </row>
    <row r="77" spans="1:12" s="21" customFormat="1" ht="12">
      <c r="A77" s="120"/>
      <c r="B77" s="120"/>
      <c r="C77" s="120"/>
      <c r="D77" s="120"/>
      <c r="E77" s="120"/>
      <c r="F77" s="120"/>
      <c r="G77" s="120"/>
      <c r="H77" s="120"/>
      <c r="I77" s="120"/>
      <c r="J77" s="120"/>
      <c r="K77" s="120"/>
      <c r="L77" s="120"/>
    </row>
    <row r="78" spans="1:12" s="21" customFormat="1" ht="12">
      <c r="A78" s="120"/>
      <c r="B78" s="120"/>
      <c r="C78" s="120"/>
      <c r="D78" s="120"/>
      <c r="E78" s="120"/>
      <c r="F78" s="120"/>
      <c r="G78" s="120"/>
      <c r="H78" s="120"/>
      <c r="I78" s="120"/>
      <c r="J78" s="120"/>
      <c r="K78" s="120"/>
      <c r="L78" s="120"/>
    </row>
    <row r="79" spans="1:12" s="21" customFormat="1" ht="12">
      <c r="A79" s="120"/>
      <c r="B79" s="120"/>
      <c r="C79" s="120"/>
      <c r="D79" s="120"/>
      <c r="E79" s="120"/>
      <c r="F79" s="120"/>
      <c r="G79" s="120"/>
      <c r="H79" s="120"/>
      <c r="I79" s="120"/>
      <c r="J79" s="120"/>
      <c r="K79" s="120"/>
      <c r="L79" s="120"/>
    </row>
    <row r="80" spans="1:12" s="21" customFormat="1" ht="12">
      <c r="A80" s="120"/>
      <c r="B80" s="120"/>
      <c r="C80" s="120"/>
      <c r="D80" s="120"/>
      <c r="E80" s="120"/>
      <c r="F80" s="120"/>
      <c r="G80" s="120"/>
      <c r="H80" s="120"/>
      <c r="I80" s="120"/>
      <c r="J80" s="120"/>
      <c r="K80" s="120"/>
      <c r="L80" s="120"/>
    </row>
    <row r="81" spans="1:12" s="21" customFormat="1" ht="12">
      <c r="A81" s="120"/>
      <c r="B81" s="120"/>
      <c r="C81" s="120"/>
      <c r="D81" s="120"/>
      <c r="E81" s="120"/>
      <c r="F81" s="120"/>
      <c r="G81" s="120"/>
      <c r="H81" s="120"/>
      <c r="I81" s="120"/>
      <c r="J81" s="120"/>
      <c r="K81" s="120"/>
      <c r="L81" s="120"/>
    </row>
    <row r="82" spans="1:12" s="21" customFormat="1" ht="12">
      <c r="A82" s="120"/>
      <c r="B82" s="120"/>
      <c r="C82" s="120"/>
      <c r="D82" s="120"/>
      <c r="E82" s="120"/>
      <c r="F82" s="120"/>
      <c r="G82" s="120"/>
      <c r="H82" s="120"/>
      <c r="I82" s="120"/>
      <c r="J82" s="120"/>
      <c r="K82" s="120"/>
      <c r="L82" s="120"/>
    </row>
    <row r="83" spans="1:12" s="21" customFormat="1" ht="12">
      <c r="A83" s="120"/>
      <c r="B83" s="120"/>
      <c r="C83" s="120"/>
      <c r="D83" s="120"/>
      <c r="E83" s="120"/>
      <c r="F83" s="120"/>
      <c r="G83" s="120"/>
      <c r="H83" s="120"/>
      <c r="I83" s="120"/>
      <c r="J83" s="120"/>
      <c r="K83" s="120"/>
      <c r="L83" s="120"/>
    </row>
    <row r="84" spans="1:12" s="21" customFormat="1" ht="12">
      <c r="A84" s="120"/>
      <c r="B84" s="120"/>
      <c r="C84" s="120"/>
      <c r="D84" s="120"/>
      <c r="E84" s="120"/>
      <c r="F84" s="120"/>
      <c r="G84" s="120"/>
      <c r="H84" s="120"/>
      <c r="I84" s="120"/>
      <c r="J84" s="120"/>
      <c r="K84" s="120"/>
      <c r="L84" s="120"/>
    </row>
    <row r="85" spans="1:12" s="21" customFormat="1" ht="12">
      <c r="A85" s="120"/>
      <c r="B85" s="120"/>
      <c r="C85" s="120"/>
      <c r="D85" s="120"/>
      <c r="E85" s="120"/>
      <c r="F85" s="120"/>
      <c r="G85" s="120"/>
      <c r="H85" s="120"/>
      <c r="I85" s="120"/>
      <c r="J85" s="120"/>
      <c r="K85" s="120"/>
      <c r="L85" s="120"/>
    </row>
    <row r="86" spans="1:12" s="21" customFormat="1" ht="12">
      <c r="A86" s="120"/>
      <c r="B86" s="120"/>
      <c r="C86" s="120"/>
      <c r="D86" s="120"/>
      <c r="E86" s="120"/>
      <c r="F86" s="120"/>
      <c r="G86" s="120"/>
      <c r="H86" s="120"/>
      <c r="I86" s="120"/>
      <c r="J86" s="120"/>
      <c r="K86" s="120"/>
      <c r="L86" s="120"/>
    </row>
    <row r="87" spans="1:12" s="21" customFormat="1" ht="12">
      <c r="A87" s="120"/>
      <c r="B87" s="120"/>
      <c r="C87" s="120"/>
      <c r="D87" s="120"/>
      <c r="E87" s="120"/>
      <c r="F87" s="120"/>
      <c r="G87" s="120"/>
      <c r="H87" s="120"/>
      <c r="I87" s="120"/>
      <c r="J87" s="120"/>
      <c r="K87" s="120"/>
      <c r="L87" s="120"/>
    </row>
    <row r="88" spans="1:12" s="21" customFormat="1" ht="12">
      <c r="A88" s="120"/>
      <c r="B88" s="120"/>
      <c r="C88" s="120"/>
      <c r="D88" s="120"/>
      <c r="E88" s="120"/>
      <c r="F88" s="120"/>
      <c r="G88" s="120"/>
      <c r="H88" s="120"/>
      <c r="I88" s="120"/>
      <c r="J88" s="120"/>
      <c r="K88" s="120"/>
      <c r="L88" s="120"/>
    </row>
    <row r="89" spans="1:12" s="21" customFormat="1" ht="12">
      <c r="A89" s="120"/>
      <c r="B89" s="120"/>
      <c r="C89" s="120"/>
      <c r="D89" s="120"/>
      <c r="E89" s="120"/>
      <c r="F89" s="120"/>
      <c r="G89" s="120"/>
      <c r="H89" s="120"/>
      <c r="I89" s="120"/>
      <c r="J89" s="120"/>
      <c r="K89" s="120"/>
      <c r="L89" s="120"/>
    </row>
    <row r="90" spans="1:12" s="21" customFormat="1" ht="12">
      <c r="A90" s="120"/>
      <c r="B90" s="120"/>
      <c r="C90" s="120"/>
      <c r="D90" s="120"/>
      <c r="E90" s="120"/>
      <c r="F90" s="120"/>
      <c r="G90" s="120"/>
      <c r="H90" s="120"/>
      <c r="I90" s="120"/>
      <c r="J90" s="120"/>
      <c r="K90" s="120"/>
      <c r="L90" s="120"/>
    </row>
    <row r="91" spans="1:12" s="21" customFormat="1" ht="12">
      <c r="A91" s="120"/>
      <c r="B91" s="120"/>
      <c r="C91" s="120"/>
      <c r="D91" s="120"/>
      <c r="E91" s="120"/>
      <c r="F91" s="120"/>
      <c r="G91" s="120"/>
      <c r="H91" s="120"/>
      <c r="I91" s="120"/>
      <c r="J91" s="120"/>
      <c r="K91" s="120"/>
      <c r="L91" s="120"/>
    </row>
    <row r="92" spans="1:12" s="21" customFormat="1" ht="12">
      <c r="A92" s="120"/>
      <c r="B92" s="120"/>
      <c r="C92" s="120"/>
      <c r="D92" s="120"/>
      <c r="E92" s="120"/>
      <c r="F92" s="120"/>
      <c r="G92" s="120"/>
      <c r="H92" s="120"/>
      <c r="I92" s="120"/>
      <c r="J92" s="120"/>
      <c r="K92" s="120"/>
      <c r="L92" s="120"/>
    </row>
    <row r="93" spans="1:12" s="21" customFormat="1" ht="12">
      <c r="A93" s="120"/>
      <c r="B93" s="120"/>
      <c r="C93" s="120"/>
      <c r="D93" s="120"/>
      <c r="E93" s="120"/>
      <c r="F93" s="120"/>
      <c r="G93" s="120"/>
      <c r="H93" s="120"/>
      <c r="I93" s="120"/>
      <c r="J93" s="120"/>
      <c r="K93" s="120"/>
      <c r="L93" s="120"/>
    </row>
    <row r="94" spans="1:12" s="21" customFormat="1" ht="12">
      <c r="A94" s="120"/>
      <c r="B94" s="120"/>
      <c r="C94" s="120"/>
      <c r="D94" s="120"/>
      <c r="E94" s="120"/>
      <c r="F94" s="120"/>
      <c r="G94" s="120"/>
      <c r="H94" s="120"/>
      <c r="I94" s="120"/>
      <c r="J94" s="120"/>
      <c r="K94" s="120"/>
      <c r="L94" s="120"/>
    </row>
    <row r="95" spans="1:12" s="21" customFormat="1" ht="12">
      <c r="A95" s="120"/>
      <c r="B95" s="120"/>
      <c r="C95" s="120"/>
      <c r="D95" s="120"/>
      <c r="E95" s="120"/>
      <c r="F95" s="120"/>
      <c r="G95" s="120"/>
      <c r="H95" s="120"/>
      <c r="I95" s="120"/>
      <c r="J95" s="120"/>
      <c r="K95" s="120"/>
      <c r="L95" s="120"/>
    </row>
    <row r="96" spans="1:12" s="21" customFormat="1" ht="12">
      <c r="A96" s="120"/>
      <c r="B96" s="120"/>
      <c r="C96" s="120"/>
      <c r="D96" s="120"/>
      <c r="E96" s="120"/>
      <c r="F96" s="120"/>
      <c r="G96" s="120"/>
      <c r="H96" s="120"/>
      <c r="I96" s="120"/>
      <c r="J96" s="120"/>
      <c r="K96" s="120"/>
      <c r="L96" s="120"/>
    </row>
    <row r="97" spans="1:12" s="21" customFormat="1" ht="12">
      <c r="A97" s="120"/>
      <c r="B97" s="120"/>
      <c r="C97" s="120"/>
      <c r="D97" s="120"/>
      <c r="E97" s="120"/>
      <c r="F97" s="120"/>
      <c r="G97" s="120"/>
      <c r="H97" s="120"/>
      <c r="I97" s="120"/>
      <c r="J97" s="120"/>
      <c r="K97" s="120"/>
      <c r="L97" s="120"/>
    </row>
    <row r="98" spans="1:12" s="21" customFormat="1" ht="12">
      <c r="A98" s="120"/>
      <c r="B98" s="120"/>
      <c r="C98" s="120"/>
      <c r="D98" s="120"/>
      <c r="E98" s="120"/>
      <c r="F98" s="120"/>
      <c r="G98" s="120"/>
      <c r="H98" s="120"/>
      <c r="I98" s="120"/>
      <c r="J98" s="120"/>
      <c r="K98" s="120"/>
      <c r="L98" s="120"/>
    </row>
    <row r="99" spans="1:12" s="21" customFormat="1" ht="12">
      <c r="A99" s="120"/>
      <c r="B99" s="120"/>
      <c r="C99" s="120"/>
      <c r="D99" s="120"/>
      <c r="E99" s="120"/>
      <c r="F99" s="120"/>
      <c r="G99" s="120"/>
      <c r="H99" s="120"/>
      <c r="I99" s="120"/>
      <c r="J99" s="120"/>
      <c r="K99" s="120"/>
      <c r="L99" s="120"/>
    </row>
    <row r="100" spans="1:12" s="21" customFormat="1" ht="12">
      <c r="A100" s="120"/>
      <c r="B100" s="120"/>
      <c r="C100" s="120"/>
      <c r="D100" s="120"/>
      <c r="E100" s="120"/>
      <c r="F100" s="120"/>
      <c r="G100" s="120"/>
      <c r="H100" s="120"/>
      <c r="I100" s="120"/>
      <c r="J100" s="120"/>
      <c r="K100" s="120"/>
      <c r="L100" s="120"/>
    </row>
    <row r="101" spans="1:12" s="21" customFormat="1" ht="12">
      <c r="A101" s="120"/>
      <c r="B101" s="120"/>
      <c r="C101" s="120"/>
      <c r="D101" s="120"/>
      <c r="E101" s="120"/>
      <c r="F101" s="120"/>
      <c r="G101" s="120"/>
      <c r="H101" s="120"/>
      <c r="I101" s="120"/>
      <c r="J101" s="120"/>
      <c r="K101" s="120"/>
      <c r="L101" s="120"/>
    </row>
    <row r="102" spans="1:12" s="21" customFormat="1" ht="12">
      <c r="A102" s="120"/>
      <c r="B102" s="120"/>
      <c r="C102" s="120"/>
      <c r="D102" s="120"/>
      <c r="E102" s="120"/>
      <c r="F102" s="120"/>
      <c r="G102" s="120"/>
      <c r="H102" s="120"/>
      <c r="I102" s="120"/>
      <c r="J102" s="120"/>
      <c r="K102" s="120"/>
      <c r="L102" s="120"/>
    </row>
    <row r="103" spans="1:12" s="21" customFormat="1" ht="12">
      <c r="A103" s="120"/>
      <c r="B103" s="120"/>
      <c r="C103" s="120"/>
      <c r="D103" s="120"/>
      <c r="E103" s="120"/>
      <c r="F103" s="120"/>
      <c r="G103" s="120"/>
      <c r="H103" s="120"/>
      <c r="I103" s="120"/>
      <c r="J103" s="120"/>
      <c r="K103" s="120"/>
      <c r="L103" s="120"/>
    </row>
    <row r="104" spans="1:12" s="21" customFormat="1" ht="12">
      <c r="A104" s="120"/>
      <c r="B104" s="120"/>
      <c r="C104" s="120"/>
      <c r="D104" s="120"/>
      <c r="E104" s="120"/>
      <c r="F104" s="120"/>
      <c r="G104" s="120"/>
      <c r="H104" s="120"/>
      <c r="I104" s="120"/>
      <c r="J104" s="120"/>
      <c r="K104" s="120"/>
      <c r="L104" s="120"/>
    </row>
    <row r="122" spans="1:2">
      <c r="A122" s="138"/>
      <c r="B122" s="138"/>
    </row>
    <row r="123" spans="1:2">
      <c r="A123" s="138"/>
      <c r="B123" s="138"/>
    </row>
    <row r="124" spans="1:2">
      <c r="A124" s="138"/>
      <c r="B124" s="138"/>
    </row>
    <row r="125" spans="1:2">
      <c r="A125" s="138"/>
      <c r="B125" s="138"/>
    </row>
    <row r="126" spans="1:2">
      <c r="A126" s="138"/>
      <c r="B126" s="138"/>
    </row>
    <row r="156" spans="1:2">
      <c r="A156" s="138"/>
      <c r="B156" s="138"/>
    </row>
    <row r="225" spans="1:1">
      <c r="A225" s="117"/>
    </row>
    <row r="242" spans="1:1">
      <c r="A242" s="138"/>
    </row>
    <row r="243" spans="1:1">
      <c r="A243" s="138"/>
    </row>
    <row r="244" spans="1:1">
      <c r="A244" s="138"/>
    </row>
    <row r="245" spans="1:1">
      <c r="A245" s="138"/>
    </row>
    <row r="246" spans="1:1">
      <c r="A246" s="138"/>
    </row>
    <row r="247" spans="1:1">
      <c r="A247" s="138"/>
    </row>
    <row r="248" spans="1:1">
      <c r="A248" s="138"/>
    </row>
    <row r="249" spans="1:1">
      <c r="A249" s="138"/>
    </row>
    <row r="250" spans="1:1">
      <c r="A250" s="138"/>
    </row>
    <row r="251" spans="1:1">
      <c r="A251" s="138"/>
    </row>
    <row r="252" spans="1:1">
      <c r="A252" s="138"/>
    </row>
    <row r="253" spans="1:1">
      <c r="A253" s="138"/>
    </row>
    <row r="254" spans="1:1">
      <c r="A254" s="138"/>
    </row>
    <row r="255" spans="1:1">
      <c r="A255" s="138"/>
    </row>
    <row r="256" spans="1:1">
      <c r="A256" s="138"/>
    </row>
    <row r="257" spans="1:1">
      <c r="A257" s="138"/>
    </row>
    <row r="258" spans="1:1">
      <c r="A258" s="138"/>
    </row>
    <row r="259" spans="1:1">
      <c r="A259" s="138"/>
    </row>
    <row r="260" spans="1:1">
      <c r="A260" s="138"/>
    </row>
    <row r="261" spans="1:1">
      <c r="A261" s="138"/>
    </row>
    <row r="262" spans="1:1">
      <c r="A262" s="138"/>
    </row>
    <row r="263" spans="1:1">
      <c r="A263" s="138"/>
    </row>
    <row r="264" spans="1:1">
      <c r="A264" s="138"/>
    </row>
    <row r="265" spans="1:1">
      <c r="A265" s="138"/>
    </row>
    <row r="266" spans="1:1">
      <c r="A266" s="138"/>
    </row>
    <row r="267" spans="1:1">
      <c r="A267" s="138"/>
    </row>
    <row r="268" spans="1:1">
      <c r="A268" s="138"/>
    </row>
    <row r="269" spans="1:1">
      <c r="A269" s="138"/>
    </row>
    <row r="270" spans="1:1">
      <c r="A270" s="138"/>
    </row>
    <row r="271" spans="1:1">
      <c r="A271" s="138"/>
    </row>
    <row r="272" spans="1:1">
      <c r="A272" s="138"/>
    </row>
    <row r="273" spans="1:1">
      <c r="A273" s="138"/>
    </row>
    <row r="274" spans="1:1">
      <c r="A274" s="138"/>
    </row>
    <row r="275" spans="1:1">
      <c r="A275" s="138"/>
    </row>
    <row r="276" spans="1:1">
      <c r="A276" s="138"/>
    </row>
    <row r="277" spans="1:1">
      <c r="A277" s="138"/>
    </row>
    <row r="278" spans="1:1">
      <c r="A278" s="138"/>
    </row>
    <row r="279" spans="1:1">
      <c r="A279" s="138"/>
    </row>
    <row r="280" spans="1:1">
      <c r="A280" s="138"/>
    </row>
    <row r="281" spans="1:1">
      <c r="A281" s="138"/>
    </row>
    <row r="282" spans="1:1">
      <c r="A282" s="138"/>
    </row>
    <row r="283" spans="1:1">
      <c r="A283" s="138"/>
    </row>
    <row r="284" spans="1:1">
      <c r="A284" s="138"/>
    </row>
    <row r="285" spans="1:1">
      <c r="A285" s="138"/>
    </row>
    <row r="286" spans="1:1">
      <c r="A286" s="138"/>
    </row>
    <row r="287" spans="1:1">
      <c r="A287" s="138"/>
    </row>
    <row r="288" spans="1:1">
      <c r="A288" s="138"/>
    </row>
    <row r="289" spans="1:1">
      <c r="A289" s="138"/>
    </row>
    <row r="290" spans="1:1">
      <c r="A290" s="138"/>
    </row>
    <row r="291" spans="1:1">
      <c r="A291" s="138"/>
    </row>
    <row r="292" spans="1:1">
      <c r="A292" s="138"/>
    </row>
    <row r="293" spans="1:1">
      <c r="A293" s="138"/>
    </row>
    <row r="294" spans="1:1">
      <c r="A294" s="138"/>
    </row>
    <row r="295" spans="1:1">
      <c r="A295" s="138"/>
    </row>
    <row r="296" spans="1:1">
      <c r="A296" s="138"/>
    </row>
  </sheetData>
  <mergeCells count="4">
    <mergeCell ref="A9:J10"/>
    <mergeCell ref="D13:E13"/>
    <mergeCell ref="D14:E14"/>
    <mergeCell ref="D15:E15"/>
  </mergeCells>
  <phoneticPr fontId="27" type="noConversion"/>
  <printOptions horizontalCentered="1"/>
  <pageMargins left="0.75" right="0.5" top="0.75" bottom="0.5" header="0.25" footer="0.25"/>
  <pageSetup scale="99" orientation="landscape" r:id="rId1"/>
  <headerFooter alignWithMargins="0">
    <oddFooter xml:space="preserve">&amp;C&amp;"Garmond (W1),Bold"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51"/>
  <dimension ref="A1:I122"/>
  <sheetViews>
    <sheetView view="pageBreakPreview" topLeftCell="A111" zoomScale="90" zoomScaleNormal="100" zoomScaleSheetLayoutView="90" workbookViewId="0">
      <selection sqref="A1:XFD1048576"/>
    </sheetView>
  </sheetViews>
  <sheetFormatPr defaultColWidth="10.85546875" defaultRowHeight="12"/>
  <cols>
    <col min="1" max="1" width="5.28515625" style="120" customWidth="1"/>
    <col min="2" max="2" width="4.7109375" style="120" customWidth="1"/>
    <col min="3" max="3" width="8.28515625" style="120" customWidth="1"/>
    <col min="4" max="4" width="48.140625" style="120" customWidth="1"/>
    <col min="5" max="5" width="12" style="120" customWidth="1"/>
    <col min="6" max="6" width="15.42578125" style="120" customWidth="1"/>
    <col min="7" max="16384" width="10.85546875" style="120"/>
  </cols>
  <sheetData>
    <row r="1" spans="1:8" ht="14.25">
      <c r="A1" s="290" t="s">
        <v>504</v>
      </c>
      <c r="B1" s="288"/>
      <c r="C1" s="1969"/>
      <c r="D1" s="1969"/>
      <c r="F1" s="1523" t="s">
        <v>1209</v>
      </c>
    </row>
    <row r="2" spans="1:8">
      <c r="A2" s="117" t="s">
        <v>2644</v>
      </c>
      <c r="B2" s="117"/>
      <c r="C2" s="117"/>
      <c r="D2" s="117"/>
      <c r="F2" s="827"/>
    </row>
    <row r="3" spans="1:8">
      <c r="A3" s="117" t="s">
        <v>1935</v>
      </c>
      <c r="B3" s="176"/>
      <c r="C3" s="123"/>
      <c r="D3" s="117"/>
      <c r="F3" s="1679" t="s">
        <v>2952</v>
      </c>
    </row>
    <row r="4" spans="1:8">
      <c r="A4" s="117" t="s">
        <v>2645</v>
      </c>
      <c r="B4" s="176"/>
      <c r="C4" s="123"/>
      <c r="D4" s="117"/>
      <c r="F4" s="1679" t="s">
        <v>1455</v>
      </c>
    </row>
    <row r="5" spans="1:8">
      <c r="A5" s="117" t="s">
        <v>683</v>
      </c>
      <c r="B5" s="117"/>
      <c r="C5" s="117"/>
      <c r="D5" s="117"/>
      <c r="F5" s="1679" t="s">
        <v>2948</v>
      </c>
    </row>
    <row r="6" spans="1:8">
      <c r="A6" s="123" t="s">
        <v>1348</v>
      </c>
      <c r="B6" s="176"/>
      <c r="C6" s="117"/>
      <c r="D6" s="117"/>
      <c r="F6" s="117"/>
    </row>
    <row r="7" spans="1:8" ht="12.75" customHeight="1">
      <c r="A7" s="2308" t="s">
        <v>1395</v>
      </c>
      <c r="B7" s="2308"/>
      <c r="C7" s="2308"/>
      <c r="D7" s="2308"/>
      <c r="E7" s="2308"/>
      <c r="F7" s="2308"/>
    </row>
    <row r="8" spans="1:8">
      <c r="A8" s="2308"/>
      <c r="B8" s="2308"/>
      <c r="C8" s="2308"/>
      <c r="D8" s="2308"/>
      <c r="E8" s="2308"/>
      <c r="F8" s="2308"/>
    </row>
    <row r="9" spans="1:8" ht="12.75" thickBot="1">
      <c r="A9" s="124"/>
      <c r="B9" s="194"/>
      <c r="C9" s="194"/>
      <c r="D9" s="194"/>
      <c r="E9" s="194"/>
      <c r="F9" s="194"/>
    </row>
    <row r="10" spans="1:8">
      <c r="A10" s="179" t="s">
        <v>53</v>
      </c>
      <c r="B10" s="148"/>
      <c r="C10" s="117"/>
      <c r="D10" s="117"/>
      <c r="E10" s="117"/>
      <c r="F10" s="148"/>
    </row>
    <row r="11" spans="1:8" ht="12.75" thickBot="1">
      <c r="A11" s="1510" t="s">
        <v>730</v>
      </c>
      <c r="B11" s="1511" t="s">
        <v>731</v>
      </c>
      <c r="C11" s="1511"/>
      <c r="D11" s="1511"/>
      <c r="E11" s="1510" t="s">
        <v>498</v>
      </c>
      <c r="F11" s="1510" t="s">
        <v>499</v>
      </c>
    </row>
    <row r="12" spans="1:8" ht="14.25">
      <c r="A12" s="295">
        <v>1</v>
      </c>
      <c r="B12" s="288" t="s">
        <v>500</v>
      </c>
      <c r="C12" s="1179" t="s">
        <v>2890</v>
      </c>
      <c r="D12" s="294"/>
      <c r="E12" s="247"/>
      <c r="F12" s="247"/>
    </row>
    <row r="13" spans="1:8">
      <c r="A13" s="281">
        <v>2</v>
      </c>
      <c r="B13" s="296"/>
      <c r="C13" s="285" t="s">
        <v>29</v>
      </c>
      <c r="D13" s="296"/>
      <c r="E13" s="1389"/>
      <c r="F13" s="212">
        <v>1933425.6500000001</v>
      </c>
      <c r="G13" s="211"/>
      <c r="H13" s="211"/>
    </row>
    <row r="14" spans="1:8">
      <c r="A14" s="281">
        <v>3</v>
      </c>
      <c r="B14" s="296"/>
      <c r="C14" s="301" t="s">
        <v>2995</v>
      </c>
      <c r="D14" s="296"/>
      <c r="E14" s="1389"/>
      <c r="F14" s="2152">
        <v>-152521.12</v>
      </c>
      <c r="G14" s="211"/>
      <c r="H14" s="211"/>
    </row>
    <row r="15" spans="1:8">
      <c r="A15" s="281">
        <v>4</v>
      </c>
      <c r="C15" s="120" t="s">
        <v>2994</v>
      </c>
      <c r="F15" s="202">
        <v>1780904.5300000003</v>
      </c>
      <c r="G15" s="211"/>
      <c r="H15" s="211"/>
    </row>
    <row r="16" spans="1:8">
      <c r="A16" s="281">
        <v>5</v>
      </c>
      <c r="B16" s="296"/>
      <c r="C16" s="2150" t="s">
        <v>28</v>
      </c>
      <c r="D16" s="296"/>
      <c r="E16" s="1389"/>
      <c r="F16" s="212">
        <v>1790019.8</v>
      </c>
      <c r="G16" s="211"/>
      <c r="H16" s="211"/>
    </row>
    <row r="17" spans="1:9">
      <c r="A17" s="281">
        <v>6</v>
      </c>
      <c r="B17" s="296"/>
      <c r="C17" s="301" t="s">
        <v>2996</v>
      </c>
      <c r="D17" s="721"/>
      <c r="E17" s="224"/>
      <c r="F17" s="2153">
        <v>9115.2699999997858</v>
      </c>
      <c r="G17" s="211"/>
      <c r="H17" s="211"/>
      <c r="I17" s="149"/>
    </row>
    <row r="18" spans="1:9">
      <c r="A18" s="281">
        <v>7</v>
      </c>
      <c r="B18" s="296"/>
      <c r="C18" s="298"/>
      <c r="D18" s="296"/>
      <c r="E18" s="224"/>
      <c r="F18" s="224"/>
    </row>
    <row r="19" spans="1:9">
      <c r="A19" s="281">
        <v>8</v>
      </c>
      <c r="B19" s="288" t="s">
        <v>500</v>
      </c>
      <c r="C19" s="1179" t="s">
        <v>2891</v>
      </c>
      <c r="D19" s="779"/>
      <c r="E19" s="222"/>
      <c r="F19" s="212"/>
    </row>
    <row r="20" spans="1:9">
      <c r="A20" s="281">
        <v>9</v>
      </c>
      <c r="B20" s="296"/>
      <c r="C20" s="297" t="s">
        <v>2892</v>
      </c>
      <c r="D20" s="296"/>
      <c r="E20" s="986"/>
      <c r="F20" s="771">
        <v>472791.78415484994</v>
      </c>
    </row>
    <row r="21" spans="1:9">
      <c r="A21" s="281">
        <v>10</v>
      </c>
      <c r="B21" s="296"/>
      <c r="C21" s="213">
        <v>8.3199999999999996E-2</v>
      </c>
      <c r="D21" s="296" t="s">
        <v>921</v>
      </c>
      <c r="E21" s="224"/>
      <c r="F21" s="299">
        <v>472791.78415484994</v>
      </c>
    </row>
    <row r="22" spans="1:9">
      <c r="A22" s="281">
        <v>11</v>
      </c>
      <c r="B22" s="296"/>
      <c r="C22" s="302"/>
      <c r="D22" s="1966"/>
      <c r="E22" s="224"/>
      <c r="F22" s="224"/>
    </row>
    <row r="23" spans="1:9">
      <c r="A23" s="281">
        <v>12</v>
      </c>
      <c r="B23" s="706" t="s">
        <v>501</v>
      </c>
      <c r="C23" s="1180" t="s">
        <v>2893</v>
      </c>
      <c r="D23" s="288"/>
      <c r="E23" s="252"/>
      <c r="F23" s="249"/>
    </row>
    <row r="24" spans="1:9">
      <c r="A24" s="281">
        <v>13</v>
      </c>
      <c r="B24" s="300"/>
      <c r="C24" s="1358" t="s">
        <v>2814</v>
      </c>
      <c r="D24" s="779"/>
      <c r="E24" s="2045"/>
      <c r="F24" s="249">
        <v>-3079.9964999999793</v>
      </c>
    </row>
    <row r="25" spans="1:9">
      <c r="A25" s="281">
        <v>14</v>
      </c>
      <c r="B25" s="300"/>
      <c r="C25" s="1358" t="s">
        <v>3237</v>
      </c>
      <c r="D25" s="779"/>
      <c r="E25" s="2045"/>
      <c r="F25" s="249">
        <v>8654.0144999999993</v>
      </c>
    </row>
    <row r="26" spans="1:9">
      <c r="A26" s="281">
        <v>15</v>
      </c>
      <c r="B26" s="300"/>
      <c r="C26" s="1358" t="s">
        <v>3238</v>
      </c>
      <c r="D26" s="779"/>
      <c r="E26" s="2045"/>
      <c r="F26" s="249">
        <v>397.88662499999998</v>
      </c>
    </row>
    <row r="27" spans="1:9">
      <c r="A27" s="281">
        <v>16</v>
      </c>
      <c r="B27" s="300"/>
      <c r="C27" s="1358" t="s">
        <v>3239</v>
      </c>
      <c r="D27" s="779"/>
      <c r="E27" s="2045"/>
      <c r="F27" s="249">
        <v>2847.6990000000001</v>
      </c>
    </row>
    <row r="28" spans="1:9">
      <c r="A28" s="281">
        <v>17</v>
      </c>
      <c r="B28" s="300"/>
      <c r="C28" s="285"/>
      <c r="D28" s="763" t="s">
        <v>2815</v>
      </c>
      <c r="E28" s="252"/>
      <c r="F28" s="2283">
        <v>8819.6036250000197</v>
      </c>
    </row>
    <row r="29" spans="1:9">
      <c r="A29" s="281">
        <v>18</v>
      </c>
      <c r="B29" s="706" t="s">
        <v>501</v>
      </c>
      <c r="C29" s="1180" t="s">
        <v>2894</v>
      </c>
      <c r="D29" s="763"/>
      <c r="E29" s="252"/>
      <c r="F29" s="252"/>
    </row>
    <row r="30" spans="1:9">
      <c r="A30" s="281">
        <v>19</v>
      </c>
      <c r="B30" s="300"/>
      <c r="C30" s="1358" t="s">
        <v>3240</v>
      </c>
      <c r="D30" s="763"/>
      <c r="E30" s="252"/>
      <c r="F30" s="252">
        <v>38036.145120000001</v>
      </c>
    </row>
    <row r="31" spans="1:9">
      <c r="A31" s="281">
        <v>20</v>
      </c>
      <c r="B31" s="300"/>
      <c r="C31" s="1358" t="s">
        <v>3241</v>
      </c>
      <c r="D31" s="763"/>
      <c r="E31" s="252"/>
      <c r="F31" s="252">
        <v>11794.266576</v>
      </c>
    </row>
    <row r="32" spans="1:9">
      <c r="A32" s="281">
        <v>21</v>
      </c>
      <c r="B32" s="300"/>
      <c r="C32" s="285" t="s">
        <v>3242</v>
      </c>
      <c r="D32" s="763"/>
      <c r="E32" s="252"/>
      <c r="F32" s="252">
        <v>430.60110000000003</v>
      </c>
    </row>
    <row r="33" spans="1:6">
      <c r="A33" s="281">
        <v>22</v>
      </c>
      <c r="B33" s="296"/>
      <c r="C33" s="1968" t="s">
        <v>3243</v>
      </c>
      <c r="D33" s="296"/>
      <c r="E33" s="311"/>
      <c r="F33" s="150">
        <v>27072.25</v>
      </c>
    </row>
    <row r="34" spans="1:6">
      <c r="A34" s="265">
        <v>23</v>
      </c>
      <c r="B34" s="1967"/>
      <c r="C34" s="1968"/>
      <c r="D34" s="763" t="s">
        <v>2816</v>
      </c>
      <c r="E34" s="1974"/>
      <c r="F34" s="2283">
        <v>77333.262795999995</v>
      </c>
    </row>
    <row r="35" spans="1:6" ht="12.75" customHeight="1">
      <c r="A35" s="281">
        <v>24</v>
      </c>
      <c r="B35" s="267"/>
      <c r="C35" s="232"/>
      <c r="D35" s="232"/>
      <c r="E35" s="224"/>
      <c r="F35" s="225"/>
    </row>
    <row r="36" spans="1:6" ht="14.25">
      <c r="A36" s="281">
        <v>25</v>
      </c>
      <c r="B36" s="706" t="s">
        <v>465</v>
      </c>
      <c r="C36" s="289" t="s">
        <v>2895</v>
      </c>
      <c r="D36" s="288"/>
      <c r="E36" s="1969"/>
      <c r="F36" s="1969"/>
    </row>
    <row r="37" spans="1:6" ht="12.75" customHeight="1" thickBot="1">
      <c r="A37" s="281">
        <v>26</v>
      </c>
      <c r="B37" s="300"/>
      <c r="C37" s="285" t="s">
        <v>2810</v>
      </c>
      <c r="D37" s="288"/>
      <c r="E37" s="1969"/>
      <c r="F37" s="2285">
        <v>-6876</v>
      </c>
    </row>
    <row r="38" spans="1:6" ht="12.75" customHeight="1" thickTop="1">
      <c r="A38" s="281">
        <v>27</v>
      </c>
      <c r="B38" s="706"/>
      <c r="C38" s="1968"/>
      <c r="D38" s="1181"/>
      <c r="E38" s="1969"/>
      <c r="F38" s="1969"/>
    </row>
    <row r="39" spans="1:6" ht="12.75" customHeight="1">
      <c r="A39" s="281">
        <v>28</v>
      </c>
      <c r="B39" s="706" t="s">
        <v>465</v>
      </c>
      <c r="C39" s="289" t="s">
        <v>2896</v>
      </c>
      <c r="D39" s="288"/>
      <c r="E39" s="1969"/>
      <c r="F39" s="1969"/>
    </row>
    <row r="40" spans="1:6">
      <c r="A40" s="281">
        <v>29</v>
      </c>
      <c r="B40" s="296"/>
      <c r="C40" s="1968" t="s">
        <v>2897</v>
      </c>
      <c r="D40" s="721"/>
      <c r="E40" s="311"/>
      <c r="F40" s="311"/>
    </row>
    <row r="41" spans="1:6" ht="12.75" customHeight="1">
      <c r="A41" s="281">
        <v>30</v>
      </c>
      <c r="B41" s="296"/>
      <c r="C41" s="754" t="s">
        <v>2808</v>
      </c>
      <c r="D41" s="721"/>
      <c r="E41" s="311"/>
      <c r="F41" s="150">
        <v>704.6</v>
      </c>
    </row>
    <row r="42" spans="1:6" ht="12.75" customHeight="1">
      <c r="A42" s="281">
        <v>31</v>
      </c>
      <c r="B42" s="296"/>
      <c r="C42" s="754" t="s">
        <v>2809</v>
      </c>
      <c r="D42" s="721"/>
      <c r="E42" s="311"/>
      <c r="F42" s="229">
        <v>9189.6666666666661</v>
      </c>
    </row>
    <row r="43" spans="1:6" ht="12.75" customHeight="1">
      <c r="A43" s="281">
        <v>32</v>
      </c>
      <c r="B43" s="296"/>
      <c r="C43" s="2014" t="s">
        <v>2913</v>
      </c>
      <c r="D43" s="721"/>
      <c r="E43" s="311"/>
      <c r="F43" s="229">
        <v>17050</v>
      </c>
    </row>
    <row r="44" spans="1:6" ht="12.75" customHeight="1">
      <c r="A44" s="281">
        <v>33</v>
      </c>
      <c r="B44" s="296"/>
      <c r="C44" s="1512" t="s">
        <v>2910</v>
      </c>
      <c r="D44" s="721"/>
      <c r="E44" s="311"/>
      <c r="F44" s="229">
        <v>5166.666666666667</v>
      </c>
    </row>
    <row r="45" spans="1:6" ht="12.75" customHeight="1">
      <c r="A45" s="281">
        <v>34</v>
      </c>
      <c r="B45" s="296"/>
      <c r="C45" s="1512" t="s">
        <v>2918</v>
      </c>
      <c r="D45" s="721"/>
      <c r="E45" s="311"/>
      <c r="F45" s="229">
        <v>1688.8888888888889</v>
      </c>
    </row>
    <row r="46" spans="1:6" ht="12.75" customHeight="1">
      <c r="A46" s="281">
        <v>35</v>
      </c>
      <c r="B46" s="296"/>
      <c r="C46" s="2015" t="s">
        <v>2919</v>
      </c>
      <c r="D46" s="721"/>
      <c r="E46" s="311"/>
      <c r="F46" s="229">
        <v>11111.111111111111</v>
      </c>
    </row>
    <row r="47" spans="1:6" ht="12.75" customHeight="1">
      <c r="A47" s="281">
        <v>36</v>
      </c>
      <c r="B47" s="296"/>
      <c r="C47" s="2014" t="s">
        <v>2915</v>
      </c>
      <c r="D47" s="721"/>
      <c r="E47" s="311"/>
      <c r="F47" s="229">
        <v>16200</v>
      </c>
    </row>
    <row r="48" spans="1:6" ht="12.75" customHeight="1">
      <c r="A48" s="281">
        <v>37</v>
      </c>
      <c r="B48" s="296"/>
      <c r="C48" s="2015" t="s">
        <v>2914</v>
      </c>
      <c r="D48" s="721"/>
      <c r="E48" s="311"/>
      <c r="F48" s="229">
        <v>20638.888888888891</v>
      </c>
    </row>
    <row r="49" spans="1:6" ht="12.75" customHeight="1">
      <c r="A49" s="281">
        <v>38</v>
      </c>
      <c r="B49" s="296"/>
      <c r="C49" s="2014" t="s">
        <v>2920</v>
      </c>
      <c r="D49" s="721"/>
      <c r="E49" s="311"/>
      <c r="F49" s="229">
        <v>0</v>
      </c>
    </row>
    <row r="50" spans="1:6" ht="12.75" customHeight="1">
      <c r="A50" s="281">
        <v>39</v>
      </c>
      <c r="B50" s="296"/>
      <c r="C50" s="2014" t="s">
        <v>2921</v>
      </c>
      <c r="D50" s="721"/>
      <c r="E50" s="311"/>
      <c r="F50" s="229">
        <v>5555.5555555555557</v>
      </c>
    </row>
    <row r="51" spans="1:6" ht="12.75" customHeight="1">
      <c r="A51" s="281">
        <v>40</v>
      </c>
      <c r="B51" s="296"/>
      <c r="C51" s="2014" t="s">
        <v>2922</v>
      </c>
      <c r="D51" s="721"/>
      <c r="E51" s="311"/>
      <c r="F51" s="229">
        <v>26666.666666666668</v>
      </c>
    </row>
    <row r="52" spans="1:6" ht="12.75" customHeight="1">
      <c r="A52" s="281">
        <v>41</v>
      </c>
      <c r="B52" s="296"/>
      <c r="C52" s="2015" t="s">
        <v>2916</v>
      </c>
      <c r="D52" s="721"/>
      <c r="E52" s="311"/>
      <c r="F52" s="229">
        <v>1625</v>
      </c>
    </row>
    <row r="53" spans="1:6">
      <c r="A53" s="281">
        <v>42</v>
      </c>
      <c r="B53" s="211"/>
      <c r="C53" s="302"/>
      <c r="D53" s="721" t="s">
        <v>2817</v>
      </c>
      <c r="E53" s="229"/>
      <c r="F53" s="1225">
        <v>115597.04444444446</v>
      </c>
    </row>
    <row r="54" spans="1:6">
      <c r="A54" s="281">
        <v>43</v>
      </c>
      <c r="B54" s="211"/>
      <c r="C54" s="302"/>
      <c r="D54" s="721"/>
      <c r="E54" s="229"/>
      <c r="F54" s="229"/>
    </row>
    <row r="55" spans="1:6">
      <c r="A55" s="281">
        <v>44</v>
      </c>
      <c r="B55" s="211"/>
      <c r="C55" s="1968" t="s">
        <v>2898</v>
      </c>
      <c r="D55" s="779"/>
      <c r="E55" s="2046"/>
      <c r="F55" s="211"/>
    </row>
    <row r="56" spans="1:6" ht="12.75" customHeight="1">
      <c r="A56" s="281">
        <v>45</v>
      </c>
      <c r="B56" s="211"/>
      <c r="C56" s="2014" t="s">
        <v>2913</v>
      </c>
      <c r="D56" s="779"/>
      <c r="E56" s="2046"/>
      <c r="F56" s="202">
        <v>-12787.5</v>
      </c>
    </row>
    <row r="57" spans="1:6" ht="12.75" customHeight="1">
      <c r="A57" s="281">
        <v>46</v>
      </c>
      <c r="B57" s="211"/>
      <c r="C57" s="2016" t="s">
        <v>2917</v>
      </c>
      <c r="D57" s="779"/>
      <c r="E57" s="2046"/>
      <c r="F57" s="202">
        <v>-3875</v>
      </c>
    </row>
    <row r="58" spans="1:6" ht="12.75" customHeight="1">
      <c r="A58" s="281">
        <v>47</v>
      </c>
      <c r="B58" s="211"/>
      <c r="C58" s="2016" t="s">
        <v>2926</v>
      </c>
      <c r="D58" s="779"/>
      <c r="E58" s="2046"/>
      <c r="F58" s="202">
        <v>0</v>
      </c>
    </row>
    <row r="59" spans="1:6" ht="12.75" customHeight="1">
      <c r="A59" s="281">
        <v>48</v>
      </c>
      <c r="B59" s="211"/>
      <c r="C59" s="2014" t="s">
        <v>2921</v>
      </c>
      <c r="D59" s="779"/>
      <c r="E59" s="2046"/>
      <c r="F59" s="202">
        <v>-4166.666666666667</v>
      </c>
    </row>
    <row r="60" spans="1:6" ht="12.75" customHeight="1">
      <c r="A60" s="281">
        <v>49</v>
      </c>
      <c r="B60" s="211"/>
      <c r="C60" s="2014" t="s">
        <v>2922</v>
      </c>
      <c r="D60" s="779"/>
      <c r="E60" s="2046"/>
      <c r="F60" s="202">
        <v>-20000</v>
      </c>
    </row>
    <row r="61" spans="1:6" ht="12.75" customHeight="1">
      <c r="A61" s="281">
        <v>50</v>
      </c>
      <c r="B61" s="211"/>
      <c r="C61" s="1512" t="s">
        <v>2916</v>
      </c>
      <c r="D61" s="779"/>
      <c r="E61" s="2046"/>
      <c r="F61" s="202">
        <v>-1218.75</v>
      </c>
    </row>
    <row r="62" spans="1:6">
      <c r="A62" s="281">
        <v>51</v>
      </c>
      <c r="B62" s="211"/>
      <c r="C62" s="302"/>
      <c r="D62" s="721" t="s">
        <v>2818</v>
      </c>
      <c r="E62" s="311"/>
      <c r="F62" s="306">
        <v>-42047.916666666672</v>
      </c>
    </row>
    <row r="63" spans="1:6">
      <c r="A63" s="281">
        <v>52</v>
      </c>
      <c r="B63" s="211"/>
      <c r="C63" s="211"/>
      <c r="D63" s="1970"/>
      <c r="E63" s="2047"/>
      <c r="F63" s="1971"/>
    </row>
    <row r="64" spans="1:6" ht="12.75" thickBot="1">
      <c r="A64" s="281">
        <v>53</v>
      </c>
      <c r="B64" s="296"/>
      <c r="C64" s="302"/>
      <c r="D64" s="1181" t="s">
        <v>2899</v>
      </c>
      <c r="E64" s="774"/>
      <c r="F64" s="2284">
        <v>73549.127777777787</v>
      </c>
    </row>
    <row r="65" spans="1:6" ht="12.75" thickTop="1">
      <c r="A65" s="281"/>
      <c r="B65" s="296"/>
      <c r="C65" s="302"/>
      <c r="D65" s="291"/>
      <c r="E65" s="774"/>
      <c r="F65" s="774"/>
    </row>
    <row r="66" spans="1:6" ht="14.25">
      <c r="A66" s="290" t="s">
        <v>504</v>
      </c>
      <c r="B66" s="288"/>
      <c r="C66" s="1969"/>
      <c r="D66" s="1969"/>
      <c r="F66" s="1523" t="s">
        <v>1209</v>
      </c>
    </row>
    <row r="67" spans="1:6">
      <c r="A67" s="117" t="s">
        <v>2644</v>
      </c>
      <c r="B67" s="117"/>
      <c r="C67" s="117"/>
      <c r="D67" s="117"/>
      <c r="F67" s="827"/>
    </row>
    <row r="68" spans="1:6">
      <c r="A68" s="117" t="s">
        <v>1935</v>
      </c>
      <c r="B68" s="176"/>
      <c r="C68" s="2160"/>
      <c r="D68" s="117"/>
      <c r="F68" s="1679" t="s">
        <v>2952</v>
      </c>
    </row>
    <row r="69" spans="1:6">
      <c r="A69" s="117" t="s">
        <v>2645</v>
      </c>
      <c r="B69" s="176"/>
      <c r="C69" s="2160"/>
      <c r="D69" s="117"/>
      <c r="F69" s="1679" t="s">
        <v>1504</v>
      </c>
    </row>
    <row r="70" spans="1:6">
      <c r="A70" s="117" t="s">
        <v>683</v>
      </c>
      <c r="B70" s="117"/>
      <c r="C70" s="117"/>
      <c r="D70" s="117"/>
      <c r="F70" s="1679" t="s">
        <v>2948</v>
      </c>
    </row>
    <row r="71" spans="1:6">
      <c r="A71" s="2160" t="s">
        <v>1348</v>
      </c>
      <c r="B71" s="176"/>
      <c r="C71" s="117"/>
      <c r="D71" s="117"/>
      <c r="F71" s="117"/>
    </row>
    <row r="72" spans="1:6">
      <c r="A72" s="2308" t="s">
        <v>1395</v>
      </c>
      <c r="B72" s="2308"/>
      <c r="C72" s="2308"/>
      <c r="D72" s="2308"/>
      <c r="E72" s="2308"/>
      <c r="F72" s="2308"/>
    </row>
    <row r="73" spans="1:6">
      <c r="A73" s="2308"/>
      <c r="B73" s="2308"/>
      <c r="C73" s="2308"/>
      <c r="D73" s="2308"/>
      <c r="E73" s="2308"/>
      <c r="F73" s="2308"/>
    </row>
    <row r="74" spans="1:6" ht="12.75" thickBot="1">
      <c r="A74" s="124"/>
      <c r="B74" s="194"/>
      <c r="C74" s="194"/>
      <c r="D74" s="194"/>
      <c r="E74" s="194"/>
      <c r="F74" s="194"/>
    </row>
    <row r="75" spans="1:6">
      <c r="A75" s="179" t="s">
        <v>53</v>
      </c>
      <c r="B75" s="148"/>
      <c r="C75" s="117"/>
      <c r="D75" s="117"/>
      <c r="E75" s="117"/>
      <c r="F75" s="148"/>
    </row>
    <row r="76" spans="1:6" ht="12.75" thickBot="1">
      <c r="A76" s="1510" t="s">
        <v>730</v>
      </c>
      <c r="B76" s="1511" t="s">
        <v>731</v>
      </c>
      <c r="C76" s="1511"/>
      <c r="D76" s="1511"/>
      <c r="E76" s="1510" t="s">
        <v>498</v>
      </c>
      <c r="F76" s="1510" t="s">
        <v>499</v>
      </c>
    </row>
    <row r="77" spans="1:6">
      <c r="A77" s="281"/>
      <c r="B77" s="296"/>
      <c r="C77" s="302"/>
      <c r="D77" s="1181"/>
      <c r="E77" s="774"/>
      <c r="F77" s="774"/>
    </row>
    <row r="78" spans="1:6">
      <c r="A78" s="281">
        <v>1</v>
      </c>
      <c r="B78" s="296"/>
      <c r="C78" s="302"/>
      <c r="D78" s="1181"/>
      <c r="E78" s="774"/>
      <c r="F78" s="774"/>
    </row>
    <row r="79" spans="1:6">
      <c r="A79" s="281">
        <v>2</v>
      </c>
      <c r="B79" s="706" t="s">
        <v>460</v>
      </c>
      <c r="C79" s="289" t="s">
        <v>3019</v>
      </c>
      <c r="D79" s="1181"/>
      <c r="E79" s="774"/>
      <c r="F79" s="774">
        <v>0</v>
      </c>
    </row>
    <row r="80" spans="1:6">
      <c r="A80" s="281">
        <v>3</v>
      </c>
      <c r="B80" s="296"/>
      <c r="C80" s="302"/>
      <c r="D80" s="1181"/>
      <c r="E80" s="774"/>
      <c r="F80" s="774"/>
    </row>
    <row r="81" spans="1:6" ht="14.25">
      <c r="A81" s="281">
        <v>4</v>
      </c>
      <c r="B81" s="706" t="s">
        <v>466</v>
      </c>
      <c r="C81" s="289" t="s">
        <v>2819</v>
      </c>
      <c r="D81" s="288"/>
      <c r="E81" s="1969"/>
      <c r="F81" s="247"/>
    </row>
    <row r="82" spans="1:6">
      <c r="A82" s="281">
        <v>5</v>
      </c>
      <c r="B82" s="706"/>
      <c r="C82" s="1968" t="s">
        <v>2945</v>
      </c>
      <c r="D82" s="288"/>
      <c r="E82" s="2048"/>
      <c r="F82" s="1972">
        <v>-5189.0957499999931</v>
      </c>
    </row>
    <row r="83" spans="1:6">
      <c r="A83" s="281">
        <v>6</v>
      </c>
      <c r="B83" s="706"/>
      <c r="C83" s="1968"/>
      <c r="D83" s="288"/>
      <c r="E83" s="2048"/>
      <c r="F83" s="1972"/>
    </row>
    <row r="84" spans="1:6">
      <c r="A84" s="281">
        <v>7</v>
      </c>
      <c r="B84" s="706"/>
      <c r="C84" s="285" t="s">
        <v>2900</v>
      </c>
      <c r="D84" s="296"/>
      <c r="E84" s="2049"/>
      <c r="F84" s="212">
        <v>9115.2699999997858</v>
      </c>
    </row>
    <row r="85" spans="1:6">
      <c r="A85" s="281">
        <v>8</v>
      </c>
      <c r="B85" s="706"/>
      <c r="C85" s="298" t="s">
        <v>505</v>
      </c>
      <c r="D85" s="296"/>
      <c r="E85" s="304"/>
      <c r="F85" s="1973">
        <v>4.4999999999999998E-2</v>
      </c>
    </row>
    <row r="86" spans="1:6">
      <c r="A86" s="281">
        <v>9</v>
      </c>
      <c r="B86" s="706"/>
      <c r="C86" s="302"/>
      <c r="D86" s="721" t="s">
        <v>987</v>
      </c>
      <c r="E86" s="311"/>
      <c r="F86" s="306">
        <v>410.18714999999037</v>
      </c>
    </row>
    <row r="87" spans="1:6">
      <c r="A87" s="281">
        <v>10</v>
      </c>
      <c r="B87" s="706"/>
      <c r="C87" s="302"/>
      <c r="D87" s="721"/>
      <c r="E87" s="311"/>
      <c r="F87" s="311"/>
    </row>
    <row r="88" spans="1:6">
      <c r="A88" s="281">
        <v>11</v>
      </c>
      <c r="B88" s="706"/>
      <c r="C88" s="709" t="s">
        <v>3244</v>
      </c>
      <c r="D88" s="721"/>
      <c r="E88" s="311"/>
      <c r="F88" s="2286">
        <v>690.66005583749995</v>
      </c>
    </row>
    <row r="89" spans="1:6" ht="12.75" thickBot="1">
      <c r="A89" s="281">
        <v>12</v>
      </c>
      <c r="B89" s="300"/>
      <c r="C89" s="285"/>
      <c r="D89" s="763" t="s">
        <v>2820</v>
      </c>
      <c r="E89" s="229"/>
      <c r="F89" s="764">
        <v>-4088.2485441625026</v>
      </c>
    </row>
    <row r="90" spans="1:6" ht="12.75" thickTop="1">
      <c r="A90" s="281">
        <v>13</v>
      </c>
      <c r="E90" s="158"/>
    </row>
    <row r="91" spans="1:6">
      <c r="A91" s="281">
        <v>14</v>
      </c>
      <c r="B91" s="706" t="s">
        <v>466</v>
      </c>
      <c r="C91" s="289" t="s">
        <v>2901</v>
      </c>
      <c r="D91" s="211"/>
      <c r="E91" s="304"/>
      <c r="F91" s="211"/>
    </row>
    <row r="92" spans="1:6">
      <c r="A92" s="281">
        <v>15</v>
      </c>
      <c r="B92" s="706"/>
      <c r="C92" s="1358" t="s">
        <v>3230</v>
      </c>
      <c r="D92" s="211"/>
      <c r="E92" s="304"/>
      <c r="F92" s="1388">
        <v>3192.3764947439995</v>
      </c>
    </row>
    <row r="93" spans="1:6">
      <c r="A93" s="281">
        <v>16</v>
      </c>
      <c r="B93" s="706"/>
      <c r="C93" s="289"/>
      <c r="D93" s="211"/>
      <c r="E93" s="304"/>
      <c r="F93" s="211"/>
    </row>
    <row r="94" spans="1:6">
      <c r="A94" s="281">
        <v>17</v>
      </c>
      <c r="B94" s="296"/>
      <c r="C94" s="285" t="s">
        <v>3231</v>
      </c>
      <c r="D94" s="779"/>
      <c r="E94" s="211"/>
      <c r="F94" s="211"/>
    </row>
    <row r="95" spans="1:6">
      <c r="A95" s="281">
        <v>18</v>
      </c>
      <c r="B95" s="296"/>
      <c r="C95" s="297" t="s">
        <v>2821</v>
      </c>
      <c r="D95" s="779"/>
      <c r="E95" s="310"/>
    </row>
    <row r="96" spans="1:6">
      <c r="A96" s="281">
        <v>19</v>
      </c>
      <c r="B96" s="296"/>
      <c r="C96" s="297" t="s">
        <v>2822</v>
      </c>
      <c r="D96" s="296"/>
      <c r="E96" s="224"/>
      <c r="F96" s="150">
        <v>2101132.0516239316</v>
      </c>
    </row>
    <row r="97" spans="1:6">
      <c r="A97" s="281">
        <v>20</v>
      </c>
      <c r="B97" s="307" t="s">
        <v>2823</v>
      </c>
      <c r="C97" s="296"/>
      <c r="D97" s="2005"/>
      <c r="E97" s="2005"/>
      <c r="F97" s="1258">
        <v>1.51521E-2</v>
      </c>
    </row>
    <row r="98" spans="1:6">
      <c r="A98" s="281">
        <v>21</v>
      </c>
      <c r="B98" s="298" t="s">
        <v>2824</v>
      </c>
      <c r="C98" s="296"/>
      <c r="D98" s="311"/>
      <c r="E98" s="311"/>
      <c r="F98" s="306">
        <v>31836.562959410974</v>
      </c>
    </row>
    <row r="99" spans="1:6">
      <c r="A99" s="281">
        <v>22</v>
      </c>
      <c r="B99" s="302"/>
      <c r="C99" s="721"/>
      <c r="D99" s="311"/>
      <c r="E99" s="311"/>
      <c r="F99" s="211"/>
    </row>
    <row r="100" spans="1:6">
      <c r="A100" s="281">
        <v>23</v>
      </c>
      <c r="C100" s="285" t="s">
        <v>3232</v>
      </c>
      <c r="D100" s="309"/>
      <c r="E100" s="2050"/>
      <c r="F100" s="211"/>
    </row>
    <row r="101" spans="1:6">
      <c r="A101" s="281">
        <v>24</v>
      </c>
      <c r="B101" s="296"/>
      <c r="C101" s="298" t="s">
        <v>533</v>
      </c>
      <c r="D101" s="296"/>
      <c r="E101" s="311"/>
      <c r="F101" s="150">
        <v>472791.78415484994</v>
      </c>
    </row>
    <row r="102" spans="1:6">
      <c r="A102" s="281">
        <v>25</v>
      </c>
      <c r="B102" s="296"/>
      <c r="C102" s="307" t="s">
        <v>505</v>
      </c>
      <c r="D102" s="296"/>
      <c r="E102" s="304"/>
      <c r="F102" s="1973">
        <v>4.4999999999999998E-2</v>
      </c>
    </row>
    <row r="103" spans="1:6">
      <c r="A103" s="281">
        <v>26</v>
      </c>
      <c r="B103" s="296"/>
      <c r="C103" s="298"/>
      <c r="D103" s="308" t="s">
        <v>2825</v>
      </c>
      <c r="E103" s="311"/>
      <c r="F103" s="310">
        <v>21276</v>
      </c>
    </row>
    <row r="104" spans="1:6">
      <c r="A104" s="281">
        <v>27</v>
      </c>
      <c r="B104" s="296"/>
      <c r="C104" s="298"/>
      <c r="D104" s="308"/>
      <c r="E104" s="304"/>
      <c r="F104" s="211"/>
    </row>
    <row r="105" spans="1:6" ht="12.75" thickBot="1">
      <c r="A105" s="281">
        <v>28</v>
      </c>
      <c r="B105" s="296"/>
      <c r="C105" s="302"/>
      <c r="D105" s="763" t="s">
        <v>2826</v>
      </c>
      <c r="E105" s="1974"/>
      <c r="F105" s="764">
        <v>56304.93945415497</v>
      </c>
    </row>
    <row r="106" spans="1:6" ht="12.75" thickTop="1">
      <c r="A106" s="281">
        <v>29</v>
      </c>
      <c r="B106" s="296"/>
      <c r="C106" s="302"/>
      <c r="D106" s="763"/>
      <c r="E106" s="1974"/>
      <c r="F106" s="1974"/>
    </row>
    <row r="107" spans="1:6">
      <c r="A107" s="281">
        <v>30</v>
      </c>
      <c r="B107" s="706" t="s">
        <v>383</v>
      </c>
      <c r="C107" s="289" t="s">
        <v>2902</v>
      </c>
      <c r="D107" s="288"/>
      <c r="E107" s="312"/>
      <c r="F107" s="211"/>
    </row>
    <row r="108" spans="1:6">
      <c r="A108" s="281">
        <v>31</v>
      </c>
      <c r="B108" s="706"/>
      <c r="C108" s="1179" t="s">
        <v>2903</v>
      </c>
      <c r="D108" s="288"/>
      <c r="E108" s="312"/>
      <c r="F108" s="202">
        <v>-119897.98</v>
      </c>
    </row>
    <row r="109" spans="1:6">
      <c r="A109" s="281">
        <v>32</v>
      </c>
      <c r="B109" s="706"/>
      <c r="C109" s="1179"/>
      <c r="D109" s="721" t="s">
        <v>2904</v>
      </c>
      <c r="E109" s="312"/>
      <c r="F109" s="211"/>
    </row>
    <row r="110" spans="1:6">
      <c r="A110" s="281">
        <v>33</v>
      </c>
      <c r="B110" s="706"/>
      <c r="C110" s="1179"/>
      <c r="D110" s="288"/>
      <c r="E110" s="312"/>
      <c r="F110" s="211"/>
    </row>
    <row r="111" spans="1:6">
      <c r="A111" s="281">
        <v>34</v>
      </c>
      <c r="B111" s="706" t="s">
        <v>383</v>
      </c>
      <c r="C111" s="289" t="s">
        <v>2905</v>
      </c>
      <c r="D111" s="288"/>
      <c r="E111" s="312"/>
      <c r="F111" s="304"/>
    </row>
    <row r="112" spans="1:6">
      <c r="A112" s="281">
        <v>35</v>
      </c>
      <c r="B112" s="1975"/>
      <c r="C112" s="285" t="s">
        <v>2906</v>
      </c>
      <c r="D112" s="582"/>
      <c r="E112" s="311"/>
      <c r="F112" s="150">
        <v>174424</v>
      </c>
    </row>
    <row r="113" spans="1:6" ht="12.75" thickBot="1">
      <c r="A113" s="281">
        <v>36</v>
      </c>
      <c r="B113" s="300"/>
      <c r="C113" s="313"/>
      <c r="D113" s="769" t="s">
        <v>2907</v>
      </c>
      <c r="E113" s="774"/>
      <c r="F113" s="1405">
        <v>174424</v>
      </c>
    </row>
    <row r="114" spans="1:6" ht="12.75" thickTop="1">
      <c r="A114" s="305"/>
      <c r="B114" s="211"/>
      <c r="C114" s="211"/>
      <c r="D114" s="211"/>
      <c r="E114" s="304"/>
      <c r="F114" s="211"/>
    </row>
    <row r="115" spans="1:6">
      <c r="E115" s="158"/>
    </row>
    <row r="116" spans="1:6">
      <c r="E116" s="158"/>
    </row>
    <row r="117" spans="1:6">
      <c r="E117" s="158"/>
    </row>
    <row r="118" spans="1:6">
      <c r="E118" s="158"/>
    </row>
    <row r="119" spans="1:6">
      <c r="E119" s="158"/>
    </row>
    <row r="120" spans="1:6">
      <c r="E120" s="158"/>
    </row>
    <row r="122" spans="1:6">
      <c r="D122" s="291"/>
    </row>
  </sheetData>
  <mergeCells count="2">
    <mergeCell ref="A7:F8"/>
    <mergeCell ref="A72:F73"/>
  </mergeCells>
  <phoneticPr fontId="27" type="noConversion"/>
  <printOptions horizontalCentered="1"/>
  <pageMargins left="0.75" right="0.5" top="0.75" bottom="0.5" header="0.25" footer="0.25"/>
  <pageSetup scale="89" fitToHeight="2" orientation="portrait" r:id="rId1"/>
  <headerFooter alignWithMargins="0">
    <oddFooter xml:space="preserve">&amp;C&amp;"Garmond (W1),Bold"
</oddFooter>
  </headerFooter>
  <rowBreaks count="1" manualBreakCount="1">
    <brk id="65" max="5"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27">
    <pageSetUpPr fitToPage="1"/>
  </sheetPr>
  <dimension ref="A1:G130"/>
  <sheetViews>
    <sheetView view="pageBreakPreview" topLeftCell="A14" zoomScale="60" zoomScaleNormal="100" workbookViewId="0">
      <selection sqref="A1:XFD1048576"/>
    </sheetView>
  </sheetViews>
  <sheetFormatPr defaultColWidth="10.85546875" defaultRowHeight="12"/>
  <cols>
    <col min="1" max="1" width="7.28515625" style="991" customWidth="1"/>
    <col min="2" max="2" width="20.85546875" style="991" customWidth="1"/>
    <col min="3" max="3" width="13.28515625" style="991" customWidth="1"/>
    <col min="4" max="4" width="12.28515625" style="991" customWidth="1"/>
    <col min="5" max="5" width="18" style="991" customWidth="1"/>
    <col min="6" max="6" width="13.140625" style="991" customWidth="1"/>
    <col min="7" max="7" width="16.85546875" style="991" customWidth="1"/>
    <col min="8" max="16384" width="10.85546875" style="991"/>
  </cols>
  <sheetData>
    <row r="1" spans="1:7">
      <c r="A1" s="971" t="s">
        <v>77</v>
      </c>
      <c r="B1" s="971"/>
      <c r="C1" s="971"/>
      <c r="D1" s="1342"/>
      <c r="E1" s="971"/>
      <c r="F1" s="1342" t="s">
        <v>1209</v>
      </c>
      <c r="G1" s="971"/>
    </row>
    <row r="2" spans="1:7">
      <c r="A2" s="971"/>
      <c r="B2" s="971"/>
      <c r="C2" s="971"/>
      <c r="D2" s="1342"/>
      <c r="E2" s="971"/>
      <c r="F2" s="971"/>
      <c r="G2" s="971"/>
    </row>
    <row r="3" spans="1:7">
      <c r="A3" s="971" t="s">
        <v>2644</v>
      </c>
      <c r="B3" s="971"/>
      <c r="D3" s="1342"/>
      <c r="E3" s="971"/>
      <c r="F3" s="971" t="s">
        <v>78</v>
      </c>
      <c r="G3" s="971"/>
    </row>
    <row r="4" spans="1:7">
      <c r="A4" s="971" t="s">
        <v>2645</v>
      </c>
      <c r="B4" s="1507"/>
      <c r="D4" s="971"/>
      <c r="E4" s="971"/>
      <c r="F4" s="971" t="s">
        <v>766</v>
      </c>
      <c r="G4" s="971"/>
    </row>
    <row r="5" spans="1:7">
      <c r="A5" s="971" t="s">
        <v>1935</v>
      </c>
      <c r="B5" s="1507"/>
      <c r="D5" s="971"/>
      <c r="E5" s="971"/>
      <c r="F5" s="971" t="s">
        <v>2948</v>
      </c>
      <c r="G5" s="971"/>
    </row>
    <row r="6" spans="1:7">
      <c r="A6" s="1341" t="s">
        <v>1348</v>
      </c>
      <c r="B6" s="971"/>
      <c r="D6" s="971"/>
      <c r="E6" s="971"/>
      <c r="F6" s="971" t="s">
        <v>3246</v>
      </c>
      <c r="G6" s="971"/>
    </row>
    <row r="7" spans="1:7">
      <c r="A7" s="971"/>
      <c r="B7" s="1507"/>
      <c r="D7" s="971"/>
      <c r="E7" s="971"/>
      <c r="F7" s="971"/>
      <c r="G7" s="971"/>
    </row>
    <row r="8" spans="1:7">
      <c r="A8" s="2311" t="s">
        <v>1947</v>
      </c>
      <c r="B8" s="2312"/>
      <c r="C8" s="2312"/>
      <c r="D8" s="2312"/>
      <c r="E8" s="2312"/>
      <c r="F8" s="2312"/>
      <c r="G8" s="2312"/>
    </row>
    <row r="9" spans="1:7">
      <c r="A9" s="2312"/>
      <c r="B9" s="2312"/>
      <c r="C9" s="2312"/>
      <c r="D9" s="2312"/>
      <c r="E9" s="2312"/>
      <c r="F9" s="2312"/>
      <c r="G9" s="2312"/>
    </row>
    <row r="10" spans="1:7">
      <c r="A10" s="2312"/>
      <c r="B10" s="2312"/>
      <c r="C10" s="2312"/>
      <c r="D10" s="2312"/>
      <c r="E10" s="2312"/>
      <c r="F10" s="2312"/>
      <c r="G10" s="2312"/>
    </row>
    <row r="11" spans="1:7" ht="12.75" thickBot="1">
      <c r="A11" s="1344"/>
      <c r="B11" s="1344"/>
      <c r="C11" s="1344"/>
      <c r="D11" s="1344"/>
      <c r="E11" s="1344"/>
      <c r="F11" s="1344"/>
      <c r="G11" s="1344"/>
    </row>
    <row r="12" spans="1:7">
      <c r="A12" s="971"/>
      <c r="B12" s="1107" t="s">
        <v>79</v>
      </c>
      <c r="C12" s="1107"/>
      <c r="D12" s="1345" t="s">
        <v>914</v>
      </c>
      <c r="E12" s="1107" t="s">
        <v>80</v>
      </c>
      <c r="F12" s="1107"/>
      <c r="G12" s="1345" t="s">
        <v>915</v>
      </c>
    </row>
    <row r="13" spans="1:7">
      <c r="A13" s="1107" t="s">
        <v>53</v>
      </c>
      <c r="B13" s="1107"/>
      <c r="C13" s="1107"/>
      <c r="D13" s="1345" t="s">
        <v>81</v>
      </c>
      <c r="E13" s="1107"/>
      <c r="F13" s="1107"/>
      <c r="G13" s="1345" t="s">
        <v>81</v>
      </c>
    </row>
    <row r="14" spans="1:7">
      <c r="A14" s="1515" t="s">
        <v>730</v>
      </c>
      <c r="B14" s="1515" t="s">
        <v>82</v>
      </c>
      <c r="C14" s="1515"/>
      <c r="D14" s="1516" t="s">
        <v>498</v>
      </c>
      <c r="E14" s="1515" t="s">
        <v>82</v>
      </c>
      <c r="F14" s="1515"/>
      <c r="G14" s="1516" t="s">
        <v>499</v>
      </c>
    </row>
    <row r="15" spans="1:7">
      <c r="A15" s="1106"/>
    </row>
    <row r="16" spans="1:7">
      <c r="A16" s="1106">
        <v>1</v>
      </c>
      <c r="B16" s="991" t="s">
        <v>83</v>
      </c>
      <c r="D16" s="1481"/>
      <c r="E16" s="991" t="s">
        <v>84</v>
      </c>
      <c r="G16" s="1502">
        <v>1692197.19</v>
      </c>
    </row>
    <row r="17" spans="1:7">
      <c r="A17" s="1106">
        <v>2</v>
      </c>
      <c r="B17" s="991" t="s">
        <v>85</v>
      </c>
      <c r="D17" s="1502">
        <v>0</v>
      </c>
      <c r="E17" s="991" t="s">
        <v>86</v>
      </c>
      <c r="G17" s="1502">
        <v>0</v>
      </c>
    </row>
    <row r="18" spans="1:7">
      <c r="A18" s="1106">
        <v>3</v>
      </c>
      <c r="B18" s="991" t="s">
        <v>87</v>
      </c>
      <c r="D18" s="1480"/>
      <c r="E18" s="991" t="s">
        <v>88</v>
      </c>
      <c r="G18" s="1502">
        <v>0</v>
      </c>
    </row>
    <row r="19" spans="1:7">
      <c r="A19" s="1106">
        <v>4</v>
      </c>
      <c r="B19" s="991" t="s">
        <v>89</v>
      </c>
      <c r="D19" s="1480"/>
      <c r="E19" s="991" t="s">
        <v>90</v>
      </c>
      <c r="G19" s="1502">
        <v>0</v>
      </c>
    </row>
    <row r="20" spans="1:7">
      <c r="A20" s="1106">
        <v>5</v>
      </c>
      <c r="B20" s="991" t="s">
        <v>525</v>
      </c>
      <c r="D20" s="1480"/>
      <c r="E20" s="991" t="s">
        <v>534</v>
      </c>
      <c r="G20" s="1502">
        <v>380.58</v>
      </c>
    </row>
    <row r="21" spans="1:7">
      <c r="A21" s="1106">
        <v>6</v>
      </c>
      <c r="B21" s="991" t="s">
        <v>535</v>
      </c>
      <c r="D21" s="1480"/>
      <c r="E21" s="991" t="s">
        <v>536</v>
      </c>
      <c r="G21" s="1502">
        <v>0</v>
      </c>
    </row>
    <row r="22" spans="1:7">
      <c r="A22" s="1106">
        <v>7</v>
      </c>
      <c r="B22" s="991" t="s">
        <v>1948</v>
      </c>
      <c r="D22" s="1480"/>
      <c r="E22" s="991" t="s">
        <v>875</v>
      </c>
      <c r="G22" s="1502">
        <v>0</v>
      </c>
    </row>
    <row r="23" spans="1:7">
      <c r="A23" s="1106">
        <v>8</v>
      </c>
      <c r="B23" s="991" t="s">
        <v>545</v>
      </c>
      <c r="D23" s="1480"/>
      <c r="E23" s="991" t="s">
        <v>546</v>
      </c>
      <c r="G23" s="1502">
        <v>86202.25</v>
      </c>
    </row>
    <row r="24" spans="1:7">
      <c r="A24" s="1106">
        <v>9</v>
      </c>
      <c r="B24" s="991" t="s">
        <v>547</v>
      </c>
      <c r="D24" s="1480"/>
      <c r="E24" s="991" t="s">
        <v>548</v>
      </c>
      <c r="G24" s="1502">
        <v>0</v>
      </c>
    </row>
    <row r="25" spans="1:7">
      <c r="A25" s="1106">
        <v>10</v>
      </c>
      <c r="B25" s="991" t="s">
        <v>549</v>
      </c>
      <c r="D25" s="1480"/>
      <c r="E25" s="991" t="s">
        <v>550</v>
      </c>
      <c r="G25" s="1502">
        <v>0</v>
      </c>
    </row>
    <row r="26" spans="1:7">
      <c r="A26" s="1106">
        <v>11</v>
      </c>
      <c r="B26" s="991" t="s">
        <v>551</v>
      </c>
      <c r="D26" s="1480"/>
      <c r="E26" s="991" t="s">
        <v>552</v>
      </c>
      <c r="G26" s="1502">
        <v>0</v>
      </c>
    </row>
    <row r="27" spans="1:7">
      <c r="A27" s="1106">
        <v>12</v>
      </c>
      <c r="B27" s="991" t="s">
        <v>553</v>
      </c>
      <c r="D27" s="1517"/>
      <c r="E27" s="991" t="s">
        <v>554</v>
      </c>
      <c r="G27" s="1502"/>
    </row>
    <row r="28" spans="1:7">
      <c r="A28" s="1106">
        <v>13</v>
      </c>
      <c r="D28" s="1480"/>
      <c r="E28" s="991" t="s">
        <v>555</v>
      </c>
      <c r="G28" s="1502"/>
    </row>
    <row r="29" spans="1:7">
      <c r="A29" s="1106">
        <v>14</v>
      </c>
      <c r="B29" s="991" t="s">
        <v>994</v>
      </c>
      <c r="D29" s="1517">
        <v>0</v>
      </c>
      <c r="E29" s="991" t="s">
        <v>995</v>
      </c>
      <c r="G29" s="1502"/>
    </row>
    <row r="30" spans="1:7">
      <c r="A30" s="1106">
        <v>15</v>
      </c>
      <c r="D30" s="1480"/>
      <c r="E30" s="991" t="s">
        <v>2970</v>
      </c>
      <c r="G30" s="2151">
        <v>152521.12</v>
      </c>
    </row>
    <row r="31" spans="1:7">
      <c r="A31" s="1106">
        <v>16</v>
      </c>
      <c r="B31" s="991" t="s">
        <v>1352</v>
      </c>
      <c r="D31" s="1480"/>
      <c r="E31" s="991" t="s">
        <v>1353</v>
      </c>
      <c r="G31" s="1518">
        <v>1931301.1400000001</v>
      </c>
    </row>
    <row r="32" spans="1:7">
      <c r="A32" s="1106">
        <v>17</v>
      </c>
      <c r="B32" s="991" t="s">
        <v>1354</v>
      </c>
      <c r="D32" s="1480"/>
      <c r="G32" s="1481"/>
    </row>
    <row r="33" spans="1:7">
      <c r="A33" s="1106">
        <v>18</v>
      </c>
      <c r="B33" s="991" t="s">
        <v>1355</v>
      </c>
      <c r="D33" s="1480"/>
      <c r="E33" s="991" t="s">
        <v>1356</v>
      </c>
      <c r="G33" s="1481"/>
    </row>
    <row r="34" spans="1:7">
      <c r="A34" s="1106">
        <v>19</v>
      </c>
      <c r="B34" s="991" t="s">
        <v>1357</v>
      </c>
      <c r="D34" s="1480"/>
      <c r="E34" s="991" t="s">
        <v>1358</v>
      </c>
      <c r="G34" s="1481"/>
    </row>
    <row r="35" spans="1:7">
      <c r="A35" s="1106">
        <v>20</v>
      </c>
      <c r="B35" s="991" t="s">
        <v>1359</v>
      </c>
      <c r="D35" s="1480"/>
      <c r="E35" s="991" t="s">
        <v>1360</v>
      </c>
      <c r="G35" s="1481"/>
    </row>
    <row r="36" spans="1:7">
      <c r="A36" s="1106">
        <v>21</v>
      </c>
      <c r="B36" s="991" t="s">
        <v>866</v>
      </c>
      <c r="D36" s="1517">
        <v>0</v>
      </c>
      <c r="E36" s="991" t="s">
        <v>867</v>
      </c>
      <c r="G36" s="1481"/>
    </row>
    <row r="37" spans="1:7">
      <c r="A37" s="1106">
        <v>22</v>
      </c>
      <c r="D37" s="1480"/>
      <c r="E37" s="991" t="s">
        <v>868</v>
      </c>
      <c r="G37" s="1481"/>
    </row>
    <row r="38" spans="1:7">
      <c r="A38" s="1106">
        <v>23</v>
      </c>
      <c r="D38" s="1480"/>
      <c r="E38" s="991" t="s">
        <v>1136</v>
      </c>
      <c r="G38" s="2072">
        <v>2124.5100000000002</v>
      </c>
    </row>
    <row r="39" spans="1:7">
      <c r="A39" s="1106">
        <v>24</v>
      </c>
      <c r="D39" s="1480"/>
      <c r="E39" s="1479" t="s">
        <v>537</v>
      </c>
      <c r="G39" s="1601">
        <v>0</v>
      </c>
    </row>
    <row r="40" spans="1:7">
      <c r="A40" s="1106">
        <v>25</v>
      </c>
      <c r="D40" s="1517">
        <v>0</v>
      </c>
      <c r="G40" s="1481"/>
    </row>
    <row r="41" spans="1:7">
      <c r="A41" s="1106">
        <v>26</v>
      </c>
      <c r="D41" s="1480"/>
      <c r="E41" s="991" t="s">
        <v>1137</v>
      </c>
      <c r="G41" s="1481"/>
    </row>
    <row r="42" spans="1:7">
      <c r="A42" s="1106">
        <v>27</v>
      </c>
      <c r="D42" s="1480"/>
      <c r="E42" s="991" t="s">
        <v>1138</v>
      </c>
      <c r="G42" s="1518">
        <v>2124.5100000000002</v>
      </c>
    </row>
    <row r="43" spans="1:7" ht="12.75" thickBot="1">
      <c r="A43" s="1106">
        <v>28</v>
      </c>
      <c r="D43" s="1519">
        <v>0</v>
      </c>
      <c r="G43" s="1481"/>
    </row>
    <row r="44" spans="1:7" ht="12.75" thickTop="1">
      <c r="A44" s="1106">
        <v>29</v>
      </c>
      <c r="G44" s="1481"/>
    </row>
    <row r="45" spans="1:7">
      <c r="A45" s="1106">
        <v>30</v>
      </c>
      <c r="E45" s="991" t="s">
        <v>1139</v>
      </c>
      <c r="G45" s="1481"/>
    </row>
    <row r="46" spans="1:7" ht="12.75" thickBot="1">
      <c r="A46" s="1106">
        <v>31</v>
      </c>
      <c r="E46" s="991" t="s">
        <v>629</v>
      </c>
      <c r="G46" s="1509">
        <v>1933425.6500000001</v>
      </c>
    </row>
    <row r="47" spans="1:7" ht="12.75" thickTop="1">
      <c r="A47" s="1106"/>
    </row>
    <row r="50" spans="1:7">
      <c r="A50" s="1107"/>
      <c r="B50" s="1107"/>
      <c r="C50" s="1107"/>
      <c r="D50" s="1107"/>
      <c r="E50" s="1107"/>
      <c r="F50" s="1107"/>
      <c r="G50" s="1107"/>
    </row>
    <row r="59" spans="1:7">
      <c r="A59" s="971"/>
    </row>
    <row r="76" spans="1:1">
      <c r="A76" s="1108"/>
    </row>
    <row r="77" spans="1:1">
      <c r="A77" s="1108"/>
    </row>
    <row r="78" spans="1:1">
      <c r="A78" s="1108"/>
    </row>
    <row r="79" spans="1:1">
      <c r="A79" s="1108"/>
    </row>
    <row r="80" spans="1:1">
      <c r="A80" s="1108"/>
    </row>
    <row r="81" spans="1:1">
      <c r="A81" s="1108"/>
    </row>
    <row r="82" spans="1:1">
      <c r="A82" s="1108"/>
    </row>
    <row r="83" spans="1:1">
      <c r="A83" s="1108"/>
    </row>
    <row r="84" spans="1:1">
      <c r="A84" s="1108"/>
    </row>
    <row r="85" spans="1:1">
      <c r="A85" s="1108"/>
    </row>
    <row r="86" spans="1:1">
      <c r="A86" s="1108"/>
    </row>
    <row r="87" spans="1:1">
      <c r="A87" s="1108"/>
    </row>
    <row r="88" spans="1:1">
      <c r="A88" s="1108"/>
    </row>
    <row r="89" spans="1:1">
      <c r="A89" s="1108"/>
    </row>
    <row r="90" spans="1:1">
      <c r="A90" s="1108"/>
    </row>
    <row r="91" spans="1:1">
      <c r="A91" s="1108"/>
    </row>
    <row r="92" spans="1:1">
      <c r="A92" s="1108"/>
    </row>
    <row r="93" spans="1:1">
      <c r="A93" s="1108"/>
    </row>
    <row r="94" spans="1:1">
      <c r="A94" s="1108"/>
    </row>
    <row r="95" spans="1:1">
      <c r="A95" s="1108"/>
    </row>
    <row r="96" spans="1:1">
      <c r="A96" s="1108"/>
    </row>
    <row r="97" spans="1:1">
      <c r="A97" s="1108"/>
    </row>
    <row r="98" spans="1:1">
      <c r="A98" s="1108"/>
    </row>
    <row r="99" spans="1:1">
      <c r="A99" s="1108"/>
    </row>
    <row r="100" spans="1:1">
      <c r="A100" s="1108"/>
    </row>
    <row r="101" spans="1:1">
      <c r="A101" s="1108"/>
    </row>
    <row r="102" spans="1:1">
      <c r="A102" s="1108"/>
    </row>
    <row r="103" spans="1:1">
      <c r="A103" s="1108"/>
    </row>
    <row r="104" spans="1:1">
      <c r="A104" s="1108"/>
    </row>
    <row r="105" spans="1:1">
      <c r="A105" s="1108"/>
    </row>
    <row r="106" spans="1:1">
      <c r="A106" s="1108"/>
    </row>
    <row r="107" spans="1:1">
      <c r="A107" s="1108"/>
    </row>
    <row r="108" spans="1:1">
      <c r="A108" s="1108"/>
    </row>
    <row r="109" spans="1:1">
      <c r="A109" s="1108"/>
    </row>
    <row r="110" spans="1:1">
      <c r="A110" s="1108"/>
    </row>
    <row r="111" spans="1:1">
      <c r="A111" s="1108"/>
    </row>
    <row r="112" spans="1:1">
      <c r="A112" s="1108"/>
    </row>
    <row r="113" spans="1:1">
      <c r="A113" s="1108"/>
    </row>
    <row r="114" spans="1:1">
      <c r="A114" s="1108"/>
    </row>
    <row r="115" spans="1:1">
      <c r="A115" s="1108"/>
    </row>
    <row r="116" spans="1:1">
      <c r="A116" s="1108"/>
    </row>
    <row r="117" spans="1:1">
      <c r="A117" s="1108"/>
    </row>
    <row r="118" spans="1:1">
      <c r="A118" s="1108"/>
    </row>
    <row r="119" spans="1:1">
      <c r="A119" s="1108"/>
    </row>
    <row r="120" spans="1:1">
      <c r="A120" s="1108"/>
    </row>
    <row r="121" spans="1:1">
      <c r="A121" s="1108"/>
    </row>
    <row r="122" spans="1:1">
      <c r="A122" s="1108"/>
    </row>
    <row r="123" spans="1:1">
      <c r="A123" s="1108"/>
    </row>
    <row r="124" spans="1:1">
      <c r="A124" s="1108"/>
    </row>
    <row r="125" spans="1:1">
      <c r="A125" s="1108"/>
    </row>
    <row r="126" spans="1:1">
      <c r="A126" s="1108"/>
    </row>
    <row r="127" spans="1:1">
      <c r="A127" s="1108"/>
    </row>
    <row r="128" spans="1:1">
      <c r="A128" s="1108"/>
    </row>
    <row r="129" spans="1:1">
      <c r="A129" s="1108"/>
    </row>
    <row r="130" spans="1:1">
      <c r="A130" s="1108"/>
    </row>
  </sheetData>
  <mergeCells count="1">
    <mergeCell ref="A8:G10"/>
  </mergeCells>
  <phoneticPr fontId="27" type="noConversion"/>
  <printOptions horizontalCentered="1"/>
  <pageMargins left="0.75" right="0.5" top="0.75" bottom="0.5" header="0.25" footer="0.25"/>
  <pageSetup scale="83" orientation="portrait" r:id="rId1"/>
  <headerFooter alignWithMargins="0">
    <oddFooter xml:space="preserve">&amp;C&amp;"Garmond (W1),Bold"
</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29">
    <pageSetUpPr fitToPage="1"/>
  </sheetPr>
  <dimension ref="A1:X372"/>
  <sheetViews>
    <sheetView view="pageBreakPreview" topLeftCell="C1" zoomScale="90" zoomScaleNormal="100" zoomScaleSheetLayoutView="90" workbookViewId="0"/>
  </sheetViews>
  <sheetFormatPr defaultColWidth="10.85546875" defaultRowHeight="12"/>
  <cols>
    <col min="1" max="1" width="4.85546875" style="120" customWidth="1"/>
    <col min="2" max="2" width="31.140625" style="120" customWidth="1"/>
    <col min="3" max="14" width="10.7109375" style="120" customWidth="1"/>
    <col min="15" max="15" width="10.7109375" style="211" customWidth="1"/>
    <col min="16" max="17" width="10.7109375" style="120" customWidth="1"/>
    <col min="18" max="16384" width="10.85546875" style="21"/>
  </cols>
  <sheetData>
    <row r="1" spans="1:24">
      <c r="A1" s="971" t="s">
        <v>1145</v>
      </c>
      <c r="B1" s="971"/>
      <c r="C1" s="1342"/>
      <c r="D1" s="971"/>
      <c r="E1" s="971"/>
      <c r="F1" s="971"/>
      <c r="G1" s="971"/>
      <c r="H1" s="971"/>
      <c r="I1" s="971"/>
      <c r="J1" s="971"/>
      <c r="K1" s="971"/>
      <c r="L1" s="1342" t="s">
        <v>1209</v>
      </c>
      <c r="M1" s="991"/>
      <c r="N1" s="971"/>
      <c r="O1" s="971"/>
      <c r="P1" s="991"/>
      <c r="Q1" s="991"/>
      <c r="R1" s="991"/>
      <c r="S1" s="991"/>
      <c r="T1" s="991"/>
      <c r="U1" s="991"/>
      <c r="V1" s="991"/>
      <c r="W1" s="991"/>
      <c r="X1" s="991"/>
    </row>
    <row r="2" spans="1:24">
      <c r="A2" s="971"/>
      <c r="B2" s="971"/>
      <c r="C2" s="1342"/>
      <c r="D2" s="971"/>
      <c r="E2" s="971"/>
      <c r="F2" s="971"/>
      <c r="G2" s="971"/>
      <c r="H2" s="971"/>
      <c r="I2" s="971"/>
      <c r="J2" s="971"/>
      <c r="K2" s="971"/>
      <c r="L2" s="971"/>
      <c r="M2" s="991"/>
      <c r="N2" s="971"/>
      <c r="O2" s="971"/>
      <c r="P2" s="991"/>
      <c r="Q2" s="991"/>
      <c r="R2" s="991"/>
      <c r="S2" s="991"/>
      <c r="T2" s="991"/>
      <c r="U2" s="991"/>
      <c r="V2" s="991"/>
      <c r="W2" s="991"/>
      <c r="X2" s="991"/>
    </row>
    <row r="3" spans="1:24" ht="12.75" customHeight="1">
      <c r="A3" s="971" t="s">
        <v>2644</v>
      </c>
      <c r="B3" s="971"/>
      <c r="C3" s="1342"/>
      <c r="D3" s="2311" t="s">
        <v>628</v>
      </c>
      <c r="E3" s="2312"/>
      <c r="F3" s="2312"/>
      <c r="G3" s="2312"/>
      <c r="H3" s="2312"/>
      <c r="I3" s="2312"/>
      <c r="J3" s="2312"/>
      <c r="K3" s="971"/>
      <c r="L3" s="971" t="s">
        <v>1146</v>
      </c>
      <c r="M3" s="991"/>
      <c r="N3" s="971"/>
      <c r="O3" s="971"/>
      <c r="P3" s="991"/>
      <c r="Q3" s="991"/>
      <c r="R3" s="991"/>
      <c r="S3" s="991"/>
      <c r="T3" s="991"/>
      <c r="U3" s="991"/>
      <c r="V3" s="991"/>
      <c r="W3" s="991"/>
      <c r="X3" s="991"/>
    </row>
    <row r="4" spans="1:24" ht="12.75" customHeight="1">
      <c r="A4" s="971" t="s">
        <v>2645</v>
      </c>
      <c r="B4" s="971"/>
      <c r="C4" s="1343"/>
      <c r="D4" s="2312"/>
      <c r="E4" s="2312"/>
      <c r="F4" s="2312"/>
      <c r="G4" s="2312"/>
      <c r="H4" s="2312"/>
      <c r="I4" s="2312"/>
      <c r="J4" s="2312"/>
      <c r="K4" s="971"/>
      <c r="L4" s="971" t="s">
        <v>1529</v>
      </c>
      <c r="M4" s="991"/>
      <c r="N4" s="971"/>
      <c r="O4" s="971"/>
      <c r="P4" s="991"/>
      <c r="Q4" s="991"/>
      <c r="R4" s="991"/>
      <c r="S4" s="991"/>
      <c r="T4" s="991"/>
      <c r="U4" s="991"/>
      <c r="V4" s="991"/>
      <c r="W4" s="991"/>
      <c r="X4" s="991"/>
    </row>
    <row r="5" spans="1:24" ht="12.75" customHeight="1">
      <c r="A5" s="971" t="s">
        <v>1935</v>
      </c>
      <c r="B5" s="971"/>
      <c r="C5" s="971"/>
      <c r="D5" s="2312"/>
      <c r="E5" s="2312"/>
      <c r="F5" s="2312"/>
      <c r="G5" s="2312"/>
      <c r="H5" s="2312"/>
      <c r="I5" s="2312"/>
      <c r="J5" s="2312"/>
      <c r="K5" s="971"/>
      <c r="L5" s="971" t="s">
        <v>2948</v>
      </c>
      <c r="M5" s="991"/>
      <c r="N5" s="971"/>
      <c r="O5" s="971"/>
      <c r="P5" s="991"/>
      <c r="Q5" s="991"/>
      <c r="R5" s="991"/>
      <c r="S5" s="991"/>
      <c r="T5" s="991"/>
      <c r="U5" s="991"/>
      <c r="V5" s="991"/>
      <c r="W5" s="991"/>
      <c r="X5" s="991"/>
    </row>
    <row r="6" spans="1:24" ht="12.75" customHeight="1">
      <c r="A6" s="1341" t="s">
        <v>1348</v>
      </c>
      <c r="B6" s="1507"/>
      <c r="C6" s="971"/>
      <c r="D6" s="2312"/>
      <c r="E6" s="2312"/>
      <c r="F6" s="2312"/>
      <c r="G6" s="2312"/>
      <c r="H6" s="2312"/>
      <c r="I6" s="2312"/>
      <c r="J6" s="2312"/>
      <c r="K6" s="971"/>
      <c r="L6" s="971" t="s">
        <v>1147</v>
      </c>
      <c r="M6" s="991"/>
      <c r="N6" s="971"/>
      <c r="O6" s="971"/>
      <c r="P6" s="991"/>
      <c r="Q6" s="991"/>
      <c r="R6" s="991"/>
      <c r="S6" s="991"/>
      <c r="T6" s="991"/>
      <c r="U6" s="991"/>
      <c r="V6" s="991"/>
      <c r="W6" s="991"/>
      <c r="X6" s="991"/>
    </row>
    <row r="7" spans="1:24">
      <c r="A7" s="971"/>
      <c r="B7" s="971"/>
      <c r="C7" s="971"/>
      <c r="D7" s="971"/>
      <c r="E7" s="971"/>
      <c r="F7" s="971"/>
      <c r="G7" s="971"/>
      <c r="H7" s="971"/>
      <c r="I7" s="971"/>
      <c r="J7" s="971"/>
      <c r="K7" s="971"/>
      <c r="L7" s="971"/>
      <c r="M7" s="971"/>
      <c r="N7" s="971"/>
      <c r="O7" s="971"/>
      <c r="P7" s="991"/>
      <c r="Q7" s="991"/>
      <c r="R7" s="991"/>
      <c r="S7" s="991"/>
      <c r="T7" s="991"/>
      <c r="U7" s="991"/>
      <c r="V7" s="991"/>
      <c r="W7" s="991"/>
      <c r="X7" s="991"/>
    </row>
    <row r="8" spans="1:24" ht="12.75" thickBot="1">
      <c r="A8" s="1344"/>
      <c r="B8" s="1344"/>
      <c r="C8" s="1344"/>
      <c r="D8" s="1344"/>
      <c r="E8" s="1344"/>
      <c r="F8" s="1344"/>
      <c r="G8" s="1344"/>
      <c r="H8" s="1344"/>
      <c r="I8" s="1344"/>
      <c r="J8" s="1344"/>
      <c r="K8" s="1344"/>
      <c r="L8" s="1344"/>
      <c r="M8" s="1344"/>
      <c r="N8" s="1344"/>
      <c r="O8" s="1344"/>
      <c r="P8" s="991"/>
      <c r="Q8" s="991"/>
      <c r="R8" s="991"/>
      <c r="S8" s="991"/>
      <c r="T8" s="991"/>
      <c r="U8" s="991"/>
      <c r="V8" s="991"/>
      <c r="W8" s="991"/>
      <c r="X8" s="991"/>
    </row>
    <row r="9" spans="1:24">
      <c r="A9" s="1107"/>
      <c r="B9" s="1107" t="s">
        <v>914</v>
      </c>
      <c r="C9" s="1345" t="s">
        <v>915</v>
      </c>
      <c r="D9" s="1345" t="s">
        <v>916</v>
      </c>
      <c r="E9" s="1345" t="s">
        <v>917</v>
      </c>
      <c r="F9" s="1345" t="s">
        <v>526</v>
      </c>
      <c r="G9" s="1345" t="s">
        <v>76</v>
      </c>
      <c r="H9" s="1345" t="s">
        <v>822</v>
      </c>
      <c r="I9" s="1345" t="s">
        <v>970</v>
      </c>
      <c r="J9" s="1345" t="s">
        <v>971</v>
      </c>
      <c r="K9" s="1345" t="s">
        <v>972</v>
      </c>
      <c r="L9" s="1345" t="s">
        <v>973</v>
      </c>
      <c r="M9" s="1345" t="s">
        <v>1943</v>
      </c>
      <c r="N9" s="1345" t="s">
        <v>1942</v>
      </c>
      <c r="O9" s="1345" t="s">
        <v>1941</v>
      </c>
      <c r="P9" s="1506">
        <v>-15</v>
      </c>
      <c r="Q9" s="1506">
        <v>-16</v>
      </c>
      <c r="R9" s="991"/>
      <c r="S9" s="991"/>
      <c r="T9" s="991"/>
      <c r="U9" s="991"/>
      <c r="V9" s="991"/>
      <c r="W9" s="991"/>
      <c r="X9" s="991"/>
    </row>
    <row r="10" spans="1:24">
      <c r="A10" s="1107" t="s">
        <v>53</v>
      </c>
      <c r="B10" s="1348"/>
      <c r="C10" s="1345" t="s">
        <v>1321</v>
      </c>
      <c r="D10" s="1345" t="s">
        <v>1322</v>
      </c>
      <c r="E10" s="1345" t="s">
        <v>1064</v>
      </c>
      <c r="F10" s="1345" t="s">
        <v>1065</v>
      </c>
      <c r="G10" s="1345" t="s">
        <v>1066</v>
      </c>
      <c r="H10" s="1345" t="s">
        <v>1067</v>
      </c>
      <c r="I10" s="1345" t="s">
        <v>1068</v>
      </c>
      <c r="J10" s="1345" t="s">
        <v>1069</v>
      </c>
      <c r="K10" s="1345" t="s">
        <v>1940</v>
      </c>
      <c r="L10" s="1345" t="s">
        <v>1318</v>
      </c>
      <c r="M10" s="1345" t="s">
        <v>1320</v>
      </c>
      <c r="N10" s="1345" t="s">
        <v>1319</v>
      </c>
      <c r="O10" s="1345" t="s">
        <v>81</v>
      </c>
      <c r="P10" s="1345"/>
      <c r="Q10" s="1345" t="s">
        <v>623</v>
      </c>
      <c r="R10" s="991"/>
      <c r="S10" s="991"/>
      <c r="T10" s="991"/>
      <c r="U10" s="991"/>
      <c r="V10" s="991"/>
      <c r="W10" s="991"/>
      <c r="X10" s="991"/>
    </row>
    <row r="11" spans="1:24" ht="12.75" thickBot="1">
      <c r="A11" s="1487" t="s">
        <v>730</v>
      </c>
      <c r="B11" s="1487" t="s">
        <v>975</v>
      </c>
      <c r="C11" s="1505" t="s">
        <v>1939</v>
      </c>
      <c r="D11" s="1505" t="s">
        <v>1939</v>
      </c>
      <c r="E11" s="1505" t="s">
        <v>1939</v>
      </c>
      <c r="F11" s="1505" t="s">
        <v>1939</v>
      </c>
      <c r="G11" s="1505" t="s">
        <v>1939</v>
      </c>
      <c r="H11" s="1505" t="s">
        <v>1939</v>
      </c>
      <c r="I11" s="1505" t="s">
        <v>1939</v>
      </c>
      <c r="J11" s="1505" t="s">
        <v>1939</v>
      </c>
      <c r="K11" s="1505" t="s">
        <v>1939</v>
      </c>
      <c r="L11" s="1505" t="s">
        <v>1939</v>
      </c>
      <c r="M11" s="1505" t="s">
        <v>1939</v>
      </c>
      <c r="N11" s="1505" t="s">
        <v>1939</v>
      </c>
      <c r="O11" s="1486" t="s">
        <v>456</v>
      </c>
      <c r="P11" s="1504" t="s">
        <v>733</v>
      </c>
      <c r="Q11" s="1504" t="s">
        <v>456</v>
      </c>
      <c r="R11" s="991"/>
      <c r="S11" s="991"/>
      <c r="T11" s="991"/>
      <c r="U11" s="991"/>
      <c r="V11" s="991"/>
      <c r="W11" s="991"/>
      <c r="X11" s="991"/>
    </row>
    <row r="12" spans="1:24">
      <c r="A12" s="1513"/>
      <c r="B12" s="1513"/>
      <c r="C12" s="1514"/>
      <c r="D12" s="1514"/>
      <c r="E12" s="1514"/>
      <c r="F12" s="1514"/>
      <c r="G12" s="1514"/>
      <c r="H12" s="1514"/>
      <c r="I12" s="1514"/>
      <c r="J12" s="1514"/>
      <c r="K12" s="1514"/>
      <c r="L12" s="1514"/>
      <c r="M12" s="1514"/>
      <c r="N12" s="1514"/>
      <c r="O12" s="1508"/>
      <c r="P12" s="1349"/>
      <c r="Q12" s="1349"/>
      <c r="R12" s="991"/>
      <c r="S12" s="991"/>
      <c r="T12" s="991"/>
      <c r="U12" s="991"/>
      <c r="V12" s="991"/>
      <c r="W12" s="991"/>
      <c r="X12" s="991"/>
    </row>
    <row r="13" spans="1:24">
      <c r="A13" s="1107">
        <v>1</v>
      </c>
      <c r="B13" s="991" t="s">
        <v>1148</v>
      </c>
      <c r="C13" s="994">
        <v>18601.66</v>
      </c>
      <c r="D13" s="994">
        <v>16171.769999999997</v>
      </c>
      <c r="E13" s="994">
        <v>19504.150000000001</v>
      </c>
      <c r="F13" s="994">
        <v>19683.28</v>
      </c>
      <c r="G13" s="994">
        <v>19674.459999999988</v>
      </c>
      <c r="H13" s="994">
        <v>20138.760000000009</v>
      </c>
      <c r="I13" s="994">
        <v>19231.849999999999</v>
      </c>
      <c r="J13" s="994">
        <v>20493.810000000005</v>
      </c>
      <c r="K13" s="994">
        <v>18662.260000000002</v>
      </c>
      <c r="L13" s="994">
        <v>19342.279999999992</v>
      </c>
      <c r="M13" s="994">
        <v>18090.37</v>
      </c>
      <c r="N13" s="994">
        <v>21179.070000000014</v>
      </c>
      <c r="O13" s="1347">
        <v>230773.72</v>
      </c>
      <c r="P13" s="992">
        <v>46690.159619999999</v>
      </c>
      <c r="Q13" s="992">
        <v>277463.87962000002</v>
      </c>
      <c r="R13" s="991"/>
      <c r="S13" s="991"/>
      <c r="T13" s="991"/>
      <c r="U13" s="991"/>
      <c r="V13" s="991"/>
      <c r="W13" s="991"/>
      <c r="X13" s="991"/>
    </row>
    <row r="14" spans="1:24">
      <c r="A14" s="1107">
        <v>2</v>
      </c>
      <c r="B14" s="991" t="s">
        <v>1149</v>
      </c>
      <c r="C14" s="994">
        <v>842.15</v>
      </c>
      <c r="D14" s="994">
        <v>859.63</v>
      </c>
      <c r="E14" s="994">
        <v>826.75000000000023</v>
      </c>
      <c r="F14" s="994">
        <v>860.23</v>
      </c>
      <c r="G14" s="994">
        <v>845.26999999999953</v>
      </c>
      <c r="H14" s="994">
        <v>846.53000000000065</v>
      </c>
      <c r="I14" s="994">
        <v>1084.21</v>
      </c>
      <c r="J14" s="994">
        <v>649.72999999999956</v>
      </c>
      <c r="K14" s="994">
        <v>825.43000000000029</v>
      </c>
      <c r="L14" s="994">
        <v>843.40999999999985</v>
      </c>
      <c r="M14" s="994">
        <v>2054.7299999999996</v>
      </c>
      <c r="N14" s="994">
        <v>72.239999999999782</v>
      </c>
      <c r="O14" s="1502">
        <v>10610.31</v>
      </c>
      <c r="P14" s="152">
        <v>397.88662499999998</v>
      </c>
      <c r="Q14" s="993">
        <v>11008.196624999999</v>
      </c>
      <c r="R14" s="991"/>
      <c r="S14" s="991"/>
      <c r="T14" s="991"/>
      <c r="U14" s="991"/>
      <c r="V14" s="991"/>
      <c r="W14" s="991"/>
      <c r="X14" s="991"/>
    </row>
    <row r="15" spans="1:24">
      <c r="A15" s="1107">
        <v>3</v>
      </c>
      <c r="B15" s="991" t="s">
        <v>1150</v>
      </c>
      <c r="C15" s="994">
        <v>8740.5800000000017</v>
      </c>
      <c r="D15" s="994">
        <v>6296.7199999999993</v>
      </c>
      <c r="E15" s="994">
        <v>5309.44</v>
      </c>
      <c r="F15" s="994">
        <v>4804.7600000000011</v>
      </c>
      <c r="G15" s="994">
        <v>5413.739999999998</v>
      </c>
      <c r="H15" s="994">
        <v>7560.8100000000022</v>
      </c>
      <c r="I15" s="994">
        <v>5724.27</v>
      </c>
      <c r="J15" s="994">
        <v>6491.17</v>
      </c>
      <c r="K15" s="994">
        <v>4403.91</v>
      </c>
      <c r="L15" s="994">
        <v>6301.6099999999969</v>
      </c>
      <c r="M15" s="994">
        <v>6504.2800000000061</v>
      </c>
      <c r="N15" s="994">
        <v>8387.3499999999967</v>
      </c>
      <c r="O15" s="1502">
        <v>75938.64</v>
      </c>
      <c r="P15" s="993">
        <v>14641.965576000001</v>
      </c>
      <c r="Q15" s="993">
        <v>90580.605576000002</v>
      </c>
      <c r="R15" s="991"/>
      <c r="S15" s="991"/>
      <c r="T15" s="991"/>
      <c r="U15" s="991"/>
      <c r="V15" s="991"/>
      <c r="W15" s="991"/>
      <c r="X15" s="991"/>
    </row>
    <row r="16" spans="1:24">
      <c r="A16" s="1107">
        <v>4</v>
      </c>
      <c r="B16" s="991" t="s">
        <v>1134</v>
      </c>
      <c r="C16" s="994">
        <v>0</v>
      </c>
      <c r="D16" s="994">
        <v>0</v>
      </c>
      <c r="E16" s="994">
        <v>0</v>
      </c>
      <c r="F16" s="994">
        <v>0</v>
      </c>
      <c r="G16" s="994">
        <v>0</v>
      </c>
      <c r="H16" s="994">
        <v>0</v>
      </c>
      <c r="I16" s="994">
        <v>0</v>
      </c>
      <c r="J16" s="994">
        <v>0</v>
      </c>
      <c r="K16" s="994">
        <v>0</v>
      </c>
      <c r="L16" s="994">
        <v>0</v>
      </c>
      <c r="M16" s="994">
        <v>0</v>
      </c>
      <c r="N16" s="994">
        <v>0</v>
      </c>
      <c r="O16" s="1502">
        <v>0</v>
      </c>
      <c r="P16" s="993"/>
      <c r="Q16" s="993">
        <v>0</v>
      </c>
      <c r="R16" s="991"/>
      <c r="S16" s="991"/>
      <c r="T16" s="991"/>
      <c r="U16" s="991"/>
      <c r="V16" s="991"/>
      <c r="W16" s="991"/>
      <c r="X16" s="991"/>
    </row>
    <row r="17" spans="1:24">
      <c r="A17" s="1107">
        <v>5</v>
      </c>
      <c r="B17" s="991" t="s">
        <v>1135</v>
      </c>
      <c r="C17" s="994">
        <v>11231.21</v>
      </c>
      <c r="D17" s="994">
        <v>11569.650000000001</v>
      </c>
      <c r="E17" s="994">
        <v>21400</v>
      </c>
      <c r="F17" s="994">
        <v>15600</v>
      </c>
      <c r="G17" s="994">
        <v>13200</v>
      </c>
      <c r="H17" s="994">
        <v>10800</v>
      </c>
      <c r="I17" s="994">
        <v>16800</v>
      </c>
      <c r="J17" s="994">
        <v>13200</v>
      </c>
      <c r="K17" s="994">
        <v>14400</v>
      </c>
      <c r="L17" s="994">
        <v>15029.999999999985</v>
      </c>
      <c r="M17" s="994">
        <v>8400</v>
      </c>
      <c r="N17" s="994">
        <v>20400</v>
      </c>
      <c r="O17" s="1502">
        <v>172030.86</v>
      </c>
      <c r="P17" s="993"/>
      <c r="Q17" s="993">
        <v>172030.86</v>
      </c>
      <c r="R17" s="991"/>
      <c r="S17" s="991"/>
      <c r="T17" s="991"/>
      <c r="U17" s="991"/>
      <c r="V17" s="991"/>
      <c r="W17" s="991"/>
      <c r="X17" s="991"/>
    </row>
    <row r="18" spans="1:24">
      <c r="A18" s="1107">
        <v>6</v>
      </c>
      <c r="B18" s="991" t="s">
        <v>901</v>
      </c>
      <c r="C18" s="994">
        <v>12428.29</v>
      </c>
      <c r="D18" s="994">
        <v>13691.119999999999</v>
      </c>
      <c r="E18" s="994">
        <v>14064.350000000002</v>
      </c>
      <c r="F18" s="994">
        <v>13374.379999999997</v>
      </c>
      <c r="G18" s="994">
        <v>15058.440000000002</v>
      </c>
      <c r="H18" s="994">
        <v>12928.089999999997</v>
      </c>
      <c r="I18" s="994">
        <v>12374.330000000002</v>
      </c>
      <c r="J18" s="994">
        <v>14332.960000000006</v>
      </c>
      <c r="K18" s="994">
        <v>13966.209999999992</v>
      </c>
      <c r="L18" s="994">
        <v>13209.169999999998</v>
      </c>
      <c r="M18" s="994">
        <v>12821.350000000006</v>
      </c>
      <c r="N18" s="994">
        <v>13652.540000000008</v>
      </c>
      <c r="O18" s="1502">
        <v>161901.23000000001</v>
      </c>
      <c r="P18" s="993"/>
      <c r="Q18" s="993">
        <v>161901.23000000001</v>
      </c>
      <c r="R18" s="991"/>
      <c r="S18" s="991"/>
      <c r="T18" s="991"/>
      <c r="U18" s="991"/>
      <c r="V18" s="991"/>
      <c r="W18" s="991"/>
      <c r="X18" s="991"/>
    </row>
    <row r="19" spans="1:24">
      <c r="A19" s="1107">
        <v>7</v>
      </c>
      <c r="B19" s="991" t="s">
        <v>1459</v>
      </c>
      <c r="C19" s="994"/>
      <c r="D19" s="994"/>
      <c r="E19" s="994"/>
      <c r="F19" s="994"/>
      <c r="G19" s="994"/>
      <c r="H19" s="994"/>
      <c r="I19" s="994"/>
      <c r="J19" s="994"/>
      <c r="K19" s="994"/>
      <c r="L19" s="994"/>
      <c r="M19" s="994"/>
      <c r="N19" s="994"/>
      <c r="O19" s="1502">
        <v>0</v>
      </c>
      <c r="P19" s="991"/>
      <c r="Q19" s="993">
        <v>0</v>
      </c>
      <c r="R19" s="991"/>
      <c r="S19" s="991"/>
      <c r="T19" s="991"/>
      <c r="U19" s="991"/>
      <c r="V19" s="991"/>
      <c r="W19" s="991"/>
      <c r="X19" s="991"/>
    </row>
    <row r="20" spans="1:24">
      <c r="A20" s="1107">
        <v>8</v>
      </c>
      <c r="B20" s="991" t="s">
        <v>1460</v>
      </c>
      <c r="C20" s="994">
        <v>6168.69</v>
      </c>
      <c r="D20" s="994">
        <v>26045.94</v>
      </c>
      <c r="E20" s="994">
        <v>8818.84</v>
      </c>
      <c r="F20" s="994">
        <v>4819.7200000000012</v>
      </c>
      <c r="G20" s="994">
        <v>2920.3099999999977</v>
      </c>
      <c r="H20" s="994">
        <v>35357.21</v>
      </c>
      <c r="I20" s="994">
        <v>6740.1800000000021</v>
      </c>
      <c r="J20" s="994">
        <v>27683.669999999991</v>
      </c>
      <c r="K20" s="994">
        <v>8270.1000000000131</v>
      </c>
      <c r="L20" s="994">
        <v>4722.5</v>
      </c>
      <c r="M20" s="994">
        <v>14035.01999999999</v>
      </c>
      <c r="N20" s="994">
        <v>18720.910000000011</v>
      </c>
      <c r="O20" s="1502">
        <v>164303.09</v>
      </c>
      <c r="P20" s="993">
        <v>-3079.9964999999793</v>
      </c>
      <c r="Q20" s="993">
        <v>161223.09350000002</v>
      </c>
      <c r="R20" s="991"/>
      <c r="S20" s="991"/>
      <c r="T20" s="991"/>
      <c r="U20" s="991"/>
      <c r="V20" s="991"/>
      <c r="W20" s="991"/>
      <c r="X20" s="991"/>
    </row>
    <row r="21" spans="1:24">
      <c r="A21" s="1107">
        <v>9</v>
      </c>
      <c r="B21" s="991" t="s">
        <v>1156</v>
      </c>
      <c r="C21" s="994">
        <v>6948.9500000000007</v>
      </c>
      <c r="D21" s="994">
        <v>3422.28</v>
      </c>
      <c r="E21" s="994">
        <v>9896.36</v>
      </c>
      <c r="F21" s="994">
        <v>2966.5</v>
      </c>
      <c r="G21" s="994">
        <v>7236.76</v>
      </c>
      <c r="H21" s="994">
        <v>4363.8599999999988</v>
      </c>
      <c r="I21" s="994">
        <v>36355.22</v>
      </c>
      <c r="J21" s="994">
        <v>7698.4000000000051</v>
      </c>
      <c r="K21" s="994">
        <v>-26523.910000000003</v>
      </c>
      <c r="L21" s="994">
        <v>11365.530000000002</v>
      </c>
      <c r="M21" s="994">
        <v>6549.5899999999992</v>
      </c>
      <c r="N21" s="994">
        <v>6675.119999999999</v>
      </c>
      <c r="O21" s="1502">
        <v>76954.66</v>
      </c>
      <c r="P21" s="993"/>
      <c r="Q21" s="993">
        <v>76954.66</v>
      </c>
      <c r="R21" s="991"/>
      <c r="S21" s="991"/>
      <c r="T21" s="991"/>
      <c r="U21" s="991"/>
      <c r="V21" s="991"/>
      <c r="W21" s="991"/>
      <c r="X21" s="991"/>
    </row>
    <row r="22" spans="1:24">
      <c r="A22" s="1107">
        <v>10</v>
      </c>
      <c r="B22" s="991" t="s">
        <v>1157</v>
      </c>
      <c r="C22" s="994">
        <v>0</v>
      </c>
      <c r="D22" s="994">
        <v>0</v>
      </c>
      <c r="E22" s="994">
        <v>0</v>
      </c>
      <c r="F22" s="994">
        <v>0</v>
      </c>
      <c r="G22" s="994">
        <v>0</v>
      </c>
      <c r="H22" s="994">
        <v>0</v>
      </c>
      <c r="I22" s="994">
        <v>0</v>
      </c>
      <c r="J22" s="994">
        <v>151.56</v>
      </c>
      <c r="K22" s="994">
        <v>-151.42000000000002</v>
      </c>
      <c r="L22" s="994">
        <v>0</v>
      </c>
      <c r="M22" s="994">
        <v>2380.2000000000003</v>
      </c>
      <c r="N22" s="994">
        <v>4425.6399999999994</v>
      </c>
      <c r="O22" s="1502">
        <v>6805.98</v>
      </c>
      <c r="P22" s="993"/>
      <c r="Q22" s="993">
        <v>6805.98</v>
      </c>
      <c r="R22" s="991"/>
      <c r="S22" s="991"/>
      <c r="T22" s="991"/>
      <c r="U22" s="991"/>
      <c r="V22" s="991"/>
      <c r="W22" s="991"/>
      <c r="X22" s="991"/>
    </row>
    <row r="23" spans="1:24">
      <c r="A23" s="1107">
        <v>11</v>
      </c>
      <c r="B23" s="991" t="s">
        <v>1158</v>
      </c>
      <c r="C23" s="994">
        <v>669.46</v>
      </c>
      <c r="D23" s="994">
        <v>676.3599999999999</v>
      </c>
      <c r="E23" s="994">
        <v>710.18000000000018</v>
      </c>
      <c r="F23" s="994">
        <v>663.43999999999971</v>
      </c>
      <c r="G23" s="994">
        <v>662.60000000000014</v>
      </c>
      <c r="H23" s="994">
        <v>662.69</v>
      </c>
      <c r="I23" s="994">
        <v>784.53</v>
      </c>
      <c r="J23" s="994">
        <v>783.41999999999985</v>
      </c>
      <c r="K23" s="994">
        <v>776.13000000000011</v>
      </c>
      <c r="L23" s="994">
        <v>775.95000000000027</v>
      </c>
      <c r="M23" s="994">
        <v>919.97999999999956</v>
      </c>
      <c r="N23" s="994">
        <v>922.29</v>
      </c>
      <c r="O23" s="1502">
        <v>9007.0299999999988</v>
      </c>
      <c r="P23" s="993"/>
      <c r="Q23" s="993">
        <v>9007.0299999999988</v>
      </c>
      <c r="R23" s="991"/>
      <c r="S23" s="991"/>
      <c r="T23" s="991"/>
      <c r="U23" s="991"/>
      <c r="V23" s="991"/>
      <c r="W23" s="991"/>
      <c r="X23" s="991"/>
    </row>
    <row r="24" spans="1:24">
      <c r="A24" s="1107">
        <v>12</v>
      </c>
      <c r="B24" s="991" t="s">
        <v>37</v>
      </c>
      <c r="C24" s="994">
        <v>0</v>
      </c>
      <c r="D24" s="994">
        <v>7.44</v>
      </c>
      <c r="E24" s="994">
        <v>0</v>
      </c>
      <c r="F24" s="994">
        <v>0</v>
      </c>
      <c r="G24" s="994">
        <v>0</v>
      </c>
      <c r="H24" s="994">
        <v>0</v>
      </c>
      <c r="I24" s="994">
        <v>0</v>
      </c>
      <c r="J24" s="994">
        <v>-310.89999999999998</v>
      </c>
      <c r="K24" s="994">
        <v>0</v>
      </c>
      <c r="L24" s="994">
        <v>26.70999999999998</v>
      </c>
      <c r="M24" s="994">
        <v>0</v>
      </c>
      <c r="N24" s="994">
        <v>168.91</v>
      </c>
      <c r="O24" s="1502">
        <v>-107.84</v>
      </c>
      <c r="P24" s="993"/>
      <c r="Q24" s="993">
        <v>-107.84</v>
      </c>
      <c r="R24" s="991"/>
      <c r="S24" s="991"/>
      <c r="T24" s="991"/>
      <c r="U24" s="991"/>
      <c r="V24" s="991"/>
      <c r="W24" s="991"/>
      <c r="X24" s="991"/>
    </row>
    <row r="25" spans="1:24">
      <c r="A25" s="1107">
        <v>13</v>
      </c>
      <c r="B25" s="991" t="s">
        <v>38</v>
      </c>
      <c r="C25" s="994"/>
      <c r="D25" s="994"/>
      <c r="E25" s="994"/>
      <c r="F25" s="994"/>
      <c r="G25" s="994"/>
      <c r="H25" s="994"/>
      <c r="I25" s="994"/>
      <c r="J25" s="994"/>
      <c r="K25" s="994"/>
      <c r="L25" s="994"/>
      <c r="M25" s="994"/>
      <c r="N25" s="994"/>
      <c r="O25" s="1502">
        <v>0</v>
      </c>
      <c r="P25" s="991"/>
      <c r="Q25" s="993">
        <v>0</v>
      </c>
      <c r="R25" s="991"/>
      <c r="S25" s="991"/>
      <c r="T25" s="991"/>
      <c r="U25" s="991"/>
      <c r="V25" s="991"/>
      <c r="W25" s="991"/>
      <c r="X25" s="991"/>
    </row>
    <row r="26" spans="1:24">
      <c r="A26" s="1107">
        <v>14</v>
      </c>
      <c r="B26" s="1503" t="s">
        <v>1938</v>
      </c>
      <c r="C26" s="1502"/>
      <c r="D26" s="1502"/>
      <c r="E26" s="1502"/>
      <c r="F26" s="1502"/>
      <c r="G26" s="1502"/>
      <c r="H26" s="1502"/>
      <c r="I26" s="1502"/>
      <c r="J26" s="1502"/>
      <c r="K26" s="1502"/>
      <c r="L26" s="1502"/>
      <c r="M26" s="1502"/>
      <c r="N26" s="1502"/>
      <c r="O26" s="1502">
        <v>0</v>
      </c>
      <c r="P26" s="993"/>
      <c r="Q26" s="993">
        <v>0</v>
      </c>
      <c r="R26" s="991"/>
      <c r="S26" s="991"/>
      <c r="T26" s="991"/>
      <c r="U26" s="991"/>
      <c r="V26" s="991"/>
      <c r="W26" s="991"/>
      <c r="X26" s="991"/>
    </row>
    <row r="27" spans="1:24">
      <c r="A27" s="1107">
        <v>15</v>
      </c>
      <c r="B27" s="1503" t="s">
        <v>1937</v>
      </c>
      <c r="C27" s="994">
        <v>607.19999999999982</v>
      </c>
      <c r="D27" s="994">
        <v>2215.81</v>
      </c>
      <c r="E27" s="994">
        <v>2315.84</v>
      </c>
      <c r="F27" s="994">
        <v>2621.3600000000006</v>
      </c>
      <c r="G27" s="994">
        <v>2017.5600000000002</v>
      </c>
      <c r="H27" s="994">
        <v>2453.1399999999994</v>
      </c>
      <c r="I27" s="994">
        <v>2327.9500000000003</v>
      </c>
      <c r="J27" s="994">
        <v>2721.1499999999996</v>
      </c>
      <c r="K27" s="994">
        <v>2026.9300000000005</v>
      </c>
      <c r="L27" s="994">
        <v>2886.2399999999993</v>
      </c>
      <c r="M27" s="994">
        <v>2114.7999999999997</v>
      </c>
      <c r="N27" s="994">
        <v>8835.8100000000013</v>
      </c>
      <c r="O27" s="1502">
        <v>33143.79</v>
      </c>
      <c r="P27" s="993"/>
      <c r="Q27" s="993">
        <v>33143.79</v>
      </c>
      <c r="R27" s="991"/>
      <c r="S27" s="991"/>
      <c r="T27" s="991"/>
      <c r="U27" s="991"/>
      <c r="V27" s="991"/>
      <c r="W27" s="991"/>
      <c r="X27" s="991"/>
    </row>
    <row r="28" spans="1:24">
      <c r="A28" s="1107">
        <v>16</v>
      </c>
      <c r="B28" s="991" t="s">
        <v>803</v>
      </c>
      <c r="C28" s="994">
        <v>21.16</v>
      </c>
      <c r="D28" s="994">
        <v>20.94</v>
      </c>
      <c r="E28" s="994">
        <v>21.53</v>
      </c>
      <c r="F28" s="994">
        <v>21.6</v>
      </c>
      <c r="G28" s="994">
        <v>22.33</v>
      </c>
      <c r="H28" s="994">
        <v>22.329999999999984</v>
      </c>
      <c r="I28" s="994">
        <v>23</v>
      </c>
      <c r="J28" s="994">
        <v>22.970000000000027</v>
      </c>
      <c r="K28" s="994">
        <v>22.759999999999991</v>
      </c>
      <c r="L28" s="994">
        <v>22.75</v>
      </c>
      <c r="M28" s="994">
        <v>22.72</v>
      </c>
      <c r="N28" s="994">
        <v>45.400000000000006</v>
      </c>
      <c r="O28" s="1502">
        <v>289.49</v>
      </c>
      <c r="P28" s="993"/>
      <c r="Q28" s="993">
        <v>289.49</v>
      </c>
      <c r="R28" s="991"/>
      <c r="S28" s="991"/>
      <c r="T28" s="991"/>
      <c r="U28" s="991"/>
      <c r="V28" s="991"/>
      <c r="W28" s="991"/>
      <c r="X28" s="991"/>
    </row>
    <row r="29" spans="1:24">
      <c r="A29" s="1107">
        <v>17</v>
      </c>
      <c r="B29" s="991" t="s">
        <v>804</v>
      </c>
      <c r="C29" s="994">
        <v>0</v>
      </c>
      <c r="D29" s="994">
        <v>0</v>
      </c>
      <c r="E29" s="994">
        <v>29.04</v>
      </c>
      <c r="F29" s="994">
        <v>0</v>
      </c>
      <c r="G29" s="994">
        <v>0</v>
      </c>
      <c r="H29" s="994">
        <v>0</v>
      </c>
      <c r="I29" s="994">
        <v>0</v>
      </c>
      <c r="J29" s="994">
        <v>0</v>
      </c>
      <c r="K29" s="994">
        <v>0</v>
      </c>
      <c r="L29" s="994">
        <v>0</v>
      </c>
      <c r="M29" s="994">
        <v>0</v>
      </c>
      <c r="N29" s="994">
        <v>14.469999999999999</v>
      </c>
      <c r="O29" s="1502">
        <v>43.51</v>
      </c>
      <c r="P29" s="993"/>
      <c r="Q29" s="993">
        <v>43.51</v>
      </c>
      <c r="R29" s="991"/>
      <c r="S29" s="991"/>
      <c r="T29" s="991"/>
      <c r="U29" s="991"/>
      <c r="V29" s="991"/>
      <c r="W29" s="991"/>
      <c r="X29" s="991"/>
    </row>
    <row r="30" spans="1:24">
      <c r="A30" s="1107">
        <v>18</v>
      </c>
      <c r="B30" s="991" t="s">
        <v>805</v>
      </c>
      <c r="C30" s="994">
        <v>970.18000000000006</v>
      </c>
      <c r="D30" s="994">
        <v>1049.5899999999999</v>
      </c>
      <c r="E30" s="994">
        <v>1059.94</v>
      </c>
      <c r="F30" s="994">
        <v>1389.5899999999997</v>
      </c>
      <c r="G30" s="994">
        <v>1519.0300000000004</v>
      </c>
      <c r="H30" s="994">
        <v>1288.7799999999995</v>
      </c>
      <c r="I30" s="994">
        <v>1277.71</v>
      </c>
      <c r="J30" s="994">
        <v>1195.2599999999998</v>
      </c>
      <c r="K30" s="994">
        <v>1081.2700000000004</v>
      </c>
      <c r="L30" s="994">
        <v>1296.0599999999995</v>
      </c>
      <c r="M30" s="994">
        <v>1152.43</v>
      </c>
      <c r="N30" s="994">
        <v>1073.5300000000009</v>
      </c>
      <c r="O30" s="1502">
        <v>14353.37</v>
      </c>
      <c r="P30" s="993">
        <v>430.60110000000003</v>
      </c>
      <c r="Q30" s="993">
        <v>14783.971100000001</v>
      </c>
      <c r="R30" s="991"/>
      <c r="S30" s="993"/>
      <c r="T30" s="991"/>
      <c r="U30" s="991"/>
      <c r="V30" s="991"/>
      <c r="W30" s="991"/>
      <c r="X30" s="991"/>
    </row>
    <row r="31" spans="1:24">
      <c r="A31" s="1107">
        <v>19</v>
      </c>
      <c r="B31" s="991" t="s">
        <v>806</v>
      </c>
      <c r="C31" s="994"/>
      <c r="D31" s="994"/>
      <c r="E31" s="994"/>
      <c r="F31" s="994"/>
      <c r="G31" s="994"/>
      <c r="H31" s="994"/>
      <c r="I31" s="994"/>
      <c r="J31" s="994"/>
      <c r="K31" s="994"/>
      <c r="L31" s="994"/>
      <c r="M31" s="994"/>
      <c r="N31" s="994"/>
      <c r="O31" s="1502">
        <v>0</v>
      </c>
      <c r="P31" s="991"/>
      <c r="Q31" s="993">
        <v>0</v>
      </c>
      <c r="R31" s="991"/>
      <c r="S31" s="991"/>
      <c r="T31" s="991"/>
      <c r="U31" s="991"/>
      <c r="V31" s="991"/>
      <c r="W31" s="991"/>
      <c r="X31" s="991"/>
    </row>
    <row r="32" spans="1:24">
      <c r="A32" s="1107">
        <v>20</v>
      </c>
      <c r="B32" s="991" t="s">
        <v>807</v>
      </c>
      <c r="C32" s="994">
        <v>2308.98</v>
      </c>
      <c r="D32" s="994">
        <v>2019.0400000000004</v>
      </c>
      <c r="E32" s="994">
        <v>2270.6899999999996</v>
      </c>
      <c r="F32" s="994">
        <v>2313.6400000000003</v>
      </c>
      <c r="G32" s="994">
        <v>2273.0499999999993</v>
      </c>
      <c r="H32" s="994">
        <v>2278.5599999999995</v>
      </c>
      <c r="I32" s="994">
        <v>2270.2700000000004</v>
      </c>
      <c r="J32" s="994">
        <v>2268.2700000000004</v>
      </c>
      <c r="K32" s="994">
        <v>2245.9399999999987</v>
      </c>
      <c r="L32" s="994">
        <v>2397.9799999999996</v>
      </c>
      <c r="M32" s="994">
        <v>2339.9300000000003</v>
      </c>
      <c r="N32" s="994">
        <v>2340.0699999999997</v>
      </c>
      <c r="O32" s="1502">
        <v>27326.42</v>
      </c>
      <c r="P32" s="993"/>
      <c r="Q32" s="993">
        <v>27326.42</v>
      </c>
      <c r="R32" s="991"/>
      <c r="S32" s="993"/>
      <c r="T32" s="991"/>
      <c r="U32" s="991"/>
      <c r="V32" s="991"/>
      <c r="W32" s="991"/>
      <c r="X32" s="991"/>
    </row>
    <row r="33" spans="1:24">
      <c r="A33" s="1107">
        <v>21</v>
      </c>
      <c r="B33" s="991" t="s">
        <v>808</v>
      </c>
      <c r="C33" s="994"/>
      <c r="D33" s="994"/>
      <c r="E33" s="994"/>
      <c r="F33" s="994"/>
      <c r="G33" s="994"/>
      <c r="H33" s="994"/>
      <c r="I33" s="994"/>
      <c r="J33" s="994"/>
      <c r="K33" s="994"/>
      <c r="L33" s="994"/>
      <c r="M33" s="994"/>
      <c r="N33" s="994"/>
      <c r="O33" s="1502">
        <v>0</v>
      </c>
      <c r="P33" s="991"/>
      <c r="Q33" s="993">
        <v>0</v>
      </c>
      <c r="R33" s="991"/>
      <c r="S33" s="991"/>
      <c r="T33" s="991"/>
      <c r="U33" s="991"/>
      <c r="V33" s="991"/>
      <c r="W33" s="991"/>
      <c r="X33" s="991"/>
    </row>
    <row r="34" spans="1:24">
      <c r="A34" s="1107">
        <v>22</v>
      </c>
      <c r="B34" s="991" t="s">
        <v>796</v>
      </c>
      <c r="C34" s="994">
        <v>75.75</v>
      </c>
      <c r="D34" s="994">
        <v>137.07</v>
      </c>
      <c r="E34" s="994">
        <v>74.95999999999998</v>
      </c>
      <c r="F34" s="994">
        <v>283.39999999999998</v>
      </c>
      <c r="G34" s="994">
        <v>332.13</v>
      </c>
      <c r="H34" s="994">
        <v>652.83000000000015</v>
      </c>
      <c r="I34" s="994">
        <v>784.39999999999986</v>
      </c>
      <c r="J34" s="994">
        <v>178.23000000000002</v>
      </c>
      <c r="K34" s="994">
        <v>635.4699999999998</v>
      </c>
      <c r="L34" s="994">
        <v>1162.5100000000002</v>
      </c>
      <c r="M34" s="994">
        <v>1985.2200000000003</v>
      </c>
      <c r="N34" s="994">
        <v>-322.32999999999993</v>
      </c>
      <c r="O34" s="1502">
        <v>5979.64</v>
      </c>
      <c r="P34" s="993"/>
      <c r="Q34" s="993">
        <v>5979.64</v>
      </c>
      <c r="R34" s="991"/>
      <c r="S34" s="991"/>
      <c r="T34" s="991"/>
      <c r="U34" s="991"/>
      <c r="V34" s="991"/>
      <c r="W34" s="991"/>
      <c r="X34" s="991"/>
    </row>
    <row r="35" spans="1:24">
      <c r="A35" s="1107">
        <v>23</v>
      </c>
      <c r="B35" s="991" t="s">
        <v>928</v>
      </c>
      <c r="C35" s="994">
        <v>0</v>
      </c>
      <c r="D35" s="994">
        <v>0</v>
      </c>
      <c r="E35" s="994">
        <v>0</v>
      </c>
      <c r="F35" s="994">
        <v>0</v>
      </c>
      <c r="G35" s="994">
        <v>0</v>
      </c>
      <c r="H35" s="994">
        <v>0</v>
      </c>
      <c r="I35" s="994">
        <v>0</v>
      </c>
      <c r="J35" s="994">
        <v>0</v>
      </c>
      <c r="K35" s="994">
        <v>0</v>
      </c>
      <c r="L35" s="994">
        <v>0</v>
      </c>
      <c r="M35" s="994">
        <v>0</v>
      </c>
      <c r="N35" s="994">
        <v>0</v>
      </c>
      <c r="O35" s="1502">
        <v>0</v>
      </c>
      <c r="P35" s="993"/>
      <c r="Q35" s="993">
        <v>0</v>
      </c>
      <c r="R35" s="991"/>
      <c r="S35" s="991"/>
      <c r="T35" s="991"/>
      <c r="U35" s="991"/>
      <c r="V35" s="991"/>
      <c r="W35" s="991"/>
      <c r="X35" s="991"/>
    </row>
    <row r="36" spans="1:24">
      <c r="A36" s="1107">
        <v>24</v>
      </c>
      <c r="B36" s="991" t="s">
        <v>929</v>
      </c>
      <c r="C36" s="994">
        <v>0</v>
      </c>
      <c r="D36" s="994">
        <v>0</v>
      </c>
      <c r="E36" s="994">
        <v>0</v>
      </c>
      <c r="F36" s="994">
        <v>0</v>
      </c>
      <c r="G36" s="994">
        <v>0</v>
      </c>
      <c r="H36" s="994">
        <v>0</v>
      </c>
      <c r="I36" s="994">
        <v>0</v>
      </c>
      <c r="J36" s="994">
        <v>0</v>
      </c>
      <c r="K36" s="994">
        <v>0</v>
      </c>
      <c r="L36" s="994">
        <v>0</v>
      </c>
      <c r="M36" s="994">
        <v>0</v>
      </c>
      <c r="N36" s="994">
        <v>0</v>
      </c>
      <c r="O36" s="1502">
        <v>0</v>
      </c>
      <c r="P36" s="993">
        <v>27072.25</v>
      </c>
      <c r="Q36" s="993">
        <v>27072.25</v>
      </c>
      <c r="R36" s="991"/>
      <c r="S36" s="991"/>
      <c r="T36" s="991"/>
      <c r="U36" s="991"/>
      <c r="V36" s="991"/>
      <c r="W36" s="991"/>
      <c r="X36" s="991"/>
    </row>
    <row r="37" spans="1:24">
      <c r="A37" s="1107">
        <v>25</v>
      </c>
      <c r="B37" s="991" t="s">
        <v>930</v>
      </c>
      <c r="C37" s="994">
        <v>-288.60000000000002</v>
      </c>
      <c r="D37" s="994">
        <v>-5.5099999999999909</v>
      </c>
      <c r="E37" s="994">
        <v>17.270000000000039</v>
      </c>
      <c r="F37" s="994">
        <v>0</v>
      </c>
      <c r="G37" s="994">
        <v>50.649999999999977</v>
      </c>
      <c r="H37" s="994">
        <v>52.490000000000009</v>
      </c>
      <c r="I37" s="994">
        <v>89.71</v>
      </c>
      <c r="J37" s="994">
        <v>16.839999999999989</v>
      </c>
      <c r="K37" s="994">
        <v>0</v>
      </c>
      <c r="L37" s="994">
        <v>669.02</v>
      </c>
      <c r="M37" s="994">
        <v>150.10000000000002</v>
      </c>
      <c r="N37" s="994">
        <v>175.87</v>
      </c>
      <c r="O37" s="1502">
        <v>927.84</v>
      </c>
      <c r="P37" s="993"/>
      <c r="Q37" s="993">
        <v>927.84</v>
      </c>
      <c r="R37" s="991"/>
      <c r="S37" s="991"/>
      <c r="T37" s="991"/>
      <c r="U37" s="991"/>
      <c r="V37" s="991"/>
      <c r="W37" s="991"/>
      <c r="X37" s="991"/>
    </row>
    <row r="38" spans="1:24">
      <c r="A38" s="1107">
        <v>26</v>
      </c>
      <c r="B38" s="991" t="s">
        <v>931</v>
      </c>
      <c r="C38" s="994">
        <v>-18.369999999999997</v>
      </c>
      <c r="D38" s="994">
        <v>7.52</v>
      </c>
      <c r="E38" s="994">
        <v>53.02</v>
      </c>
      <c r="F38" s="994">
        <v>1142.69</v>
      </c>
      <c r="G38" s="994">
        <v>401.15</v>
      </c>
      <c r="H38" s="994">
        <v>-1177.3900000000001</v>
      </c>
      <c r="I38" s="994">
        <v>-116.36</v>
      </c>
      <c r="J38" s="994">
        <v>661.67</v>
      </c>
      <c r="K38" s="994">
        <v>-26.790000000000006</v>
      </c>
      <c r="L38" s="994">
        <v>-160.14999999999998</v>
      </c>
      <c r="M38" s="994">
        <v>-238.36</v>
      </c>
      <c r="N38" s="994">
        <v>-384.27</v>
      </c>
      <c r="O38" s="1502">
        <v>144.36000000000013</v>
      </c>
      <c r="P38" s="993"/>
      <c r="Q38" s="993">
        <v>144.36000000000013</v>
      </c>
      <c r="R38" s="991"/>
      <c r="S38" s="991"/>
      <c r="T38" s="991"/>
      <c r="U38" s="991"/>
      <c r="V38" s="991"/>
      <c r="W38" s="991"/>
      <c r="X38" s="991"/>
    </row>
    <row r="39" spans="1:24">
      <c r="A39" s="1107">
        <v>27</v>
      </c>
      <c r="B39" s="991" t="s">
        <v>932</v>
      </c>
      <c r="C39" s="994">
        <v>5201.1799999999994</v>
      </c>
      <c r="D39" s="994">
        <v>11595.2</v>
      </c>
      <c r="E39" s="994">
        <v>7719.9399999999978</v>
      </c>
      <c r="F39" s="994">
        <v>9702.4700000000012</v>
      </c>
      <c r="G39" s="994">
        <v>3565.99</v>
      </c>
      <c r="H39" s="994">
        <v>6451.5000000000018</v>
      </c>
      <c r="I39" s="994">
        <v>5758.38</v>
      </c>
      <c r="J39" s="994">
        <v>5080.6200000000017</v>
      </c>
      <c r="K39" s="994">
        <v>6108.72</v>
      </c>
      <c r="L39" s="994">
        <v>5291.8499999999985</v>
      </c>
      <c r="M39" s="994">
        <v>7605.0499999999993</v>
      </c>
      <c r="N39" s="994">
        <v>19347.75</v>
      </c>
      <c r="O39" s="1501">
        <v>93428.650000000009</v>
      </c>
      <c r="P39" s="1501"/>
      <c r="Q39" s="993">
        <v>93428.650000000009</v>
      </c>
      <c r="R39" s="991"/>
      <c r="S39" s="991"/>
      <c r="T39" s="991"/>
      <c r="U39" s="991"/>
      <c r="V39" s="991"/>
      <c r="W39" s="991"/>
      <c r="X39" s="991"/>
    </row>
    <row r="40" spans="1:24">
      <c r="A40" s="1107"/>
      <c r="B40" s="991"/>
      <c r="C40" s="1500"/>
      <c r="D40" s="1500"/>
      <c r="E40" s="1500"/>
      <c r="F40" s="1500"/>
      <c r="G40" s="1500"/>
      <c r="H40" s="1500"/>
      <c r="I40" s="1499"/>
      <c r="J40" s="1499"/>
      <c r="K40" s="1499"/>
      <c r="L40" s="1499"/>
      <c r="M40" s="1499"/>
      <c r="N40" s="1499"/>
      <c r="O40" s="1499"/>
      <c r="P40" s="1499"/>
      <c r="Q40" s="1499"/>
      <c r="R40" s="991"/>
      <c r="S40" s="991"/>
      <c r="T40" s="991"/>
      <c r="U40" s="991"/>
      <c r="V40" s="991"/>
      <c r="W40" s="991"/>
      <c r="X40" s="991"/>
    </row>
    <row r="41" spans="1:24" ht="12.75" thickBot="1">
      <c r="A41" s="1107">
        <v>28</v>
      </c>
      <c r="B41" s="971" t="s">
        <v>73</v>
      </c>
      <c r="C41" s="1498">
        <v>74508.47</v>
      </c>
      <c r="D41" s="1498">
        <v>95780.57</v>
      </c>
      <c r="E41" s="1498">
        <v>94092.3</v>
      </c>
      <c r="F41" s="1498">
        <v>80247.06</v>
      </c>
      <c r="G41" s="1498">
        <v>75193.469999999987</v>
      </c>
      <c r="H41" s="1498">
        <v>104680.19</v>
      </c>
      <c r="I41" s="1498">
        <v>111509.65000000001</v>
      </c>
      <c r="J41" s="1498">
        <v>103318.82999999999</v>
      </c>
      <c r="K41" s="1498">
        <v>46723.010000000017</v>
      </c>
      <c r="L41" s="1498">
        <v>85183.419999999984</v>
      </c>
      <c r="M41" s="1498">
        <v>86887.41</v>
      </c>
      <c r="N41" s="1498">
        <v>125730.37</v>
      </c>
      <c r="O41" s="1498">
        <v>1083854.75</v>
      </c>
      <c r="P41" s="1498">
        <v>86152.866421000013</v>
      </c>
      <c r="Q41" s="1498">
        <v>1170007.6164210001</v>
      </c>
      <c r="R41" s="971"/>
      <c r="S41" s="971"/>
      <c r="T41" s="971"/>
      <c r="U41" s="971"/>
      <c r="V41" s="971"/>
      <c r="W41" s="971"/>
      <c r="X41" s="971"/>
    </row>
    <row r="42" spans="1:24" ht="12.75" thickTop="1">
      <c r="A42" s="1107"/>
      <c r="B42" s="971"/>
      <c r="C42" s="991"/>
      <c r="D42" s="991"/>
      <c r="E42" s="991"/>
      <c r="F42" s="991"/>
      <c r="G42" s="991"/>
      <c r="H42" s="991"/>
      <c r="I42" s="991"/>
      <c r="J42" s="991"/>
      <c r="K42" s="991"/>
      <c r="L42" s="991"/>
      <c r="M42" s="991"/>
      <c r="N42" s="991"/>
      <c r="O42" s="991"/>
      <c r="P42" s="991"/>
      <c r="Q42" s="991"/>
      <c r="R42" s="991"/>
      <c r="S42" s="991"/>
      <c r="T42" s="991"/>
      <c r="U42" s="991"/>
      <c r="V42" s="991"/>
      <c r="W42" s="991"/>
      <c r="X42" s="991"/>
    </row>
    <row r="43" spans="1:24">
      <c r="A43" s="1107"/>
      <c r="B43" s="971"/>
      <c r="C43" s="991"/>
      <c r="D43" s="991"/>
      <c r="E43" s="991"/>
      <c r="F43" s="991"/>
      <c r="G43" s="991"/>
      <c r="H43" s="991"/>
      <c r="I43" s="991"/>
      <c r="J43" s="991"/>
      <c r="K43" s="991"/>
      <c r="L43" s="991"/>
      <c r="M43" s="991"/>
      <c r="N43" s="991"/>
      <c r="O43" s="991"/>
      <c r="P43" s="991"/>
      <c r="Q43" s="991"/>
      <c r="R43" s="991"/>
      <c r="S43" s="991"/>
      <c r="T43" s="991"/>
      <c r="U43" s="991"/>
      <c r="V43" s="991"/>
      <c r="W43" s="991"/>
      <c r="X43" s="991"/>
    </row>
    <row r="44" spans="1:24">
      <c r="A44" s="1107"/>
      <c r="B44" s="971"/>
      <c r="C44" s="991"/>
      <c r="D44" s="991"/>
      <c r="E44" s="991"/>
      <c r="F44" s="991"/>
      <c r="G44" s="991"/>
      <c r="H44" s="991"/>
      <c r="I44" s="991"/>
      <c r="J44" s="991"/>
      <c r="K44" s="991"/>
      <c r="L44" s="991"/>
      <c r="M44" s="991"/>
      <c r="N44" s="991"/>
      <c r="O44" s="991"/>
      <c r="P44" s="991"/>
      <c r="Q44" s="991"/>
      <c r="R44" s="991"/>
      <c r="S44" s="991"/>
      <c r="T44" s="991"/>
      <c r="U44" s="991"/>
      <c r="V44" s="991"/>
      <c r="W44" s="991"/>
      <c r="X44" s="991"/>
    </row>
    <row r="45" spans="1:24">
      <c r="A45" s="1107"/>
      <c r="B45" s="971"/>
      <c r="C45" s="991"/>
      <c r="D45" s="991"/>
      <c r="E45" s="991"/>
      <c r="F45" s="991"/>
      <c r="G45" s="991"/>
      <c r="H45" s="991"/>
      <c r="I45" s="991"/>
      <c r="J45" s="991"/>
      <c r="K45" s="991"/>
      <c r="L45" s="991"/>
      <c r="M45" s="991"/>
      <c r="N45" s="991"/>
      <c r="O45" s="991"/>
      <c r="P45" s="991"/>
      <c r="Q45" s="991"/>
      <c r="R45" s="991"/>
      <c r="S45" s="991"/>
      <c r="T45" s="991"/>
      <c r="U45" s="991"/>
      <c r="V45" s="991"/>
      <c r="W45" s="991"/>
      <c r="X45" s="991"/>
    </row>
    <row r="46" spans="1:24">
      <c r="A46" s="1107"/>
      <c r="B46" s="971"/>
      <c r="C46" s="991"/>
      <c r="D46" s="991"/>
      <c r="E46" s="991"/>
      <c r="F46" s="991"/>
      <c r="G46" s="991"/>
      <c r="H46" s="991"/>
      <c r="I46" s="991"/>
      <c r="J46" s="991"/>
      <c r="K46" s="991"/>
      <c r="L46" s="991"/>
      <c r="M46" s="991"/>
      <c r="N46" s="991"/>
      <c r="O46" s="991"/>
      <c r="P46" s="991"/>
      <c r="Q46" s="991"/>
      <c r="R46" s="991"/>
      <c r="S46" s="991"/>
      <c r="T46" s="991"/>
      <c r="U46" s="991"/>
      <c r="V46" s="991"/>
      <c r="W46" s="991"/>
      <c r="X46" s="991"/>
    </row>
    <row r="47" spans="1:24">
      <c r="A47" s="1106"/>
      <c r="B47" s="991"/>
      <c r="C47" s="991"/>
      <c r="D47" s="991"/>
      <c r="E47" s="991"/>
      <c r="F47" s="991"/>
      <c r="G47" s="991"/>
      <c r="H47" s="991"/>
      <c r="I47" s="991"/>
      <c r="J47" s="991"/>
      <c r="K47" s="991"/>
      <c r="L47" s="991"/>
      <c r="M47" s="991"/>
      <c r="N47" s="991"/>
      <c r="O47" s="991"/>
      <c r="P47" s="991"/>
      <c r="Q47" s="991"/>
      <c r="R47" s="991"/>
      <c r="S47" s="991"/>
      <c r="T47" s="991"/>
      <c r="U47" s="991"/>
      <c r="V47" s="991"/>
      <c r="W47" s="991"/>
      <c r="X47" s="991"/>
    </row>
    <row r="48" spans="1:24">
      <c r="A48" s="1497"/>
      <c r="B48" s="1106"/>
      <c r="C48" s="1106"/>
      <c r="D48" s="1106"/>
      <c r="E48" s="1106"/>
      <c r="F48" s="1106"/>
      <c r="G48" s="1106"/>
      <c r="H48" s="1106"/>
      <c r="I48" s="1106"/>
      <c r="J48" s="1106"/>
      <c r="K48" s="1106"/>
      <c r="L48" s="1106"/>
      <c r="M48" s="1106"/>
      <c r="N48" s="1106"/>
      <c r="O48" s="1106"/>
      <c r="P48" s="991"/>
      <c r="Q48" s="991"/>
      <c r="R48" s="991"/>
      <c r="S48" s="991"/>
      <c r="T48" s="991"/>
      <c r="U48" s="991"/>
      <c r="V48" s="991"/>
      <c r="W48" s="991"/>
      <c r="X48" s="991"/>
    </row>
    <row r="49" spans="1:24">
      <c r="A49" s="991"/>
      <c r="B49" s="991"/>
      <c r="C49" s="991"/>
      <c r="D49" s="991"/>
      <c r="E49" s="991"/>
      <c r="F49" s="991"/>
      <c r="G49" s="991"/>
      <c r="H49" s="991"/>
      <c r="I49" s="991"/>
      <c r="J49" s="991"/>
      <c r="K49" s="991"/>
      <c r="L49" s="991"/>
      <c r="M49" s="991"/>
      <c r="N49" s="991"/>
      <c r="O49" s="991"/>
      <c r="P49" s="991"/>
      <c r="Q49" s="991"/>
      <c r="R49" s="991"/>
      <c r="S49" s="991"/>
      <c r="T49" s="991"/>
      <c r="U49" s="991"/>
      <c r="V49" s="991"/>
      <c r="W49" s="991"/>
      <c r="X49" s="991"/>
    </row>
    <row r="50" spans="1:24">
      <c r="A50" s="991"/>
      <c r="B50" s="991"/>
      <c r="C50" s="991"/>
      <c r="D50" s="991"/>
      <c r="E50" s="991"/>
      <c r="F50" s="991"/>
      <c r="G50" s="991"/>
      <c r="H50" s="991"/>
      <c r="I50" s="991"/>
      <c r="J50" s="991"/>
      <c r="K50" s="991"/>
      <c r="L50" s="991"/>
      <c r="M50" s="991"/>
      <c r="N50" s="991"/>
      <c r="O50" s="991"/>
      <c r="P50" s="991"/>
      <c r="Q50" s="991"/>
      <c r="R50" s="991"/>
      <c r="S50" s="991"/>
      <c r="T50" s="991"/>
      <c r="U50" s="991"/>
      <c r="V50" s="991"/>
      <c r="W50" s="991"/>
      <c r="X50" s="991"/>
    </row>
    <row r="51" spans="1:24">
      <c r="A51" s="991"/>
      <c r="B51" s="991"/>
      <c r="C51" s="991"/>
      <c r="D51" s="991"/>
      <c r="E51" s="991"/>
      <c r="F51" s="991"/>
      <c r="G51" s="991"/>
      <c r="H51" s="991"/>
      <c r="I51" s="991"/>
      <c r="J51" s="991"/>
      <c r="K51" s="991"/>
      <c r="L51" s="991"/>
      <c r="M51" s="991"/>
      <c r="N51" s="991"/>
      <c r="O51" s="991"/>
      <c r="P51" s="991"/>
      <c r="Q51" s="991"/>
      <c r="R51" s="991"/>
      <c r="S51" s="991"/>
      <c r="T51" s="991"/>
      <c r="U51" s="991"/>
      <c r="V51" s="991"/>
      <c r="W51" s="991"/>
      <c r="X51" s="991"/>
    </row>
    <row r="52" spans="1:24">
      <c r="A52" s="991"/>
      <c r="B52" s="991"/>
      <c r="C52" s="991"/>
      <c r="D52" s="991"/>
      <c r="E52" s="991"/>
      <c r="F52" s="991"/>
      <c r="G52" s="991"/>
      <c r="H52" s="991"/>
      <c r="I52" s="991"/>
      <c r="J52" s="991"/>
      <c r="K52" s="991"/>
      <c r="L52" s="991"/>
      <c r="M52" s="991"/>
      <c r="N52" s="991"/>
      <c r="O52" s="991"/>
      <c r="P52" s="991"/>
      <c r="Q52" s="991"/>
      <c r="R52" s="991"/>
      <c r="S52" s="991"/>
      <c r="T52" s="991"/>
      <c r="U52" s="991"/>
      <c r="V52" s="991"/>
      <c r="W52" s="991"/>
      <c r="X52" s="991"/>
    </row>
    <row r="53" spans="1:24">
      <c r="A53" s="991"/>
      <c r="B53" s="991"/>
      <c r="C53" s="991"/>
      <c r="D53" s="991"/>
      <c r="E53" s="991"/>
      <c r="F53" s="991"/>
      <c r="G53" s="991"/>
      <c r="H53" s="991"/>
      <c r="I53" s="991"/>
      <c r="J53" s="991"/>
      <c r="K53" s="991"/>
      <c r="L53" s="991"/>
      <c r="M53" s="991"/>
      <c r="N53" s="991"/>
      <c r="O53" s="991"/>
      <c r="P53" s="991"/>
      <c r="Q53" s="991"/>
      <c r="R53" s="991"/>
      <c r="S53" s="991"/>
      <c r="T53" s="991"/>
      <c r="U53" s="991"/>
      <c r="V53" s="991"/>
      <c r="W53" s="991"/>
      <c r="X53" s="991"/>
    </row>
    <row r="54" spans="1:24">
      <c r="A54" s="991"/>
      <c r="B54" s="991"/>
      <c r="C54" s="991"/>
      <c r="D54" s="991"/>
      <c r="E54" s="991"/>
      <c r="F54" s="991"/>
      <c r="G54" s="991"/>
      <c r="H54" s="991"/>
      <c r="I54" s="991"/>
      <c r="J54" s="991"/>
      <c r="K54" s="991"/>
      <c r="L54" s="991"/>
      <c r="M54" s="991"/>
      <c r="N54" s="991"/>
      <c r="O54" s="991"/>
      <c r="P54" s="991"/>
      <c r="Q54" s="991"/>
      <c r="R54" s="991"/>
      <c r="S54" s="991"/>
      <c r="T54" s="991"/>
      <c r="U54" s="991"/>
      <c r="V54" s="991"/>
      <c r="W54" s="991"/>
      <c r="X54" s="991"/>
    </row>
    <row r="55" spans="1:24">
      <c r="A55" s="991"/>
      <c r="B55" s="991"/>
      <c r="C55" s="991"/>
      <c r="D55" s="991"/>
      <c r="E55" s="991"/>
      <c r="F55" s="991"/>
      <c r="G55" s="991"/>
      <c r="H55" s="991"/>
      <c r="I55" s="991"/>
      <c r="J55" s="991"/>
      <c r="K55" s="991"/>
      <c r="L55" s="991"/>
      <c r="M55" s="991"/>
      <c r="N55" s="991"/>
      <c r="O55" s="991"/>
      <c r="P55" s="991"/>
      <c r="Q55" s="991"/>
      <c r="R55" s="991"/>
      <c r="S55" s="991"/>
      <c r="T55" s="991"/>
      <c r="U55" s="991"/>
      <c r="V55" s="991"/>
      <c r="W55" s="991"/>
      <c r="X55" s="991"/>
    </row>
    <row r="56" spans="1:24">
      <c r="A56" s="991"/>
      <c r="B56" s="991"/>
      <c r="C56" s="991"/>
      <c r="D56" s="991"/>
      <c r="E56" s="991"/>
      <c r="F56" s="991"/>
      <c r="G56" s="991"/>
      <c r="H56" s="991"/>
      <c r="I56" s="991"/>
      <c r="J56" s="991"/>
      <c r="K56" s="991"/>
      <c r="L56" s="991"/>
      <c r="M56" s="991"/>
      <c r="N56" s="991"/>
      <c r="O56" s="991"/>
      <c r="P56" s="991"/>
      <c r="Q56" s="991"/>
      <c r="R56" s="991"/>
      <c r="S56" s="991"/>
      <c r="T56" s="991"/>
      <c r="U56" s="991"/>
      <c r="V56" s="991"/>
      <c r="W56" s="991"/>
      <c r="X56" s="991"/>
    </row>
    <row r="57" spans="1:24">
      <c r="A57" s="991"/>
      <c r="B57" s="991"/>
      <c r="C57" s="991"/>
      <c r="D57" s="991"/>
      <c r="E57" s="991"/>
      <c r="F57" s="991"/>
      <c r="G57" s="991"/>
      <c r="H57" s="991"/>
      <c r="I57" s="991"/>
      <c r="J57" s="991"/>
      <c r="K57" s="991"/>
      <c r="L57" s="991"/>
      <c r="M57" s="991"/>
      <c r="N57" s="991"/>
      <c r="O57" s="991"/>
      <c r="P57" s="991"/>
      <c r="Q57" s="991"/>
      <c r="R57" s="991"/>
      <c r="S57" s="991"/>
      <c r="T57" s="991"/>
      <c r="U57" s="991"/>
      <c r="V57" s="991"/>
      <c r="W57" s="991"/>
      <c r="X57" s="991"/>
    </row>
    <row r="58" spans="1:24">
      <c r="A58" s="991"/>
      <c r="B58" s="991"/>
      <c r="C58" s="991"/>
      <c r="D58" s="991"/>
      <c r="E58" s="991"/>
      <c r="F58" s="991"/>
      <c r="G58" s="991"/>
      <c r="H58" s="991"/>
      <c r="I58" s="991"/>
      <c r="J58" s="991"/>
      <c r="K58" s="991"/>
      <c r="L58" s="991"/>
      <c r="M58" s="991"/>
      <c r="N58" s="991"/>
      <c r="O58" s="991"/>
      <c r="P58" s="991"/>
      <c r="Q58" s="991"/>
      <c r="R58" s="991"/>
      <c r="S58" s="991"/>
      <c r="T58" s="991"/>
      <c r="U58" s="991"/>
      <c r="V58" s="991"/>
      <c r="W58" s="991"/>
      <c r="X58" s="991"/>
    </row>
    <row r="59" spans="1:24">
      <c r="A59" s="991"/>
      <c r="B59" s="991"/>
      <c r="C59" s="991"/>
      <c r="D59" s="991"/>
      <c r="E59" s="991"/>
      <c r="F59" s="991"/>
      <c r="G59" s="991"/>
      <c r="H59" s="991"/>
      <c r="I59" s="991"/>
      <c r="J59" s="991"/>
      <c r="K59" s="991"/>
      <c r="L59" s="991"/>
      <c r="M59" s="991"/>
      <c r="N59" s="991"/>
      <c r="O59" s="991"/>
      <c r="P59" s="991"/>
      <c r="Q59" s="991"/>
      <c r="R59" s="991"/>
      <c r="S59" s="991"/>
      <c r="T59" s="991"/>
      <c r="U59" s="991"/>
      <c r="V59" s="991"/>
      <c r="W59" s="991"/>
      <c r="X59" s="991"/>
    </row>
    <row r="60" spans="1:24">
      <c r="A60" s="991"/>
      <c r="B60" s="991"/>
      <c r="C60" s="991"/>
      <c r="D60" s="991"/>
      <c r="E60" s="991"/>
      <c r="F60" s="991"/>
      <c r="G60" s="991"/>
      <c r="H60" s="991"/>
      <c r="I60" s="991"/>
      <c r="J60" s="991"/>
      <c r="K60" s="991"/>
      <c r="L60" s="991"/>
      <c r="M60" s="991"/>
      <c r="N60" s="991"/>
      <c r="O60" s="991"/>
      <c r="P60" s="991"/>
      <c r="Q60" s="991"/>
      <c r="R60" s="991"/>
      <c r="S60" s="991"/>
      <c r="T60" s="991"/>
      <c r="U60" s="991"/>
      <c r="V60" s="991"/>
      <c r="W60" s="991"/>
      <c r="X60" s="991"/>
    </row>
    <row r="61" spans="1:24">
      <c r="A61" s="991"/>
      <c r="B61" s="991"/>
      <c r="C61" s="991"/>
      <c r="D61" s="991"/>
      <c r="E61" s="991"/>
      <c r="F61" s="991"/>
      <c r="G61" s="991"/>
      <c r="H61" s="991"/>
      <c r="I61" s="991"/>
      <c r="J61" s="991"/>
      <c r="K61" s="991"/>
      <c r="L61" s="991"/>
      <c r="M61" s="991"/>
      <c r="N61" s="991"/>
      <c r="O61" s="991"/>
      <c r="P61" s="991"/>
      <c r="Q61" s="991"/>
      <c r="R61" s="991"/>
      <c r="S61" s="991"/>
      <c r="T61" s="991"/>
      <c r="U61" s="991"/>
      <c r="V61" s="991"/>
      <c r="W61" s="991"/>
      <c r="X61" s="991"/>
    </row>
    <row r="62" spans="1:24">
      <c r="A62" s="991"/>
      <c r="B62" s="991"/>
      <c r="C62" s="991"/>
      <c r="D62" s="991"/>
      <c r="E62" s="991"/>
      <c r="F62" s="991"/>
      <c r="G62" s="991"/>
      <c r="H62" s="991"/>
      <c r="I62" s="991"/>
      <c r="J62" s="991"/>
      <c r="K62" s="991"/>
      <c r="L62" s="991"/>
      <c r="M62" s="991"/>
      <c r="N62" s="991"/>
      <c r="O62" s="991"/>
      <c r="P62" s="991"/>
      <c r="Q62" s="991"/>
      <c r="R62" s="991"/>
      <c r="S62" s="991"/>
      <c r="T62" s="991"/>
      <c r="U62" s="991"/>
      <c r="V62" s="991"/>
      <c r="W62" s="991"/>
      <c r="X62" s="991"/>
    </row>
    <row r="63" spans="1:24">
      <c r="A63" s="991"/>
      <c r="B63" s="991"/>
      <c r="C63" s="991"/>
      <c r="D63" s="991"/>
      <c r="E63" s="991"/>
      <c r="F63" s="991"/>
      <c r="G63" s="991"/>
      <c r="H63" s="991"/>
      <c r="I63" s="991"/>
      <c r="J63" s="991"/>
      <c r="K63" s="991"/>
      <c r="L63" s="991"/>
      <c r="M63" s="991"/>
      <c r="N63" s="991"/>
      <c r="O63" s="991"/>
      <c r="P63" s="991"/>
      <c r="Q63" s="991"/>
      <c r="R63" s="991"/>
      <c r="S63" s="991"/>
      <c r="T63" s="991"/>
      <c r="U63" s="991"/>
      <c r="V63" s="991"/>
      <c r="W63" s="991"/>
      <c r="X63" s="991"/>
    </row>
    <row r="64" spans="1:24">
      <c r="A64" s="991"/>
      <c r="B64" s="991"/>
      <c r="C64" s="991"/>
      <c r="D64" s="991"/>
      <c r="E64" s="991"/>
      <c r="F64" s="991"/>
      <c r="G64" s="991"/>
      <c r="H64" s="991"/>
      <c r="I64" s="991"/>
      <c r="J64" s="991"/>
      <c r="K64" s="991"/>
      <c r="L64" s="991"/>
      <c r="M64" s="991"/>
      <c r="N64" s="991"/>
      <c r="O64" s="991"/>
      <c r="P64" s="991"/>
      <c r="Q64" s="991"/>
      <c r="R64" s="991"/>
      <c r="S64" s="991"/>
      <c r="T64" s="991"/>
      <c r="U64" s="991"/>
      <c r="V64" s="991"/>
      <c r="W64" s="991"/>
      <c r="X64" s="991"/>
    </row>
    <row r="65" spans="1:24">
      <c r="A65" s="991"/>
      <c r="B65" s="991"/>
      <c r="C65" s="991"/>
      <c r="D65" s="991"/>
      <c r="E65" s="991"/>
      <c r="F65" s="991"/>
      <c r="G65" s="991"/>
      <c r="H65" s="991"/>
      <c r="I65" s="991"/>
      <c r="J65" s="991"/>
      <c r="K65" s="991"/>
      <c r="L65" s="991"/>
      <c r="M65" s="991"/>
      <c r="N65" s="991"/>
      <c r="O65" s="991"/>
      <c r="P65" s="991"/>
      <c r="Q65" s="991"/>
      <c r="R65" s="991"/>
      <c r="S65" s="991"/>
      <c r="T65" s="991"/>
      <c r="U65" s="991"/>
      <c r="V65" s="991"/>
      <c r="W65" s="991"/>
      <c r="X65" s="991"/>
    </row>
    <row r="66" spans="1:24">
      <c r="A66" s="991"/>
      <c r="B66" s="991"/>
      <c r="C66" s="991"/>
      <c r="D66" s="991"/>
      <c r="E66" s="991"/>
      <c r="F66" s="991"/>
      <c r="G66" s="991"/>
      <c r="H66" s="991"/>
      <c r="I66" s="991"/>
      <c r="J66" s="991"/>
      <c r="K66" s="991"/>
      <c r="L66" s="991"/>
      <c r="M66" s="991"/>
      <c r="N66" s="991"/>
      <c r="O66" s="991"/>
      <c r="P66" s="991"/>
      <c r="Q66" s="991"/>
      <c r="R66" s="991"/>
      <c r="S66" s="991"/>
      <c r="T66" s="991"/>
      <c r="U66" s="991"/>
      <c r="V66" s="991"/>
      <c r="W66" s="991"/>
      <c r="X66" s="991"/>
    </row>
    <row r="67" spans="1:24">
      <c r="A67" s="991"/>
      <c r="B67" s="991"/>
      <c r="C67" s="991"/>
      <c r="D67" s="991"/>
      <c r="E67" s="991"/>
      <c r="F67" s="991"/>
      <c r="G67" s="991"/>
      <c r="H67" s="991"/>
      <c r="I67" s="991"/>
      <c r="J67" s="991"/>
      <c r="K67" s="991"/>
      <c r="L67" s="991"/>
      <c r="M67" s="991"/>
      <c r="N67" s="991"/>
      <c r="O67" s="991"/>
      <c r="P67" s="991"/>
      <c r="Q67" s="991"/>
      <c r="R67" s="991"/>
      <c r="S67" s="991"/>
      <c r="T67" s="991"/>
      <c r="U67" s="991"/>
      <c r="V67" s="991"/>
      <c r="W67" s="991"/>
      <c r="X67" s="991"/>
    </row>
    <row r="68" spans="1:24">
      <c r="A68" s="991"/>
      <c r="B68" s="991"/>
      <c r="C68" s="991"/>
      <c r="D68" s="991"/>
      <c r="E68" s="991"/>
      <c r="F68" s="991"/>
      <c r="G68" s="991"/>
      <c r="H68" s="991"/>
      <c r="I68" s="991"/>
      <c r="J68" s="991"/>
      <c r="K68" s="991"/>
      <c r="L68" s="991"/>
      <c r="M68" s="991"/>
      <c r="N68" s="991"/>
      <c r="O68" s="991"/>
      <c r="P68" s="991"/>
      <c r="Q68" s="991"/>
      <c r="R68" s="991"/>
      <c r="S68" s="991"/>
      <c r="T68" s="991"/>
      <c r="U68" s="991"/>
      <c r="V68" s="991"/>
      <c r="W68" s="991"/>
      <c r="X68" s="991"/>
    </row>
    <row r="69" spans="1:24">
      <c r="A69" s="991"/>
      <c r="B69" s="991"/>
      <c r="C69" s="991"/>
      <c r="D69" s="991"/>
      <c r="E69" s="991"/>
      <c r="F69" s="991"/>
      <c r="G69" s="991"/>
      <c r="H69" s="991"/>
      <c r="I69" s="991"/>
      <c r="J69" s="991"/>
      <c r="K69" s="991"/>
      <c r="L69" s="991"/>
      <c r="M69" s="991"/>
      <c r="N69" s="991"/>
      <c r="O69" s="991"/>
      <c r="P69" s="991"/>
      <c r="Q69" s="991"/>
      <c r="R69" s="991"/>
      <c r="S69" s="991"/>
      <c r="T69" s="991"/>
      <c r="U69" s="991"/>
      <c r="V69" s="991"/>
      <c r="W69" s="991"/>
      <c r="X69" s="991"/>
    </row>
    <row r="70" spans="1:24">
      <c r="A70" s="991"/>
      <c r="B70" s="991"/>
      <c r="C70" s="991"/>
      <c r="D70" s="991"/>
      <c r="E70" s="991"/>
      <c r="F70" s="991"/>
      <c r="G70" s="991"/>
      <c r="H70" s="991"/>
      <c r="I70" s="991"/>
      <c r="J70" s="991"/>
      <c r="K70" s="991"/>
      <c r="L70" s="991"/>
      <c r="M70" s="991"/>
      <c r="N70" s="991"/>
      <c r="O70" s="991"/>
      <c r="P70" s="991"/>
      <c r="Q70" s="991"/>
      <c r="R70" s="991"/>
      <c r="S70" s="991"/>
      <c r="T70" s="991"/>
      <c r="U70" s="991"/>
      <c r="V70" s="991"/>
      <c r="W70" s="991"/>
      <c r="X70" s="991"/>
    </row>
    <row r="71" spans="1:24">
      <c r="A71" s="991"/>
      <c r="B71" s="991"/>
      <c r="C71" s="991"/>
      <c r="D71" s="1496"/>
      <c r="E71" s="991"/>
      <c r="F71" s="991"/>
      <c r="G71" s="991"/>
      <c r="H71" s="991"/>
      <c r="I71" s="991"/>
      <c r="J71" s="991"/>
      <c r="K71" s="991"/>
      <c r="L71" s="991"/>
      <c r="M71" s="991"/>
      <c r="N71" s="991"/>
      <c r="O71" s="991"/>
      <c r="P71" s="991"/>
      <c r="Q71" s="991"/>
      <c r="R71" s="991"/>
      <c r="S71" s="991"/>
      <c r="T71" s="991"/>
      <c r="U71" s="991"/>
      <c r="V71" s="991"/>
      <c r="W71" s="991"/>
      <c r="X71" s="991"/>
    </row>
    <row r="72" spans="1:24">
      <c r="A72" s="991"/>
      <c r="B72" s="991"/>
      <c r="C72" s="991"/>
      <c r="D72" s="991"/>
      <c r="E72" s="991"/>
      <c r="F72" s="991"/>
      <c r="G72" s="991"/>
      <c r="H72" s="991"/>
      <c r="I72" s="991"/>
      <c r="J72" s="991"/>
      <c r="K72" s="991"/>
      <c r="L72" s="991"/>
      <c r="M72" s="991"/>
      <c r="N72" s="991"/>
      <c r="O72" s="991"/>
      <c r="P72" s="991"/>
      <c r="Q72" s="991"/>
      <c r="R72" s="991"/>
      <c r="S72" s="991"/>
      <c r="T72" s="991"/>
      <c r="U72" s="991"/>
      <c r="V72" s="991"/>
      <c r="W72" s="991"/>
      <c r="X72" s="991"/>
    </row>
    <row r="73" spans="1:24">
      <c r="A73" s="991"/>
      <c r="B73" s="991"/>
      <c r="C73" s="991"/>
      <c r="D73" s="991"/>
      <c r="E73" s="991"/>
      <c r="F73" s="991"/>
      <c r="G73" s="991"/>
      <c r="H73" s="991"/>
      <c r="I73" s="991"/>
      <c r="J73" s="991"/>
      <c r="K73" s="991"/>
      <c r="L73" s="991"/>
      <c r="M73" s="991"/>
      <c r="N73" s="991"/>
      <c r="O73" s="991"/>
      <c r="P73" s="991"/>
      <c r="Q73" s="991"/>
      <c r="R73" s="991"/>
      <c r="S73" s="991"/>
      <c r="T73" s="991"/>
      <c r="U73" s="991"/>
      <c r="V73" s="991"/>
      <c r="W73" s="991"/>
      <c r="X73" s="991"/>
    </row>
    <row r="74" spans="1:24">
      <c r="A74" s="991"/>
      <c r="B74" s="991"/>
      <c r="C74" s="991"/>
      <c r="D74" s="1496"/>
      <c r="E74" s="991"/>
      <c r="F74" s="991"/>
      <c r="G74" s="991"/>
      <c r="H74" s="991"/>
      <c r="I74" s="991"/>
      <c r="J74" s="991"/>
      <c r="K74" s="991"/>
      <c r="L74" s="991"/>
      <c r="M74" s="991"/>
      <c r="N74" s="991"/>
      <c r="O74" s="991"/>
      <c r="P74" s="991"/>
      <c r="Q74" s="991"/>
      <c r="R74" s="991"/>
      <c r="S74" s="991"/>
      <c r="T74" s="991"/>
      <c r="U74" s="991"/>
      <c r="V74" s="991"/>
      <c r="W74" s="991"/>
      <c r="X74" s="991"/>
    </row>
    <row r="75" spans="1:24">
      <c r="A75" s="991"/>
      <c r="B75" s="991"/>
      <c r="C75" s="991"/>
      <c r="D75" s="991"/>
      <c r="E75" s="991"/>
      <c r="F75" s="991"/>
      <c r="G75" s="991"/>
      <c r="H75" s="991"/>
      <c r="I75" s="991"/>
      <c r="J75" s="991"/>
      <c r="K75" s="991"/>
      <c r="L75" s="991"/>
      <c r="M75" s="991"/>
      <c r="N75" s="991"/>
      <c r="O75" s="991"/>
      <c r="P75" s="991"/>
      <c r="Q75" s="991"/>
      <c r="R75" s="991"/>
      <c r="S75" s="991"/>
      <c r="T75" s="991"/>
      <c r="U75" s="991"/>
      <c r="V75" s="991"/>
      <c r="W75" s="991"/>
      <c r="X75" s="991"/>
    </row>
    <row r="76" spans="1:24">
      <c r="A76" s="991"/>
      <c r="B76" s="991"/>
      <c r="C76" s="991"/>
      <c r="D76" s="991"/>
      <c r="E76" s="991"/>
      <c r="F76" s="991"/>
      <c r="G76" s="991"/>
      <c r="H76" s="991"/>
      <c r="I76" s="991"/>
      <c r="J76" s="991"/>
      <c r="K76" s="991"/>
      <c r="L76" s="991"/>
      <c r="M76" s="991"/>
      <c r="N76" s="991"/>
      <c r="O76" s="991"/>
      <c r="P76" s="991"/>
      <c r="Q76" s="991"/>
      <c r="R76" s="991"/>
      <c r="S76" s="991"/>
      <c r="T76" s="991"/>
      <c r="U76" s="991"/>
      <c r="V76" s="991"/>
      <c r="W76" s="991"/>
      <c r="X76" s="991"/>
    </row>
    <row r="77" spans="1:24">
      <c r="A77" s="991"/>
      <c r="B77" s="991"/>
      <c r="C77" s="991"/>
      <c r="D77" s="991"/>
      <c r="E77" s="991"/>
      <c r="F77" s="991"/>
      <c r="G77" s="991"/>
      <c r="H77" s="991"/>
      <c r="I77" s="991"/>
      <c r="J77" s="991"/>
      <c r="K77" s="991"/>
      <c r="L77" s="991"/>
      <c r="M77" s="991"/>
      <c r="N77" s="991"/>
      <c r="O77" s="991"/>
      <c r="P77" s="991"/>
      <c r="Q77" s="991"/>
      <c r="R77" s="991"/>
      <c r="S77" s="991"/>
      <c r="T77" s="991"/>
      <c r="U77" s="991"/>
      <c r="V77" s="991"/>
      <c r="W77" s="991"/>
      <c r="X77" s="991"/>
    </row>
    <row r="78" spans="1:24">
      <c r="A78" s="991"/>
      <c r="B78" s="991"/>
      <c r="C78" s="991"/>
      <c r="D78" s="991"/>
      <c r="E78" s="991"/>
      <c r="F78" s="991"/>
      <c r="G78" s="991"/>
      <c r="H78" s="991"/>
      <c r="I78" s="991"/>
      <c r="J78" s="991"/>
      <c r="K78" s="991"/>
      <c r="L78" s="991"/>
      <c r="M78" s="991"/>
      <c r="N78" s="991"/>
      <c r="O78" s="991"/>
      <c r="P78" s="991"/>
      <c r="Q78" s="991"/>
      <c r="R78" s="991"/>
      <c r="S78" s="991"/>
      <c r="T78" s="991"/>
      <c r="U78" s="991"/>
      <c r="V78" s="991"/>
      <c r="W78" s="991"/>
      <c r="X78" s="991"/>
    </row>
    <row r="79" spans="1:24">
      <c r="A79" s="991"/>
      <c r="B79" s="991"/>
      <c r="C79" s="991"/>
      <c r="D79" s="991"/>
      <c r="E79" s="991"/>
      <c r="F79" s="991"/>
      <c r="G79" s="991"/>
      <c r="H79" s="991"/>
      <c r="I79" s="991"/>
      <c r="J79" s="991"/>
      <c r="K79" s="991"/>
      <c r="L79" s="991"/>
      <c r="M79" s="991"/>
      <c r="N79" s="991"/>
      <c r="O79" s="991"/>
      <c r="P79" s="991"/>
      <c r="Q79" s="991"/>
      <c r="R79" s="991"/>
      <c r="S79" s="991"/>
      <c r="T79" s="991"/>
      <c r="U79" s="991"/>
      <c r="V79" s="991"/>
      <c r="W79" s="991"/>
      <c r="X79" s="991"/>
    </row>
    <row r="80" spans="1:24">
      <c r="A80" s="991"/>
      <c r="B80" s="991"/>
      <c r="C80" s="991"/>
      <c r="D80" s="991"/>
      <c r="E80" s="991"/>
      <c r="F80" s="991"/>
      <c r="G80" s="991"/>
      <c r="H80" s="991"/>
      <c r="I80" s="991"/>
      <c r="J80" s="991"/>
      <c r="K80" s="991"/>
      <c r="L80" s="991"/>
      <c r="M80" s="991"/>
      <c r="N80" s="991"/>
      <c r="O80" s="991"/>
      <c r="P80" s="991"/>
      <c r="Q80" s="991"/>
      <c r="R80" s="991"/>
      <c r="S80" s="991"/>
      <c r="T80" s="991"/>
      <c r="U80" s="991"/>
      <c r="V80" s="991"/>
      <c r="W80" s="991"/>
      <c r="X80" s="991"/>
    </row>
    <row r="81" spans="1:24">
      <c r="A81" s="991"/>
      <c r="B81" s="991"/>
      <c r="C81" s="991"/>
      <c r="D81" s="991"/>
      <c r="E81" s="991"/>
      <c r="F81" s="991"/>
      <c r="G81" s="991"/>
      <c r="H81" s="991"/>
      <c r="I81" s="991"/>
      <c r="J81" s="991"/>
      <c r="K81" s="991"/>
      <c r="L81" s="991"/>
      <c r="M81" s="991"/>
      <c r="N81" s="991"/>
      <c r="O81" s="991"/>
      <c r="P81" s="991"/>
      <c r="Q81" s="991"/>
      <c r="R81" s="991"/>
      <c r="S81" s="991"/>
      <c r="T81" s="991"/>
      <c r="U81" s="991"/>
      <c r="V81" s="991"/>
      <c r="W81" s="991"/>
      <c r="X81" s="991"/>
    </row>
    <row r="82" spans="1:24">
      <c r="A82" s="991"/>
      <c r="B82" s="991"/>
      <c r="C82" s="991"/>
      <c r="D82" s="991"/>
      <c r="E82" s="991"/>
      <c r="F82" s="991"/>
      <c r="G82" s="991"/>
      <c r="H82" s="991"/>
      <c r="I82" s="991"/>
      <c r="J82" s="991"/>
      <c r="K82" s="991"/>
      <c r="L82" s="991"/>
      <c r="M82" s="991"/>
      <c r="N82" s="991"/>
      <c r="O82" s="991"/>
      <c r="P82" s="991"/>
      <c r="Q82" s="991"/>
      <c r="R82" s="991"/>
      <c r="S82" s="991"/>
      <c r="T82" s="991"/>
      <c r="U82" s="991"/>
      <c r="V82" s="991"/>
      <c r="W82" s="991"/>
      <c r="X82" s="991"/>
    </row>
    <row r="83" spans="1:24">
      <c r="A83" s="991"/>
      <c r="B83" s="991"/>
      <c r="C83" s="991"/>
      <c r="D83" s="991"/>
      <c r="E83" s="991"/>
      <c r="F83" s="991"/>
      <c r="G83" s="991"/>
      <c r="H83" s="991"/>
      <c r="I83" s="991"/>
      <c r="J83" s="991"/>
      <c r="K83" s="991"/>
      <c r="L83" s="991"/>
      <c r="M83" s="991"/>
      <c r="N83" s="991"/>
      <c r="O83" s="991"/>
      <c r="P83" s="991"/>
      <c r="Q83" s="991"/>
      <c r="R83" s="991"/>
      <c r="S83" s="991"/>
      <c r="T83" s="991"/>
      <c r="U83" s="991"/>
      <c r="V83" s="991"/>
      <c r="W83" s="991"/>
      <c r="X83" s="991"/>
    </row>
    <row r="84" spans="1:24">
      <c r="A84" s="991"/>
      <c r="B84" s="991"/>
      <c r="C84" s="991"/>
      <c r="D84" s="991"/>
      <c r="E84" s="991"/>
      <c r="F84" s="991"/>
      <c r="G84" s="991"/>
      <c r="H84" s="991"/>
      <c r="I84" s="991"/>
      <c r="J84" s="991"/>
      <c r="K84" s="991"/>
      <c r="L84" s="991"/>
      <c r="M84" s="991"/>
      <c r="N84" s="991"/>
      <c r="O84" s="991"/>
      <c r="P84" s="991"/>
      <c r="Q84" s="991"/>
      <c r="R84" s="991"/>
      <c r="S84" s="991"/>
      <c r="T84" s="991"/>
      <c r="U84" s="991"/>
      <c r="V84" s="991"/>
      <c r="W84" s="991"/>
      <c r="X84" s="991"/>
    </row>
    <row r="85" spans="1:24">
      <c r="A85" s="991"/>
      <c r="B85" s="991"/>
      <c r="C85" s="991"/>
      <c r="D85" s="991"/>
      <c r="E85" s="991"/>
      <c r="F85" s="991"/>
      <c r="G85" s="991"/>
      <c r="H85" s="991"/>
      <c r="I85" s="991"/>
      <c r="J85" s="991"/>
      <c r="K85" s="991"/>
      <c r="L85" s="991"/>
      <c r="M85" s="991"/>
      <c r="N85" s="991"/>
      <c r="O85" s="991"/>
      <c r="P85" s="991"/>
      <c r="Q85" s="991"/>
      <c r="R85" s="991"/>
      <c r="S85" s="991"/>
      <c r="T85" s="991"/>
      <c r="U85" s="991"/>
      <c r="V85" s="991"/>
      <c r="W85" s="991"/>
      <c r="X85" s="991"/>
    </row>
    <row r="86" spans="1:24">
      <c r="A86" s="991"/>
      <c r="B86" s="991"/>
      <c r="C86" s="991"/>
      <c r="D86" s="991"/>
      <c r="E86" s="991"/>
      <c r="F86" s="991"/>
      <c r="G86" s="991"/>
      <c r="H86" s="991"/>
      <c r="I86" s="991"/>
      <c r="J86" s="991"/>
      <c r="K86" s="991"/>
      <c r="L86" s="991"/>
      <c r="M86" s="991"/>
      <c r="N86" s="991"/>
      <c r="O86" s="991"/>
      <c r="P86" s="991"/>
      <c r="Q86" s="991"/>
      <c r="R86" s="991"/>
      <c r="S86" s="991"/>
      <c r="T86" s="991"/>
      <c r="U86" s="991"/>
      <c r="V86" s="991"/>
      <c r="W86" s="991"/>
      <c r="X86" s="991"/>
    </row>
    <row r="87" spans="1:24">
      <c r="A87" s="991"/>
      <c r="B87" s="991"/>
      <c r="C87" s="991"/>
      <c r="D87" s="991"/>
      <c r="E87" s="991"/>
      <c r="F87" s="991"/>
      <c r="G87" s="991"/>
      <c r="H87" s="991"/>
      <c r="I87" s="991"/>
      <c r="J87" s="991"/>
      <c r="K87" s="991"/>
      <c r="L87" s="991"/>
      <c r="M87" s="991"/>
      <c r="N87" s="991"/>
      <c r="O87" s="991"/>
      <c r="P87" s="991"/>
      <c r="Q87" s="991"/>
      <c r="R87" s="991"/>
      <c r="S87" s="991"/>
      <c r="T87" s="991"/>
      <c r="U87" s="991"/>
      <c r="V87" s="991"/>
      <c r="W87" s="991"/>
      <c r="X87" s="991"/>
    </row>
    <row r="88" spans="1:24">
      <c r="A88" s="991"/>
      <c r="B88" s="991"/>
      <c r="C88" s="991"/>
      <c r="D88" s="991"/>
      <c r="E88" s="991"/>
      <c r="F88" s="991"/>
      <c r="G88" s="991"/>
      <c r="H88" s="991"/>
      <c r="I88" s="991"/>
      <c r="J88" s="991"/>
      <c r="K88" s="991"/>
      <c r="L88" s="991"/>
      <c r="M88" s="991"/>
      <c r="N88" s="991"/>
      <c r="O88" s="991"/>
      <c r="P88" s="991"/>
      <c r="Q88" s="991"/>
      <c r="R88" s="991"/>
      <c r="S88" s="991"/>
      <c r="T88" s="991"/>
      <c r="U88" s="991"/>
      <c r="V88" s="991"/>
      <c r="W88" s="991"/>
      <c r="X88" s="991"/>
    </row>
    <row r="89" spans="1:24">
      <c r="A89" s="991"/>
      <c r="B89" s="991"/>
      <c r="C89" s="991"/>
      <c r="D89" s="991"/>
      <c r="E89" s="991"/>
      <c r="F89" s="991"/>
      <c r="G89" s="991"/>
      <c r="H89" s="991"/>
      <c r="I89" s="991"/>
      <c r="J89" s="991"/>
      <c r="K89" s="991"/>
      <c r="L89" s="991"/>
      <c r="M89" s="991"/>
      <c r="N89" s="991"/>
      <c r="O89" s="991"/>
      <c r="P89" s="991"/>
      <c r="Q89" s="991"/>
      <c r="R89" s="991"/>
      <c r="S89" s="991"/>
      <c r="T89" s="991"/>
      <c r="U89" s="991"/>
      <c r="V89" s="991"/>
      <c r="W89" s="991"/>
      <c r="X89" s="991"/>
    </row>
    <row r="90" spans="1:24">
      <c r="A90" s="991"/>
      <c r="B90" s="991"/>
      <c r="C90" s="991"/>
      <c r="D90" s="991"/>
      <c r="E90" s="991"/>
      <c r="F90" s="991"/>
      <c r="G90" s="991"/>
      <c r="H90" s="991"/>
      <c r="I90" s="991"/>
      <c r="J90" s="991"/>
      <c r="K90" s="991"/>
      <c r="L90" s="991"/>
      <c r="M90" s="991"/>
      <c r="N90" s="991"/>
      <c r="O90" s="991"/>
      <c r="P90" s="991"/>
      <c r="Q90" s="991"/>
      <c r="R90" s="991"/>
      <c r="S90" s="991"/>
      <c r="T90" s="991"/>
      <c r="U90" s="991"/>
      <c r="V90" s="991"/>
      <c r="W90" s="991"/>
      <c r="X90" s="991"/>
    </row>
    <row r="91" spans="1:24">
      <c r="A91" s="991"/>
      <c r="B91" s="991"/>
      <c r="C91" s="991"/>
      <c r="D91" s="991"/>
      <c r="E91" s="991"/>
      <c r="F91" s="991"/>
      <c r="G91" s="991"/>
      <c r="H91" s="991"/>
      <c r="I91" s="991"/>
      <c r="J91" s="991"/>
      <c r="K91" s="991"/>
      <c r="L91" s="991"/>
      <c r="M91" s="991"/>
      <c r="N91" s="991"/>
      <c r="O91" s="991"/>
      <c r="P91" s="991"/>
      <c r="Q91" s="991"/>
      <c r="R91" s="991"/>
      <c r="S91" s="991"/>
      <c r="T91" s="991"/>
      <c r="U91" s="991"/>
      <c r="V91" s="991"/>
      <c r="W91" s="991"/>
      <c r="X91" s="991"/>
    </row>
    <row r="92" spans="1:24">
      <c r="A92" s="991"/>
      <c r="B92" s="991"/>
      <c r="C92" s="991"/>
      <c r="D92" s="991"/>
      <c r="E92" s="991"/>
      <c r="F92" s="991"/>
      <c r="G92" s="991"/>
      <c r="H92" s="991"/>
      <c r="I92" s="991"/>
      <c r="J92" s="991"/>
      <c r="K92" s="991"/>
      <c r="L92" s="991"/>
      <c r="M92" s="991"/>
      <c r="N92" s="991"/>
      <c r="O92" s="991"/>
      <c r="P92" s="991"/>
      <c r="Q92" s="991"/>
      <c r="R92" s="991"/>
      <c r="S92" s="991"/>
      <c r="T92" s="991"/>
      <c r="U92" s="991"/>
      <c r="V92" s="991"/>
      <c r="W92" s="991"/>
      <c r="X92" s="991"/>
    </row>
    <row r="93" spans="1:24">
      <c r="A93" s="991"/>
      <c r="B93" s="991"/>
      <c r="C93" s="991"/>
      <c r="D93" s="991"/>
      <c r="E93" s="991"/>
      <c r="F93" s="991"/>
      <c r="G93" s="991"/>
      <c r="H93" s="991"/>
      <c r="I93" s="991"/>
      <c r="J93" s="991"/>
      <c r="K93" s="991"/>
      <c r="L93" s="991"/>
      <c r="M93" s="991"/>
      <c r="N93" s="991"/>
      <c r="O93" s="991"/>
      <c r="P93" s="991"/>
      <c r="Q93" s="991"/>
      <c r="R93" s="991"/>
      <c r="S93" s="991"/>
      <c r="T93" s="991"/>
      <c r="U93" s="991"/>
      <c r="V93" s="991"/>
      <c r="W93" s="991"/>
      <c r="X93" s="991"/>
    </row>
    <row r="94" spans="1:24">
      <c r="A94" s="991"/>
      <c r="B94" s="991"/>
      <c r="C94" s="991"/>
      <c r="D94" s="991"/>
      <c r="E94" s="991"/>
      <c r="F94" s="991"/>
      <c r="G94" s="991"/>
      <c r="H94" s="991"/>
      <c r="I94" s="991"/>
      <c r="J94" s="991"/>
      <c r="K94" s="991"/>
      <c r="L94" s="991"/>
      <c r="M94" s="991"/>
      <c r="N94" s="991"/>
      <c r="O94" s="991"/>
      <c r="P94" s="991"/>
      <c r="Q94" s="991"/>
      <c r="R94" s="991"/>
      <c r="S94" s="991"/>
      <c r="T94" s="991"/>
      <c r="U94" s="991"/>
      <c r="V94" s="991"/>
      <c r="W94" s="991"/>
      <c r="X94" s="991"/>
    </row>
    <row r="95" spans="1:24">
      <c r="A95" s="991"/>
      <c r="B95" s="991"/>
      <c r="C95" s="991"/>
      <c r="D95" s="991"/>
      <c r="E95" s="991"/>
      <c r="F95" s="991"/>
      <c r="G95" s="991"/>
      <c r="H95" s="991"/>
      <c r="I95" s="991"/>
      <c r="J95" s="991"/>
      <c r="K95" s="991"/>
      <c r="L95" s="991"/>
      <c r="M95" s="991"/>
      <c r="N95" s="991"/>
      <c r="O95" s="991"/>
      <c r="P95" s="991"/>
      <c r="Q95" s="991"/>
      <c r="R95" s="991"/>
      <c r="S95" s="991"/>
      <c r="T95" s="991"/>
      <c r="U95" s="991"/>
      <c r="V95" s="991"/>
      <c r="W95" s="991"/>
      <c r="X95" s="991"/>
    </row>
    <row r="96" spans="1:24">
      <c r="A96" s="991"/>
      <c r="B96" s="991"/>
      <c r="C96" s="991"/>
      <c r="D96" s="991"/>
      <c r="E96" s="991"/>
      <c r="F96" s="991"/>
      <c r="G96" s="991"/>
      <c r="H96" s="991"/>
      <c r="I96" s="991"/>
      <c r="J96" s="991"/>
      <c r="K96" s="991"/>
      <c r="L96" s="991"/>
      <c r="M96" s="991"/>
      <c r="N96" s="991"/>
      <c r="O96" s="991"/>
      <c r="P96" s="991"/>
      <c r="Q96" s="991"/>
      <c r="R96" s="991"/>
      <c r="S96" s="991"/>
      <c r="T96" s="991"/>
      <c r="U96" s="991"/>
      <c r="V96" s="991"/>
      <c r="W96" s="991"/>
      <c r="X96" s="991"/>
    </row>
    <row r="97" spans="1:24">
      <c r="A97" s="991"/>
      <c r="B97" s="991"/>
      <c r="C97" s="991"/>
      <c r="D97" s="991"/>
      <c r="E97" s="991"/>
      <c r="F97" s="991"/>
      <c r="G97" s="991"/>
      <c r="H97" s="991"/>
      <c r="I97" s="991"/>
      <c r="J97" s="991"/>
      <c r="K97" s="991"/>
      <c r="L97" s="991"/>
      <c r="M97" s="991"/>
      <c r="N97" s="991"/>
      <c r="O97" s="991"/>
      <c r="P97" s="991"/>
      <c r="Q97" s="991"/>
      <c r="R97" s="991"/>
      <c r="S97" s="991"/>
      <c r="T97" s="991"/>
      <c r="U97" s="991"/>
      <c r="V97" s="991"/>
      <c r="W97" s="991"/>
      <c r="X97" s="991"/>
    </row>
    <row r="98" spans="1:24">
      <c r="A98" s="991"/>
      <c r="B98" s="991"/>
      <c r="C98" s="991"/>
      <c r="D98" s="991"/>
      <c r="E98" s="991"/>
      <c r="F98" s="991"/>
      <c r="G98" s="991"/>
      <c r="H98" s="991"/>
      <c r="I98" s="991"/>
      <c r="J98" s="991"/>
      <c r="K98" s="991"/>
      <c r="L98" s="991"/>
      <c r="M98" s="991"/>
      <c r="N98" s="991"/>
      <c r="O98" s="991"/>
      <c r="P98" s="991"/>
      <c r="Q98" s="991"/>
      <c r="R98" s="991"/>
      <c r="S98" s="991"/>
      <c r="T98" s="991"/>
      <c r="U98" s="991"/>
      <c r="V98" s="991"/>
      <c r="W98" s="991"/>
      <c r="X98" s="991"/>
    </row>
    <row r="99" spans="1:24">
      <c r="A99" s="991"/>
      <c r="B99" s="991"/>
      <c r="C99" s="991"/>
      <c r="D99" s="991"/>
      <c r="E99" s="991"/>
      <c r="F99" s="991"/>
      <c r="G99" s="991"/>
      <c r="H99" s="991"/>
      <c r="I99" s="991"/>
      <c r="J99" s="991"/>
      <c r="K99" s="991"/>
      <c r="L99" s="991"/>
      <c r="M99" s="991"/>
      <c r="N99" s="991"/>
      <c r="O99" s="991"/>
      <c r="P99" s="991"/>
      <c r="Q99" s="991"/>
      <c r="R99" s="991"/>
      <c r="S99" s="991"/>
      <c r="T99" s="991"/>
      <c r="U99" s="991"/>
      <c r="V99" s="991"/>
      <c r="W99" s="991"/>
      <c r="X99" s="991"/>
    </row>
    <row r="100" spans="1:24">
      <c r="A100" s="991"/>
      <c r="B100" s="991"/>
      <c r="C100" s="991"/>
      <c r="D100" s="991"/>
      <c r="E100" s="991"/>
      <c r="F100" s="991"/>
      <c r="G100" s="991"/>
      <c r="H100" s="991"/>
      <c r="I100" s="991"/>
      <c r="J100" s="991"/>
      <c r="K100" s="991"/>
      <c r="L100" s="991"/>
      <c r="M100" s="991"/>
      <c r="N100" s="991"/>
      <c r="O100" s="991"/>
      <c r="P100" s="991"/>
      <c r="Q100" s="991"/>
      <c r="R100" s="991"/>
      <c r="S100" s="991"/>
      <c r="T100" s="991"/>
      <c r="U100" s="991"/>
      <c r="V100" s="991"/>
      <c r="W100" s="991"/>
      <c r="X100" s="991"/>
    </row>
    <row r="101" spans="1:24">
      <c r="A101" s="991"/>
      <c r="B101" s="991"/>
      <c r="C101" s="991"/>
      <c r="D101" s="991"/>
      <c r="E101" s="991"/>
      <c r="F101" s="991"/>
      <c r="G101" s="991"/>
      <c r="H101" s="991"/>
      <c r="I101" s="991"/>
      <c r="J101" s="991"/>
      <c r="K101" s="991"/>
      <c r="L101" s="991"/>
      <c r="M101" s="991"/>
      <c r="N101" s="991"/>
      <c r="O101" s="991"/>
      <c r="P101" s="991"/>
      <c r="Q101" s="991"/>
      <c r="R101" s="991"/>
      <c r="S101" s="991"/>
      <c r="T101" s="991"/>
      <c r="U101" s="991"/>
      <c r="V101" s="991"/>
      <c r="W101" s="991"/>
      <c r="X101" s="991"/>
    </row>
    <row r="102" spans="1:24">
      <c r="A102" s="991"/>
      <c r="B102" s="991"/>
      <c r="C102" s="991"/>
      <c r="D102" s="991"/>
      <c r="E102" s="991"/>
      <c r="F102" s="991"/>
      <c r="G102" s="991"/>
      <c r="H102" s="991"/>
      <c r="I102" s="991"/>
      <c r="J102" s="991"/>
      <c r="K102" s="991"/>
      <c r="L102" s="991"/>
      <c r="M102" s="991"/>
      <c r="N102" s="991"/>
      <c r="O102" s="991"/>
      <c r="P102" s="991"/>
      <c r="Q102" s="991"/>
      <c r="R102" s="991"/>
      <c r="S102" s="991"/>
      <c r="T102" s="991"/>
      <c r="U102" s="991"/>
      <c r="V102" s="991"/>
      <c r="W102" s="991"/>
      <c r="X102" s="991"/>
    </row>
    <row r="103" spans="1:24">
      <c r="A103" s="991"/>
      <c r="B103" s="991"/>
      <c r="C103" s="991"/>
      <c r="D103" s="991"/>
      <c r="E103" s="991"/>
      <c r="F103" s="991"/>
      <c r="G103" s="991"/>
      <c r="H103" s="991"/>
      <c r="I103" s="991"/>
      <c r="J103" s="991"/>
      <c r="K103" s="991"/>
      <c r="L103" s="991"/>
      <c r="M103" s="991"/>
      <c r="N103" s="991"/>
      <c r="O103" s="991"/>
      <c r="P103" s="991"/>
      <c r="Q103" s="991"/>
      <c r="R103" s="991"/>
      <c r="S103" s="991"/>
      <c r="T103" s="991"/>
      <c r="U103" s="991"/>
      <c r="V103" s="991"/>
      <c r="W103" s="991"/>
      <c r="X103" s="991"/>
    </row>
    <row r="104" spans="1:24">
      <c r="A104" s="991"/>
      <c r="B104" s="991"/>
      <c r="C104" s="991"/>
      <c r="D104" s="991"/>
      <c r="E104" s="991"/>
      <c r="F104" s="991"/>
      <c r="G104" s="991"/>
      <c r="H104" s="991"/>
      <c r="I104" s="991"/>
      <c r="J104" s="991"/>
      <c r="K104" s="991"/>
      <c r="L104" s="991"/>
      <c r="M104" s="991"/>
      <c r="N104" s="991"/>
      <c r="O104" s="991"/>
      <c r="P104" s="991"/>
      <c r="Q104" s="991"/>
      <c r="R104" s="991"/>
      <c r="S104" s="991"/>
      <c r="T104" s="991"/>
      <c r="U104" s="991"/>
      <c r="V104" s="991"/>
      <c r="W104" s="991"/>
      <c r="X104" s="991"/>
    </row>
    <row r="105" spans="1:24">
      <c r="A105" s="991"/>
      <c r="B105" s="991"/>
      <c r="C105" s="991"/>
      <c r="D105" s="991"/>
      <c r="E105" s="991"/>
      <c r="F105" s="991"/>
      <c r="G105" s="991"/>
      <c r="H105" s="991"/>
      <c r="I105" s="991"/>
      <c r="J105" s="991"/>
      <c r="K105" s="991"/>
      <c r="L105" s="991"/>
      <c r="M105" s="991"/>
      <c r="N105" s="991"/>
      <c r="O105" s="991"/>
      <c r="P105" s="991"/>
      <c r="Q105" s="991"/>
      <c r="R105" s="991"/>
      <c r="S105" s="991"/>
      <c r="T105" s="991"/>
      <c r="U105" s="991"/>
      <c r="V105" s="991"/>
      <c r="W105" s="991"/>
      <c r="X105" s="991"/>
    </row>
    <row r="106" spans="1:24">
      <c r="A106" s="991"/>
      <c r="B106" s="991"/>
      <c r="C106" s="991"/>
      <c r="D106" s="991"/>
      <c r="E106" s="991"/>
      <c r="F106" s="991"/>
      <c r="G106" s="991"/>
      <c r="H106" s="991"/>
      <c r="I106" s="991"/>
      <c r="J106" s="991"/>
      <c r="K106" s="991"/>
      <c r="L106" s="991"/>
      <c r="M106" s="991"/>
      <c r="N106" s="991"/>
      <c r="O106" s="991"/>
      <c r="P106" s="991"/>
      <c r="Q106" s="991"/>
      <c r="R106" s="991"/>
      <c r="S106" s="991"/>
      <c r="T106" s="991"/>
      <c r="U106" s="991"/>
      <c r="V106" s="991"/>
      <c r="W106" s="991"/>
      <c r="X106" s="991"/>
    </row>
    <row r="107" spans="1:24">
      <c r="A107" s="991"/>
      <c r="B107" s="991"/>
      <c r="C107" s="991"/>
      <c r="D107" s="991"/>
      <c r="E107" s="991"/>
      <c r="F107" s="991"/>
      <c r="G107" s="991"/>
      <c r="H107" s="991"/>
      <c r="I107" s="991"/>
      <c r="J107" s="991"/>
      <c r="K107" s="991"/>
      <c r="L107" s="991"/>
      <c r="M107" s="991"/>
      <c r="N107" s="991"/>
      <c r="O107" s="991"/>
      <c r="P107" s="991"/>
      <c r="Q107" s="991"/>
      <c r="R107" s="991"/>
      <c r="S107" s="991"/>
      <c r="T107" s="991"/>
      <c r="U107" s="991"/>
      <c r="V107" s="991"/>
      <c r="W107" s="991"/>
      <c r="X107" s="991"/>
    </row>
    <row r="108" spans="1:24">
      <c r="A108" s="991"/>
      <c r="B108" s="991"/>
      <c r="C108" s="991"/>
      <c r="D108" s="991"/>
      <c r="E108" s="991"/>
      <c r="F108" s="991"/>
      <c r="G108" s="991"/>
      <c r="H108" s="991"/>
      <c r="I108" s="991"/>
      <c r="J108" s="991"/>
      <c r="K108" s="991"/>
      <c r="L108" s="991"/>
      <c r="M108" s="991"/>
      <c r="N108" s="991"/>
      <c r="O108" s="991"/>
      <c r="P108" s="991"/>
      <c r="Q108" s="991"/>
      <c r="R108" s="991"/>
      <c r="S108" s="991"/>
      <c r="T108" s="991"/>
      <c r="U108" s="991"/>
      <c r="V108" s="991"/>
      <c r="W108" s="991"/>
      <c r="X108" s="991"/>
    </row>
    <row r="109" spans="1:24">
      <c r="A109" s="991"/>
      <c r="B109" s="991"/>
      <c r="C109" s="991"/>
      <c r="D109" s="991"/>
      <c r="E109" s="991"/>
      <c r="F109" s="991"/>
      <c r="G109" s="991"/>
      <c r="H109" s="991"/>
      <c r="I109" s="991"/>
      <c r="J109" s="991"/>
      <c r="K109" s="991"/>
      <c r="L109" s="991"/>
      <c r="M109" s="991"/>
      <c r="N109" s="991"/>
      <c r="O109" s="991"/>
      <c r="P109" s="991"/>
      <c r="Q109" s="991"/>
      <c r="R109" s="991"/>
      <c r="S109" s="991"/>
      <c r="T109" s="991"/>
      <c r="U109" s="991"/>
      <c r="V109" s="991"/>
      <c r="W109" s="991"/>
      <c r="X109" s="991"/>
    </row>
    <row r="110" spans="1:24">
      <c r="A110" s="991"/>
      <c r="B110" s="991"/>
      <c r="C110" s="991"/>
      <c r="D110" s="991"/>
      <c r="E110" s="991"/>
      <c r="F110" s="991"/>
      <c r="G110" s="991"/>
      <c r="H110" s="991"/>
      <c r="I110" s="991"/>
      <c r="J110" s="991"/>
      <c r="K110" s="991"/>
      <c r="L110" s="991"/>
      <c r="M110" s="991"/>
      <c r="N110" s="991"/>
      <c r="O110" s="991"/>
      <c r="P110" s="991"/>
      <c r="Q110" s="991"/>
      <c r="R110" s="991"/>
      <c r="S110" s="991"/>
      <c r="T110" s="991"/>
      <c r="U110" s="991"/>
      <c r="V110" s="991"/>
      <c r="W110" s="991"/>
      <c r="X110" s="991"/>
    </row>
    <row r="111" spans="1:24">
      <c r="A111" s="991"/>
      <c r="B111" s="991"/>
      <c r="C111" s="991"/>
      <c r="D111" s="991"/>
      <c r="E111" s="991"/>
      <c r="F111" s="991"/>
      <c r="G111" s="991"/>
      <c r="H111" s="991"/>
      <c r="I111" s="991"/>
      <c r="J111" s="991"/>
      <c r="K111" s="991"/>
      <c r="L111" s="991"/>
      <c r="M111" s="991"/>
      <c r="N111" s="991"/>
      <c r="O111" s="991"/>
      <c r="P111" s="991"/>
      <c r="Q111" s="991"/>
      <c r="R111" s="991"/>
      <c r="S111" s="991"/>
      <c r="T111" s="991"/>
      <c r="U111" s="991"/>
      <c r="V111" s="991"/>
      <c r="W111" s="991"/>
      <c r="X111" s="991"/>
    </row>
    <row r="112" spans="1:24">
      <c r="A112" s="991"/>
      <c r="B112" s="991"/>
      <c r="C112" s="991"/>
      <c r="D112" s="991"/>
      <c r="E112" s="991"/>
      <c r="F112" s="991"/>
      <c r="G112" s="991"/>
      <c r="H112" s="991"/>
      <c r="I112" s="991"/>
      <c r="J112" s="991"/>
      <c r="K112" s="991"/>
      <c r="L112" s="991"/>
      <c r="M112" s="991"/>
      <c r="N112" s="991"/>
      <c r="O112" s="991"/>
      <c r="P112" s="991"/>
      <c r="Q112" s="991"/>
      <c r="R112" s="991"/>
      <c r="S112" s="991"/>
      <c r="T112" s="991"/>
      <c r="U112" s="991"/>
      <c r="V112" s="991"/>
      <c r="W112" s="991"/>
      <c r="X112" s="991"/>
    </row>
    <row r="113" spans="1:24">
      <c r="A113" s="991"/>
      <c r="B113" s="991"/>
      <c r="C113" s="991"/>
      <c r="D113" s="991"/>
      <c r="E113" s="991"/>
      <c r="F113" s="991"/>
      <c r="G113" s="991"/>
      <c r="H113" s="991"/>
      <c r="I113" s="991"/>
      <c r="J113" s="991"/>
      <c r="K113" s="991"/>
      <c r="L113" s="991"/>
      <c r="M113" s="991"/>
      <c r="N113" s="991"/>
      <c r="O113" s="991"/>
      <c r="P113" s="991"/>
      <c r="Q113" s="991"/>
      <c r="R113" s="991"/>
      <c r="S113" s="991"/>
      <c r="T113" s="991"/>
      <c r="U113" s="991"/>
      <c r="V113" s="991"/>
      <c r="W113" s="991"/>
      <c r="X113" s="991"/>
    </row>
    <row r="114" spans="1:24">
      <c r="A114" s="991"/>
      <c r="B114" s="991"/>
      <c r="C114" s="991"/>
      <c r="D114" s="991"/>
      <c r="E114" s="991"/>
      <c r="F114" s="991"/>
      <c r="G114" s="991"/>
      <c r="H114" s="991"/>
      <c r="I114" s="991"/>
      <c r="J114" s="991"/>
      <c r="K114" s="991"/>
      <c r="L114" s="991"/>
      <c r="M114" s="991"/>
      <c r="N114" s="991"/>
      <c r="O114" s="991"/>
      <c r="P114" s="991"/>
      <c r="Q114" s="991"/>
      <c r="R114" s="991"/>
      <c r="S114" s="991"/>
      <c r="T114" s="991"/>
      <c r="U114" s="991"/>
      <c r="V114" s="991"/>
      <c r="W114" s="991"/>
      <c r="X114" s="991"/>
    </row>
    <row r="115" spans="1:24">
      <c r="A115" s="991"/>
      <c r="B115" s="991"/>
      <c r="C115" s="991"/>
      <c r="D115" s="991"/>
      <c r="E115" s="991"/>
      <c r="F115" s="991"/>
      <c r="G115" s="991"/>
      <c r="H115" s="991"/>
      <c r="I115" s="991"/>
      <c r="J115" s="991"/>
      <c r="K115" s="991"/>
      <c r="L115" s="991"/>
      <c r="M115" s="991"/>
      <c r="N115" s="991"/>
      <c r="O115" s="991"/>
      <c r="P115" s="991"/>
      <c r="Q115" s="991"/>
      <c r="R115" s="991"/>
      <c r="S115" s="991"/>
      <c r="T115" s="991"/>
      <c r="U115" s="991"/>
      <c r="V115" s="991"/>
      <c r="W115" s="991"/>
      <c r="X115" s="991"/>
    </row>
    <row r="116" spans="1:24">
      <c r="A116" s="991"/>
      <c r="B116" s="991"/>
      <c r="C116" s="991"/>
      <c r="D116" s="991"/>
      <c r="E116" s="991"/>
      <c r="F116" s="991"/>
      <c r="G116" s="991"/>
      <c r="H116" s="991"/>
      <c r="I116" s="991"/>
      <c r="J116" s="991"/>
      <c r="K116" s="991"/>
      <c r="L116" s="991"/>
      <c r="M116" s="991"/>
      <c r="N116" s="991"/>
      <c r="O116" s="991"/>
      <c r="P116" s="991"/>
      <c r="Q116" s="991"/>
      <c r="R116" s="991"/>
      <c r="S116" s="991"/>
      <c r="T116" s="991"/>
      <c r="U116" s="991"/>
      <c r="V116" s="991"/>
      <c r="W116" s="991"/>
      <c r="X116" s="991"/>
    </row>
    <row r="117" spans="1:24">
      <c r="A117" s="991"/>
      <c r="B117" s="991"/>
      <c r="C117" s="991"/>
      <c r="D117" s="991"/>
      <c r="E117" s="991"/>
      <c r="F117" s="991"/>
      <c r="G117" s="991"/>
      <c r="H117" s="991"/>
      <c r="I117" s="991"/>
      <c r="J117" s="991"/>
      <c r="K117" s="991"/>
      <c r="L117" s="991"/>
      <c r="M117" s="991"/>
      <c r="N117" s="991"/>
      <c r="O117" s="991"/>
      <c r="P117" s="991"/>
      <c r="Q117" s="991"/>
      <c r="R117" s="991"/>
      <c r="S117" s="991"/>
      <c r="T117" s="991"/>
      <c r="U117" s="991"/>
      <c r="V117" s="991"/>
      <c r="W117" s="991"/>
      <c r="X117" s="991"/>
    </row>
    <row r="118" spans="1:24">
      <c r="A118" s="991"/>
      <c r="B118" s="991"/>
      <c r="C118" s="991"/>
      <c r="D118" s="991"/>
      <c r="E118" s="991"/>
      <c r="F118" s="991"/>
      <c r="G118" s="991"/>
      <c r="H118" s="991"/>
      <c r="I118" s="991"/>
      <c r="J118" s="991"/>
      <c r="K118" s="991"/>
      <c r="L118" s="991"/>
      <c r="M118" s="991"/>
      <c r="N118" s="991"/>
      <c r="O118" s="991"/>
      <c r="P118" s="991"/>
      <c r="Q118" s="991"/>
      <c r="R118" s="991"/>
      <c r="S118" s="991"/>
      <c r="T118" s="991"/>
      <c r="U118" s="991"/>
      <c r="V118" s="991"/>
      <c r="W118" s="991"/>
      <c r="X118" s="991"/>
    </row>
    <row r="119" spans="1:24">
      <c r="A119" s="991"/>
      <c r="B119" s="991"/>
      <c r="C119" s="991"/>
      <c r="D119" s="991"/>
      <c r="E119" s="991"/>
      <c r="F119" s="991"/>
      <c r="G119" s="991"/>
      <c r="H119" s="991"/>
      <c r="I119" s="991"/>
      <c r="J119" s="991"/>
      <c r="K119" s="991"/>
      <c r="L119" s="991"/>
      <c r="M119" s="991"/>
      <c r="N119" s="991"/>
      <c r="O119" s="991"/>
      <c r="P119" s="991"/>
      <c r="Q119" s="991"/>
      <c r="R119" s="991"/>
      <c r="S119" s="991"/>
      <c r="T119" s="991"/>
      <c r="U119" s="991"/>
      <c r="V119" s="991"/>
      <c r="W119" s="991"/>
      <c r="X119" s="991"/>
    </row>
    <row r="120" spans="1:24">
      <c r="A120" s="991"/>
      <c r="B120" s="991"/>
      <c r="C120" s="991"/>
      <c r="D120" s="991"/>
      <c r="E120" s="991"/>
      <c r="F120" s="991"/>
      <c r="G120" s="991"/>
      <c r="H120" s="991"/>
      <c r="I120" s="991"/>
      <c r="J120" s="991"/>
      <c r="K120" s="991"/>
      <c r="L120" s="991"/>
      <c r="M120" s="991"/>
      <c r="N120" s="991"/>
      <c r="O120" s="991"/>
      <c r="P120" s="991"/>
      <c r="Q120" s="991"/>
      <c r="R120" s="991"/>
      <c r="S120" s="991"/>
      <c r="T120" s="991"/>
      <c r="U120" s="991"/>
      <c r="V120" s="991"/>
      <c r="W120" s="991"/>
      <c r="X120" s="991"/>
    </row>
    <row r="121" spans="1:24">
      <c r="A121" s="991"/>
      <c r="B121" s="991"/>
      <c r="C121" s="991"/>
      <c r="D121" s="991"/>
      <c r="E121" s="991"/>
      <c r="F121" s="991"/>
      <c r="G121" s="991"/>
      <c r="H121" s="991"/>
      <c r="I121" s="991"/>
      <c r="J121" s="991"/>
      <c r="K121" s="991"/>
      <c r="L121" s="991"/>
      <c r="M121" s="991"/>
      <c r="N121" s="991"/>
      <c r="O121" s="991"/>
      <c r="P121" s="991"/>
      <c r="Q121" s="991"/>
      <c r="R121" s="991"/>
      <c r="S121" s="991"/>
      <c r="T121" s="991"/>
      <c r="U121" s="991"/>
      <c r="V121" s="991"/>
      <c r="W121" s="991"/>
      <c r="X121" s="991"/>
    </row>
    <row r="122" spans="1:24">
      <c r="A122" s="991"/>
      <c r="B122" s="991"/>
      <c r="C122" s="991"/>
      <c r="D122" s="991"/>
      <c r="E122" s="991"/>
      <c r="F122" s="991"/>
      <c r="G122" s="991"/>
      <c r="H122" s="991"/>
      <c r="I122" s="991"/>
      <c r="J122" s="991"/>
      <c r="K122" s="991"/>
      <c r="L122" s="991"/>
      <c r="M122" s="991"/>
      <c r="N122" s="991"/>
      <c r="O122" s="991"/>
      <c r="P122" s="991"/>
      <c r="Q122" s="991"/>
      <c r="R122" s="991"/>
      <c r="S122" s="991"/>
      <c r="T122" s="991"/>
      <c r="U122" s="991"/>
      <c r="V122" s="991"/>
      <c r="W122" s="991"/>
      <c r="X122" s="991"/>
    </row>
    <row r="123" spans="1:24">
      <c r="A123" s="991"/>
      <c r="B123" s="991"/>
      <c r="C123" s="991"/>
      <c r="D123" s="991"/>
      <c r="E123" s="991"/>
      <c r="F123" s="991"/>
      <c r="G123" s="991"/>
      <c r="H123" s="991"/>
      <c r="I123" s="991"/>
      <c r="J123" s="991"/>
      <c r="K123" s="991"/>
      <c r="L123" s="991"/>
      <c r="M123" s="991"/>
      <c r="N123" s="991"/>
      <c r="O123" s="991"/>
      <c r="P123" s="991"/>
      <c r="Q123" s="991"/>
      <c r="R123" s="991"/>
      <c r="S123" s="991"/>
      <c r="T123" s="991"/>
      <c r="U123" s="991"/>
      <c r="V123" s="991"/>
      <c r="W123" s="991"/>
      <c r="X123" s="991"/>
    </row>
    <row r="124" spans="1:24">
      <c r="A124" s="991"/>
      <c r="B124" s="991"/>
      <c r="C124" s="991"/>
      <c r="D124" s="991"/>
      <c r="E124" s="991"/>
      <c r="F124" s="991"/>
      <c r="G124" s="991"/>
      <c r="H124" s="991"/>
      <c r="I124" s="991"/>
      <c r="J124" s="991"/>
      <c r="K124" s="991"/>
      <c r="L124" s="991"/>
      <c r="M124" s="991"/>
      <c r="N124" s="991"/>
      <c r="O124" s="991"/>
      <c r="P124" s="991"/>
      <c r="Q124" s="991"/>
      <c r="R124" s="991"/>
      <c r="S124" s="991"/>
      <c r="T124" s="991"/>
      <c r="U124" s="991"/>
      <c r="V124" s="991"/>
      <c r="W124" s="991"/>
      <c r="X124" s="991"/>
    </row>
    <row r="125" spans="1:24">
      <c r="A125" s="991"/>
      <c r="B125" s="991"/>
      <c r="C125" s="991"/>
      <c r="D125" s="991"/>
      <c r="E125" s="991"/>
      <c r="F125" s="991"/>
      <c r="G125" s="991"/>
      <c r="H125" s="991"/>
      <c r="I125" s="991"/>
      <c r="J125" s="991"/>
      <c r="K125" s="991"/>
      <c r="L125" s="991"/>
      <c r="M125" s="991"/>
      <c r="N125" s="991"/>
      <c r="O125" s="991"/>
      <c r="P125" s="991"/>
      <c r="Q125" s="991"/>
      <c r="R125" s="991"/>
      <c r="S125" s="991"/>
      <c r="T125" s="991"/>
      <c r="U125" s="991"/>
      <c r="V125" s="991"/>
      <c r="W125" s="991"/>
      <c r="X125" s="991"/>
    </row>
    <row r="126" spans="1:24">
      <c r="A126" s="991"/>
      <c r="B126" s="991"/>
      <c r="C126" s="991"/>
      <c r="D126" s="991"/>
      <c r="E126" s="991"/>
      <c r="F126" s="991"/>
      <c r="G126" s="991"/>
      <c r="H126" s="991"/>
      <c r="I126" s="991"/>
      <c r="J126" s="991"/>
      <c r="K126" s="991"/>
      <c r="L126" s="991"/>
      <c r="M126" s="991"/>
      <c r="N126" s="991"/>
      <c r="O126" s="991"/>
      <c r="P126" s="991"/>
      <c r="Q126" s="991"/>
      <c r="R126" s="991"/>
      <c r="S126" s="991"/>
      <c r="T126" s="991"/>
      <c r="U126" s="991"/>
      <c r="V126" s="991"/>
      <c r="W126" s="991"/>
      <c r="X126" s="991"/>
    </row>
    <row r="127" spans="1:24">
      <c r="A127" s="991"/>
      <c r="B127" s="991"/>
      <c r="C127" s="991"/>
      <c r="D127" s="991"/>
      <c r="E127" s="991"/>
      <c r="F127" s="991"/>
      <c r="G127" s="991"/>
      <c r="H127" s="991"/>
      <c r="I127" s="991"/>
      <c r="J127" s="991"/>
      <c r="K127" s="991"/>
      <c r="L127" s="991"/>
      <c r="M127" s="991"/>
      <c r="N127" s="991"/>
      <c r="O127" s="991"/>
      <c r="P127" s="991"/>
      <c r="Q127" s="991"/>
      <c r="R127" s="991"/>
      <c r="S127" s="991"/>
      <c r="T127" s="991"/>
      <c r="U127" s="991"/>
      <c r="V127" s="991"/>
      <c r="W127" s="991"/>
      <c r="X127" s="991"/>
    </row>
    <row r="128" spans="1:24">
      <c r="A128" s="991"/>
      <c r="B128" s="991"/>
      <c r="C128" s="991"/>
      <c r="D128" s="991"/>
      <c r="E128" s="991"/>
      <c r="F128" s="991"/>
      <c r="G128" s="991"/>
      <c r="H128" s="991"/>
      <c r="I128" s="991"/>
      <c r="J128" s="991"/>
      <c r="K128" s="991"/>
      <c r="L128" s="991"/>
      <c r="M128" s="991"/>
      <c r="N128" s="991"/>
      <c r="O128" s="991"/>
      <c r="P128" s="991"/>
      <c r="Q128" s="991"/>
      <c r="R128" s="991"/>
      <c r="S128" s="991"/>
      <c r="T128" s="991"/>
      <c r="U128" s="991"/>
      <c r="V128" s="991"/>
      <c r="W128" s="991"/>
      <c r="X128" s="991"/>
    </row>
    <row r="129" spans="1:24">
      <c r="A129" s="991"/>
      <c r="B129" s="991"/>
      <c r="C129" s="991"/>
      <c r="D129" s="991"/>
      <c r="E129" s="991"/>
      <c r="F129" s="991"/>
      <c r="G129" s="991"/>
      <c r="H129" s="991"/>
      <c r="I129" s="991"/>
      <c r="J129" s="991"/>
      <c r="K129" s="991"/>
      <c r="L129" s="991"/>
      <c r="M129" s="991"/>
      <c r="N129" s="991"/>
      <c r="O129" s="991"/>
      <c r="P129" s="991"/>
      <c r="Q129" s="991"/>
      <c r="R129" s="991"/>
      <c r="S129" s="991"/>
      <c r="T129" s="991"/>
      <c r="U129" s="991"/>
      <c r="V129" s="991"/>
      <c r="W129" s="991"/>
      <c r="X129" s="991"/>
    </row>
    <row r="130" spans="1:24">
      <c r="A130" s="991"/>
      <c r="B130" s="991"/>
      <c r="C130" s="991"/>
      <c r="D130" s="991"/>
      <c r="E130" s="991"/>
      <c r="F130" s="991"/>
      <c r="G130" s="991"/>
      <c r="H130" s="991"/>
      <c r="I130" s="991"/>
      <c r="J130" s="991"/>
      <c r="K130" s="991"/>
      <c r="L130" s="991"/>
      <c r="M130" s="991"/>
      <c r="N130" s="991"/>
      <c r="O130" s="991"/>
      <c r="P130" s="991"/>
      <c r="Q130" s="991"/>
      <c r="R130" s="991"/>
      <c r="S130" s="991"/>
      <c r="T130" s="991"/>
      <c r="U130" s="991"/>
      <c r="V130" s="991"/>
      <c r="W130" s="991"/>
      <c r="X130" s="991"/>
    </row>
    <row r="131" spans="1:24">
      <c r="A131" s="991"/>
      <c r="B131" s="991"/>
      <c r="C131" s="991"/>
      <c r="D131" s="991"/>
      <c r="E131" s="991"/>
      <c r="F131" s="991"/>
      <c r="G131" s="991"/>
      <c r="H131" s="991"/>
      <c r="I131" s="991"/>
      <c r="J131" s="991"/>
      <c r="K131" s="991"/>
      <c r="L131" s="991"/>
      <c r="M131" s="991"/>
      <c r="N131" s="991"/>
      <c r="O131" s="991"/>
      <c r="P131" s="991"/>
      <c r="Q131" s="991"/>
      <c r="R131" s="991"/>
      <c r="S131" s="991"/>
      <c r="T131" s="991"/>
      <c r="U131" s="991"/>
      <c r="V131" s="991"/>
      <c r="W131" s="991"/>
      <c r="X131" s="991"/>
    </row>
    <row r="132" spans="1:24">
      <c r="A132" s="991"/>
      <c r="B132" s="991"/>
      <c r="C132" s="991"/>
      <c r="D132" s="991"/>
      <c r="E132" s="991"/>
      <c r="F132" s="991"/>
      <c r="G132" s="991"/>
      <c r="H132" s="991"/>
      <c r="I132" s="991"/>
      <c r="J132" s="991"/>
      <c r="K132" s="991"/>
      <c r="L132" s="991"/>
      <c r="M132" s="991"/>
      <c r="N132" s="991"/>
      <c r="O132" s="991"/>
      <c r="P132" s="991"/>
      <c r="Q132" s="991"/>
      <c r="R132" s="991"/>
      <c r="S132" s="991"/>
      <c r="T132" s="991"/>
      <c r="U132" s="991"/>
      <c r="V132" s="991"/>
      <c r="W132" s="991"/>
      <c r="X132" s="991"/>
    </row>
    <row r="133" spans="1:24">
      <c r="A133" s="991"/>
      <c r="B133" s="991"/>
      <c r="C133" s="991"/>
      <c r="D133" s="991"/>
      <c r="E133" s="991"/>
      <c r="F133" s="991"/>
      <c r="G133" s="991"/>
      <c r="H133" s="991"/>
      <c r="I133" s="991"/>
      <c r="J133" s="991"/>
      <c r="K133" s="991"/>
      <c r="L133" s="991"/>
      <c r="M133" s="991"/>
      <c r="N133" s="991"/>
      <c r="O133" s="991"/>
      <c r="P133" s="991"/>
      <c r="Q133" s="991"/>
      <c r="R133" s="991"/>
      <c r="S133" s="991"/>
      <c r="T133" s="991"/>
      <c r="U133" s="991"/>
      <c r="V133" s="991"/>
      <c r="W133" s="991"/>
      <c r="X133" s="991"/>
    </row>
    <row r="134" spans="1:24">
      <c r="A134" s="991"/>
      <c r="B134" s="991"/>
      <c r="C134" s="991"/>
      <c r="D134" s="991"/>
      <c r="E134" s="991"/>
      <c r="F134" s="991"/>
      <c r="G134" s="991"/>
      <c r="H134" s="991"/>
      <c r="I134" s="991"/>
      <c r="J134" s="991"/>
      <c r="K134" s="991"/>
      <c r="L134" s="991"/>
      <c r="M134" s="991"/>
      <c r="N134" s="991"/>
      <c r="O134" s="991"/>
      <c r="P134" s="991"/>
      <c r="Q134" s="991"/>
      <c r="R134" s="991"/>
      <c r="S134" s="991"/>
      <c r="T134" s="991"/>
      <c r="U134" s="991"/>
      <c r="V134" s="991"/>
      <c r="W134" s="991"/>
      <c r="X134" s="991"/>
    </row>
    <row r="135" spans="1:24">
      <c r="A135" s="991"/>
      <c r="B135" s="991"/>
      <c r="C135" s="991"/>
      <c r="D135" s="991"/>
      <c r="E135" s="991"/>
      <c r="F135" s="991"/>
      <c r="G135" s="991"/>
      <c r="H135" s="991"/>
      <c r="I135" s="991"/>
      <c r="J135" s="991"/>
      <c r="K135" s="991"/>
      <c r="L135" s="991"/>
      <c r="M135" s="991"/>
      <c r="N135" s="991"/>
      <c r="O135" s="991"/>
      <c r="P135" s="991"/>
      <c r="Q135" s="991"/>
      <c r="R135" s="991"/>
      <c r="S135" s="991"/>
      <c r="T135" s="991"/>
      <c r="U135" s="991"/>
      <c r="V135" s="991"/>
      <c r="W135" s="991"/>
      <c r="X135" s="991"/>
    </row>
    <row r="136" spans="1:24">
      <c r="A136" s="991"/>
      <c r="B136" s="991"/>
      <c r="C136" s="991"/>
      <c r="D136" s="991"/>
      <c r="E136" s="991"/>
      <c r="F136" s="991"/>
      <c r="G136" s="991"/>
      <c r="H136" s="991"/>
      <c r="I136" s="991"/>
      <c r="J136" s="991"/>
      <c r="K136" s="991"/>
      <c r="L136" s="991"/>
      <c r="M136" s="991"/>
      <c r="N136" s="991"/>
      <c r="O136" s="991"/>
      <c r="P136" s="991"/>
      <c r="Q136" s="991"/>
      <c r="R136" s="991"/>
      <c r="S136" s="991"/>
      <c r="T136" s="991"/>
      <c r="U136" s="991"/>
      <c r="V136" s="991"/>
      <c r="W136" s="991"/>
      <c r="X136" s="991"/>
    </row>
    <row r="137" spans="1:24">
      <c r="A137" s="991"/>
      <c r="B137" s="991"/>
      <c r="C137" s="991"/>
      <c r="D137" s="991"/>
      <c r="E137" s="991"/>
      <c r="F137" s="991"/>
      <c r="G137" s="991"/>
      <c r="H137" s="991"/>
      <c r="I137" s="991"/>
      <c r="J137" s="991"/>
      <c r="K137" s="991"/>
      <c r="L137" s="991"/>
      <c r="M137" s="991"/>
      <c r="N137" s="991"/>
      <c r="O137" s="991"/>
      <c r="P137" s="991"/>
      <c r="Q137" s="991"/>
      <c r="R137" s="991"/>
      <c r="S137" s="991"/>
      <c r="T137" s="991"/>
      <c r="U137" s="991"/>
      <c r="V137" s="991"/>
      <c r="W137" s="991"/>
      <c r="X137" s="991"/>
    </row>
    <row r="138" spans="1:24">
      <c r="A138" s="991"/>
      <c r="B138" s="991"/>
      <c r="C138" s="991"/>
      <c r="D138" s="991"/>
      <c r="E138" s="991"/>
      <c r="F138" s="991"/>
      <c r="G138" s="991"/>
      <c r="H138" s="991"/>
      <c r="I138" s="991"/>
      <c r="J138" s="991"/>
      <c r="K138" s="991"/>
      <c r="L138" s="991"/>
      <c r="M138" s="991"/>
      <c r="N138" s="991"/>
      <c r="O138" s="991"/>
      <c r="P138" s="991"/>
      <c r="Q138" s="991"/>
      <c r="R138" s="991"/>
      <c r="S138" s="991"/>
      <c r="T138" s="991"/>
      <c r="U138" s="991"/>
      <c r="V138" s="991"/>
      <c r="W138" s="991"/>
      <c r="X138" s="991"/>
    </row>
    <row r="139" spans="1:24">
      <c r="A139" s="991"/>
      <c r="B139" s="991"/>
      <c r="C139" s="991"/>
      <c r="D139" s="991"/>
      <c r="E139" s="991"/>
      <c r="F139" s="991"/>
      <c r="G139" s="991"/>
      <c r="H139" s="991"/>
      <c r="I139" s="991"/>
      <c r="J139" s="991"/>
      <c r="K139" s="991"/>
      <c r="L139" s="991"/>
      <c r="M139" s="991"/>
      <c r="N139" s="991"/>
      <c r="O139" s="991"/>
      <c r="P139" s="991"/>
      <c r="Q139" s="991"/>
      <c r="R139" s="991"/>
      <c r="S139" s="991"/>
      <c r="T139" s="991"/>
      <c r="U139" s="991"/>
      <c r="V139" s="991"/>
      <c r="W139" s="991"/>
      <c r="X139" s="991"/>
    </row>
    <row r="140" spans="1:24">
      <c r="A140" s="991"/>
      <c r="B140" s="991"/>
      <c r="C140" s="991"/>
      <c r="D140" s="991"/>
      <c r="E140" s="991"/>
      <c r="F140" s="991"/>
      <c r="G140" s="991"/>
      <c r="H140" s="991"/>
      <c r="I140" s="991"/>
      <c r="J140" s="991"/>
      <c r="K140" s="991"/>
      <c r="L140" s="991"/>
      <c r="M140" s="991"/>
      <c r="N140" s="991"/>
      <c r="O140" s="991"/>
      <c r="P140" s="991"/>
      <c r="Q140" s="991"/>
      <c r="R140" s="991"/>
      <c r="S140" s="991"/>
      <c r="T140" s="991"/>
      <c r="U140" s="991"/>
      <c r="V140" s="991"/>
      <c r="W140" s="991"/>
      <c r="X140" s="991"/>
    </row>
    <row r="141" spans="1:24">
      <c r="A141" s="991"/>
      <c r="B141" s="991"/>
      <c r="C141" s="991"/>
      <c r="D141" s="991"/>
      <c r="E141" s="991"/>
      <c r="F141" s="991"/>
      <c r="G141" s="991"/>
      <c r="H141" s="991"/>
      <c r="I141" s="991"/>
      <c r="J141" s="991"/>
      <c r="K141" s="991"/>
      <c r="L141" s="991"/>
      <c r="M141" s="991"/>
      <c r="N141" s="991"/>
      <c r="O141" s="991"/>
      <c r="P141" s="991"/>
      <c r="Q141" s="991"/>
      <c r="R141" s="991"/>
      <c r="S141" s="991"/>
      <c r="T141" s="991"/>
      <c r="U141" s="991"/>
      <c r="V141" s="991"/>
      <c r="W141" s="991"/>
      <c r="X141" s="991"/>
    </row>
    <row r="142" spans="1:24">
      <c r="A142" s="991"/>
      <c r="B142" s="991"/>
      <c r="C142" s="991"/>
      <c r="D142" s="991"/>
      <c r="E142" s="991"/>
      <c r="F142" s="991"/>
      <c r="G142" s="991"/>
      <c r="H142" s="991"/>
      <c r="I142" s="991"/>
      <c r="J142" s="991"/>
      <c r="K142" s="991"/>
      <c r="L142" s="991"/>
      <c r="M142" s="991"/>
      <c r="N142" s="991"/>
      <c r="O142" s="991"/>
      <c r="P142" s="991"/>
      <c r="Q142" s="991"/>
      <c r="R142" s="991"/>
      <c r="S142" s="991"/>
      <c r="T142" s="991"/>
      <c r="U142" s="991"/>
      <c r="V142" s="991"/>
      <c r="W142" s="991"/>
      <c r="X142" s="991"/>
    </row>
    <row r="143" spans="1:24">
      <c r="A143" s="991"/>
      <c r="B143" s="991"/>
      <c r="C143" s="991"/>
      <c r="D143" s="991"/>
      <c r="E143" s="991"/>
      <c r="F143" s="991"/>
      <c r="G143" s="991"/>
      <c r="H143" s="991"/>
      <c r="I143" s="991"/>
      <c r="J143" s="991"/>
      <c r="K143" s="991"/>
      <c r="L143" s="991"/>
      <c r="M143" s="991"/>
      <c r="N143" s="991"/>
      <c r="O143" s="991"/>
      <c r="P143" s="991"/>
      <c r="Q143" s="991"/>
      <c r="R143" s="991"/>
      <c r="S143" s="991"/>
      <c r="T143" s="991"/>
      <c r="U143" s="991"/>
      <c r="V143" s="991"/>
      <c r="W143" s="991"/>
      <c r="X143" s="991"/>
    </row>
    <row r="144" spans="1:24">
      <c r="A144" s="991"/>
      <c r="B144" s="991"/>
      <c r="C144" s="991"/>
      <c r="D144" s="991"/>
      <c r="E144" s="991"/>
      <c r="F144" s="991"/>
      <c r="G144" s="991"/>
      <c r="H144" s="991"/>
      <c r="I144" s="991"/>
      <c r="J144" s="991"/>
      <c r="K144" s="991"/>
      <c r="L144" s="991"/>
      <c r="M144" s="991"/>
      <c r="N144" s="991"/>
      <c r="O144" s="991"/>
      <c r="P144" s="991"/>
      <c r="Q144" s="991"/>
      <c r="R144" s="991"/>
      <c r="S144" s="991"/>
      <c r="T144" s="991"/>
      <c r="U144" s="991"/>
      <c r="V144" s="991"/>
      <c r="W144" s="991"/>
      <c r="X144" s="991"/>
    </row>
    <row r="145" spans="1:24">
      <c r="A145" s="991"/>
      <c r="B145" s="991"/>
      <c r="C145" s="991"/>
      <c r="D145" s="991"/>
      <c r="E145" s="991"/>
      <c r="F145" s="991"/>
      <c r="G145" s="991"/>
      <c r="H145" s="991"/>
      <c r="I145" s="991"/>
      <c r="J145" s="991"/>
      <c r="K145" s="991"/>
      <c r="L145" s="991"/>
      <c r="M145" s="991"/>
      <c r="N145" s="991"/>
      <c r="O145" s="991"/>
      <c r="P145" s="991"/>
      <c r="Q145" s="991"/>
      <c r="R145" s="991"/>
      <c r="S145" s="991"/>
      <c r="T145" s="991"/>
      <c r="U145" s="991"/>
      <c r="V145" s="991"/>
      <c r="W145" s="991"/>
      <c r="X145" s="991"/>
    </row>
    <row r="146" spans="1:24">
      <c r="A146" s="991"/>
      <c r="B146" s="991"/>
      <c r="C146" s="991"/>
      <c r="D146" s="991"/>
      <c r="E146" s="991"/>
      <c r="F146" s="991"/>
      <c r="G146" s="991"/>
      <c r="H146" s="991"/>
      <c r="I146" s="991"/>
      <c r="J146" s="991"/>
      <c r="K146" s="991"/>
      <c r="L146" s="991"/>
      <c r="M146" s="991"/>
      <c r="N146" s="991"/>
      <c r="O146" s="991"/>
      <c r="P146" s="991"/>
      <c r="Q146" s="991"/>
      <c r="R146" s="991"/>
      <c r="S146" s="991"/>
      <c r="T146" s="991"/>
      <c r="U146" s="991"/>
      <c r="V146" s="991"/>
      <c r="W146" s="991"/>
      <c r="X146" s="991"/>
    </row>
    <row r="147" spans="1:24">
      <c r="A147" s="991"/>
      <c r="B147" s="991"/>
      <c r="C147" s="991"/>
      <c r="D147" s="991"/>
      <c r="E147" s="991"/>
      <c r="F147" s="991"/>
      <c r="G147" s="991"/>
      <c r="H147" s="991"/>
      <c r="I147" s="991"/>
      <c r="J147" s="991"/>
      <c r="K147" s="991"/>
      <c r="L147" s="991"/>
      <c r="M147" s="991"/>
      <c r="N147" s="991"/>
      <c r="O147" s="991"/>
      <c r="P147" s="991"/>
      <c r="Q147" s="991"/>
      <c r="R147" s="991"/>
      <c r="S147" s="991"/>
      <c r="T147" s="991"/>
      <c r="U147" s="991"/>
      <c r="V147" s="991"/>
      <c r="W147" s="991"/>
      <c r="X147" s="991"/>
    </row>
    <row r="148" spans="1:24">
      <c r="A148" s="991"/>
      <c r="B148" s="991"/>
      <c r="C148" s="991"/>
      <c r="D148" s="991"/>
      <c r="E148" s="991"/>
      <c r="F148" s="991"/>
      <c r="G148" s="991"/>
      <c r="H148" s="991"/>
      <c r="I148" s="991"/>
      <c r="J148" s="991"/>
      <c r="K148" s="991"/>
      <c r="L148" s="991"/>
      <c r="M148" s="991"/>
      <c r="N148" s="991"/>
      <c r="O148" s="991"/>
      <c r="P148" s="991"/>
      <c r="Q148" s="991"/>
      <c r="R148" s="991"/>
      <c r="S148" s="991"/>
      <c r="T148" s="991"/>
      <c r="U148" s="991"/>
      <c r="V148" s="991"/>
      <c r="W148" s="991"/>
      <c r="X148" s="991"/>
    </row>
    <row r="149" spans="1:24">
      <c r="A149" s="991"/>
      <c r="B149" s="991"/>
      <c r="C149" s="991"/>
      <c r="D149" s="991"/>
      <c r="E149" s="991"/>
      <c r="F149" s="991"/>
      <c r="G149" s="991"/>
      <c r="H149" s="991"/>
      <c r="I149" s="991"/>
      <c r="J149" s="991"/>
      <c r="K149" s="991"/>
      <c r="L149" s="991"/>
      <c r="M149" s="991"/>
      <c r="N149" s="991"/>
      <c r="O149" s="991"/>
      <c r="P149" s="991"/>
      <c r="Q149" s="991"/>
      <c r="R149" s="991"/>
      <c r="S149" s="991"/>
      <c r="T149" s="991"/>
      <c r="U149" s="991"/>
      <c r="V149" s="991"/>
      <c r="W149" s="991"/>
      <c r="X149" s="991"/>
    </row>
    <row r="150" spans="1:24">
      <c r="A150" s="991"/>
      <c r="B150" s="991"/>
      <c r="C150" s="991"/>
      <c r="D150" s="991"/>
      <c r="E150" s="991"/>
      <c r="F150" s="991"/>
      <c r="G150" s="991"/>
      <c r="H150" s="991"/>
      <c r="I150" s="991"/>
      <c r="J150" s="991"/>
      <c r="K150" s="991"/>
      <c r="L150" s="991"/>
      <c r="M150" s="991"/>
      <c r="N150" s="991"/>
      <c r="O150" s="991"/>
      <c r="P150" s="991"/>
      <c r="Q150" s="991"/>
      <c r="R150" s="991"/>
      <c r="S150" s="991"/>
      <c r="T150" s="991"/>
      <c r="U150" s="991"/>
      <c r="V150" s="991"/>
      <c r="W150" s="991"/>
      <c r="X150" s="991"/>
    </row>
    <row r="151" spans="1:24">
      <c r="A151" s="991"/>
      <c r="B151" s="991"/>
      <c r="C151" s="991"/>
      <c r="D151" s="991"/>
      <c r="E151" s="991"/>
      <c r="F151" s="991"/>
      <c r="G151" s="991"/>
      <c r="H151" s="991"/>
      <c r="I151" s="991"/>
      <c r="J151" s="991"/>
      <c r="K151" s="991"/>
      <c r="L151" s="991"/>
      <c r="M151" s="991"/>
      <c r="N151" s="991"/>
      <c r="O151" s="991"/>
      <c r="P151" s="991"/>
      <c r="Q151" s="991"/>
      <c r="R151" s="991"/>
      <c r="S151" s="991"/>
      <c r="T151" s="991"/>
      <c r="U151" s="991"/>
      <c r="V151" s="991"/>
      <c r="W151" s="991"/>
      <c r="X151" s="991"/>
    </row>
    <row r="152" spans="1:24">
      <c r="A152" s="991"/>
      <c r="B152" s="991"/>
      <c r="C152" s="991"/>
      <c r="D152" s="991"/>
      <c r="E152" s="991"/>
      <c r="F152" s="991"/>
      <c r="G152" s="991"/>
      <c r="H152" s="991"/>
      <c r="I152" s="991"/>
      <c r="J152" s="991"/>
      <c r="K152" s="991"/>
      <c r="L152" s="991"/>
      <c r="M152" s="991"/>
      <c r="N152" s="991"/>
      <c r="O152" s="991"/>
      <c r="P152" s="991"/>
      <c r="Q152" s="991"/>
      <c r="R152" s="991"/>
      <c r="S152" s="991"/>
      <c r="T152" s="991"/>
      <c r="U152" s="991"/>
      <c r="V152" s="991"/>
      <c r="W152" s="991"/>
      <c r="X152" s="991"/>
    </row>
    <row r="153" spans="1:24">
      <c r="A153" s="991"/>
      <c r="B153" s="991"/>
      <c r="C153" s="991"/>
      <c r="D153" s="991"/>
      <c r="E153" s="991"/>
      <c r="F153" s="991"/>
      <c r="G153" s="991"/>
      <c r="H153" s="991"/>
      <c r="I153" s="991"/>
      <c r="J153" s="991"/>
      <c r="K153" s="991"/>
      <c r="L153" s="991"/>
      <c r="M153" s="991"/>
      <c r="N153" s="991"/>
      <c r="O153" s="991"/>
      <c r="P153" s="991"/>
      <c r="Q153" s="991"/>
      <c r="R153" s="991"/>
      <c r="S153" s="991"/>
      <c r="T153" s="991"/>
      <c r="U153" s="991"/>
      <c r="V153" s="991"/>
      <c r="W153" s="991"/>
      <c r="X153" s="991"/>
    </row>
    <row r="154" spans="1:24">
      <c r="A154" s="991"/>
      <c r="B154" s="991"/>
      <c r="C154" s="991"/>
      <c r="D154" s="991"/>
      <c r="E154" s="991"/>
      <c r="F154" s="991"/>
      <c r="G154" s="991"/>
      <c r="H154" s="991"/>
      <c r="I154" s="991"/>
      <c r="J154" s="991"/>
      <c r="K154" s="991"/>
      <c r="L154" s="991"/>
      <c r="M154" s="991"/>
      <c r="N154" s="991"/>
      <c r="O154" s="991"/>
      <c r="P154" s="991"/>
      <c r="Q154" s="991"/>
      <c r="R154" s="991"/>
      <c r="S154" s="991"/>
      <c r="T154" s="991"/>
      <c r="U154" s="991"/>
      <c r="V154" s="991"/>
      <c r="W154" s="991"/>
      <c r="X154" s="991"/>
    </row>
    <row r="155" spans="1:24">
      <c r="A155" s="991"/>
      <c r="B155" s="991"/>
      <c r="C155" s="991"/>
      <c r="D155" s="991"/>
      <c r="E155" s="991"/>
      <c r="F155" s="991"/>
      <c r="G155" s="991"/>
      <c r="H155" s="991"/>
      <c r="I155" s="991"/>
      <c r="J155" s="991"/>
      <c r="K155" s="991"/>
      <c r="L155" s="991"/>
      <c r="M155" s="991"/>
      <c r="N155" s="991"/>
      <c r="O155" s="991"/>
      <c r="P155" s="991"/>
      <c r="Q155" s="991"/>
      <c r="R155" s="991"/>
      <c r="S155" s="991"/>
      <c r="T155" s="991"/>
      <c r="U155" s="991"/>
      <c r="V155" s="991"/>
      <c r="W155" s="991"/>
      <c r="X155" s="991"/>
    </row>
    <row r="156" spans="1:24">
      <c r="A156" s="991"/>
      <c r="B156" s="991"/>
      <c r="C156" s="991"/>
      <c r="D156" s="991"/>
      <c r="E156" s="991"/>
      <c r="F156" s="991"/>
      <c r="G156" s="991"/>
      <c r="H156" s="991"/>
      <c r="I156" s="991"/>
      <c r="J156" s="991"/>
      <c r="K156" s="991"/>
      <c r="L156" s="991"/>
      <c r="M156" s="991"/>
      <c r="N156" s="991"/>
      <c r="O156" s="991"/>
      <c r="P156" s="991"/>
      <c r="Q156" s="991"/>
      <c r="R156" s="991"/>
      <c r="S156" s="991"/>
      <c r="T156" s="991"/>
      <c r="U156" s="991"/>
      <c r="V156" s="991"/>
      <c r="W156" s="991"/>
      <c r="X156" s="991"/>
    </row>
    <row r="157" spans="1:24">
      <c r="A157" s="991"/>
      <c r="B157" s="991"/>
      <c r="C157" s="991"/>
      <c r="D157" s="991"/>
      <c r="E157" s="991"/>
      <c r="F157" s="991"/>
      <c r="G157" s="991"/>
      <c r="H157" s="991"/>
      <c r="I157" s="991"/>
      <c r="J157" s="991"/>
      <c r="K157" s="991"/>
      <c r="L157" s="991"/>
      <c r="M157" s="991"/>
      <c r="N157" s="991"/>
      <c r="O157" s="991"/>
      <c r="P157" s="991"/>
      <c r="Q157" s="991"/>
      <c r="R157" s="991"/>
      <c r="S157" s="991"/>
      <c r="T157" s="991"/>
      <c r="U157" s="991"/>
      <c r="V157" s="991"/>
      <c r="W157" s="991"/>
      <c r="X157" s="991"/>
    </row>
    <row r="158" spans="1:24">
      <c r="A158" s="991"/>
      <c r="B158" s="991"/>
      <c r="C158" s="991"/>
      <c r="D158" s="991"/>
      <c r="E158" s="991"/>
      <c r="F158" s="991"/>
      <c r="G158" s="991"/>
      <c r="H158" s="991"/>
      <c r="I158" s="991"/>
      <c r="J158" s="991"/>
      <c r="K158" s="991"/>
      <c r="L158" s="991"/>
      <c r="M158" s="991"/>
      <c r="N158" s="991"/>
      <c r="O158" s="991"/>
      <c r="P158" s="991"/>
      <c r="Q158" s="991"/>
      <c r="R158" s="991"/>
      <c r="S158" s="991"/>
      <c r="T158" s="991"/>
      <c r="U158" s="991"/>
      <c r="V158" s="991"/>
      <c r="W158" s="991"/>
      <c r="X158" s="991"/>
    </row>
    <row r="159" spans="1:24">
      <c r="A159" s="991"/>
      <c r="B159" s="991"/>
      <c r="C159" s="991"/>
      <c r="D159" s="991"/>
      <c r="E159" s="991"/>
      <c r="F159" s="991"/>
      <c r="G159" s="991"/>
      <c r="H159" s="991"/>
      <c r="I159" s="991"/>
      <c r="J159" s="991"/>
      <c r="K159" s="991"/>
      <c r="L159" s="991"/>
      <c r="M159" s="991"/>
      <c r="N159" s="991"/>
      <c r="O159" s="991"/>
      <c r="P159" s="991"/>
      <c r="Q159" s="991"/>
      <c r="R159" s="991"/>
      <c r="S159" s="991"/>
      <c r="T159" s="991"/>
      <c r="U159" s="991"/>
      <c r="V159" s="991"/>
      <c r="W159" s="991"/>
      <c r="X159" s="991"/>
    </row>
    <row r="160" spans="1:24">
      <c r="A160" s="991"/>
      <c r="B160" s="991"/>
      <c r="C160" s="991"/>
      <c r="D160" s="991"/>
      <c r="E160" s="991"/>
      <c r="F160" s="991"/>
      <c r="G160" s="991"/>
      <c r="H160" s="991"/>
      <c r="I160" s="991"/>
      <c r="J160" s="991"/>
      <c r="K160" s="991"/>
      <c r="L160" s="991"/>
      <c r="M160" s="991"/>
      <c r="N160" s="991"/>
      <c r="O160" s="991"/>
      <c r="P160" s="991"/>
      <c r="Q160" s="991"/>
      <c r="R160" s="991"/>
      <c r="S160" s="991"/>
      <c r="T160" s="991"/>
      <c r="U160" s="991"/>
      <c r="V160" s="991"/>
      <c r="W160" s="991"/>
      <c r="X160" s="991"/>
    </row>
    <row r="161" spans="1:24">
      <c r="A161" s="991"/>
      <c r="B161" s="991"/>
      <c r="C161" s="991"/>
      <c r="D161" s="991"/>
      <c r="E161" s="991"/>
      <c r="F161" s="991"/>
      <c r="G161" s="991"/>
      <c r="H161" s="991"/>
      <c r="I161" s="991"/>
      <c r="J161" s="991"/>
      <c r="K161" s="991"/>
      <c r="L161" s="991"/>
      <c r="M161" s="991"/>
      <c r="N161" s="991"/>
      <c r="O161" s="991"/>
      <c r="P161" s="991"/>
      <c r="Q161" s="991"/>
      <c r="R161" s="991"/>
      <c r="S161" s="991"/>
      <c r="T161" s="991"/>
      <c r="U161" s="991"/>
      <c r="V161" s="991"/>
      <c r="W161" s="991"/>
      <c r="X161" s="991"/>
    </row>
    <row r="162" spans="1:24">
      <c r="A162" s="991"/>
      <c r="B162" s="991"/>
      <c r="C162" s="991"/>
      <c r="D162" s="991"/>
      <c r="E162" s="991"/>
      <c r="F162" s="991"/>
      <c r="G162" s="991"/>
      <c r="H162" s="991"/>
      <c r="I162" s="991"/>
      <c r="J162" s="991"/>
      <c r="K162" s="991"/>
      <c r="L162" s="991"/>
      <c r="M162" s="991"/>
      <c r="N162" s="991"/>
      <c r="O162" s="991"/>
      <c r="P162" s="991"/>
      <c r="Q162" s="991"/>
      <c r="R162" s="991"/>
      <c r="S162" s="991"/>
      <c r="T162" s="991"/>
      <c r="U162" s="991"/>
      <c r="V162" s="991"/>
      <c r="W162" s="991"/>
      <c r="X162" s="991"/>
    </row>
    <row r="163" spans="1:24">
      <c r="A163" s="991"/>
      <c r="B163" s="991"/>
      <c r="C163" s="991"/>
      <c r="D163" s="991"/>
      <c r="E163" s="991"/>
      <c r="F163" s="991"/>
      <c r="G163" s="991"/>
      <c r="H163" s="991"/>
      <c r="I163" s="991"/>
      <c r="J163" s="991"/>
      <c r="K163" s="991"/>
      <c r="L163" s="991"/>
      <c r="M163" s="991"/>
      <c r="N163" s="991"/>
      <c r="O163" s="991"/>
      <c r="P163" s="991"/>
      <c r="Q163" s="991"/>
      <c r="R163" s="991"/>
      <c r="S163" s="991"/>
      <c r="T163" s="991"/>
      <c r="U163" s="991"/>
      <c r="V163" s="991"/>
      <c r="W163" s="991"/>
      <c r="X163" s="991"/>
    </row>
    <row r="164" spans="1:24">
      <c r="A164" s="991"/>
      <c r="B164" s="991"/>
      <c r="C164" s="991"/>
      <c r="D164" s="991"/>
      <c r="E164" s="991"/>
      <c r="F164" s="991"/>
      <c r="G164" s="991"/>
      <c r="H164" s="991"/>
      <c r="I164" s="991"/>
      <c r="J164" s="991"/>
      <c r="K164" s="991"/>
      <c r="L164" s="991"/>
      <c r="M164" s="991"/>
      <c r="N164" s="991"/>
      <c r="O164" s="991"/>
      <c r="P164" s="991"/>
      <c r="Q164" s="991"/>
      <c r="R164" s="991"/>
      <c r="S164" s="991"/>
      <c r="T164" s="991"/>
      <c r="U164" s="991"/>
      <c r="V164" s="991"/>
      <c r="W164" s="991"/>
      <c r="X164" s="991"/>
    </row>
    <row r="165" spans="1:24">
      <c r="A165" s="991"/>
      <c r="B165" s="991"/>
      <c r="C165" s="991"/>
      <c r="D165" s="991"/>
      <c r="E165" s="991"/>
      <c r="F165" s="991"/>
      <c r="G165" s="991"/>
      <c r="H165" s="991"/>
      <c r="I165" s="991"/>
      <c r="J165" s="991"/>
      <c r="K165" s="991"/>
      <c r="L165" s="991"/>
      <c r="M165" s="991"/>
      <c r="N165" s="991"/>
      <c r="O165" s="991"/>
      <c r="P165" s="991"/>
      <c r="Q165" s="991"/>
      <c r="R165" s="991"/>
      <c r="S165" s="991"/>
      <c r="T165" s="991"/>
      <c r="U165" s="991"/>
      <c r="V165" s="991"/>
      <c r="W165" s="991"/>
      <c r="X165" s="991"/>
    </row>
    <row r="166" spans="1:24">
      <c r="A166" s="991"/>
      <c r="B166" s="991"/>
      <c r="C166" s="991"/>
      <c r="D166" s="991"/>
      <c r="E166" s="991"/>
      <c r="F166" s="991"/>
      <c r="G166" s="991"/>
      <c r="H166" s="991"/>
      <c r="I166" s="991"/>
      <c r="J166" s="991"/>
      <c r="K166" s="991"/>
      <c r="L166" s="991"/>
      <c r="M166" s="991"/>
      <c r="N166" s="991"/>
      <c r="O166" s="991"/>
      <c r="P166" s="991"/>
      <c r="Q166" s="991"/>
      <c r="R166" s="991"/>
      <c r="S166" s="991"/>
      <c r="T166" s="991"/>
      <c r="U166" s="991"/>
      <c r="V166" s="991"/>
      <c r="W166" s="991"/>
      <c r="X166" s="991"/>
    </row>
    <row r="167" spans="1:24">
      <c r="A167" s="991"/>
      <c r="B167" s="991"/>
      <c r="C167" s="991"/>
      <c r="D167" s="991"/>
      <c r="E167" s="991"/>
      <c r="F167" s="991"/>
      <c r="G167" s="991"/>
      <c r="H167" s="991"/>
      <c r="I167" s="991"/>
      <c r="J167" s="991"/>
      <c r="K167" s="991"/>
      <c r="L167" s="991"/>
      <c r="M167" s="991"/>
      <c r="N167" s="991"/>
      <c r="O167" s="991"/>
      <c r="P167" s="991"/>
      <c r="Q167" s="991"/>
      <c r="R167" s="991"/>
      <c r="S167" s="991"/>
      <c r="T167" s="991"/>
      <c r="U167" s="991"/>
      <c r="V167" s="991"/>
      <c r="W167" s="991"/>
      <c r="X167" s="991"/>
    </row>
    <row r="168" spans="1:24">
      <c r="A168" s="991"/>
      <c r="B168" s="991"/>
      <c r="C168" s="991"/>
      <c r="D168" s="991"/>
      <c r="E168" s="991"/>
      <c r="F168" s="991"/>
      <c r="G168" s="991"/>
      <c r="H168" s="991"/>
      <c r="I168" s="991"/>
      <c r="J168" s="991"/>
      <c r="K168" s="991"/>
      <c r="L168" s="991"/>
      <c r="M168" s="991"/>
      <c r="N168" s="991"/>
      <c r="O168" s="991"/>
      <c r="P168" s="991"/>
      <c r="Q168" s="991"/>
      <c r="R168" s="991"/>
      <c r="S168" s="991"/>
      <c r="T168" s="991"/>
      <c r="U168" s="991"/>
      <c r="V168" s="991"/>
      <c r="W168" s="991"/>
      <c r="X168" s="991"/>
    </row>
    <row r="169" spans="1:24">
      <c r="A169" s="991"/>
      <c r="B169" s="991"/>
      <c r="C169" s="991"/>
      <c r="D169" s="991"/>
      <c r="E169" s="991"/>
      <c r="F169" s="991"/>
      <c r="G169" s="991"/>
      <c r="H169" s="991"/>
      <c r="I169" s="991"/>
      <c r="J169" s="991"/>
      <c r="K169" s="991"/>
      <c r="L169" s="991"/>
      <c r="M169" s="991"/>
      <c r="N169" s="991"/>
      <c r="O169" s="991"/>
      <c r="P169" s="991"/>
      <c r="Q169" s="991"/>
      <c r="R169" s="991"/>
      <c r="S169" s="991"/>
      <c r="T169" s="991"/>
      <c r="U169" s="991"/>
      <c r="V169" s="991"/>
      <c r="W169" s="991"/>
      <c r="X169" s="991"/>
    </row>
    <row r="170" spans="1:24">
      <c r="A170" s="991"/>
      <c r="B170" s="991"/>
      <c r="C170" s="991"/>
      <c r="D170" s="991"/>
      <c r="E170" s="991"/>
      <c r="F170" s="991"/>
      <c r="G170" s="991"/>
      <c r="H170" s="991"/>
      <c r="I170" s="991"/>
      <c r="J170" s="991"/>
      <c r="K170" s="991"/>
      <c r="L170" s="991"/>
      <c r="M170" s="991"/>
      <c r="N170" s="991"/>
      <c r="O170" s="991"/>
      <c r="P170" s="991"/>
      <c r="Q170" s="991"/>
      <c r="R170" s="991"/>
      <c r="S170" s="991"/>
      <c r="T170" s="991"/>
      <c r="U170" s="991"/>
      <c r="V170" s="991"/>
      <c r="W170" s="991"/>
      <c r="X170" s="991"/>
    </row>
    <row r="171" spans="1:24">
      <c r="A171" s="991"/>
      <c r="B171" s="991"/>
      <c r="C171" s="991"/>
      <c r="D171" s="991"/>
      <c r="E171" s="991"/>
      <c r="F171" s="991"/>
      <c r="G171" s="991"/>
      <c r="H171" s="991"/>
      <c r="I171" s="991"/>
      <c r="J171" s="991"/>
      <c r="K171" s="991"/>
      <c r="L171" s="991"/>
      <c r="M171" s="991"/>
      <c r="N171" s="991"/>
      <c r="O171" s="991"/>
      <c r="P171" s="991"/>
      <c r="Q171" s="991"/>
      <c r="R171" s="991"/>
      <c r="S171" s="991"/>
      <c r="T171" s="991"/>
      <c r="U171" s="991"/>
      <c r="V171" s="991"/>
      <c r="W171" s="991"/>
      <c r="X171" s="991"/>
    </row>
    <row r="172" spans="1:24">
      <c r="A172" s="991"/>
      <c r="B172" s="991"/>
      <c r="C172" s="991"/>
      <c r="D172" s="991"/>
      <c r="E172" s="991"/>
      <c r="F172" s="991"/>
      <c r="G172" s="991"/>
      <c r="H172" s="991"/>
      <c r="I172" s="991"/>
      <c r="J172" s="991"/>
      <c r="K172" s="991"/>
      <c r="L172" s="991"/>
      <c r="M172" s="991"/>
      <c r="N172" s="991"/>
      <c r="O172" s="991"/>
      <c r="P172" s="991"/>
      <c r="Q172" s="991"/>
      <c r="R172" s="991"/>
      <c r="S172" s="991"/>
      <c r="T172" s="991"/>
      <c r="U172" s="991"/>
      <c r="V172" s="991"/>
      <c r="W172" s="991"/>
      <c r="X172" s="991"/>
    </row>
    <row r="173" spans="1:24">
      <c r="A173" s="991"/>
      <c r="B173" s="991"/>
      <c r="C173" s="991"/>
      <c r="D173" s="991"/>
      <c r="E173" s="991"/>
      <c r="F173" s="991"/>
      <c r="G173" s="991"/>
      <c r="H173" s="991"/>
      <c r="I173" s="991"/>
      <c r="J173" s="991"/>
      <c r="K173" s="991"/>
      <c r="L173" s="991"/>
      <c r="M173" s="991"/>
      <c r="N173" s="991"/>
      <c r="O173" s="991"/>
      <c r="P173" s="991"/>
      <c r="Q173" s="991"/>
      <c r="R173" s="991"/>
      <c r="S173" s="991"/>
      <c r="T173" s="991"/>
      <c r="U173" s="991"/>
      <c r="V173" s="991"/>
      <c r="W173" s="991"/>
      <c r="X173" s="991"/>
    </row>
    <row r="174" spans="1:24">
      <c r="A174" s="991"/>
      <c r="B174" s="991"/>
      <c r="C174" s="991"/>
      <c r="D174" s="991"/>
      <c r="E174" s="991"/>
      <c r="F174" s="991"/>
      <c r="G174" s="991"/>
      <c r="H174" s="991"/>
      <c r="I174" s="991"/>
      <c r="J174" s="991"/>
      <c r="K174" s="991"/>
      <c r="L174" s="991"/>
      <c r="M174" s="991"/>
      <c r="N174" s="991"/>
      <c r="O174" s="991"/>
      <c r="P174" s="991"/>
      <c r="Q174" s="991"/>
      <c r="R174" s="991"/>
      <c r="S174" s="991"/>
      <c r="T174" s="991"/>
      <c r="U174" s="991"/>
      <c r="V174" s="991"/>
      <c r="W174" s="991"/>
      <c r="X174" s="991"/>
    </row>
    <row r="175" spans="1:24">
      <c r="A175" s="991"/>
      <c r="B175" s="991"/>
      <c r="C175" s="991"/>
      <c r="D175" s="991"/>
      <c r="E175" s="991"/>
      <c r="F175" s="991"/>
      <c r="G175" s="991"/>
      <c r="H175" s="991"/>
      <c r="I175" s="991"/>
      <c r="J175" s="991"/>
      <c r="K175" s="991"/>
      <c r="L175" s="991"/>
      <c r="M175" s="991"/>
      <c r="N175" s="991"/>
      <c r="O175" s="991"/>
      <c r="P175" s="991"/>
      <c r="Q175" s="991"/>
      <c r="R175" s="991"/>
      <c r="S175" s="991"/>
      <c r="T175" s="991"/>
      <c r="U175" s="991"/>
      <c r="V175" s="991"/>
      <c r="W175" s="991"/>
      <c r="X175" s="991"/>
    </row>
    <row r="176" spans="1:24">
      <c r="A176" s="991"/>
      <c r="B176" s="991"/>
      <c r="C176" s="991"/>
      <c r="D176" s="991"/>
      <c r="E176" s="991"/>
      <c r="F176" s="991"/>
      <c r="G176" s="991"/>
      <c r="H176" s="991"/>
      <c r="I176" s="991"/>
      <c r="J176" s="991"/>
      <c r="K176" s="991"/>
      <c r="L176" s="991"/>
      <c r="M176" s="991"/>
      <c r="N176" s="991"/>
      <c r="O176" s="991"/>
      <c r="P176" s="991"/>
      <c r="Q176" s="991"/>
      <c r="R176" s="991"/>
      <c r="S176" s="991"/>
      <c r="T176" s="991"/>
      <c r="U176" s="991"/>
      <c r="V176" s="991"/>
      <c r="W176" s="991"/>
      <c r="X176" s="991"/>
    </row>
    <row r="177" spans="1:24">
      <c r="A177" s="991"/>
      <c r="B177" s="991"/>
      <c r="C177" s="991"/>
      <c r="D177" s="991"/>
      <c r="E177" s="991"/>
      <c r="F177" s="991"/>
      <c r="G177" s="991"/>
      <c r="H177" s="991"/>
      <c r="I177" s="991"/>
      <c r="J177" s="991"/>
      <c r="K177" s="991"/>
      <c r="L177" s="991"/>
      <c r="M177" s="991"/>
      <c r="N177" s="991"/>
      <c r="O177" s="991"/>
      <c r="P177" s="991"/>
      <c r="Q177" s="991"/>
      <c r="R177" s="991"/>
      <c r="S177" s="991"/>
      <c r="T177" s="991"/>
      <c r="U177" s="991"/>
      <c r="V177" s="991"/>
      <c r="W177" s="991"/>
      <c r="X177" s="991"/>
    </row>
    <row r="178" spans="1:24">
      <c r="A178" s="991"/>
      <c r="B178" s="991"/>
      <c r="C178" s="991"/>
      <c r="D178" s="991"/>
      <c r="E178" s="991"/>
      <c r="F178" s="991"/>
      <c r="G178" s="991"/>
      <c r="H178" s="991"/>
      <c r="I178" s="991"/>
      <c r="J178" s="991"/>
      <c r="K178" s="991"/>
      <c r="L178" s="991"/>
      <c r="M178" s="991"/>
      <c r="N178" s="991"/>
      <c r="O178" s="991"/>
      <c r="P178" s="991"/>
      <c r="Q178" s="991"/>
      <c r="R178" s="991"/>
      <c r="S178" s="991"/>
      <c r="T178" s="991"/>
      <c r="U178" s="991"/>
      <c r="V178" s="991"/>
      <c r="W178" s="991"/>
      <c r="X178" s="991"/>
    </row>
    <row r="179" spans="1:24">
      <c r="A179" s="991"/>
      <c r="B179" s="991"/>
      <c r="C179" s="991"/>
      <c r="D179" s="991"/>
      <c r="E179" s="991"/>
      <c r="F179" s="991"/>
      <c r="G179" s="991"/>
      <c r="H179" s="991"/>
      <c r="I179" s="991"/>
      <c r="J179" s="991"/>
      <c r="K179" s="991"/>
      <c r="L179" s="991"/>
      <c r="M179" s="991"/>
      <c r="N179" s="991"/>
      <c r="O179" s="991"/>
      <c r="P179" s="991"/>
      <c r="Q179" s="991"/>
      <c r="R179" s="991"/>
      <c r="S179" s="991"/>
      <c r="T179" s="991"/>
      <c r="U179" s="991"/>
      <c r="V179" s="991"/>
      <c r="W179" s="991"/>
      <c r="X179" s="991"/>
    </row>
    <row r="180" spans="1:24">
      <c r="A180" s="991"/>
      <c r="B180" s="991"/>
      <c r="C180" s="991"/>
      <c r="D180" s="991"/>
      <c r="E180" s="991"/>
      <c r="F180" s="991"/>
      <c r="G180" s="991"/>
      <c r="H180" s="991"/>
      <c r="I180" s="991"/>
      <c r="J180" s="991"/>
      <c r="K180" s="991"/>
      <c r="L180" s="991"/>
      <c r="M180" s="991"/>
      <c r="N180" s="991"/>
      <c r="O180" s="991"/>
      <c r="P180" s="991"/>
      <c r="Q180" s="991"/>
      <c r="R180" s="991"/>
      <c r="S180" s="991"/>
      <c r="T180" s="991"/>
      <c r="U180" s="991"/>
      <c r="V180" s="991"/>
      <c r="W180" s="991"/>
      <c r="X180" s="991"/>
    </row>
    <row r="181" spans="1:24">
      <c r="A181" s="991"/>
      <c r="B181" s="991"/>
      <c r="C181" s="991"/>
      <c r="D181" s="991"/>
      <c r="E181" s="991"/>
      <c r="F181" s="991"/>
      <c r="G181" s="991"/>
      <c r="H181" s="991"/>
      <c r="I181" s="991"/>
      <c r="J181" s="991"/>
      <c r="K181" s="991"/>
      <c r="L181" s="991"/>
      <c r="M181" s="991"/>
      <c r="N181" s="991"/>
      <c r="O181" s="991"/>
      <c r="P181" s="991"/>
      <c r="Q181" s="991"/>
      <c r="R181" s="991"/>
      <c r="S181" s="991"/>
      <c r="T181" s="991"/>
      <c r="U181" s="991"/>
      <c r="V181" s="991"/>
      <c r="W181" s="991"/>
      <c r="X181" s="991"/>
    </row>
    <row r="182" spans="1:24">
      <c r="A182" s="991"/>
      <c r="B182" s="991"/>
      <c r="C182" s="991"/>
      <c r="D182" s="991"/>
      <c r="E182" s="991"/>
      <c r="F182" s="991"/>
      <c r="G182" s="991"/>
      <c r="H182" s="991"/>
      <c r="I182" s="991"/>
      <c r="J182" s="991"/>
      <c r="K182" s="991"/>
      <c r="L182" s="991"/>
      <c r="M182" s="991"/>
      <c r="N182" s="991"/>
      <c r="O182" s="991"/>
      <c r="P182" s="991"/>
      <c r="Q182" s="991"/>
      <c r="R182" s="991"/>
      <c r="S182" s="991"/>
      <c r="T182" s="991"/>
      <c r="U182" s="991"/>
      <c r="V182" s="991"/>
      <c r="W182" s="991"/>
      <c r="X182" s="991"/>
    </row>
    <row r="183" spans="1:24">
      <c r="A183" s="991"/>
      <c r="B183" s="991"/>
      <c r="C183" s="991"/>
      <c r="D183" s="991"/>
      <c r="E183" s="991"/>
      <c r="F183" s="991"/>
      <c r="G183" s="991"/>
      <c r="H183" s="991"/>
      <c r="I183" s="991"/>
      <c r="J183" s="991"/>
      <c r="K183" s="991"/>
      <c r="L183" s="991"/>
      <c r="M183" s="991"/>
      <c r="N183" s="991"/>
      <c r="O183" s="991"/>
      <c r="P183" s="991"/>
      <c r="Q183" s="991"/>
      <c r="R183" s="991"/>
      <c r="S183" s="991"/>
      <c r="T183" s="991"/>
      <c r="U183" s="991"/>
      <c r="V183" s="991"/>
      <c r="W183" s="991"/>
      <c r="X183" s="991"/>
    </row>
    <row r="184" spans="1:24">
      <c r="A184" s="991"/>
      <c r="B184" s="991"/>
      <c r="C184" s="991"/>
      <c r="D184" s="991"/>
      <c r="E184" s="991"/>
      <c r="F184" s="991"/>
      <c r="G184" s="991"/>
      <c r="H184" s="991"/>
      <c r="I184" s="991"/>
      <c r="J184" s="991"/>
      <c r="K184" s="991"/>
      <c r="L184" s="991"/>
      <c r="M184" s="991"/>
      <c r="N184" s="991"/>
      <c r="O184" s="991"/>
      <c r="P184" s="991"/>
      <c r="Q184" s="991"/>
      <c r="R184" s="991"/>
      <c r="S184" s="991"/>
      <c r="T184" s="991"/>
      <c r="U184" s="991"/>
      <c r="V184" s="991"/>
      <c r="W184" s="991"/>
      <c r="X184" s="991"/>
    </row>
    <row r="185" spans="1:24">
      <c r="A185" s="991"/>
      <c r="B185" s="991"/>
      <c r="C185" s="991"/>
      <c r="D185" s="991"/>
      <c r="E185" s="991"/>
      <c r="F185" s="991"/>
      <c r="G185" s="991"/>
      <c r="H185" s="991"/>
      <c r="I185" s="991"/>
      <c r="J185" s="991"/>
      <c r="K185" s="991"/>
      <c r="L185" s="991"/>
      <c r="M185" s="991"/>
      <c r="N185" s="991"/>
      <c r="O185" s="991"/>
      <c r="P185" s="991"/>
      <c r="Q185" s="991"/>
      <c r="R185" s="991"/>
      <c r="S185" s="991"/>
      <c r="T185" s="991"/>
      <c r="U185" s="991"/>
      <c r="V185" s="991"/>
      <c r="W185" s="991"/>
      <c r="X185" s="991"/>
    </row>
    <row r="186" spans="1:24">
      <c r="A186" s="991"/>
      <c r="B186" s="991"/>
      <c r="C186" s="991"/>
      <c r="D186" s="991"/>
      <c r="E186" s="991"/>
      <c r="F186" s="991"/>
      <c r="G186" s="991"/>
      <c r="H186" s="991"/>
      <c r="I186" s="991"/>
      <c r="J186" s="991"/>
      <c r="K186" s="991"/>
      <c r="L186" s="991"/>
      <c r="M186" s="991"/>
      <c r="N186" s="991"/>
      <c r="O186" s="991"/>
      <c r="P186" s="991"/>
      <c r="Q186" s="991"/>
      <c r="R186" s="991"/>
      <c r="S186" s="991"/>
      <c r="T186" s="991"/>
      <c r="U186" s="991"/>
      <c r="V186" s="991"/>
      <c r="W186" s="991"/>
      <c r="X186" s="991"/>
    </row>
    <row r="187" spans="1:24">
      <c r="A187" s="991"/>
      <c r="B187" s="991"/>
      <c r="C187" s="991"/>
      <c r="D187" s="991"/>
      <c r="E187" s="991"/>
      <c r="F187" s="991"/>
      <c r="G187" s="991"/>
      <c r="H187" s="991"/>
      <c r="I187" s="991"/>
      <c r="J187" s="991"/>
      <c r="K187" s="991"/>
      <c r="L187" s="991"/>
      <c r="M187" s="991"/>
      <c r="N187" s="991"/>
      <c r="O187" s="991"/>
      <c r="P187" s="991"/>
      <c r="Q187" s="991"/>
      <c r="R187" s="991"/>
      <c r="S187" s="991"/>
      <c r="T187" s="991"/>
      <c r="U187" s="991"/>
      <c r="V187" s="991"/>
      <c r="W187" s="991"/>
      <c r="X187" s="991"/>
    </row>
    <row r="188" spans="1:24">
      <c r="A188" s="991"/>
      <c r="B188" s="991"/>
      <c r="C188" s="991"/>
      <c r="D188" s="991"/>
      <c r="E188" s="991"/>
      <c r="F188" s="991"/>
      <c r="G188" s="991"/>
      <c r="H188" s="991"/>
      <c r="I188" s="991"/>
      <c r="J188" s="991"/>
      <c r="K188" s="991"/>
      <c r="L188" s="991"/>
      <c r="M188" s="991"/>
      <c r="N188" s="991"/>
      <c r="O188" s="991"/>
      <c r="P188" s="991"/>
      <c r="Q188" s="991"/>
      <c r="R188" s="991"/>
      <c r="S188" s="991"/>
      <c r="T188" s="991"/>
      <c r="U188" s="991"/>
      <c r="V188" s="991"/>
      <c r="W188" s="991"/>
      <c r="X188" s="991"/>
    </row>
    <row r="189" spans="1:24">
      <c r="A189" s="991"/>
      <c r="B189" s="991"/>
      <c r="C189" s="991"/>
      <c r="D189" s="991"/>
      <c r="E189" s="991"/>
      <c r="F189" s="991"/>
      <c r="G189" s="991"/>
      <c r="H189" s="991"/>
      <c r="I189" s="991"/>
      <c r="J189" s="991"/>
      <c r="K189" s="991"/>
      <c r="L189" s="991"/>
      <c r="M189" s="991"/>
      <c r="N189" s="991"/>
      <c r="O189" s="991"/>
      <c r="P189" s="991"/>
      <c r="Q189" s="991"/>
      <c r="R189" s="991"/>
      <c r="S189" s="991"/>
      <c r="T189" s="991"/>
      <c r="U189" s="991"/>
      <c r="V189" s="991"/>
      <c r="W189" s="991"/>
      <c r="X189" s="991"/>
    </row>
    <row r="190" spans="1:24">
      <c r="A190" s="991"/>
      <c r="B190" s="991"/>
      <c r="C190" s="991"/>
      <c r="D190" s="991"/>
      <c r="E190" s="991"/>
      <c r="F190" s="991"/>
      <c r="G190" s="991"/>
      <c r="H190" s="991"/>
      <c r="I190" s="991"/>
      <c r="J190" s="991"/>
      <c r="K190" s="991"/>
      <c r="L190" s="991"/>
      <c r="M190" s="991"/>
      <c r="N190" s="991"/>
      <c r="O190" s="991"/>
      <c r="P190" s="991"/>
      <c r="Q190" s="991"/>
      <c r="R190" s="991"/>
      <c r="S190" s="991"/>
      <c r="T190" s="991"/>
      <c r="U190" s="991"/>
      <c r="V190" s="991"/>
      <c r="W190" s="991"/>
      <c r="X190" s="991"/>
    </row>
    <row r="191" spans="1:24">
      <c r="A191" s="991"/>
      <c r="B191" s="991"/>
      <c r="C191" s="991"/>
      <c r="D191" s="991"/>
      <c r="E191" s="991"/>
      <c r="F191" s="991"/>
      <c r="G191" s="991"/>
      <c r="H191" s="991"/>
      <c r="I191" s="991"/>
      <c r="J191" s="991"/>
      <c r="K191" s="991"/>
      <c r="L191" s="991"/>
      <c r="M191" s="991"/>
      <c r="N191" s="991"/>
      <c r="O191" s="991"/>
      <c r="P191" s="991"/>
      <c r="Q191" s="991"/>
      <c r="R191" s="991"/>
      <c r="S191" s="991"/>
      <c r="T191" s="991"/>
      <c r="U191" s="991"/>
      <c r="V191" s="991"/>
      <c r="W191" s="991"/>
      <c r="X191" s="991"/>
    </row>
    <row r="192" spans="1:24">
      <c r="A192" s="991"/>
      <c r="B192" s="991"/>
      <c r="C192" s="991"/>
      <c r="D192" s="991"/>
      <c r="E192" s="991"/>
      <c r="F192" s="991"/>
      <c r="G192" s="991"/>
      <c r="H192" s="991"/>
      <c r="I192" s="991"/>
      <c r="J192" s="991"/>
      <c r="K192" s="991"/>
      <c r="L192" s="991"/>
      <c r="M192" s="991"/>
      <c r="N192" s="991"/>
      <c r="O192" s="991"/>
      <c r="P192" s="991"/>
      <c r="Q192" s="991"/>
      <c r="R192" s="991"/>
      <c r="S192" s="991"/>
      <c r="T192" s="991"/>
      <c r="U192" s="991"/>
      <c r="V192" s="991"/>
      <c r="W192" s="991"/>
      <c r="X192" s="991"/>
    </row>
    <row r="193" spans="1:24">
      <c r="A193" s="991"/>
      <c r="B193" s="991"/>
      <c r="C193" s="991"/>
      <c r="D193" s="991"/>
      <c r="E193" s="991"/>
      <c r="F193" s="991"/>
      <c r="G193" s="991"/>
      <c r="H193" s="991"/>
      <c r="I193" s="991"/>
      <c r="J193" s="991"/>
      <c r="K193" s="991"/>
      <c r="L193" s="991"/>
      <c r="M193" s="991"/>
      <c r="N193" s="991"/>
      <c r="O193" s="991"/>
      <c r="P193" s="991"/>
      <c r="Q193" s="991"/>
      <c r="R193" s="991"/>
      <c r="S193" s="991"/>
      <c r="T193" s="991"/>
      <c r="U193" s="991"/>
      <c r="V193" s="991"/>
      <c r="W193" s="991"/>
      <c r="X193" s="991"/>
    </row>
    <row r="194" spans="1:24">
      <c r="A194" s="991"/>
      <c r="B194" s="991"/>
      <c r="C194" s="991"/>
      <c r="D194" s="991"/>
      <c r="E194" s="991"/>
      <c r="F194" s="991"/>
      <c r="G194" s="991"/>
      <c r="H194" s="991"/>
      <c r="I194" s="991"/>
      <c r="J194" s="991"/>
      <c r="K194" s="991"/>
      <c r="L194" s="991"/>
      <c r="M194" s="991"/>
      <c r="N194" s="991"/>
      <c r="O194" s="991"/>
      <c r="P194" s="991"/>
      <c r="Q194" s="991"/>
      <c r="R194" s="991"/>
      <c r="S194" s="991"/>
      <c r="T194" s="991"/>
      <c r="U194" s="991"/>
      <c r="V194" s="991"/>
      <c r="W194" s="991"/>
      <c r="X194" s="991"/>
    </row>
    <row r="195" spans="1:24">
      <c r="A195" s="991"/>
      <c r="B195" s="991"/>
      <c r="C195" s="991"/>
      <c r="D195" s="991"/>
      <c r="E195" s="991"/>
      <c r="F195" s="991"/>
      <c r="G195" s="991"/>
      <c r="H195" s="991"/>
      <c r="I195" s="991"/>
      <c r="J195" s="991"/>
      <c r="K195" s="991"/>
      <c r="L195" s="991"/>
      <c r="M195" s="991"/>
      <c r="N195" s="991"/>
      <c r="O195" s="991"/>
      <c r="P195" s="991"/>
      <c r="Q195" s="991"/>
      <c r="R195" s="991"/>
      <c r="S195" s="991"/>
      <c r="T195" s="991"/>
      <c r="U195" s="991"/>
      <c r="V195" s="991"/>
      <c r="W195" s="991"/>
      <c r="X195" s="991"/>
    </row>
    <row r="196" spans="1:24">
      <c r="A196" s="991"/>
      <c r="B196" s="991"/>
      <c r="C196" s="991"/>
      <c r="D196" s="991"/>
      <c r="E196" s="991"/>
      <c r="F196" s="991"/>
      <c r="G196" s="991"/>
      <c r="H196" s="991"/>
      <c r="I196" s="991"/>
      <c r="J196" s="991"/>
      <c r="K196" s="991"/>
      <c r="L196" s="991"/>
      <c r="M196" s="991"/>
      <c r="N196" s="991"/>
      <c r="O196" s="991"/>
      <c r="P196" s="991"/>
      <c r="Q196" s="991"/>
      <c r="R196" s="991"/>
      <c r="S196" s="991"/>
      <c r="T196" s="991"/>
      <c r="U196" s="991"/>
      <c r="V196" s="991"/>
      <c r="W196" s="991"/>
      <c r="X196" s="991"/>
    </row>
    <row r="197" spans="1:24">
      <c r="A197" s="1108"/>
      <c r="B197" s="1108"/>
      <c r="C197" s="991"/>
      <c r="D197" s="991"/>
      <c r="E197" s="991"/>
      <c r="F197" s="991"/>
      <c r="G197" s="991"/>
      <c r="H197" s="991"/>
      <c r="I197" s="991"/>
      <c r="J197" s="991"/>
      <c r="K197" s="991"/>
      <c r="L197" s="991"/>
      <c r="M197" s="991"/>
      <c r="N197" s="991"/>
      <c r="O197" s="991"/>
      <c r="P197" s="991"/>
      <c r="Q197" s="991"/>
      <c r="R197" s="991"/>
      <c r="S197" s="991"/>
      <c r="T197" s="991"/>
      <c r="U197" s="991"/>
      <c r="V197" s="991"/>
      <c r="W197" s="991"/>
      <c r="X197" s="991"/>
    </row>
    <row r="198" spans="1:24">
      <c r="A198" s="1108"/>
      <c r="B198" s="1108"/>
      <c r="C198" s="991"/>
      <c r="D198" s="991"/>
      <c r="E198" s="991"/>
      <c r="F198" s="991"/>
      <c r="G198" s="991"/>
      <c r="H198" s="991"/>
      <c r="I198" s="991"/>
      <c r="J198" s="991"/>
      <c r="K198" s="991"/>
      <c r="L198" s="991"/>
      <c r="M198" s="991"/>
      <c r="N198" s="991"/>
      <c r="O198" s="991"/>
      <c r="P198" s="991"/>
      <c r="Q198" s="991"/>
      <c r="R198" s="991"/>
      <c r="S198" s="991"/>
      <c r="T198" s="991"/>
      <c r="U198" s="991"/>
      <c r="V198" s="991"/>
      <c r="W198" s="991"/>
      <c r="X198" s="991"/>
    </row>
    <row r="199" spans="1:24">
      <c r="A199" s="1108"/>
      <c r="B199" s="1108"/>
      <c r="C199" s="991"/>
      <c r="D199" s="991"/>
      <c r="E199" s="991"/>
      <c r="F199" s="991"/>
      <c r="G199" s="991"/>
      <c r="H199" s="991"/>
      <c r="I199" s="991"/>
      <c r="J199" s="991"/>
      <c r="K199" s="991"/>
      <c r="L199" s="991"/>
      <c r="M199" s="991"/>
      <c r="N199" s="991"/>
      <c r="O199" s="991"/>
      <c r="P199" s="991"/>
      <c r="Q199" s="991"/>
      <c r="R199" s="991"/>
      <c r="S199" s="991"/>
      <c r="T199" s="991"/>
      <c r="U199" s="991"/>
      <c r="V199" s="991"/>
      <c r="W199" s="991"/>
      <c r="X199" s="991"/>
    </row>
    <row r="200" spans="1:24">
      <c r="A200" s="1108"/>
      <c r="B200" s="1108"/>
      <c r="C200" s="991"/>
      <c r="D200" s="991"/>
      <c r="E200" s="991"/>
      <c r="F200" s="991"/>
      <c r="G200" s="991"/>
      <c r="H200" s="991"/>
      <c r="I200" s="991"/>
      <c r="J200" s="991"/>
      <c r="K200" s="991"/>
      <c r="L200" s="991"/>
      <c r="M200" s="991"/>
      <c r="N200" s="991"/>
      <c r="O200" s="991"/>
      <c r="P200" s="991"/>
      <c r="Q200" s="991"/>
      <c r="R200" s="991"/>
      <c r="S200" s="991"/>
      <c r="T200" s="991"/>
      <c r="U200" s="991"/>
      <c r="V200" s="991"/>
      <c r="W200" s="991"/>
      <c r="X200" s="991"/>
    </row>
    <row r="201" spans="1:24">
      <c r="A201" s="1108"/>
      <c r="B201" s="1108"/>
      <c r="C201" s="991"/>
      <c r="D201" s="991"/>
      <c r="E201" s="991"/>
      <c r="F201" s="991"/>
      <c r="G201" s="991"/>
      <c r="H201" s="991"/>
      <c r="I201" s="991"/>
      <c r="J201" s="991"/>
      <c r="K201" s="991"/>
      <c r="L201" s="991"/>
      <c r="M201" s="991"/>
      <c r="N201" s="991"/>
      <c r="O201" s="991"/>
      <c r="P201" s="991"/>
      <c r="Q201" s="991"/>
      <c r="R201" s="991"/>
      <c r="S201" s="991"/>
      <c r="T201" s="991"/>
      <c r="U201" s="991"/>
      <c r="V201" s="991"/>
      <c r="W201" s="991"/>
      <c r="X201" s="991"/>
    </row>
    <row r="202" spans="1:24">
      <c r="A202" s="991"/>
      <c r="B202" s="991"/>
      <c r="C202" s="991"/>
      <c r="D202" s="991"/>
      <c r="E202" s="991"/>
      <c r="F202" s="991"/>
      <c r="G202" s="991"/>
      <c r="H202" s="991"/>
      <c r="I202" s="991"/>
      <c r="J202" s="991"/>
      <c r="K202" s="991"/>
      <c r="L202" s="991"/>
      <c r="M202" s="991"/>
      <c r="N202" s="991"/>
      <c r="O202" s="991"/>
      <c r="P202" s="991"/>
      <c r="Q202" s="991"/>
      <c r="R202" s="991"/>
      <c r="S202" s="991"/>
      <c r="T202" s="991"/>
      <c r="U202" s="991"/>
      <c r="V202" s="991"/>
      <c r="W202" s="991"/>
      <c r="X202" s="991"/>
    </row>
    <row r="203" spans="1:24">
      <c r="A203" s="991"/>
      <c r="B203" s="991"/>
      <c r="C203" s="991"/>
      <c r="D203" s="991"/>
      <c r="E203" s="991"/>
      <c r="F203" s="991"/>
      <c r="G203" s="991"/>
      <c r="H203" s="991"/>
      <c r="I203" s="991"/>
      <c r="J203" s="991"/>
      <c r="K203" s="991"/>
      <c r="L203" s="991"/>
      <c r="M203" s="991"/>
      <c r="N203" s="991"/>
      <c r="O203" s="991"/>
      <c r="P203" s="991"/>
      <c r="Q203" s="991"/>
      <c r="R203" s="991"/>
      <c r="S203" s="991"/>
      <c r="T203" s="991"/>
      <c r="U203" s="991"/>
      <c r="V203" s="991"/>
      <c r="W203" s="991"/>
      <c r="X203" s="991"/>
    </row>
    <row r="204" spans="1:24">
      <c r="A204" s="991"/>
      <c r="B204" s="991"/>
      <c r="C204" s="991"/>
      <c r="D204" s="991"/>
      <c r="E204" s="991"/>
      <c r="F204" s="991"/>
      <c r="G204" s="991"/>
      <c r="H204" s="991"/>
      <c r="I204" s="991"/>
      <c r="J204" s="991"/>
      <c r="K204" s="991"/>
      <c r="L204" s="991"/>
      <c r="M204" s="991"/>
      <c r="N204" s="991"/>
      <c r="O204" s="991"/>
      <c r="P204" s="991"/>
      <c r="Q204" s="991"/>
      <c r="R204" s="991"/>
      <c r="S204" s="991"/>
      <c r="T204" s="991"/>
      <c r="U204" s="991"/>
      <c r="V204" s="991"/>
      <c r="W204" s="991"/>
      <c r="X204" s="991"/>
    </row>
    <row r="205" spans="1:24">
      <c r="A205" s="991"/>
      <c r="B205" s="991"/>
      <c r="C205" s="991"/>
      <c r="D205" s="991"/>
      <c r="E205" s="991"/>
      <c r="F205" s="991"/>
      <c r="G205" s="991"/>
      <c r="H205" s="991"/>
      <c r="I205" s="991"/>
      <c r="J205" s="991"/>
      <c r="K205" s="991"/>
      <c r="L205" s="991"/>
      <c r="M205" s="991"/>
      <c r="N205" s="991"/>
      <c r="O205" s="991"/>
      <c r="P205" s="991"/>
      <c r="Q205" s="991"/>
      <c r="R205" s="991"/>
      <c r="S205" s="991"/>
      <c r="T205" s="991"/>
      <c r="U205" s="991"/>
      <c r="V205" s="991"/>
      <c r="W205" s="991"/>
      <c r="X205" s="991"/>
    </row>
    <row r="206" spans="1:24">
      <c r="A206" s="991"/>
      <c r="B206" s="991"/>
      <c r="C206" s="991"/>
      <c r="D206" s="991"/>
      <c r="E206" s="991"/>
      <c r="F206" s="991"/>
      <c r="G206" s="991"/>
      <c r="H206" s="991"/>
      <c r="I206" s="991"/>
      <c r="J206" s="991"/>
      <c r="K206" s="991"/>
      <c r="L206" s="991"/>
      <c r="M206" s="991"/>
      <c r="N206" s="991"/>
      <c r="O206" s="991"/>
      <c r="P206" s="991"/>
      <c r="Q206" s="991"/>
      <c r="R206" s="991"/>
      <c r="S206" s="991"/>
      <c r="T206" s="991"/>
      <c r="U206" s="991"/>
      <c r="V206" s="991"/>
      <c r="W206" s="991"/>
      <c r="X206" s="991"/>
    </row>
    <row r="207" spans="1:24">
      <c r="A207" s="991"/>
      <c r="B207" s="991"/>
      <c r="C207" s="991"/>
      <c r="D207" s="991"/>
      <c r="E207" s="991"/>
      <c r="F207" s="991"/>
      <c r="G207" s="991"/>
      <c r="H207" s="991"/>
      <c r="I207" s="991"/>
      <c r="J207" s="991"/>
      <c r="K207" s="991"/>
      <c r="L207" s="991"/>
      <c r="M207" s="991"/>
      <c r="N207" s="991"/>
      <c r="O207" s="991"/>
      <c r="P207" s="991"/>
      <c r="Q207" s="991"/>
      <c r="R207" s="991"/>
      <c r="S207" s="991"/>
      <c r="T207" s="991"/>
      <c r="U207" s="991"/>
      <c r="V207" s="991"/>
      <c r="W207" s="991"/>
      <c r="X207" s="991"/>
    </row>
    <row r="208" spans="1:24">
      <c r="A208" s="991"/>
      <c r="B208" s="991"/>
      <c r="C208" s="991"/>
      <c r="D208" s="991"/>
      <c r="E208" s="991"/>
      <c r="F208" s="991"/>
      <c r="G208" s="991"/>
      <c r="H208" s="991"/>
      <c r="I208" s="991"/>
      <c r="J208" s="991"/>
      <c r="K208" s="991"/>
      <c r="L208" s="991"/>
      <c r="M208" s="991"/>
      <c r="N208" s="991"/>
      <c r="O208" s="991"/>
      <c r="P208" s="991"/>
      <c r="Q208" s="991"/>
      <c r="R208" s="991"/>
      <c r="S208" s="991"/>
      <c r="T208" s="991"/>
      <c r="U208" s="991"/>
      <c r="V208" s="991"/>
      <c r="W208" s="991"/>
      <c r="X208" s="991"/>
    </row>
    <row r="209" spans="1:24">
      <c r="A209" s="991"/>
      <c r="B209" s="991"/>
      <c r="C209" s="991"/>
      <c r="D209" s="991"/>
      <c r="E209" s="991"/>
      <c r="F209" s="991"/>
      <c r="G209" s="991"/>
      <c r="H209" s="991"/>
      <c r="I209" s="991"/>
      <c r="J209" s="991"/>
      <c r="K209" s="991"/>
      <c r="L209" s="991"/>
      <c r="M209" s="991"/>
      <c r="N209" s="991"/>
      <c r="O209" s="991"/>
      <c r="P209" s="991"/>
      <c r="Q209" s="991"/>
      <c r="R209" s="991"/>
      <c r="S209" s="991"/>
      <c r="T209" s="991"/>
      <c r="U209" s="991"/>
      <c r="V209" s="991"/>
      <c r="W209" s="991"/>
      <c r="X209" s="991"/>
    </row>
    <row r="210" spans="1:24">
      <c r="A210" s="991"/>
      <c r="B210" s="991"/>
      <c r="C210" s="991"/>
      <c r="D210" s="991"/>
      <c r="E210" s="991"/>
      <c r="F210" s="991"/>
      <c r="G210" s="991"/>
      <c r="H210" s="991"/>
      <c r="I210" s="991"/>
      <c r="J210" s="991"/>
      <c r="K210" s="991"/>
      <c r="L210" s="991"/>
      <c r="M210" s="991"/>
      <c r="N210" s="991"/>
      <c r="O210" s="991"/>
      <c r="P210" s="991"/>
      <c r="Q210" s="991"/>
      <c r="R210" s="991"/>
      <c r="S210" s="991"/>
      <c r="T210" s="991"/>
      <c r="U210" s="991"/>
      <c r="V210" s="991"/>
      <c r="W210" s="991"/>
      <c r="X210" s="991"/>
    </row>
    <row r="211" spans="1:24">
      <c r="A211" s="991"/>
      <c r="B211" s="991"/>
      <c r="C211" s="991"/>
      <c r="D211" s="991"/>
      <c r="E211" s="991"/>
      <c r="F211" s="991"/>
      <c r="G211" s="991"/>
      <c r="H211" s="991"/>
      <c r="I211" s="991"/>
      <c r="J211" s="991"/>
      <c r="K211" s="991"/>
      <c r="L211" s="991"/>
      <c r="M211" s="991"/>
      <c r="N211" s="991"/>
      <c r="O211" s="991"/>
      <c r="P211" s="991"/>
      <c r="Q211" s="991"/>
      <c r="R211" s="991"/>
      <c r="S211" s="991"/>
      <c r="T211" s="991"/>
      <c r="U211" s="991"/>
      <c r="V211" s="991"/>
      <c r="W211" s="991"/>
      <c r="X211" s="991"/>
    </row>
    <row r="212" spans="1:24">
      <c r="A212" s="991"/>
      <c r="B212" s="991"/>
      <c r="C212" s="991"/>
      <c r="D212" s="991"/>
      <c r="E212" s="991"/>
      <c r="F212" s="991"/>
      <c r="G212" s="991"/>
      <c r="H212" s="991"/>
      <c r="I212" s="991"/>
      <c r="J212" s="991"/>
      <c r="K212" s="991"/>
      <c r="L212" s="991"/>
      <c r="M212" s="991"/>
      <c r="N212" s="991"/>
      <c r="O212" s="991"/>
      <c r="P212" s="991"/>
      <c r="Q212" s="991"/>
      <c r="R212" s="991"/>
      <c r="S212" s="991"/>
      <c r="T212" s="991"/>
      <c r="U212" s="991"/>
      <c r="V212" s="991"/>
      <c r="W212" s="991"/>
      <c r="X212" s="991"/>
    </row>
    <row r="213" spans="1:24">
      <c r="A213" s="991"/>
      <c r="B213" s="991"/>
      <c r="C213" s="991"/>
      <c r="D213" s="991"/>
      <c r="E213" s="991"/>
      <c r="F213" s="991"/>
      <c r="G213" s="991"/>
      <c r="H213" s="991"/>
      <c r="I213" s="991"/>
      <c r="J213" s="991"/>
      <c r="K213" s="991"/>
      <c r="L213" s="991"/>
      <c r="M213" s="991"/>
      <c r="N213" s="991"/>
      <c r="O213" s="991"/>
      <c r="P213" s="991"/>
      <c r="Q213" s="991"/>
      <c r="R213" s="991"/>
      <c r="S213" s="991"/>
      <c r="T213" s="991"/>
      <c r="U213" s="991"/>
      <c r="V213" s="991"/>
      <c r="W213" s="991"/>
      <c r="X213" s="991"/>
    </row>
    <row r="214" spans="1:24">
      <c r="A214" s="991"/>
      <c r="B214" s="991"/>
      <c r="C214" s="991"/>
      <c r="D214" s="991"/>
      <c r="E214" s="991"/>
      <c r="F214" s="991"/>
      <c r="G214" s="991"/>
      <c r="H214" s="991"/>
      <c r="I214" s="991"/>
      <c r="J214" s="991"/>
      <c r="K214" s="991"/>
      <c r="L214" s="991"/>
      <c r="M214" s="991"/>
      <c r="N214" s="991"/>
      <c r="O214" s="991"/>
      <c r="P214" s="991"/>
      <c r="Q214" s="991"/>
      <c r="R214" s="991"/>
      <c r="S214" s="991"/>
      <c r="T214" s="991"/>
      <c r="U214" s="991"/>
      <c r="V214" s="991"/>
      <c r="W214" s="991"/>
      <c r="X214" s="991"/>
    </row>
    <row r="215" spans="1:24">
      <c r="A215" s="991"/>
      <c r="B215" s="991"/>
      <c r="C215" s="991"/>
      <c r="D215" s="991"/>
      <c r="E215" s="991"/>
      <c r="F215" s="991"/>
      <c r="G215" s="991"/>
      <c r="H215" s="991"/>
      <c r="I215" s="991"/>
      <c r="J215" s="991"/>
      <c r="K215" s="991"/>
      <c r="L215" s="991"/>
      <c r="M215" s="991"/>
      <c r="N215" s="991"/>
      <c r="O215" s="991"/>
      <c r="P215" s="991"/>
      <c r="Q215" s="991"/>
      <c r="R215" s="991"/>
      <c r="S215" s="991"/>
      <c r="T215" s="991"/>
      <c r="U215" s="991"/>
      <c r="V215" s="991"/>
      <c r="W215" s="991"/>
      <c r="X215" s="991"/>
    </row>
    <row r="216" spans="1:24">
      <c r="A216" s="991"/>
      <c r="B216" s="991"/>
      <c r="C216" s="991"/>
      <c r="D216" s="991"/>
      <c r="E216" s="991"/>
      <c r="F216" s="991"/>
      <c r="G216" s="991"/>
      <c r="H216" s="991"/>
      <c r="I216" s="991"/>
      <c r="J216" s="991"/>
      <c r="K216" s="991"/>
      <c r="L216" s="991"/>
      <c r="M216" s="991"/>
      <c r="N216" s="991"/>
      <c r="O216" s="991"/>
      <c r="P216" s="991"/>
      <c r="Q216" s="991"/>
      <c r="R216" s="991"/>
      <c r="S216" s="991"/>
      <c r="T216" s="991"/>
      <c r="U216" s="991"/>
      <c r="V216" s="991"/>
      <c r="W216" s="991"/>
      <c r="X216" s="991"/>
    </row>
    <row r="217" spans="1:24">
      <c r="A217" s="991"/>
      <c r="B217" s="991"/>
      <c r="C217" s="991"/>
      <c r="D217" s="991"/>
      <c r="E217" s="991"/>
      <c r="F217" s="991"/>
      <c r="G217" s="991"/>
      <c r="H217" s="991"/>
      <c r="I217" s="991"/>
      <c r="J217" s="991"/>
      <c r="K217" s="991"/>
      <c r="L217" s="991"/>
      <c r="M217" s="991"/>
      <c r="N217" s="991"/>
      <c r="O217" s="991"/>
      <c r="P217" s="991"/>
      <c r="Q217" s="991"/>
      <c r="R217" s="991"/>
      <c r="S217" s="991"/>
      <c r="T217" s="991"/>
      <c r="U217" s="991"/>
      <c r="V217" s="991"/>
      <c r="W217" s="991"/>
      <c r="X217" s="991"/>
    </row>
    <row r="218" spans="1:24">
      <c r="A218" s="991"/>
      <c r="B218" s="991"/>
      <c r="C218" s="991"/>
      <c r="D218" s="991"/>
      <c r="E218" s="991"/>
      <c r="F218" s="991"/>
      <c r="G218" s="991"/>
      <c r="H218" s="991"/>
      <c r="I218" s="991"/>
      <c r="J218" s="991"/>
      <c r="K218" s="991"/>
      <c r="L218" s="991"/>
      <c r="M218" s="991"/>
      <c r="N218" s="991"/>
      <c r="O218" s="991"/>
      <c r="P218" s="991"/>
      <c r="Q218" s="991"/>
      <c r="R218" s="991"/>
      <c r="S218" s="991"/>
      <c r="T218" s="991"/>
      <c r="U218" s="991"/>
      <c r="V218" s="991"/>
      <c r="W218" s="991"/>
      <c r="X218" s="991"/>
    </row>
    <row r="219" spans="1:24">
      <c r="A219" s="991"/>
      <c r="B219" s="991"/>
      <c r="C219" s="991"/>
      <c r="D219" s="991"/>
      <c r="E219" s="991"/>
      <c r="F219" s="991"/>
      <c r="G219" s="991"/>
      <c r="H219" s="991"/>
      <c r="I219" s="991"/>
      <c r="J219" s="991"/>
      <c r="K219" s="991"/>
      <c r="L219" s="991"/>
      <c r="M219" s="991"/>
      <c r="N219" s="991"/>
      <c r="O219" s="991"/>
      <c r="P219" s="991"/>
      <c r="Q219" s="991"/>
      <c r="R219" s="991"/>
      <c r="S219" s="991"/>
      <c r="T219" s="991"/>
      <c r="U219" s="991"/>
      <c r="V219" s="991"/>
      <c r="W219" s="991"/>
      <c r="X219" s="991"/>
    </row>
    <row r="220" spans="1:24">
      <c r="A220" s="991"/>
      <c r="B220" s="991"/>
      <c r="C220" s="991"/>
      <c r="D220" s="991"/>
      <c r="E220" s="991"/>
      <c r="F220" s="991"/>
      <c r="G220" s="991"/>
      <c r="H220" s="991"/>
      <c r="I220" s="991"/>
      <c r="J220" s="991"/>
      <c r="K220" s="991"/>
      <c r="L220" s="991"/>
      <c r="M220" s="991"/>
      <c r="N220" s="991"/>
      <c r="O220" s="991"/>
      <c r="P220" s="991"/>
      <c r="Q220" s="991"/>
      <c r="R220" s="991"/>
      <c r="S220" s="991"/>
      <c r="T220" s="991"/>
      <c r="U220" s="991"/>
      <c r="V220" s="991"/>
      <c r="W220" s="991"/>
      <c r="X220" s="991"/>
    </row>
    <row r="221" spans="1:24">
      <c r="A221" s="991"/>
      <c r="B221" s="991"/>
      <c r="C221" s="991"/>
      <c r="D221" s="991"/>
      <c r="E221" s="991"/>
      <c r="F221" s="991"/>
      <c r="G221" s="991"/>
      <c r="H221" s="991"/>
      <c r="I221" s="991"/>
      <c r="J221" s="991"/>
      <c r="K221" s="991"/>
      <c r="L221" s="991"/>
      <c r="M221" s="991"/>
      <c r="N221" s="991"/>
      <c r="O221" s="991"/>
      <c r="P221" s="991"/>
      <c r="Q221" s="991"/>
      <c r="R221" s="991"/>
      <c r="S221" s="991"/>
      <c r="T221" s="991"/>
      <c r="U221" s="991"/>
      <c r="V221" s="991"/>
      <c r="W221" s="991"/>
      <c r="X221" s="991"/>
    </row>
    <row r="222" spans="1:24">
      <c r="A222" s="991"/>
      <c r="B222" s="991"/>
      <c r="C222" s="991"/>
      <c r="D222" s="991"/>
      <c r="E222" s="991"/>
      <c r="F222" s="991"/>
      <c r="G222" s="991"/>
      <c r="H222" s="991"/>
      <c r="I222" s="991"/>
      <c r="J222" s="991"/>
      <c r="K222" s="991"/>
      <c r="L222" s="991"/>
      <c r="M222" s="991"/>
      <c r="N222" s="991"/>
      <c r="O222" s="991"/>
      <c r="P222" s="991"/>
      <c r="Q222" s="991"/>
      <c r="R222" s="991"/>
      <c r="S222" s="991"/>
      <c r="T222" s="991"/>
      <c r="U222" s="991"/>
      <c r="V222" s="991"/>
      <c r="W222" s="991"/>
      <c r="X222" s="991"/>
    </row>
    <row r="223" spans="1:24">
      <c r="A223" s="991"/>
      <c r="B223" s="991"/>
      <c r="C223" s="991"/>
      <c r="D223" s="991"/>
      <c r="E223" s="991"/>
      <c r="F223" s="991"/>
      <c r="G223" s="991"/>
      <c r="H223" s="991"/>
      <c r="I223" s="991"/>
      <c r="J223" s="991"/>
      <c r="K223" s="991"/>
      <c r="L223" s="991"/>
      <c r="M223" s="991"/>
      <c r="N223" s="991"/>
      <c r="O223" s="991"/>
      <c r="P223" s="991"/>
      <c r="Q223" s="991"/>
      <c r="R223" s="991"/>
      <c r="S223" s="991"/>
      <c r="T223" s="991"/>
      <c r="U223" s="991"/>
      <c r="V223" s="991"/>
      <c r="W223" s="991"/>
      <c r="X223" s="991"/>
    </row>
    <row r="224" spans="1:24">
      <c r="A224" s="991"/>
      <c r="B224" s="991"/>
      <c r="C224" s="991"/>
      <c r="D224" s="991"/>
      <c r="E224" s="991"/>
      <c r="F224" s="991"/>
      <c r="G224" s="991"/>
      <c r="H224" s="991"/>
      <c r="I224" s="991"/>
      <c r="J224" s="991"/>
      <c r="K224" s="991"/>
      <c r="L224" s="991"/>
      <c r="M224" s="991"/>
      <c r="N224" s="991"/>
      <c r="O224" s="991"/>
      <c r="P224" s="991"/>
      <c r="Q224" s="991"/>
      <c r="R224" s="991"/>
      <c r="S224" s="991"/>
      <c r="T224" s="991"/>
      <c r="U224" s="991"/>
      <c r="V224" s="991"/>
      <c r="W224" s="991"/>
      <c r="X224" s="991"/>
    </row>
    <row r="225" spans="1:24">
      <c r="A225" s="991"/>
      <c r="B225" s="991"/>
      <c r="C225" s="991"/>
      <c r="D225" s="991"/>
      <c r="E225" s="991"/>
      <c r="F225" s="991"/>
      <c r="G225" s="991"/>
      <c r="H225" s="991"/>
      <c r="I225" s="991"/>
      <c r="J225" s="991"/>
      <c r="K225" s="991"/>
      <c r="L225" s="991"/>
      <c r="M225" s="991"/>
      <c r="N225" s="991"/>
      <c r="O225" s="991"/>
      <c r="P225" s="991"/>
      <c r="Q225" s="991"/>
      <c r="R225" s="991"/>
      <c r="S225" s="991"/>
      <c r="T225" s="991"/>
      <c r="U225" s="991"/>
      <c r="V225" s="991"/>
      <c r="W225" s="991"/>
      <c r="X225" s="991"/>
    </row>
    <row r="226" spans="1:24">
      <c r="A226" s="991"/>
      <c r="B226" s="991"/>
      <c r="C226" s="991"/>
      <c r="D226" s="991"/>
      <c r="E226" s="991"/>
      <c r="F226" s="991"/>
      <c r="G226" s="991"/>
      <c r="H226" s="991"/>
      <c r="I226" s="991"/>
      <c r="J226" s="991"/>
      <c r="K226" s="991"/>
      <c r="L226" s="991"/>
      <c r="M226" s="991"/>
      <c r="N226" s="991"/>
      <c r="O226" s="991"/>
      <c r="P226" s="991"/>
      <c r="Q226" s="991"/>
      <c r="R226" s="991"/>
      <c r="S226" s="991"/>
      <c r="T226" s="991"/>
      <c r="U226" s="991"/>
      <c r="V226" s="991"/>
      <c r="W226" s="991"/>
      <c r="X226" s="991"/>
    </row>
    <row r="227" spans="1:24">
      <c r="A227" s="991"/>
      <c r="B227" s="991"/>
      <c r="C227" s="991"/>
      <c r="D227" s="991"/>
      <c r="E227" s="991"/>
      <c r="F227" s="991"/>
      <c r="G227" s="991"/>
      <c r="H227" s="991"/>
      <c r="I227" s="991"/>
      <c r="J227" s="991"/>
      <c r="K227" s="991"/>
      <c r="L227" s="991"/>
      <c r="M227" s="991"/>
      <c r="N227" s="991"/>
      <c r="O227" s="991"/>
      <c r="P227" s="991"/>
      <c r="Q227" s="991"/>
      <c r="R227" s="991"/>
      <c r="S227" s="991"/>
      <c r="T227" s="991"/>
      <c r="U227" s="991"/>
      <c r="V227" s="991"/>
      <c r="W227" s="991"/>
      <c r="X227" s="991"/>
    </row>
    <row r="228" spans="1:24">
      <c r="A228" s="991"/>
      <c r="B228" s="991"/>
      <c r="C228" s="991"/>
      <c r="D228" s="991"/>
      <c r="E228" s="991"/>
      <c r="F228" s="991"/>
      <c r="G228" s="991"/>
      <c r="H228" s="991"/>
      <c r="I228" s="991"/>
      <c r="J228" s="991"/>
      <c r="K228" s="991"/>
      <c r="L228" s="991"/>
      <c r="M228" s="991"/>
      <c r="N228" s="991"/>
      <c r="O228" s="991"/>
      <c r="P228" s="991"/>
      <c r="Q228" s="991"/>
      <c r="R228" s="991"/>
      <c r="S228" s="991"/>
      <c r="T228" s="991"/>
      <c r="U228" s="991"/>
      <c r="V228" s="991"/>
      <c r="W228" s="991"/>
      <c r="X228" s="991"/>
    </row>
    <row r="229" spans="1:24">
      <c r="A229" s="991"/>
      <c r="B229" s="991"/>
      <c r="C229" s="991"/>
      <c r="D229" s="991"/>
      <c r="E229" s="991"/>
      <c r="F229" s="991"/>
      <c r="G229" s="991"/>
      <c r="H229" s="991"/>
      <c r="I229" s="991"/>
      <c r="J229" s="991"/>
      <c r="K229" s="991"/>
      <c r="L229" s="991"/>
      <c r="M229" s="991"/>
      <c r="N229" s="991"/>
      <c r="O229" s="991"/>
      <c r="P229" s="991"/>
      <c r="Q229" s="991"/>
      <c r="R229" s="991"/>
      <c r="S229" s="991"/>
      <c r="T229" s="991"/>
      <c r="U229" s="991"/>
      <c r="V229" s="991"/>
      <c r="W229" s="991"/>
      <c r="X229" s="991"/>
    </row>
    <row r="230" spans="1:24">
      <c r="A230" s="991"/>
      <c r="B230" s="991"/>
      <c r="C230" s="991"/>
      <c r="D230" s="991"/>
      <c r="E230" s="991"/>
      <c r="F230" s="991"/>
      <c r="G230" s="991"/>
      <c r="H230" s="991"/>
      <c r="I230" s="991"/>
      <c r="J230" s="991"/>
      <c r="K230" s="991"/>
      <c r="L230" s="991"/>
      <c r="M230" s="991"/>
      <c r="N230" s="991"/>
      <c r="O230" s="991"/>
      <c r="P230" s="991"/>
      <c r="Q230" s="991"/>
      <c r="R230" s="991"/>
      <c r="S230" s="991"/>
      <c r="T230" s="991"/>
      <c r="U230" s="991"/>
      <c r="V230" s="991"/>
      <c r="W230" s="991"/>
      <c r="X230" s="991"/>
    </row>
    <row r="231" spans="1:24">
      <c r="A231" s="1108"/>
      <c r="B231" s="1108"/>
      <c r="C231" s="991"/>
      <c r="D231" s="991"/>
      <c r="E231" s="991"/>
      <c r="F231" s="991"/>
      <c r="G231" s="991"/>
      <c r="H231" s="991"/>
      <c r="I231" s="991"/>
      <c r="J231" s="991"/>
      <c r="K231" s="991"/>
      <c r="L231" s="991"/>
      <c r="M231" s="991"/>
      <c r="N231" s="991"/>
      <c r="O231" s="991"/>
      <c r="P231" s="991"/>
      <c r="Q231" s="991"/>
      <c r="R231" s="991"/>
      <c r="S231" s="991"/>
      <c r="T231" s="991"/>
      <c r="U231" s="991"/>
      <c r="V231" s="991"/>
      <c r="W231" s="991"/>
      <c r="X231" s="991"/>
    </row>
    <row r="232" spans="1:24">
      <c r="A232" s="991"/>
      <c r="B232" s="991"/>
      <c r="C232" s="991"/>
      <c r="D232" s="991"/>
      <c r="E232" s="991"/>
      <c r="F232" s="991"/>
      <c r="G232" s="991"/>
      <c r="H232" s="991"/>
      <c r="I232" s="991"/>
      <c r="J232" s="991"/>
      <c r="K232" s="991"/>
      <c r="L232" s="991"/>
      <c r="M232" s="991"/>
      <c r="N232" s="991"/>
      <c r="O232" s="991"/>
      <c r="P232" s="991"/>
      <c r="Q232" s="991"/>
      <c r="R232" s="991"/>
      <c r="S232" s="991"/>
      <c r="T232" s="991"/>
      <c r="U232" s="991"/>
      <c r="V232" s="991"/>
      <c r="W232" s="991"/>
      <c r="X232" s="991"/>
    </row>
    <row r="233" spans="1:24">
      <c r="A233" s="991"/>
      <c r="B233" s="991"/>
      <c r="C233" s="991"/>
      <c r="D233" s="991"/>
      <c r="E233" s="991"/>
      <c r="F233" s="991"/>
      <c r="G233" s="991"/>
      <c r="H233" s="991"/>
      <c r="I233" s="991"/>
      <c r="J233" s="991"/>
      <c r="K233" s="991"/>
      <c r="L233" s="991"/>
      <c r="M233" s="991"/>
      <c r="N233" s="991"/>
      <c r="O233" s="991"/>
      <c r="P233" s="991"/>
      <c r="Q233" s="991"/>
      <c r="R233" s="991"/>
      <c r="S233" s="991"/>
      <c r="T233" s="991"/>
      <c r="U233" s="991"/>
      <c r="V233" s="991"/>
      <c r="W233" s="991"/>
      <c r="X233" s="991"/>
    </row>
    <row r="234" spans="1:24">
      <c r="A234" s="991"/>
      <c r="B234" s="991"/>
      <c r="C234" s="991"/>
      <c r="D234" s="991"/>
      <c r="E234" s="991"/>
      <c r="F234" s="991"/>
      <c r="G234" s="991"/>
      <c r="H234" s="991"/>
      <c r="I234" s="991"/>
      <c r="J234" s="991"/>
      <c r="K234" s="991"/>
      <c r="L234" s="991"/>
      <c r="M234" s="991"/>
      <c r="N234" s="991"/>
      <c r="O234" s="991"/>
      <c r="P234" s="991"/>
      <c r="Q234" s="991"/>
      <c r="R234" s="991"/>
      <c r="S234" s="991"/>
      <c r="T234" s="991"/>
      <c r="U234" s="991"/>
      <c r="V234" s="991"/>
      <c r="W234" s="991"/>
      <c r="X234" s="991"/>
    </row>
    <row r="235" spans="1:24">
      <c r="A235" s="991"/>
      <c r="B235" s="991"/>
      <c r="C235" s="991"/>
      <c r="D235" s="991"/>
      <c r="E235" s="991"/>
      <c r="F235" s="991"/>
      <c r="G235" s="991"/>
      <c r="H235" s="991"/>
      <c r="I235" s="991"/>
      <c r="J235" s="991"/>
      <c r="K235" s="991"/>
      <c r="L235" s="991"/>
      <c r="M235" s="991"/>
      <c r="N235" s="991"/>
      <c r="O235" s="991"/>
      <c r="P235" s="991"/>
      <c r="Q235" s="991"/>
      <c r="R235" s="991"/>
      <c r="S235" s="991"/>
      <c r="T235" s="991"/>
      <c r="U235" s="991"/>
      <c r="V235" s="991"/>
      <c r="W235" s="991"/>
      <c r="X235" s="991"/>
    </row>
    <row r="236" spans="1:24">
      <c r="A236" s="991"/>
      <c r="B236" s="991"/>
      <c r="C236" s="991"/>
      <c r="D236" s="991"/>
      <c r="E236" s="991"/>
      <c r="F236" s="991"/>
      <c r="G236" s="991"/>
      <c r="H236" s="991"/>
      <c r="I236" s="991"/>
      <c r="J236" s="991"/>
      <c r="K236" s="991"/>
      <c r="L236" s="991"/>
      <c r="M236" s="991"/>
      <c r="N236" s="991"/>
      <c r="O236" s="991"/>
      <c r="P236" s="991"/>
      <c r="Q236" s="991"/>
      <c r="R236" s="991"/>
      <c r="S236" s="991"/>
      <c r="T236" s="991"/>
      <c r="U236" s="991"/>
      <c r="V236" s="991"/>
      <c r="W236" s="991"/>
      <c r="X236" s="991"/>
    </row>
    <row r="237" spans="1:24">
      <c r="A237" s="991"/>
      <c r="B237" s="991"/>
      <c r="C237" s="991"/>
      <c r="D237" s="991"/>
      <c r="E237" s="991"/>
      <c r="F237" s="991"/>
      <c r="G237" s="991"/>
      <c r="H237" s="991"/>
      <c r="I237" s="991"/>
      <c r="J237" s="991"/>
      <c r="K237" s="991"/>
      <c r="L237" s="991"/>
      <c r="M237" s="991"/>
      <c r="N237" s="991"/>
      <c r="O237" s="991"/>
      <c r="P237" s="991"/>
      <c r="Q237" s="991"/>
      <c r="R237" s="991"/>
      <c r="S237" s="991"/>
      <c r="T237" s="991"/>
      <c r="U237" s="991"/>
      <c r="V237" s="991"/>
      <c r="W237" s="991"/>
      <c r="X237" s="991"/>
    </row>
    <row r="238" spans="1:24">
      <c r="A238" s="991"/>
      <c r="B238" s="991"/>
      <c r="C238" s="991"/>
      <c r="D238" s="991"/>
      <c r="E238" s="991"/>
      <c r="F238" s="991"/>
      <c r="G238" s="991"/>
      <c r="H238" s="991"/>
      <c r="I238" s="991"/>
      <c r="J238" s="991"/>
      <c r="K238" s="991"/>
      <c r="L238" s="991"/>
      <c r="M238" s="991"/>
      <c r="N238" s="991"/>
      <c r="O238" s="991"/>
      <c r="P238" s="991"/>
      <c r="Q238" s="991"/>
      <c r="R238" s="991"/>
      <c r="S238" s="991"/>
      <c r="T238" s="991"/>
      <c r="U238" s="991"/>
      <c r="V238" s="991"/>
      <c r="W238" s="991"/>
      <c r="X238" s="991"/>
    </row>
    <row r="239" spans="1:24">
      <c r="A239" s="991"/>
      <c r="B239" s="991"/>
      <c r="C239" s="991"/>
      <c r="D239" s="991"/>
      <c r="E239" s="991"/>
      <c r="F239" s="991"/>
      <c r="G239" s="991"/>
      <c r="H239" s="991"/>
      <c r="I239" s="991"/>
      <c r="J239" s="991"/>
      <c r="K239" s="991"/>
      <c r="L239" s="991"/>
      <c r="M239" s="991"/>
      <c r="N239" s="991"/>
      <c r="O239" s="991"/>
      <c r="P239" s="991"/>
      <c r="Q239" s="991"/>
      <c r="R239" s="991"/>
      <c r="S239" s="991"/>
      <c r="T239" s="991"/>
      <c r="U239" s="991"/>
      <c r="V239" s="991"/>
      <c r="W239" s="991"/>
      <c r="X239" s="991"/>
    </row>
    <row r="240" spans="1:24">
      <c r="A240" s="991"/>
      <c r="B240" s="991"/>
      <c r="C240" s="991"/>
      <c r="D240" s="991"/>
      <c r="E240" s="991"/>
      <c r="F240" s="991"/>
      <c r="G240" s="991"/>
      <c r="H240" s="991"/>
      <c r="I240" s="991"/>
      <c r="J240" s="991"/>
      <c r="K240" s="991"/>
      <c r="L240" s="991"/>
      <c r="M240" s="991"/>
      <c r="N240" s="991"/>
      <c r="O240" s="991"/>
      <c r="P240" s="991"/>
      <c r="Q240" s="991"/>
      <c r="R240" s="991"/>
      <c r="S240" s="991"/>
      <c r="T240" s="991"/>
      <c r="U240" s="991"/>
      <c r="V240" s="991"/>
      <c r="W240" s="991"/>
      <c r="X240" s="991"/>
    </row>
    <row r="241" spans="1:24">
      <c r="A241" s="991"/>
      <c r="B241" s="991"/>
      <c r="C241" s="991"/>
      <c r="D241" s="991"/>
      <c r="E241" s="991"/>
      <c r="F241" s="991"/>
      <c r="G241" s="991"/>
      <c r="H241" s="991"/>
      <c r="I241" s="991"/>
      <c r="J241" s="991"/>
      <c r="K241" s="991"/>
      <c r="L241" s="991"/>
      <c r="M241" s="991"/>
      <c r="N241" s="991"/>
      <c r="O241" s="991"/>
      <c r="P241" s="991"/>
      <c r="Q241" s="991"/>
      <c r="R241" s="991"/>
      <c r="S241" s="991"/>
      <c r="T241" s="991"/>
      <c r="U241" s="991"/>
      <c r="V241" s="991"/>
      <c r="W241" s="991"/>
      <c r="X241" s="991"/>
    </row>
    <row r="242" spans="1:24">
      <c r="A242" s="991"/>
      <c r="B242" s="991"/>
      <c r="C242" s="991"/>
      <c r="D242" s="991"/>
      <c r="E242" s="991"/>
      <c r="F242" s="991"/>
      <c r="G242" s="991"/>
      <c r="H242" s="991"/>
      <c r="I242" s="991"/>
      <c r="J242" s="991"/>
      <c r="K242" s="991"/>
      <c r="L242" s="991"/>
      <c r="M242" s="991"/>
      <c r="N242" s="991"/>
      <c r="O242" s="991"/>
      <c r="P242" s="991"/>
      <c r="Q242" s="991"/>
      <c r="R242" s="991"/>
      <c r="S242" s="991"/>
      <c r="T242" s="991"/>
      <c r="U242" s="991"/>
      <c r="V242" s="991"/>
      <c r="W242" s="991"/>
      <c r="X242" s="991"/>
    </row>
    <row r="243" spans="1:24">
      <c r="A243" s="991"/>
      <c r="B243" s="991"/>
      <c r="C243" s="991"/>
      <c r="D243" s="991"/>
      <c r="E243" s="991"/>
      <c r="F243" s="991"/>
      <c r="G243" s="991"/>
      <c r="H243" s="991"/>
      <c r="I243" s="991"/>
      <c r="J243" s="991"/>
      <c r="K243" s="991"/>
      <c r="L243" s="991"/>
      <c r="M243" s="991"/>
      <c r="N243" s="991"/>
      <c r="O243" s="991"/>
      <c r="P243" s="991"/>
      <c r="Q243" s="991"/>
      <c r="R243" s="991"/>
      <c r="S243" s="991"/>
      <c r="T243" s="991"/>
      <c r="U243" s="991"/>
      <c r="V243" s="991"/>
      <c r="W243" s="991"/>
      <c r="X243" s="991"/>
    </row>
    <row r="244" spans="1:24">
      <c r="A244" s="991"/>
      <c r="B244" s="991"/>
      <c r="C244" s="991"/>
      <c r="D244" s="991"/>
      <c r="E244" s="991"/>
      <c r="F244" s="991"/>
      <c r="G244" s="991"/>
      <c r="H244" s="991"/>
      <c r="I244" s="991"/>
      <c r="J244" s="991"/>
      <c r="K244" s="991"/>
      <c r="L244" s="991"/>
      <c r="M244" s="991"/>
      <c r="N244" s="991"/>
      <c r="O244" s="991"/>
      <c r="P244" s="991"/>
      <c r="Q244" s="991"/>
      <c r="R244" s="991"/>
      <c r="S244" s="991"/>
      <c r="T244" s="991"/>
      <c r="U244" s="991"/>
      <c r="V244" s="991"/>
      <c r="W244" s="991"/>
      <c r="X244" s="991"/>
    </row>
    <row r="245" spans="1:24">
      <c r="A245" s="991"/>
      <c r="B245" s="991"/>
      <c r="C245" s="991"/>
      <c r="D245" s="991"/>
      <c r="E245" s="991"/>
      <c r="F245" s="991"/>
      <c r="G245" s="991"/>
      <c r="H245" s="991"/>
      <c r="I245" s="991"/>
      <c r="J245" s="991"/>
      <c r="K245" s="991"/>
      <c r="L245" s="991"/>
      <c r="M245" s="991"/>
      <c r="N245" s="991"/>
      <c r="O245" s="991"/>
      <c r="P245" s="991"/>
      <c r="Q245" s="991"/>
      <c r="R245" s="991"/>
      <c r="S245" s="991"/>
      <c r="T245" s="991"/>
      <c r="U245" s="991"/>
      <c r="V245" s="991"/>
      <c r="W245" s="991"/>
      <c r="X245" s="991"/>
    </row>
    <row r="246" spans="1:24">
      <c r="A246" s="991"/>
      <c r="B246" s="991"/>
      <c r="C246" s="991"/>
      <c r="D246" s="991"/>
      <c r="E246" s="991"/>
      <c r="F246" s="991"/>
      <c r="G246" s="991"/>
      <c r="H246" s="991"/>
      <c r="I246" s="991"/>
      <c r="J246" s="991"/>
      <c r="K246" s="991"/>
      <c r="L246" s="991"/>
      <c r="M246" s="991"/>
      <c r="N246" s="991"/>
      <c r="O246" s="991"/>
      <c r="P246" s="991"/>
      <c r="Q246" s="991"/>
      <c r="R246" s="991"/>
      <c r="S246" s="991"/>
      <c r="T246" s="991"/>
      <c r="U246" s="991"/>
      <c r="V246" s="991"/>
      <c r="W246" s="991"/>
      <c r="X246" s="991"/>
    </row>
    <row r="247" spans="1:24">
      <c r="A247" s="991"/>
      <c r="B247" s="991"/>
      <c r="C247" s="991"/>
      <c r="D247" s="991"/>
      <c r="E247" s="991"/>
      <c r="F247" s="991"/>
      <c r="G247" s="991"/>
      <c r="H247" s="991"/>
      <c r="I247" s="991"/>
      <c r="J247" s="991"/>
      <c r="K247" s="991"/>
      <c r="L247" s="991"/>
      <c r="M247" s="991"/>
      <c r="N247" s="991"/>
      <c r="O247" s="991"/>
      <c r="P247" s="991"/>
      <c r="Q247" s="991"/>
      <c r="R247" s="991"/>
      <c r="S247" s="991"/>
      <c r="T247" s="991"/>
      <c r="U247" s="991"/>
      <c r="V247" s="991"/>
      <c r="W247" s="991"/>
      <c r="X247" s="991"/>
    </row>
    <row r="248" spans="1:24">
      <c r="A248" s="991"/>
      <c r="B248" s="991"/>
      <c r="C248" s="991"/>
      <c r="D248" s="991"/>
      <c r="E248" s="991"/>
      <c r="F248" s="991"/>
      <c r="G248" s="991"/>
      <c r="H248" s="991"/>
      <c r="I248" s="991"/>
      <c r="J248" s="991"/>
      <c r="K248" s="991"/>
      <c r="L248" s="991"/>
      <c r="M248" s="991"/>
      <c r="N248" s="991"/>
      <c r="O248" s="991"/>
      <c r="P248" s="991"/>
      <c r="Q248" s="991"/>
      <c r="R248" s="991"/>
      <c r="S248" s="991"/>
      <c r="T248" s="991"/>
      <c r="U248" s="991"/>
      <c r="V248" s="991"/>
      <c r="W248" s="991"/>
      <c r="X248" s="991"/>
    </row>
    <row r="249" spans="1:24">
      <c r="A249" s="991"/>
      <c r="B249" s="991"/>
      <c r="C249" s="991"/>
      <c r="D249" s="991"/>
      <c r="E249" s="991"/>
      <c r="F249" s="991"/>
      <c r="G249" s="991"/>
      <c r="H249" s="991"/>
      <c r="I249" s="991"/>
      <c r="J249" s="991"/>
      <c r="K249" s="991"/>
      <c r="L249" s="991"/>
      <c r="M249" s="991"/>
      <c r="N249" s="991"/>
      <c r="O249" s="991"/>
      <c r="P249" s="991"/>
      <c r="Q249" s="991"/>
      <c r="R249" s="991"/>
      <c r="S249" s="991"/>
      <c r="T249" s="991"/>
      <c r="U249" s="991"/>
      <c r="V249" s="991"/>
      <c r="W249" s="991"/>
      <c r="X249" s="991"/>
    </row>
    <row r="250" spans="1:24">
      <c r="A250" s="991"/>
      <c r="B250" s="991"/>
      <c r="C250" s="991"/>
      <c r="D250" s="991"/>
      <c r="E250" s="991"/>
      <c r="F250" s="991"/>
      <c r="G250" s="991"/>
      <c r="H250" s="991"/>
      <c r="I250" s="991"/>
      <c r="J250" s="991"/>
      <c r="K250" s="991"/>
      <c r="L250" s="991"/>
      <c r="M250" s="991"/>
      <c r="N250" s="991"/>
      <c r="O250" s="991"/>
      <c r="P250" s="991"/>
      <c r="Q250" s="991"/>
      <c r="R250" s="991"/>
      <c r="S250" s="991"/>
      <c r="T250" s="991"/>
      <c r="U250" s="991"/>
      <c r="V250" s="991"/>
      <c r="W250" s="991"/>
      <c r="X250" s="991"/>
    </row>
    <row r="251" spans="1:24">
      <c r="A251" s="991"/>
      <c r="B251" s="991"/>
      <c r="C251" s="991"/>
      <c r="D251" s="991"/>
      <c r="E251" s="991"/>
      <c r="F251" s="991"/>
      <c r="G251" s="991"/>
      <c r="H251" s="991"/>
      <c r="I251" s="991"/>
      <c r="J251" s="991"/>
      <c r="K251" s="991"/>
      <c r="L251" s="991"/>
      <c r="M251" s="991"/>
      <c r="N251" s="991"/>
      <c r="O251" s="991"/>
      <c r="P251" s="991"/>
      <c r="Q251" s="991"/>
      <c r="R251" s="991"/>
      <c r="S251" s="991"/>
      <c r="T251" s="991"/>
      <c r="U251" s="991"/>
      <c r="V251" s="991"/>
      <c r="W251" s="991"/>
      <c r="X251" s="991"/>
    </row>
    <row r="252" spans="1:24">
      <c r="A252" s="991"/>
      <c r="B252" s="991"/>
      <c r="C252" s="991"/>
      <c r="D252" s="991"/>
      <c r="E252" s="991"/>
      <c r="F252" s="991"/>
      <c r="G252" s="991"/>
      <c r="H252" s="991"/>
      <c r="I252" s="991"/>
      <c r="J252" s="991"/>
      <c r="K252" s="991"/>
      <c r="L252" s="991"/>
      <c r="M252" s="991"/>
      <c r="N252" s="991"/>
      <c r="O252" s="991"/>
      <c r="P252" s="991"/>
      <c r="Q252" s="991"/>
      <c r="R252" s="991"/>
      <c r="S252" s="991"/>
      <c r="T252" s="991"/>
      <c r="U252" s="991"/>
      <c r="V252" s="991"/>
      <c r="W252" s="991"/>
      <c r="X252" s="991"/>
    </row>
    <row r="253" spans="1:24">
      <c r="A253" s="991"/>
      <c r="B253" s="991"/>
      <c r="C253" s="991"/>
      <c r="D253" s="991"/>
      <c r="E253" s="991"/>
      <c r="F253" s="991"/>
      <c r="G253" s="991"/>
      <c r="H253" s="991"/>
      <c r="I253" s="991"/>
      <c r="J253" s="991"/>
      <c r="K253" s="991"/>
      <c r="L253" s="991"/>
      <c r="M253" s="991"/>
      <c r="N253" s="991"/>
      <c r="O253" s="991"/>
      <c r="P253" s="991"/>
      <c r="Q253" s="991"/>
      <c r="R253" s="991"/>
      <c r="S253" s="991"/>
      <c r="T253" s="991"/>
      <c r="U253" s="991"/>
      <c r="V253" s="991"/>
      <c r="W253" s="991"/>
      <c r="X253" s="991"/>
    </row>
    <row r="254" spans="1:24">
      <c r="A254" s="991"/>
      <c r="B254" s="991"/>
      <c r="C254" s="991"/>
      <c r="D254" s="991"/>
      <c r="E254" s="991"/>
      <c r="F254" s="991"/>
      <c r="G254" s="991"/>
      <c r="H254" s="991"/>
      <c r="I254" s="991"/>
      <c r="J254" s="991"/>
      <c r="K254" s="991"/>
      <c r="L254" s="991"/>
      <c r="M254" s="991"/>
      <c r="N254" s="991"/>
      <c r="O254" s="991"/>
      <c r="P254" s="991"/>
      <c r="Q254" s="991"/>
      <c r="R254" s="991"/>
      <c r="S254" s="991"/>
      <c r="T254" s="991"/>
      <c r="U254" s="991"/>
      <c r="V254" s="991"/>
      <c r="W254" s="991"/>
      <c r="X254" s="991"/>
    </row>
    <row r="255" spans="1:24">
      <c r="A255" s="991"/>
      <c r="B255" s="991"/>
      <c r="C255" s="991"/>
      <c r="D255" s="991"/>
      <c r="E255" s="991"/>
      <c r="F255" s="991"/>
      <c r="G255" s="991"/>
      <c r="H255" s="991"/>
      <c r="I255" s="991"/>
      <c r="J255" s="991"/>
      <c r="K255" s="991"/>
      <c r="L255" s="991"/>
      <c r="M255" s="991"/>
      <c r="N255" s="991"/>
      <c r="O255" s="991"/>
      <c r="P255" s="991"/>
      <c r="Q255" s="991"/>
      <c r="R255" s="991"/>
      <c r="S255" s="991"/>
      <c r="T255" s="991"/>
      <c r="U255" s="991"/>
      <c r="V255" s="991"/>
      <c r="W255" s="991"/>
      <c r="X255" s="991"/>
    </row>
    <row r="256" spans="1:24">
      <c r="A256" s="991"/>
      <c r="B256" s="991"/>
      <c r="C256" s="991"/>
      <c r="D256" s="991"/>
      <c r="E256" s="991"/>
      <c r="F256" s="991"/>
      <c r="G256" s="991"/>
      <c r="H256" s="991"/>
      <c r="I256" s="991"/>
      <c r="J256" s="991"/>
      <c r="K256" s="991"/>
      <c r="L256" s="991"/>
      <c r="M256" s="991"/>
      <c r="N256" s="991"/>
      <c r="O256" s="991"/>
      <c r="P256" s="991"/>
      <c r="Q256" s="991"/>
      <c r="R256" s="991"/>
      <c r="S256" s="991"/>
      <c r="T256" s="991"/>
      <c r="U256" s="991"/>
      <c r="V256" s="991"/>
      <c r="W256" s="991"/>
      <c r="X256" s="991"/>
    </row>
    <row r="257" spans="1:24">
      <c r="A257" s="991"/>
      <c r="B257" s="991"/>
      <c r="C257" s="991"/>
      <c r="D257" s="991"/>
      <c r="E257" s="991"/>
      <c r="F257" s="991"/>
      <c r="G257" s="991"/>
      <c r="H257" s="991"/>
      <c r="I257" s="991"/>
      <c r="J257" s="991"/>
      <c r="K257" s="991"/>
      <c r="L257" s="991"/>
      <c r="M257" s="991"/>
      <c r="N257" s="991"/>
      <c r="O257" s="991"/>
      <c r="P257" s="991"/>
      <c r="Q257" s="991"/>
      <c r="R257" s="991"/>
      <c r="S257" s="991"/>
      <c r="T257" s="991"/>
      <c r="U257" s="991"/>
      <c r="V257" s="991"/>
      <c r="W257" s="991"/>
      <c r="X257" s="991"/>
    </row>
    <row r="258" spans="1:24">
      <c r="A258" s="991"/>
      <c r="B258" s="991"/>
      <c r="C258" s="991"/>
      <c r="D258" s="991"/>
      <c r="E258" s="991"/>
      <c r="F258" s="991"/>
      <c r="G258" s="991"/>
      <c r="H258" s="991"/>
      <c r="I258" s="991"/>
      <c r="J258" s="991"/>
      <c r="K258" s="991"/>
      <c r="L258" s="991"/>
      <c r="M258" s="991"/>
      <c r="N258" s="991"/>
      <c r="O258" s="991"/>
      <c r="P258" s="991"/>
      <c r="Q258" s="991"/>
      <c r="R258" s="991"/>
      <c r="S258" s="991"/>
      <c r="T258" s="991"/>
      <c r="U258" s="991"/>
      <c r="V258" s="991"/>
      <c r="W258" s="991"/>
      <c r="X258" s="991"/>
    </row>
    <row r="259" spans="1:24">
      <c r="A259" s="991"/>
      <c r="B259" s="991"/>
      <c r="C259" s="991"/>
      <c r="D259" s="991"/>
      <c r="E259" s="991"/>
      <c r="F259" s="991"/>
      <c r="G259" s="991"/>
      <c r="H259" s="991"/>
      <c r="I259" s="991"/>
      <c r="J259" s="991"/>
      <c r="K259" s="991"/>
      <c r="L259" s="991"/>
      <c r="M259" s="991"/>
      <c r="N259" s="991"/>
      <c r="O259" s="991"/>
      <c r="P259" s="991"/>
      <c r="Q259" s="991"/>
      <c r="R259" s="991"/>
      <c r="S259" s="991"/>
      <c r="T259" s="991"/>
      <c r="U259" s="991"/>
      <c r="V259" s="991"/>
      <c r="W259" s="991"/>
      <c r="X259" s="991"/>
    </row>
    <row r="260" spans="1:24">
      <c r="A260" s="991"/>
      <c r="B260" s="991"/>
      <c r="C260" s="991"/>
      <c r="D260" s="991"/>
      <c r="E260" s="991"/>
      <c r="F260" s="991"/>
      <c r="G260" s="991"/>
      <c r="H260" s="991"/>
      <c r="I260" s="991"/>
      <c r="J260" s="991"/>
      <c r="K260" s="991"/>
      <c r="L260" s="991"/>
      <c r="M260" s="991"/>
      <c r="N260" s="991"/>
      <c r="O260" s="991"/>
      <c r="P260" s="991"/>
      <c r="Q260" s="991"/>
      <c r="R260" s="991"/>
      <c r="S260" s="991"/>
      <c r="T260" s="991"/>
      <c r="U260" s="991"/>
      <c r="V260" s="991"/>
      <c r="W260" s="991"/>
      <c r="X260" s="991"/>
    </row>
    <row r="261" spans="1:24">
      <c r="A261" s="991"/>
      <c r="B261" s="991"/>
      <c r="C261" s="991"/>
      <c r="D261" s="991"/>
      <c r="E261" s="991"/>
      <c r="F261" s="991"/>
      <c r="G261" s="991"/>
      <c r="H261" s="991"/>
      <c r="I261" s="991"/>
      <c r="J261" s="991"/>
      <c r="K261" s="991"/>
      <c r="L261" s="991"/>
      <c r="M261" s="991"/>
      <c r="N261" s="991"/>
      <c r="O261" s="991"/>
      <c r="P261" s="991"/>
      <c r="Q261" s="991"/>
      <c r="R261" s="991"/>
      <c r="S261" s="991"/>
      <c r="T261" s="991"/>
      <c r="U261" s="991"/>
      <c r="V261" s="991"/>
      <c r="W261" s="991"/>
      <c r="X261" s="991"/>
    </row>
    <row r="262" spans="1:24">
      <c r="A262" s="991"/>
      <c r="B262" s="991"/>
      <c r="C262" s="991"/>
      <c r="D262" s="991"/>
      <c r="E262" s="991"/>
      <c r="F262" s="991"/>
      <c r="G262" s="991"/>
      <c r="H262" s="991"/>
      <c r="I262" s="991"/>
      <c r="J262" s="991"/>
      <c r="K262" s="991"/>
      <c r="L262" s="991"/>
      <c r="M262" s="991"/>
      <c r="N262" s="991"/>
      <c r="O262" s="991"/>
      <c r="P262" s="991"/>
      <c r="Q262" s="991"/>
      <c r="R262" s="991"/>
      <c r="S262" s="991"/>
      <c r="T262" s="991"/>
      <c r="U262" s="991"/>
      <c r="V262" s="991"/>
      <c r="W262" s="991"/>
      <c r="X262" s="991"/>
    </row>
    <row r="263" spans="1:24">
      <c r="A263" s="991"/>
      <c r="B263" s="991"/>
      <c r="C263" s="991"/>
      <c r="D263" s="991"/>
      <c r="E263" s="991"/>
      <c r="F263" s="991"/>
      <c r="G263" s="991"/>
      <c r="H263" s="991"/>
      <c r="I263" s="991"/>
      <c r="J263" s="991"/>
      <c r="K263" s="991"/>
      <c r="L263" s="991"/>
      <c r="M263" s="991"/>
      <c r="N263" s="991"/>
      <c r="O263" s="991"/>
      <c r="P263" s="991"/>
      <c r="Q263" s="991"/>
      <c r="R263" s="991"/>
      <c r="S263" s="991"/>
      <c r="T263" s="991"/>
      <c r="U263" s="991"/>
      <c r="V263" s="991"/>
      <c r="W263" s="991"/>
      <c r="X263" s="991"/>
    </row>
    <row r="264" spans="1:24">
      <c r="A264" s="991"/>
      <c r="B264" s="991"/>
      <c r="C264" s="991"/>
      <c r="D264" s="991"/>
      <c r="E264" s="991"/>
      <c r="F264" s="991"/>
      <c r="G264" s="991"/>
      <c r="H264" s="991"/>
      <c r="I264" s="991"/>
      <c r="J264" s="991"/>
      <c r="K264" s="991"/>
      <c r="L264" s="991"/>
      <c r="M264" s="991"/>
      <c r="N264" s="991"/>
      <c r="O264" s="991"/>
      <c r="P264" s="991"/>
      <c r="Q264" s="991"/>
      <c r="R264" s="991"/>
      <c r="S264" s="991"/>
      <c r="T264" s="991"/>
      <c r="U264" s="991"/>
      <c r="V264" s="991"/>
      <c r="W264" s="991"/>
      <c r="X264" s="991"/>
    </row>
    <row r="265" spans="1:24">
      <c r="A265" s="991"/>
      <c r="B265" s="991"/>
      <c r="C265" s="991"/>
      <c r="D265" s="991"/>
      <c r="E265" s="991"/>
      <c r="F265" s="991"/>
      <c r="G265" s="991"/>
      <c r="H265" s="991"/>
      <c r="I265" s="991"/>
      <c r="J265" s="991"/>
      <c r="K265" s="991"/>
      <c r="L265" s="991"/>
      <c r="M265" s="991"/>
      <c r="N265" s="991"/>
      <c r="O265" s="991"/>
      <c r="P265" s="991"/>
      <c r="Q265" s="991"/>
      <c r="R265" s="991"/>
      <c r="S265" s="991"/>
      <c r="T265" s="991"/>
      <c r="U265" s="991"/>
      <c r="V265" s="991"/>
      <c r="W265" s="991"/>
      <c r="X265" s="991"/>
    </row>
    <row r="266" spans="1:24">
      <c r="A266" s="991"/>
      <c r="B266" s="991"/>
      <c r="C266" s="991"/>
      <c r="D266" s="991"/>
      <c r="E266" s="991"/>
      <c r="F266" s="991"/>
      <c r="G266" s="991"/>
      <c r="H266" s="991"/>
      <c r="I266" s="991"/>
      <c r="J266" s="991"/>
      <c r="K266" s="991"/>
      <c r="L266" s="991"/>
      <c r="M266" s="991"/>
      <c r="N266" s="991"/>
      <c r="O266" s="991"/>
      <c r="P266" s="991"/>
      <c r="Q266" s="991"/>
      <c r="R266" s="991"/>
      <c r="S266" s="991"/>
      <c r="T266" s="991"/>
      <c r="U266" s="991"/>
      <c r="V266" s="991"/>
      <c r="W266" s="991"/>
      <c r="X266" s="991"/>
    </row>
    <row r="267" spans="1:24">
      <c r="A267" s="991"/>
      <c r="B267" s="991"/>
      <c r="C267" s="991"/>
      <c r="D267" s="991"/>
      <c r="E267" s="991"/>
      <c r="F267" s="991"/>
      <c r="G267" s="991"/>
      <c r="H267" s="991"/>
      <c r="I267" s="991"/>
      <c r="J267" s="991"/>
      <c r="K267" s="991"/>
      <c r="L267" s="991"/>
      <c r="M267" s="991"/>
      <c r="N267" s="991"/>
      <c r="O267" s="991"/>
      <c r="P267" s="991"/>
      <c r="Q267" s="991"/>
      <c r="R267" s="991"/>
      <c r="S267" s="991"/>
      <c r="T267" s="991"/>
      <c r="U267" s="991"/>
      <c r="V267" s="991"/>
      <c r="W267" s="991"/>
      <c r="X267" s="991"/>
    </row>
    <row r="268" spans="1:24">
      <c r="A268" s="991"/>
      <c r="B268" s="991"/>
      <c r="C268" s="991"/>
      <c r="D268" s="991"/>
      <c r="E268" s="991"/>
      <c r="F268" s="991"/>
      <c r="G268" s="991"/>
      <c r="H268" s="991"/>
      <c r="I268" s="991"/>
      <c r="J268" s="991"/>
      <c r="K268" s="991"/>
      <c r="L268" s="991"/>
      <c r="M268" s="991"/>
      <c r="N268" s="991"/>
      <c r="O268" s="991"/>
      <c r="P268" s="991"/>
      <c r="Q268" s="991"/>
      <c r="R268" s="991"/>
      <c r="S268" s="991"/>
      <c r="T268" s="991"/>
      <c r="U268" s="991"/>
      <c r="V268" s="991"/>
      <c r="W268" s="991"/>
      <c r="X268" s="991"/>
    </row>
    <row r="269" spans="1:24">
      <c r="A269" s="991"/>
      <c r="B269" s="991"/>
      <c r="C269" s="991"/>
      <c r="D269" s="991"/>
      <c r="E269" s="991"/>
      <c r="F269" s="991"/>
      <c r="G269" s="991"/>
      <c r="H269" s="991"/>
      <c r="I269" s="991"/>
      <c r="J269" s="991"/>
      <c r="K269" s="991"/>
      <c r="L269" s="991"/>
      <c r="M269" s="991"/>
      <c r="N269" s="991"/>
      <c r="O269" s="991"/>
      <c r="P269" s="991"/>
      <c r="Q269" s="991"/>
      <c r="R269" s="991"/>
      <c r="S269" s="991"/>
      <c r="T269" s="991"/>
      <c r="U269" s="991"/>
      <c r="V269" s="991"/>
      <c r="W269" s="991"/>
      <c r="X269" s="991"/>
    </row>
    <row r="270" spans="1:24">
      <c r="A270" s="991"/>
      <c r="B270" s="991"/>
      <c r="C270" s="991"/>
      <c r="D270" s="991"/>
      <c r="E270" s="991"/>
      <c r="F270" s="991"/>
      <c r="G270" s="991"/>
      <c r="H270" s="991"/>
      <c r="I270" s="991"/>
      <c r="J270" s="991"/>
      <c r="K270" s="991"/>
      <c r="L270" s="991"/>
      <c r="M270" s="991"/>
      <c r="N270" s="991"/>
      <c r="O270" s="991"/>
      <c r="P270" s="991"/>
      <c r="Q270" s="991"/>
      <c r="R270" s="991"/>
      <c r="S270" s="991"/>
      <c r="T270" s="991"/>
      <c r="U270" s="991"/>
      <c r="V270" s="991"/>
      <c r="W270" s="991"/>
      <c r="X270" s="991"/>
    </row>
    <row r="271" spans="1:24">
      <c r="A271" s="991"/>
      <c r="B271" s="991"/>
      <c r="C271" s="991"/>
      <c r="D271" s="991"/>
      <c r="E271" s="991"/>
      <c r="F271" s="991"/>
      <c r="G271" s="991"/>
      <c r="H271" s="991"/>
      <c r="I271" s="991"/>
      <c r="J271" s="991"/>
      <c r="K271" s="991"/>
      <c r="L271" s="991"/>
      <c r="M271" s="991"/>
      <c r="N271" s="991"/>
      <c r="O271" s="991"/>
      <c r="P271" s="991"/>
      <c r="Q271" s="991"/>
      <c r="R271" s="991"/>
      <c r="S271" s="991"/>
      <c r="T271" s="991"/>
      <c r="U271" s="991"/>
      <c r="V271" s="991"/>
      <c r="W271" s="991"/>
      <c r="X271" s="991"/>
    </row>
    <row r="272" spans="1:24">
      <c r="A272" s="991"/>
      <c r="B272" s="991"/>
      <c r="C272" s="991"/>
      <c r="D272" s="991"/>
      <c r="E272" s="991"/>
      <c r="F272" s="991"/>
      <c r="G272" s="991"/>
      <c r="H272" s="991"/>
      <c r="I272" s="991"/>
      <c r="J272" s="991"/>
      <c r="K272" s="991"/>
      <c r="L272" s="991"/>
      <c r="M272" s="991"/>
      <c r="N272" s="991"/>
      <c r="O272" s="991"/>
      <c r="P272" s="991"/>
      <c r="Q272" s="991"/>
      <c r="R272" s="991"/>
      <c r="S272" s="991"/>
      <c r="T272" s="991"/>
      <c r="U272" s="991"/>
      <c r="V272" s="991"/>
      <c r="W272" s="991"/>
      <c r="X272" s="991"/>
    </row>
    <row r="273" spans="1:24">
      <c r="A273" s="991"/>
      <c r="B273" s="991"/>
      <c r="C273" s="991"/>
      <c r="D273" s="991"/>
      <c r="E273" s="991"/>
      <c r="F273" s="991"/>
      <c r="G273" s="991"/>
      <c r="H273" s="991"/>
      <c r="I273" s="991"/>
      <c r="J273" s="991"/>
      <c r="K273" s="991"/>
      <c r="L273" s="991"/>
      <c r="M273" s="991"/>
      <c r="N273" s="991"/>
      <c r="O273" s="991"/>
      <c r="P273" s="991"/>
      <c r="Q273" s="991"/>
      <c r="R273" s="991"/>
      <c r="S273" s="991"/>
      <c r="T273" s="991"/>
      <c r="U273" s="991"/>
      <c r="V273" s="991"/>
      <c r="W273" s="991"/>
      <c r="X273" s="991"/>
    </row>
    <row r="274" spans="1:24">
      <c r="A274" s="991"/>
      <c r="B274" s="991"/>
      <c r="C274" s="991"/>
      <c r="D274" s="991"/>
      <c r="E274" s="991"/>
      <c r="F274" s="991"/>
      <c r="G274" s="991"/>
      <c r="H274" s="991"/>
      <c r="I274" s="991"/>
      <c r="J274" s="991"/>
      <c r="K274" s="991"/>
      <c r="L274" s="991"/>
      <c r="M274" s="991"/>
      <c r="N274" s="991"/>
      <c r="O274" s="991"/>
      <c r="P274" s="991"/>
      <c r="Q274" s="991"/>
      <c r="R274" s="991"/>
      <c r="S274" s="991"/>
      <c r="T274" s="991"/>
      <c r="U274" s="991"/>
      <c r="V274" s="991"/>
      <c r="W274" s="991"/>
      <c r="X274" s="991"/>
    </row>
    <row r="275" spans="1:24">
      <c r="A275" s="991"/>
      <c r="B275" s="991"/>
      <c r="C275" s="991"/>
      <c r="D275" s="991"/>
      <c r="E275" s="991"/>
      <c r="F275" s="991"/>
      <c r="G275" s="991"/>
      <c r="H275" s="991"/>
      <c r="I275" s="991"/>
      <c r="J275" s="991"/>
      <c r="K275" s="991"/>
      <c r="L275" s="991"/>
      <c r="M275" s="991"/>
      <c r="N275" s="991"/>
      <c r="O275" s="991"/>
      <c r="P275" s="991"/>
      <c r="Q275" s="991"/>
      <c r="R275" s="991"/>
      <c r="S275" s="991"/>
      <c r="T275" s="991"/>
      <c r="U275" s="991"/>
      <c r="V275" s="991"/>
      <c r="W275" s="991"/>
      <c r="X275" s="991"/>
    </row>
    <row r="276" spans="1:24">
      <c r="A276" s="991"/>
      <c r="B276" s="991"/>
      <c r="C276" s="991"/>
      <c r="D276" s="991"/>
      <c r="E276" s="991"/>
      <c r="F276" s="991"/>
      <c r="G276" s="991"/>
      <c r="H276" s="991"/>
      <c r="I276" s="991"/>
      <c r="J276" s="991"/>
      <c r="K276" s="991"/>
      <c r="L276" s="991"/>
      <c r="M276" s="991"/>
      <c r="N276" s="991"/>
      <c r="O276" s="991"/>
      <c r="P276" s="991"/>
      <c r="Q276" s="991"/>
      <c r="R276" s="991"/>
      <c r="S276" s="991"/>
      <c r="T276" s="991"/>
      <c r="U276" s="991"/>
      <c r="V276" s="991"/>
      <c r="W276" s="991"/>
      <c r="X276" s="991"/>
    </row>
    <row r="277" spans="1:24">
      <c r="A277" s="991"/>
      <c r="B277" s="991"/>
      <c r="C277" s="991"/>
      <c r="D277" s="991"/>
      <c r="E277" s="991"/>
      <c r="F277" s="991"/>
      <c r="G277" s="991"/>
      <c r="H277" s="991"/>
      <c r="I277" s="991"/>
      <c r="J277" s="991"/>
      <c r="K277" s="991"/>
      <c r="L277" s="991"/>
      <c r="M277" s="991"/>
      <c r="N277" s="991"/>
      <c r="O277" s="991"/>
      <c r="P277" s="991"/>
      <c r="Q277" s="991"/>
      <c r="R277" s="991"/>
      <c r="S277" s="991"/>
      <c r="T277" s="991"/>
      <c r="U277" s="991"/>
      <c r="V277" s="991"/>
      <c r="W277" s="991"/>
      <c r="X277" s="991"/>
    </row>
    <row r="278" spans="1:24">
      <c r="A278" s="991"/>
      <c r="B278" s="991"/>
      <c r="C278" s="991"/>
      <c r="D278" s="991"/>
      <c r="E278" s="991"/>
      <c r="F278" s="991"/>
      <c r="G278" s="991"/>
      <c r="H278" s="991"/>
      <c r="I278" s="991"/>
      <c r="J278" s="991"/>
      <c r="K278" s="991"/>
      <c r="L278" s="991"/>
      <c r="M278" s="991"/>
      <c r="N278" s="991"/>
      <c r="O278" s="991"/>
      <c r="P278" s="991"/>
      <c r="Q278" s="991"/>
      <c r="R278" s="991"/>
      <c r="S278" s="991"/>
      <c r="T278" s="991"/>
      <c r="U278" s="991"/>
      <c r="V278" s="991"/>
      <c r="W278" s="991"/>
      <c r="X278" s="991"/>
    </row>
    <row r="279" spans="1:24">
      <c r="A279" s="991"/>
      <c r="B279" s="991"/>
      <c r="C279" s="991"/>
      <c r="D279" s="991"/>
      <c r="E279" s="991"/>
      <c r="F279" s="991"/>
      <c r="G279" s="991"/>
      <c r="H279" s="991"/>
      <c r="I279" s="991"/>
      <c r="J279" s="991"/>
      <c r="K279" s="991"/>
      <c r="L279" s="991"/>
      <c r="M279" s="991"/>
      <c r="N279" s="991"/>
      <c r="O279" s="991"/>
      <c r="P279" s="991"/>
      <c r="Q279" s="991"/>
      <c r="R279" s="991"/>
      <c r="S279" s="991"/>
      <c r="T279" s="991"/>
      <c r="U279" s="991"/>
      <c r="V279" s="991"/>
      <c r="W279" s="991"/>
      <c r="X279" s="991"/>
    </row>
    <row r="280" spans="1:24">
      <c r="A280" s="991"/>
      <c r="B280" s="991"/>
      <c r="C280" s="991"/>
      <c r="D280" s="991"/>
      <c r="E280" s="991"/>
      <c r="F280" s="991"/>
      <c r="G280" s="991"/>
      <c r="H280" s="991"/>
      <c r="I280" s="991"/>
      <c r="J280" s="991"/>
      <c r="K280" s="991"/>
      <c r="L280" s="991"/>
      <c r="M280" s="991"/>
      <c r="N280" s="991"/>
      <c r="O280" s="991"/>
      <c r="P280" s="991"/>
      <c r="Q280" s="991"/>
      <c r="R280" s="991"/>
      <c r="S280" s="991"/>
      <c r="T280" s="991"/>
      <c r="U280" s="991"/>
      <c r="V280" s="991"/>
      <c r="W280" s="991"/>
      <c r="X280" s="991"/>
    </row>
    <row r="281" spans="1:24">
      <c r="A281" s="991"/>
      <c r="B281" s="991"/>
      <c r="C281" s="991"/>
      <c r="D281" s="991"/>
      <c r="E281" s="991"/>
      <c r="F281" s="991"/>
      <c r="G281" s="991"/>
      <c r="H281" s="991"/>
      <c r="I281" s="991"/>
      <c r="J281" s="991"/>
      <c r="K281" s="991"/>
      <c r="L281" s="991"/>
      <c r="M281" s="991"/>
      <c r="N281" s="991"/>
      <c r="O281" s="991"/>
      <c r="P281" s="991"/>
      <c r="Q281" s="991"/>
      <c r="R281" s="991"/>
      <c r="S281" s="991"/>
      <c r="T281" s="991"/>
      <c r="U281" s="991"/>
      <c r="V281" s="991"/>
      <c r="W281" s="991"/>
      <c r="X281" s="991"/>
    </row>
    <row r="282" spans="1:24">
      <c r="A282" s="991"/>
      <c r="B282" s="991"/>
      <c r="C282" s="991"/>
      <c r="D282" s="991"/>
      <c r="E282" s="991"/>
      <c r="F282" s="991"/>
      <c r="G282" s="991"/>
      <c r="H282" s="991"/>
      <c r="I282" s="991"/>
      <c r="J282" s="991"/>
      <c r="K282" s="991"/>
      <c r="L282" s="991"/>
      <c r="M282" s="991"/>
      <c r="N282" s="991"/>
      <c r="O282" s="991"/>
      <c r="P282" s="991"/>
      <c r="Q282" s="991"/>
      <c r="R282" s="991"/>
      <c r="S282" s="991"/>
      <c r="T282" s="991"/>
      <c r="U282" s="991"/>
      <c r="V282" s="991"/>
      <c r="W282" s="991"/>
      <c r="X282" s="991"/>
    </row>
    <row r="283" spans="1:24">
      <c r="A283" s="991"/>
      <c r="B283" s="991"/>
      <c r="C283" s="991"/>
      <c r="D283" s="991"/>
      <c r="E283" s="991"/>
      <c r="F283" s="991"/>
      <c r="G283" s="991"/>
      <c r="H283" s="991"/>
      <c r="I283" s="991"/>
      <c r="J283" s="991"/>
      <c r="K283" s="991"/>
      <c r="L283" s="991"/>
      <c r="M283" s="991"/>
      <c r="N283" s="991"/>
      <c r="O283" s="991"/>
      <c r="P283" s="991"/>
      <c r="Q283" s="991"/>
      <c r="R283" s="991"/>
      <c r="S283" s="991"/>
      <c r="T283" s="991"/>
      <c r="U283" s="991"/>
      <c r="V283" s="991"/>
      <c r="W283" s="991"/>
      <c r="X283" s="991"/>
    </row>
    <row r="284" spans="1:24">
      <c r="A284" s="991"/>
      <c r="B284" s="991"/>
      <c r="C284" s="991"/>
      <c r="D284" s="991"/>
      <c r="E284" s="991"/>
      <c r="F284" s="991"/>
      <c r="G284" s="991"/>
      <c r="H284" s="991"/>
      <c r="I284" s="991"/>
      <c r="J284" s="991"/>
      <c r="K284" s="991"/>
      <c r="L284" s="991"/>
      <c r="M284" s="991"/>
      <c r="N284" s="991"/>
      <c r="O284" s="991"/>
      <c r="P284" s="991"/>
      <c r="Q284" s="991"/>
      <c r="R284" s="991"/>
      <c r="S284" s="991"/>
      <c r="T284" s="991"/>
      <c r="U284" s="991"/>
      <c r="V284" s="991"/>
      <c r="W284" s="991"/>
      <c r="X284" s="991"/>
    </row>
    <row r="285" spans="1:24">
      <c r="A285" s="991"/>
      <c r="B285" s="991"/>
      <c r="C285" s="991"/>
      <c r="D285" s="991"/>
      <c r="E285" s="991"/>
      <c r="F285" s="991"/>
      <c r="G285" s="991"/>
      <c r="H285" s="991"/>
      <c r="I285" s="991"/>
      <c r="J285" s="991"/>
      <c r="K285" s="991"/>
      <c r="L285" s="991"/>
      <c r="M285" s="991"/>
      <c r="N285" s="991"/>
      <c r="O285" s="991"/>
      <c r="P285" s="991"/>
      <c r="Q285" s="991"/>
      <c r="R285" s="991"/>
      <c r="S285" s="991"/>
      <c r="T285" s="991"/>
      <c r="U285" s="991"/>
      <c r="V285" s="991"/>
      <c r="W285" s="991"/>
      <c r="X285" s="991"/>
    </row>
    <row r="286" spans="1:24">
      <c r="A286" s="991"/>
      <c r="B286" s="991"/>
      <c r="C286" s="991"/>
      <c r="D286" s="991"/>
      <c r="E286" s="991"/>
      <c r="F286" s="991"/>
      <c r="G286" s="991"/>
      <c r="H286" s="991"/>
      <c r="I286" s="991"/>
      <c r="J286" s="991"/>
      <c r="K286" s="991"/>
      <c r="L286" s="991"/>
      <c r="M286" s="991"/>
      <c r="N286" s="991"/>
      <c r="O286" s="991"/>
      <c r="P286" s="991"/>
      <c r="Q286" s="991"/>
      <c r="R286" s="991"/>
      <c r="S286" s="991"/>
      <c r="T286" s="991"/>
      <c r="U286" s="991"/>
      <c r="V286" s="991"/>
      <c r="W286" s="991"/>
      <c r="X286" s="991"/>
    </row>
    <row r="287" spans="1:24">
      <c r="A287" s="991"/>
      <c r="B287" s="991"/>
      <c r="C287" s="991"/>
      <c r="D287" s="991"/>
      <c r="E287" s="991"/>
      <c r="F287" s="991"/>
      <c r="G287" s="991"/>
      <c r="H287" s="991"/>
      <c r="I287" s="991"/>
      <c r="J287" s="991"/>
      <c r="K287" s="991"/>
      <c r="L287" s="991"/>
      <c r="M287" s="991"/>
      <c r="N287" s="991"/>
      <c r="O287" s="991"/>
      <c r="P287" s="991"/>
      <c r="Q287" s="991"/>
      <c r="R287" s="991"/>
      <c r="S287" s="991"/>
      <c r="T287" s="991"/>
      <c r="U287" s="991"/>
      <c r="V287" s="991"/>
      <c r="W287" s="991"/>
      <c r="X287" s="991"/>
    </row>
    <row r="288" spans="1:24">
      <c r="A288" s="991"/>
      <c r="B288" s="991"/>
      <c r="C288" s="991"/>
      <c r="D288" s="991"/>
      <c r="E288" s="991"/>
      <c r="F288" s="991"/>
      <c r="G288" s="991"/>
      <c r="H288" s="991"/>
      <c r="I288" s="991"/>
      <c r="J288" s="991"/>
      <c r="K288" s="991"/>
      <c r="L288" s="991"/>
      <c r="M288" s="991"/>
      <c r="N288" s="991"/>
      <c r="O288" s="991"/>
      <c r="P288" s="991"/>
      <c r="Q288" s="991"/>
      <c r="R288" s="991"/>
      <c r="S288" s="991"/>
      <c r="T288" s="991"/>
      <c r="U288" s="991"/>
      <c r="V288" s="991"/>
      <c r="W288" s="991"/>
      <c r="X288" s="991"/>
    </row>
    <row r="289" spans="1:24">
      <c r="A289" s="991"/>
      <c r="B289" s="991"/>
      <c r="C289" s="991"/>
      <c r="D289" s="991"/>
      <c r="E289" s="991"/>
      <c r="F289" s="991"/>
      <c r="G289" s="991"/>
      <c r="H289" s="991"/>
      <c r="I289" s="991"/>
      <c r="J289" s="991"/>
      <c r="K289" s="991"/>
      <c r="L289" s="991"/>
      <c r="M289" s="991"/>
      <c r="N289" s="991"/>
      <c r="O289" s="991"/>
      <c r="P289" s="991"/>
      <c r="Q289" s="991"/>
      <c r="R289" s="991"/>
      <c r="S289" s="991"/>
      <c r="T289" s="991"/>
      <c r="U289" s="991"/>
      <c r="V289" s="991"/>
      <c r="W289" s="991"/>
      <c r="X289" s="991"/>
    </row>
    <row r="290" spans="1:24">
      <c r="A290" s="991"/>
      <c r="B290" s="991"/>
      <c r="C290" s="991"/>
      <c r="D290" s="991"/>
      <c r="E290" s="991"/>
      <c r="F290" s="991"/>
      <c r="G290" s="991"/>
      <c r="H290" s="991"/>
      <c r="I290" s="991"/>
      <c r="J290" s="991"/>
      <c r="K290" s="991"/>
      <c r="L290" s="991"/>
      <c r="M290" s="991"/>
      <c r="N290" s="991"/>
      <c r="O290" s="991"/>
      <c r="P290" s="991"/>
      <c r="Q290" s="991"/>
      <c r="R290" s="991"/>
      <c r="S290" s="991"/>
      <c r="T290" s="991"/>
      <c r="U290" s="991"/>
      <c r="V290" s="991"/>
      <c r="W290" s="991"/>
      <c r="X290" s="991"/>
    </row>
    <row r="291" spans="1:24">
      <c r="A291" s="991"/>
      <c r="B291" s="991"/>
      <c r="C291" s="991"/>
      <c r="D291" s="991"/>
      <c r="E291" s="991"/>
      <c r="F291" s="991"/>
      <c r="G291" s="991"/>
      <c r="H291" s="991"/>
      <c r="I291" s="991"/>
      <c r="J291" s="991"/>
      <c r="K291" s="991"/>
      <c r="L291" s="991"/>
      <c r="M291" s="991"/>
      <c r="N291" s="991"/>
      <c r="O291" s="991"/>
      <c r="P291" s="991"/>
      <c r="Q291" s="991"/>
      <c r="R291" s="991"/>
      <c r="S291" s="991"/>
      <c r="T291" s="991"/>
      <c r="U291" s="991"/>
      <c r="V291" s="991"/>
      <c r="W291" s="991"/>
      <c r="X291" s="991"/>
    </row>
    <row r="292" spans="1:24">
      <c r="A292" s="991"/>
      <c r="B292" s="991"/>
      <c r="C292" s="991"/>
      <c r="D292" s="991"/>
      <c r="E292" s="991"/>
      <c r="F292" s="991"/>
      <c r="G292" s="991"/>
      <c r="H292" s="991"/>
      <c r="I292" s="991"/>
      <c r="J292" s="991"/>
      <c r="K292" s="991"/>
      <c r="L292" s="991"/>
      <c r="M292" s="991"/>
      <c r="N292" s="991"/>
      <c r="O292" s="991"/>
      <c r="P292" s="991"/>
      <c r="Q292" s="991"/>
      <c r="R292" s="991"/>
      <c r="S292" s="991"/>
      <c r="T292" s="991"/>
      <c r="U292" s="991"/>
      <c r="V292" s="991"/>
      <c r="W292" s="991"/>
      <c r="X292" s="991"/>
    </row>
    <row r="293" spans="1:24">
      <c r="A293" s="991"/>
      <c r="B293" s="991"/>
      <c r="C293" s="991"/>
      <c r="D293" s="991"/>
      <c r="E293" s="991"/>
      <c r="F293" s="991"/>
      <c r="G293" s="991"/>
      <c r="H293" s="991"/>
      <c r="I293" s="991"/>
      <c r="J293" s="991"/>
      <c r="K293" s="991"/>
      <c r="L293" s="991"/>
      <c r="M293" s="991"/>
      <c r="N293" s="991"/>
      <c r="O293" s="991"/>
      <c r="P293" s="991"/>
      <c r="Q293" s="991"/>
      <c r="R293" s="991"/>
      <c r="S293" s="991"/>
      <c r="T293" s="991"/>
      <c r="U293" s="991"/>
      <c r="V293" s="991"/>
      <c r="W293" s="991"/>
      <c r="X293" s="991"/>
    </row>
    <row r="294" spans="1:24">
      <c r="A294" s="991"/>
      <c r="B294" s="991"/>
      <c r="C294" s="991"/>
      <c r="D294" s="991"/>
      <c r="E294" s="991"/>
      <c r="F294" s="991"/>
      <c r="G294" s="991"/>
      <c r="H294" s="991"/>
      <c r="I294" s="991"/>
      <c r="J294" s="991"/>
      <c r="K294" s="991"/>
      <c r="L294" s="991"/>
      <c r="M294" s="991"/>
      <c r="N294" s="991"/>
      <c r="O294" s="991"/>
      <c r="P294" s="991"/>
      <c r="Q294" s="991"/>
      <c r="R294" s="991"/>
      <c r="S294" s="991"/>
      <c r="T294" s="991"/>
      <c r="U294" s="991"/>
      <c r="V294" s="991"/>
      <c r="W294" s="991"/>
      <c r="X294" s="991"/>
    </row>
    <row r="295" spans="1:24">
      <c r="A295" s="991"/>
      <c r="B295" s="991"/>
      <c r="C295" s="991"/>
      <c r="D295" s="991"/>
      <c r="E295" s="991"/>
      <c r="F295" s="991"/>
      <c r="G295" s="991"/>
      <c r="H295" s="991"/>
      <c r="I295" s="991"/>
      <c r="J295" s="991"/>
      <c r="K295" s="991"/>
      <c r="L295" s="991"/>
      <c r="M295" s="991"/>
      <c r="N295" s="991"/>
      <c r="O295" s="991"/>
      <c r="P295" s="991"/>
      <c r="Q295" s="991"/>
      <c r="R295" s="991"/>
      <c r="S295" s="991"/>
      <c r="T295" s="991"/>
      <c r="U295" s="991"/>
      <c r="V295" s="991"/>
      <c r="W295" s="991"/>
      <c r="X295" s="991"/>
    </row>
    <row r="296" spans="1:24">
      <c r="A296" s="991"/>
      <c r="B296" s="991"/>
      <c r="C296" s="991"/>
      <c r="D296" s="991"/>
      <c r="E296" s="991"/>
      <c r="F296" s="991"/>
      <c r="G296" s="991"/>
      <c r="H296" s="991"/>
      <c r="I296" s="991"/>
      <c r="J296" s="991"/>
      <c r="K296" s="991"/>
      <c r="L296" s="991"/>
      <c r="M296" s="991"/>
      <c r="N296" s="991"/>
      <c r="O296" s="991"/>
      <c r="P296" s="991"/>
      <c r="Q296" s="991"/>
      <c r="R296" s="991"/>
      <c r="S296" s="991"/>
      <c r="T296" s="991"/>
      <c r="U296" s="991"/>
      <c r="V296" s="991"/>
      <c r="W296" s="991"/>
      <c r="X296" s="991"/>
    </row>
    <row r="297" spans="1:24">
      <c r="A297" s="991"/>
      <c r="B297" s="991"/>
      <c r="C297" s="991"/>
      <c r="D297" s="991"/>
      <c r="E297" s="991"/>
      <c r="F297" s="991"/>
      <c r="G297" s="991"/>
      <c r="H297" s="991"/>
      <c r="I297" s="991"/>
      <c r="J297" s="991"/>
      <c r="K297" s="991"/>
      <c r="L297" s="991"/>
      <c r="M297" s="991"/>
      <c r="N297" s="991"/>
      <c r="O297" s="991"/>
      <c r="P297" s="991"/>
      <c r="Q297" s="991"/>
      <c r="R297" s="991"/>
      <c r="S297" s="991"/>
      <c r="T297" s="991"/>
      <c r="U297" s="991"/>
      <c r="V297" s="991"/>
      <c r="W297" s="991"/>
      <c r="X297" s="991"/>
    </row>
    <row r="298" spans="1:24">
      <c r="A298" s="991"/>
      <c r="B298" s="991"/>
      <c r="C298" s="991"/>
      <c r="D298" s="991"/>
      <c r="E298" s="991"/>
      <c r="F298" s="991"/>
      <c r="G298" s="991"/>
      <c r="H298" s="991"/>
      <c r="I298" s="991"/>
      <c r="J298" s="991"/>
      <c r="K298" s="991"/>
      <c r="L298" s="991"/>
      <c r="M298" s="991"/>
      <c r="N298" s="991"/>
      <c r="O298" s="991"/>
      <c r="P298" s="991"/>
      <c r="Q298" s="991"/>
      <c r="R298" s="991"/>
      <c r="S298" s="991"/>
      <c r="T298" s="991"/>
      <c r="U298" s="991"/>
      <c r="V298" s="991"/>
      <c r="W298" s="991"/>
      <c r="X298" s="991"/>
    </row>
    <row r="299" spans="1:24">
      <c r="A299" s="991"/>
      <c r="B299" s="991"/>
      <c r="C299" s="991"/>
      <c r="D299" s="991"/>
      <c r="E299" s="991"/>
      <c r="F299" s="991"/>
      <c r="G299" s="991"/>
      <c r="H299" s="991"/>
      <c r="I299" s="991"/>
      <c r="J299" s="991"/>
      <c r="K299" s="991"/>
      <c r="L299" s="991"/>
      <c r="M299" s="991"/>
      <c r="N299" s="991"/>
      <c r="O299" s="991"/>
      <c r="P299" s="991"/>
      <c r="Q299" s="991"/>
      <c r="R299" s="991"/>
      <c r="S299" s="991"/>
      <c r="T299" s="991"/>
      <c r="U299" s="991"/>
      <c r="V299" s="991"/>
      <c r="W299" s="991"/>
      <c r="X299" s="991"/>
    </row>
    <row r="300" spans="1:24">
      <c r="A300" s="971"/>
      <c r="B300" s="991"/>
      <c r="C300" s="991"/>
      <c r="D300" s="991"/>
      <c r="E300" s="991"/>
      <c r="F300" s="991"/>
      <c r="G300" s="991"/>
      <c r="H300" s="991"/>
      <c r="I300" s="991"/>
      <c r="J300" s="991"/>
      <c r="K300" s="991"/>
      <c r="L300" s="991"/>
      <c r="M300" s="991"/>
      <c r="N300" s="991"/>
      <c r="O300" s="991"/>
      <c r="P300" s="991"/>
      <c r="Q300" s="991"/>
      <c r="R300" s="991"/>
      <c r="S300" s="991"/>
      <c r="T300" s="991"/>
      <c r="U300" s="991"/>
      <c r="V300" s="991"/>
      <c r="W300" s="991"/>
      <c r="X300" s="991"/>
    </row>
    <row r="301" spans="1:24">
      <c r="A301" s="991"/>
      <c r="B301" s="991"/>
      <c r="C301" s="991"/>
      <c r="D301" s="991"/>
      <c r="E301" s="991"/>
      <c r="F301" s="991"/>
      <c r="G301" s="991"/>
      <c r="H301" s="991"/>
      <c r="I301" s="991"/>
      <c r="J301" s="991"/>
      <c r="K301" s="991"/>
      <c r="L301" s="991"/>
      <c r="M301" s="991"/>
      <c r="N301" s="991"/>
      <c r="O301" s="991"/>
      <c r="P301" s="991"/>
      <c r="Q301" s="991"/>
      <c r="R301" s="991"/>
      <c r="S301" s="991"/>
      <c r="T301" s="991"/>
      <c r="U301" s="991"/>
      <c r="V301" s="991"/>
      <c r="W301" s="991"/>
      <c r="X301" s="991"/>
    </row>
    <row r="302" spans="1:24">
      <c r="A302" s="991"/>
      <c r="B302" s="991"/>
      <c r="C302" s="991"/>
      <c r="D302" s="991"/>
      <c r="E302" s="991"/>
      <c r="F302" s="991"/>
      <c r="G302" s="991"/>
      <c r="H302" s="991"/>
      <c r="I302" s="991"/>
      <c r="J302" s="991"/>
      <c r="K302" s="991"/>
      <c r="L302" s="991"/>
      <c r="M302" s="991"/>
      <c r="N302" s="991"/>
      <c r="O302" s="991"/>
      <c r="P302" s="991"/>
      <c r="Q302" s="991"/>
      <c r="R302" s="991"/>
      <c r="S302" s="991"/>
      <c r="T302" s="991"/>
      <c r="U302" s="991"/>
      <c r="V302" s="991"/>
      <c r="W302" s="991"/>
      <c r="X302" s="991"/>
    </row>
    <row r="303" spans="1:24">
      <c r="A303" s="991"/>
      <c r="B303" s="991"/>
      <c r="C303" s="991"/>
      <c r="D303" s="991"/>
      <c r="E303" s="991"/>
      <c r="F303" s="991"/>
      <c r="G303" s="991"/>
      <c r="H303" s="991"/>
      <c r="I303" s="991"/>
      <c r="J303" s="991"/>
      <c r="K303" s="991"/>
      <c r="L303" s="991"/>
      <c r="M303" s="991"/>
      <c r="N303" s="991"/>
      <c r="O303" s="991"/>
      <c r="P303" s="991"/>
      <c r="Q303" s="991"/>
      <c r="R303" s="991"/>
      <c r="S303" s="991"/>
      <c r="T303" s="991"/>
      <c r="U303" s="991"/>
      <c r="V303" s="991"/>
      <c r="W303" s="991"/>
      <c r="X303" s="991"/>
    </row>
    <row r="304" spans="1:24">
      <c r="A304" s="991"/>
      <c r="B304" s="991"/>
      <c r="C304" s="991"/>
      <c r="D304" s="991"/>
      <c r="E304" s="991"/>
      <c r="F304" s="991"/>
      <c r="G304" s="991"/>
      <c r="H304" s="991"/>
      <c r="I304" s="991"/>
      <c r="J304" s="991"/>
      <c r="K304" s="991"/>
      <c r="L304" s="991"/>
      <c r="M304" s="991"/>
      <c r="N304" s="991"/>
      <c r="O304" s="991"/>
      <c r="P304" s="991"/>
      <c r="Q304" s="991"/>
      <c r="R304" s="991"/>
      <c r="S304" s="991"/>
      <c r="T304" s="991"/>
      <c r="U304" s="991"/>
      <c r="V304" s="991"/>
      <c r="W304" s="991"/>
      <c r="X304" s="991"/>
    </row>
    <row r="305" spans="1:24">
      <c r="A305" s="991"/>
      <c r="B305" s="991"/>
      <c r="C305" s="991"/>
      <c r="D305" s="991"/>
      <c r="E305" s="991"/>
      <c r="F305" s="991"/>
      <c r="G305" s="991"/>
      <c r="H305" s="991"/>
      <c r="I305" s="991"/>
      <c r="J305" s="991"/>
      <c r="K305" s="991"/>
      <c r="L305" s="991"/>
      <c r="M305" s="991"/>
      <c r="N305" s="991"/>
      <c r="O305" s="991"/>
      <c r="P305" s="991"/>
      <c r="Q305" s="991"/>
      <c r="R305" s="991"/>
      <c r="S305" s="991"/>
      <c r="T305" s="991"/>
      <c r="U305" s="991"/>
      <c r="V305" s="991"/>
      <c r="W305" s="991"/>
      <c r="X305" s="991"/>
    </row>
    <row r="306" spans="1:24">
      <c r="A306" s="991"/>
      <c r="B306" s="991"/>
      <c r="C306" s="991"/>
      <c r="D306" s="991"/>
      <c r="E306" s="991"/>
      <c r="F306" s="991"/>
      <c r="G306" s="991"/>
      <c r="H306" s="991"/>
      <c r="I306" s="991"/>
      <c r="J306" s="991"/>
      <c r="K306" s="991"/>
      <c r="L306" s="991"/>
      <c r="M306" s="991"/>
      <c r="N306" s="991"/>
      <c r="O306" s="991"/>
      <c r="P306" s="991"/>
      <c r="Q306" s="991"/>
      <c r="R306" s="991"/>
      <c r="S306" s="991"/>
      <c r="T306" s="991"/>
      <c r="U306" s="991"/>
      <c r="V306" s="991"/>
      <c r="W306" s="991"/>
      <c r="X306" s="991"/>
    </row>
    <row r="307" spans="1:24">
      <c r="A307" s="991"/>
      <c r="B307" s="991"/>
      <c r="C307" s="991"/>
      <c r="D307" s="991"/>
      <c r="E307" s="991"/>
      <c r="F307" s="991"/>
      <c r="G307" s="991"/>
      <c r="H307" s="991"/>
      <c r="I307" s="991"/>
      <c r="J307" s="991"/>
      <c r="K307" s="991"/>
      <c r="L307" s="991"/>
      <c r="M307" s="991"/>
      <c r="N307" s="991"/>
      <c r="O307" s="991"/>
      <c r="P307" s="991"/>
      <c r="Q307" s="991"/>
      <c r="R307" s="991"/>
      <c r="S307" s="991"/>
      <c r="T307" s="991"/>
      <c r="U307" s="991"/>
      <c r="V307" s="991"/>
      <c r="W307" s="991"/>
      <c r="X307" s="991"/>
    </row>
    <row r="308" spans="1:24">
      <c r="A308" s="991"/>
      <c r="B308" s="991"/>
      <c r="C308" s="991"/>
      <c r="D308" s="991"/>
      <c r="E308" s="991"/>
      <c r="F308" s="991"/>
      <c r="G308" s="991"/>
      <c r="H308" s="991"/>
      <c r="I308" s="991"/>
      <c r="J308" s="991"/>
      <c r="K308" s="991"/>
      <c r="L308" s="991"/>
      <c r="M308" s="991"/>
      <c r="N308" s="991"/>
      <c r="O308" s="991"/>
      <c r="P308" s="991"/>
      <c r="Q308" s="991"/>
      <c r="R308" s="991"/>
      <c r="S308" s="991"/>
      <c r="T308" s="991"/>
      <c r="U308" s="991"/>
      <c r="V308" s="991"/>
      <c r="W308" s="991"/>
      <c r="X308" s="991"/>
    </row>
    <row r="309" spans="1:24">
      <c r="A309" s="991"/>
      <c r="B309" s="991"/>
      <c r="C309" s="991"/>
      <c r="D309" s="991"/>
      <c r="E309" s="991"/>
      <c r="F309" s="991"/>
      <c r="G309" s="991"/>
      <c r="H309" s="991"/>
      <c r="I309" s="991"/>
      <c r="J309" s="991"/>
      <c r="K309" s="991"/>
      <c r="L309" s="991"/>
      <c r="M309" s="991"/>
      <c r="N309" s="991"/>
      <c r="O309" s="991"/>
      <c r="P309" s="991"/>
      <c r="Q309" s="991"/>
      <c r="R309" s="991"/>
      <c r="S309" s="991"/>
      <c r="T309" s="991"/>
      <c r="U309" s="991"/>
      <c r="V309" s="991"/>
      <c r="W309" s="991"/>
      <c r="X309" s="991"/>
    </row>
    <row r="310" spans="1:24">
      <c r="A310" s="991"/>
      <c r="B310" s="991"/>
      <c r="C310" s="991"/>
      <c r="D310" s="991"/>
      <c r="E310" s="991"/>
      <c r="F310" s="991"/>
      <c r="G310" s="991"/>
      <c r="H310" s="991"/>
      <c r="I310" s="991"/>
      <c r="J310" s="991"/>
      <c r="K310" s="991"/>
      <c r="L310" s="991"/>
      <c r="M310" s="991"/>
      <c r="N310" s="991"/>
      <c r="O310" s="991"/>
      <c r="P310" s="991"/>
      <c r="Q310" s="991"/>
      <c r="R310" s="991"/>
      <c r="S310" s="991"/>
      <c r="T310" s="991"/>
      <c r="U310" s="991"/>
      <c r="V310" s="991"/>
      <c r="W310" s="991"/>
      <c r="X310" s="991"/>
    </row>
    <row r="311" spans="1:24">
      <c r="A311" s="991"/>
      <c r="B311" s="991"/>
      <c r="C311" s="991"/>
      <c r="D311" s="991"/>
      <c r="E311" s="991"/>
      <c r="F311" s="991"/>
      <c r="G311" s="991"/>
      <c r="H311" s="991"/>
      <c r="I311" s="991"/>
      <c r="J311" s="991"/>
      <c r="K311" s="991"/>
      <c r="L311" s="991"/>
      <c r="M311" s="991"/>
      <c r="N311" s="991"/>
      <c r="O311" s="991"/>
      <c r="P311" s="991"/>
      <c r="Q311" s="991"/>
      <c r="R311" s="991"/>
      <c r="S311" s="991"/>
      <c r="T311" s="991"/>
      <c r="U311" s="991"/>
      <c r="V311" s="991"/>
      <c r="W311" s="991"/>
      <c r="X311" s="991"/>
    </row>
    <row r="312" spans="1:24">
      <c r="A312" s="991"/>
      <c r="B312" s="991"/>
      <c r="C312" s="991"/>
      <c r="D312" s="991"/>
      <c r="E312" s="991"/>
      <c r="F312" s="991"/>
      <c r="G312" s="991"/>
      <c r="H312" s="991"/>
      <c r="I312" s="991"/>
      <c r="J312" s="991"/>
      <c r="K312" s="991"/>
      <c r="L312" s="991"/>
      <c r="M312" s="991"/>
      <c r="N312" s="991"/>
      <c r="O312" s="991"/>
      <c r="P312" s="991"/>
      <c r="Q312" s="991"/>
      <c r="R312" s="991"/>
      <c r="S312" s="991"/>
      <c r="T312" s="991"/>
      <c r="U312" s="991"/>
      <c r="V312" s="991"/>
      <c r="W312" s="991"/>
      <c r="X312" s="991"/>
    </row>
    <row r="313" spans="1:24">
      <c r="A313" s="991"/>
      <c r="B313" s="991"/>
      <c r="C313" s="991"/>
      <c r="D313" s="991"/>
      <c r="E313" s="991"/>
      <c r="F313" s="991"/>
      <c r="G313" s="991"/>
      <c r="H313" s="991"/>
      <c r="I313" s="991"/>
      <c r="J313" s="991"/>
      <c r="K313" s="991"/>
      <c r="L313" s="991"/>
      <c r="M313" s="991"/>
      <c r="N313" s="991"/>
      <c r="O313" s="991"/>
      <c r="P313" s="991"/>
      <c r="Q313" s="991"/>
      <c r="R313" s="991"/>
      <c r="S313" s="991"/>
      <c r="T313" s="991"/>
      <c r="U313" s="991"/>
      <c r="V313" s="991"/>
      <c r="W313" s="991"/>
      <c r="X313" s="991"/>
    </row>
    <row r="314" spans="1:24">
      <c r="A314" s="991"/>
      <c r="B314" s="991"/>
      <c r="C314" s="991"/>
      <c r="D314" s="991"/>
      <c r="E314" s="991"/>
      <c r="F314" s="991"/>
      <c r="G314" s="991"/>
      <c r="H314" s="991"/>
      <c r="I314" s="991"/>
      <c r="J314" s="991"/>
      <c r="K314" s="991"/>
      <c r="L314" s="991"/>
      <c r="M314" s="991"/>
      <c r="N314" s="991"/>
      <c r="O314" s="991"/>
      <c r="P314" s="991"/>
      <c r="Q314" s="991"/>
      <c r="R314" s="991"/>
      <c r="S314" s="991"/>
      <c r="T314" s="991"/>
      <c r="U314" s="991"/>
      <c r="V314" s="991"/>
      <c r="W314" s="991"/>
      <c r="X314" s="991"/>
    </row>
    <row r="315" spans="1:24">
      <c r="A315" s="991"/>
      <c r="B315" s="991"/>
      <c r="C315" s="991"/>
      <c r="D315" s="991"/>
      <c r="E315" s="991"/>
      <c r="F315" s="991"/>
      <c r="G315" s="991"/>
      <c r="H315" s="991"/>
      <c r="I315" s="991"/>
      <c r="J315" s="991"/>
      <c r="K315" s="991"/>
      <c r="L315" s="991"/>
      <c r="M315" s="991"/>
      <c r="N315" s="991"/>
      <c r="O315" s="991"/>
      <c r="P315" s="991"/>
      <c r="Q315" s="991"/>
      <c r="R315" s="991"/>
      <c r="S315" s="991"/>
      <c r="T315" s="991"/>
      <c r="U315" s="991"/>
      <c r="V315" s="991"/>
      <c r="W315" s="991"/>
      <c r="X315" s="991"/>
    </row>
    <row r="316" spans="1:24">
      <c r="A316" s="991"/>
      <c r="B316" s="991"/>
      <c r="C316" s="991"/>
      <c r="D316" s="991"/>
      <c r="E316" s="991"/>
      <c r="F316" s="991"/>
      <c r="G316" s="991"/>
      <c r="H316" s="991"/>
      <c r="I316" s="991"/>
      <c r="J316" s="991"/>
      <c r="K316" s="991"/>
      <c r="L316" s="991"/>
      <c r="M316" s="991"/>
      <c r="N316" s="991"/>
      <c r="O316" s="991"/>
      <c r="P316" s="991"/>
      <c r="Q316" s="991"/>
      <c r="R316" s="991"/>
      <c r="S316" s="991"/>
      <c r="T316" s="991"/>
      <c r="U316" s="991"/>
      <c r="V316" s="991"/>
      <c r="W316" s="991"/>
      <c r="X316" s="991"/>
    </row>
    <row r="317" spans="1:24">
      <c r="A317" s="1108"/>
      <c r="B317" s="991"/>
      <c r="C317" s="991"/>
      <c r="D317" s="991"/>
      <c r="E317" s="991"/>
      <c r="F317" s="991"/>
      <c r="G317" s="991"/>
      <c r="H317" s="991"/>
      <c r="I317" s="991"/>
      <c r="J317" s="991"/>
      <c r="K317" s="991"/>
      <c r="L317" s="991"/>
      <c r="M317" s="991"/>
      <c r="N317" s="991"/>
      <c r="O317" s="991"/>
      <c r="P317" s="991"/>
      <c r="Q317" s="991"/>
      <c r="R317" s="991"/>
      <c r="S317" s="991"/>
      <c r="T317" s="991"/>
      <c r="U317" s="991"/>
      <c r="V317" s="991"/>
      <c r="W317" s="991"/>
      <c r="X317" s="991"/>
    </row>
    <row r="318" spans="1:24">
      <c r="A318" s="1108"/>
      <c r="B318" s="991"/>
      <c r="C318" s="991"/>
      <c r="D318" s="991"/>
      <c r="E318" s="991"/>
      <c r="F318" s="991"/>
      <c r="G318" s="991"/>
      <c r="H318" s="991"/>
      <c r="I318" s="991"/>
      <c r="J318" s="991"/>
      <c r="K318" s="991"/>
      <c r="L318" s="991"/>
      <c r="M318" s="991"/>
      <c r="N318" s="991"/>
      <c r="O318" s="991"/>
      <c r="P318" s="991"/>
      <c r="Q318" s="991"/>
      <c r="R318" s="991"/>
      <c r="S318" s="991"/>
      <c r="T318" s="991"/>
      <c r="U318" s="991"/>
      <c r="V318" s="991"/>
      <c r="W318" s="991"/>
      <c r="X318" s="991"/>
    </row>
    <row r="319" spans="1:24">
      <c r="A319" s="1108"/>
      <c r="B319" s="991"/>
      <c r="C319" s="991"/>
      <c r="D319" s="991"/>
      <c r="E319" s="991"/>
      <c r="F319" s="991"/>
      <c r="G319" s="991"/>
      <c r="H319" s="991"/>
      <c r="I319" s="991"/>
      <c r="J319" s="991"/>
      <c r="K319" s="991"/>
      <c r="L319" s="991"/>
      <c r="M319" s="991"/>
      <c r="N319" s="991"/>
      <c r="O319" s="991"/>
      <c r="P319" s="991"/>
      <c r="Q319" s="991"/>
      <c r="R319" s="991"/>
      <c r="S319" s="991"/>
      <c r="T319" s="991"/>
      <c r="U319" s="991"/>
      <c r="V319" s="991"/>
      <c r="W319" s="991"/>
      <c r="X319" s="991"/>
    </row>
    <row r="320" spans="1:24">
      <c r="A320" s="1108"/>
      <c r="B320" s="991"/>
      <c r="C320" s="991"/>
      <c r="D320" s="991"/>
      <c r="E320" s="991"/>
      <c r="F320" s="991"/>
      <c r="G320" s="991"/>
      <c r="H320" s="991"/>
      <c r="I320" s="991"/>
      <c r="J320" s="991"/>
      <c r="K320" s="991"/>
      <c r="L320" s="991"/>
      <c r="M320" s="991"/>
      <c r="N320" s="991"/>
      <c r="O320" s="991"/>
      <c r="P320" s="991"/>
      <c r="Q320" s="991"/>
      <c r="R320" s="991"/>
      <c r="S320" s="991"/>
      <c r="T320" s="991"/>
      <c r="U320" s="991"/>
      <c r="V320" s="991"/>
      <c r="W320" s="991"/>
      <c r="X320" s="991"/>
    </row>
    <row r="321" spans="1:24">
      <c r="A321" s="1108"/>
      <c r="B321" s="991"/>
      <c r="C321" s="991"/>
      <c r="D321" s="991"/>
      <c r="E321" s="991"/>
      <c r="F321" s="991"/>
      <c r="G321" s="991"/>
      <c r="H321" s="991"/>
      <c r="I321" s="991"/>
      <c r="J321" s="991"/>
      <c r="K321" s="991"/>
      <c r="L321" s="991"/>
      <c r="M321" s="991"/>
      <c r="N321" s="991"/>
      <c r="O321" s="991"/>
      <c r="P321" s="991"/>
      <c r="Q321" s="991"/>
      <c r="R321" s="991"/>
      <c r="S321" s="991"/>
      <c r="T321" s="991"/>
      <c r="U321" s="991"/>
      <c r="V321" s="991"/>
      <c r="W321" s="991"/>
      <c r="X321" s="991"/>
    </row>
    <row r="322" spans="1:24">
      <c r="A322" s="1108"/>
      <c r="B322" s="991"/>
      <c r="C322" s="991"/>
      <c r="D322" s="991"/>
      <c r="E322" s="991"/>
      <c r="F322" s="991"/>
      <c r="G322" s="991"/>
      <c r="H322" s="991"/>
      <c r="I322" s="991"/>
      <c r="J322" s="991"/>
      <c r="K322" s="991"/>
      <c r="L322" s="991"/>
      <c r="M322" s="991"/>
      <c r="N322" s="991"/>
      <c r="O322" s="991"/>
      <c r="P322" s="991"/>
      <c r="Q322" s="991"/>
      <c r="R322" s="991"/>
      <c r="S322" s="991"/>
      <c r="T322" s="991"/>
      <c r="U322" s="991"/>
      <c r="V322" s="991"/>
      <c r="W322" s="991"/>
      <c r="X322" s="991"/>
    </row>
    <row r="323" spans="1:24">
      <c r="A323" s="1108"/>
      <c r="B323" s="991"/>
      <c r="C323" s="991"/>
      <c r="D323" s="991"/>
      <c r="E323" s="991"/>
      <c r="F323" s="991"/>
      <c r="G323" s="991"/>
      <c r="H323" s="991"/>
      <c r="I323" s="991"/>
      <c r="J323" s="991"/>
      <c r="K323" s="991"/>
      <c r="L323" s="991"/>
      <c r="M323" s="991"/>
      <c r="N323" s="991"/>
      <c r="O323" s="991"/>
      <c r="P323" s="991"/>
      <c r="Q323" s="991"/>
      <c r="R323" s="991"/>
      <c r="S323" s="991"/>
      <c r="T323" s="991"/>
      <c r="U323" s="991"/>
      <c r="V323" s="991"/>
      <c r="W323" s="991"/>
      <c r="X323" s="991"/>
    </row>
    <row r="324" spans="1:24">
      <c r="A324" s="1108"/>
      <c r="B324" s="991"/>
      <c r="C324" s="991"/>
      <c r="D324" s="991"/>
      <c r="E324" s="991"/>
      <c r="F324" s="991"/>
      <c r="G324" s="991"/>
      <c r="H324" s="991"/>
      <c r="I324" s="991"/>
      <c r="J324" s="991"/>
      <c r="K324" s="991"/>
      <c r="L324" s="991"/>
      <c r="M324" s="991"/>
      <c r="N324" s="991"/>
      <c r="O324" s="991"/>
      <c r="P324" s="991"/>
      <c r="Q324" s="991"/>
      <c r="R324" s="991"/>
      <c r="S324" s="991"/>
      <c r="T324" s="991"/>
      <c r="U324" s="991"/>
      <c r="V324" s="991"/>
      <c r="W324" s="991"/>
      <c r="X324" s="991"/>
    </row>
    <row r="325" spans="1:24">
      <c r="A325" s="1108"/>
      <c r="B325" s="991"/>
      <c r="C325" s="991"/>
      <c r="D325" s="991"/>
      <c r="E325" s="991"/>
      <c r="F325" s="991"/>
      <c r="G325" s="991"/>
      <c r="H325" s="991"/>
      <c r="I325" s="991"/>
      <c r="J325" s="991"/>
      <c r="K325" s="991"/>
      <c r="L325" s="991"/>
      <c r="M325" s="991"/>
      <c r="N325" s="991"/>
      <c r="O325" s="991"/>
      <c r="P325" s="991"/>
      <c r="Q325" s="991"/>
      <c r="R325" s="991"/>
      <c r="S325" s="991"/>
      <c r="T325" s="991"/>
      <c r="U325" s="991"/>
      <c r="V325" s="991"/>
      <c r="W325" s="991"/>
      <c r="X325" s="991"/>
    </row>
    <row r="326" spans="1:24">
      <c r="A326" s="1108"/>
      <c r="B326" s="991"/>
      <c r="C326" s="991"/>
      <c r="D326" s="991"/>
      <c r="E326" s="991"/>
      <c r="F326" s="991"/>
      <c r="G326" s="991"/>
      <c r="H326" s="991"/>
      <c r="I326" s="991"/>
      <c r="J326" s="991"/>
      <c r="K326" s="991"/>
      <c r="L326" s="991"/>
      <c r="M326" s="991"/>
      <c r="N326" s="991"/>
      <c r="O326" s="991"/>
      <c r="P326" s="991"/>
      <c r="Q326" s="991"/>
      <c r="R326" s="991"/>
      <c r="S326" s="991"/>
      <c r="T326" s="991"/>
      <c r="U326" s="991"/>
      <c r="V326" s="991"/>
      <c r="W326" s="991"/>
      <c r="X326" s="991"/>
    </row>
    <row r="327" spans="1:24">
      <c r="A327" s="1108"/>
      <c r="B327" s="991"/>
      <c r="C327" s="991"/>
      <c r="D327" s="991"/>
      <c r="E327" s="991"/>
      <c r="F327" s="991"/>
      <c r="G327" s="991"/>
      <c r="H327" s="991"/>
      <c r="I327" s="991"/>
      <c r="J327" s="991"/>
      <c r="K327" s="991"/>
      <c r="L327" s="991"/>
      <c r="M327" s="991"/>
      <c r="N327" s="991"/>
      <c r="O327" s="991"/>
      <c r="P327" s="991"/>
      <c r="Q327" s="991"/>
      <c r="R327" s="991"/>
      <c r="S327" s="991"/>
      <c r="T327" s="991"/>
      <c r="U327" s="991"/>
      <c r="V327" s="991"/>
      <c r="W327" s="991"/>
      <c r="X327" s="991"/>
    </row>
    <row r="328" spans="1:24">
      <c r="A328" s="1108"/>
      <c r="B328" s="991"/>
      <c r="C328" s="991"/>
      <c r="D328" s="991"/>
      <c r="E328" s="991"/>
      <c r="F328" s="991"/>
      <c r="G328" s="991"/>
      <c r="H328" s="991"/>
      <c r="I328" s="991"/>
      <c r="J328" s="991"/>
      <c r="K328" s="991"/>
      <c r="L328" s="991"/>
      <c r="M328" s="991"/>
      <c r="N328" s="991"/>
      <c r="O328" s="991"/>
      <c r="P328" s="991"/>
      <c r="Q328" s="991"/>
      <c r="R328" s="991"/>
      <c r="S328" s="991"/>
      <c r="T328" s="991"/>
      <c r="U328" s="991"/>
      <c r="V328" s="991"/>
      <c r="W328" s="991"/>
      <c r="X328" s="991"/>
    </row>
    <row r="329" spans="1:24">
      <c r="A329" s="1108"/>
      <c r="B329" s="991"/>
      <c r="C329" s="991"/>
      <c r="D329" s="991"/>
      <c r="E329" s="991"/>
      <c r="F329" s="991"/>
      <c r="G329" s="991"/>
      <c r="H329" s="991"/>
      <c r="I329" s="991"/>
      <c r="J329" s="991"/>
      <c r="K329" s="991"/>
      <c r="L329" s="991"/>
      <c r="M329" s="991"/>
      <c r="N329" s="991"/>
      <c r="O329" s="991"/>
      <c r="P329" s="991"/>
      <c r="Q329" s="991"/>
      <c r="R329" s="991"/>
      <c r="S329" s="991"/>
      <c r="T329" s="991"/>
      <c r="U329" s="991"/>
      <c r="V329" s="991"/>
      <c r="W329" s="991"/>
      <c r="X329" s="991"/>
    </row>
    <row r="330" spans="1:24">
      <c r="A330" s="1108"/>
      <c r="B330" s="991"/>
      <c r="C330" s="991"/>
      <c r="D330" s="991"/>
      <c r="E330" s="991"/>
      <c r="F330" s="991"/>
      <c r="G330" s="991"/>
      <c r="H330" s="991"/>
      <c r="I330" s="991"/>
      <c r="J330" s="991"/>
      <c r="K330" s="991"/>
      <c r="L330" s="991"/>
      <c r="M330" s="991"/>
      <c r="N330" s="991"/>
      <c r="O330" s="991"/>
      <c r="P330" s="991"/>
      <c r="Q330" s="991"/>
      <c r="R330" s="991"/>
      <c r="S330" s="991"/>
      <c r="T330" s="991"/>
      <c r="U330" s="991"/>
      <c r="V330" s="991"/>
      <c r="W330" s="991"/>
      <c r="X330" s="991"/>
    </row>
    <row r="331" spans="1:24">
      <c r="A331" s="1108"/>
      <c r="B331" s="991"/>
      <c r="C331" s="991"/>
      <c r="D331" s="991"/>
      <c r="E331" s="991"/>
      <c r="F331" s="991"/>
      <c r="G331" s="991"/>
      <c r="H331" s="991"/>
      <c r="I331" s="991"/>
      <c r="J331" s="991"/>
      <c r="K331" s="991"/>
      <c r="L331" s="991"/>
      <c r="M331" s="991"/>
      <c r="N331" s="991"/>
      <c r="O331" s="991"/>
      <c r="P331" s="991"/>
      <c r="Q331" s="991"/>
      <c r="R331" s="991"/>
      <c r="S331" s="991"/>
      <c r="T331" s="991"/>
      <c r="U331" s="991"/>
      <c r="V331" s="991"/>
      <c r="W331" s="991"/>
      <c r="X331" s="991"/>
    </row>
    <row r="332" spans="1:24">
      <c r="A332" s="1108"/>
      <c r="B332" s="991"/>
      <c r="C332" s="991"/>
      <c r="D332" s="991"/>
      <c r="E332" s="991"/>
      <c r="F332" s="991"/>
      <c r="G332" s="991"/>
      <c r="H332" s="991"/>
      <c r="I332" s="991"/>
      <c r="J332" s="991"/>
      <c r="K332" s="991"/>
      <c r="L332" s="991"/>
      <c r="M332" s="991"/>
      <c r="N332" s="991"/>
      <c r="O332" s="991"/>
      <c r="P332" s="991"/>
      <c r="Q332" s="991"/>
      <c r="R332" s="991"/>
      <c r="S332" s="991"/>
      <c r="T332" s="991"/>
      <c r="U332" s="991"/>
      <c r="V332" s="991"/>
      <c r="W332" s="991"/>
      <c r="X332" s="991"/>
    </row>
    <row r="333" spans="1:24">
      <c r="A333" s="1108"/>
      <c r="B333" s="991"/>
      <c r="C333" s="991"/>
      <c r="D333" s="991"/>
      <c r="E333" s="991"/>
      <c r="F333" s="991"/>
      <c r="G333" s="991"/>
      <c r="H333" s="991"/>
      <c r="I333" s="991"/>
      <c r="J333" s="991"/>
      <c r="K333" s="991"/>
      <c r="L333" s="991"/>
      <c r="M333" s="991"/>
      <c r="N333" s="991"/>
      <c r="O333" s="991"/>
      <c r="P333" s="991"/>
      <c r="Q333" s="991"/>
      <c r="R333" s="991"/>
      <c r="S333" s="991"/>
      <c r="T333" s="991"/>
      <c r="U333" s="991"/>
      <c r="V333" s="991"/>
      <c r="W333" s="991"/>
      <c r="X333" s="991"/>
    </row>
    <row r="334" spans="1:24">
      <c r="A334" s="1108"/>
      <c r="B334" s="991"/>
      <c r="C334" s="991"/>
      <c r="D334" s="991"/>
      <c r="E334" s="991"/>
      <c r="F334" s="991"/>
      <c r="G334" s="991"/>
      <c r="H334" s="991"/>
      <c r="I334" s="991"/>
      <c r="J334" s="991"/>
      <c r="K334" s="991"/>
      <c r="L334" s="991"/>
      <c r="M334" s="991"/>
      <c r="N334" s="991"/>
      <c r="O334" s="991"/>
      <c r="P334" s="991"/>
      <c r="Q334" s="991"/>
      <c r="R334" s="991"/>
      <c r="S334" s="991"/>
      <c r="T334" s="991"/>
      <c r="U334" s="991"/>
      <c r="V334" s="991"/>
      <c r="W334" s="991"/>
      <c r="X334" s="991"/>
    </row>
    <row r="335" spans="1:24">
      <c r="A335" s="1108"/>
      <c r="B335" s="991"/>
      <c r="C335" s="991"/>
      <c r="D335" s="991"/>
      <c r="E335" s="991"/>
      <c r="F335" s="991"/>
      <c r="G335" s="991"/>
      <c r="H335" s="991"/>
      <c r="I335" s="991"/>
      <c r="J335" s="991"/>
      <c r="K335" s="991"/>
      <c r="L335" s="991"/>
      <c r="M335" s="991"/>
      <c r="N335" s="991"/>
      <c r="O335" s="991"/>
      <c r="P335" s="991"/>
      <c r="Q335" s="991"/>
      <c r="R335" s="991"/>
      <c r="S335" s="991"/>
      <c r="T335" s="991"/>
      <c r="U335" s="991"/>
      <c r="V335" s="991"/>
      <c r="W335" s="991"/>
      <c r="X335" s="991"/>
    </row>
    <row r="336" spans="1:24">
      <c r="A336" s="1108"/>
      <c r="B336" s="991"/>
      <c r="C336" s="991"/>
      <c r="D336" s="991"/>
      <c r="E336" s="991"/>
      <c r="F336" s="991"/>
      <c r="G336" s="991"/>
      <c r="H336" s="991"/>
      <c r="I336" s="991"/>
      <c r="J336" s="991"/>
      <c r="K336" s="991"/>
      <c r="L336" s="991"/>
      <c r="M336" s="991"/>
      <c r="N336" s="991"/>
      <c r="O336" s="991"/>
      <c r="P336" s="991"/>
      <c r="Q336" s="991"/>
      <c r="R336" s="991"/>
      <c r="S336" s="991"/>
      <c r="T336" s="991"/>
      <c r="U336" s="991"/>
      <c r="V336" s="991"/>
      <c r="W336" s="991"/>
      <c r="X336" s="991"/>
    </row>
    <row r="337" spans="1:24">
      <c r="A337" s="1108"/>
      <c r="B337" s="991"/>
      <c r="C337" s="991"/>
      <c r="D337" s="991"/>
      <c r="E337" s="991"/>
      <c r="F337" s="991"/>
      <c r="G337" s="991"/>
      <c r="H337" s="991"/>
      <c r="I337" s="991"/>
      <c r="J337" s="991"/>
      <c r="K337" s="991"/>
      <c r="L337" s="991"/>
      <c r="M337" s="991"/>
      <c r="N337" s="991"/>
      <c r="O337" s="991"/>
      <c r="P337" s="991"/>
      <c r="Q337" s="991"/>
      <c r="R337" s="991"/>
      <c r="S337" s="991"/>
      <c r="T337" s="991"/>
      <c r="U337" s="991"/>
      <c r="V337" s="991"/>
      <c r="W337" s="991"/>
      <c r="X337" s="991"/>
    </row>
    <row r="338" spans="1:24">
      <c r="A338" s="1108"/>
      <c r="B338" s="991"/>
      <c r="C338" s="991"/>
      <c r="D338" s="991"/>
      <c r="E338" s="991"/>
      <c r="F338" s="991"/>
      <c r="G338" s="991"/>
      <c r="H338" s="991"/>
      <c r="I338" s="991"/>
      <c r="J338" s="991"/>
      <c r="K338" s="991"/>
      <c r="L338" s="991"/>
      <c r="M338" s="991"/>
      <c r="N338" s="991"/>
      <c r="O338" s="991"/>
      <c r="P338" s="991"/>
      <c r="Q338" s="991"/>
      <c r="R338" s="991"/>
      <c r="S338" s="991"/>
      <c r="T338" s="991"/>
      <c r="U338" s="991"/>
      <c r="V338" s="991"/>
      <c r="W338" s="991"/>
      <c r="X338" s="991"/>
    </row>
    <row r="339" spans="1:24">
      <c r="A339" s="1108"/>
      <c r="B339" s="991"/>
      <c r="C339" s="991"/>
      <c r="D339" s="991"/>
      <c r="E339" s="991"/>
      <c r="F339" s="991"/>
      <c r="G339" s="991"/>
      <c r="H339" s="991"/>
      <c r="I339" s="991"/>
      <c r="J339" s="991"/>
      <c r="K339" s="991"/>
      <c r="L339" s="991"/>
      <c r="M339" s="991"/>
      <c r="N339" s="991"/>
      <c r="O339" s="991"/>
      <c r="P339" s="991"/>
      <c r="Q339" s="991"/>
      <c r="R339" s="991"/>
      <c r="S339" s="991"/>
      <c r="T339" s="991"/>
      <c r="U339" s="991"/>
      <c r="V339" s="991"/>
      <c r="W339" s="991"/>
      <c r="X339" s="991"/>
    </row>
    <row r="340" spans="1:24">
      <c r="A340" s="1108"/>
      <c r="B340" s="991"/>
      <c r="C340" s="991"/>
      <c r="D340" s="991"/>
      <c r="E340" s="991"/>
      <c r="F340" s="991"/>
      <c r="G340" s="991"/>
      <c r="H340" s="991"/>
      <c r="I340" s="991"/>
      <c r="J340" s="991"/>
      <c r="K340" s="991"/>
      <c r="L340" s="991"/>
      <c r="M340" s="991"/>
      <c r="N340" s="991"/>
      <c r="O340" s="991"/>
      <c r="P340" s="991"/>
      <c r="Q340" s="991"/>
      <c r="R340" s="991"/>
      <c r="S340" s="991"/>
      <c r="T340" s="991"/>
      <c r="U340" s="991"/>
      <c r="V340" s="991"/>
      <c r="W340" s="991"/>
      <c r="X340" s="991"/>
    </row>
    <row r="341" spans="1:24">
      <c r="A341" s="1108"/>
      <c r="B341" s="991"/>
      <c r="C341" s="991"/>
      <c r="D341" s="991"/>
      <c r="E341" s="991"/>
      <c r="F341" s="991"/>
      <c r="G341" s="991"/>
      <c r="H341" s="991"/>
      <c r="I341" s="991"/>
      <c r="J341" s="991"/>
      <c r="K341" s="991"/>
      <c r="L341" s="991"/>
      <c r="M341" s="991"/>
      <c r="N341" s="991"/>
      <c r="O341" s="991"/>
      <c r="P341" s="991"/>
      <c r="Q341" s="991"/>
      <c r="R341" s="991"/>
      <c r="S341" s="991"/>
      <c r="T341" s="991"/>
      <c r="U341" s="991"/>
      <c r="V341" s="991"/>
      <c r="W341" s="991"/>
      <c r="X341" s="991"/>
    </row>
    <row r="342" spans="1:24">
      <c r="A342" s="1108"/>
      <c r="B342" s="991"/>
      <c r="C342" s="991"/>
      <c r="D342" s="991"/>
      <c r="E342" s="991"/>
      <c r="F342" s="991"/>
      <c r="G342" s="991"/>
      <c r="H342" s="991"/>
      <c r="I342" s="991"/>
      <c r="J342" s="991"/>
      <c r="K342" s="991"/>
      <c r="L342" s="991"/>
      <c r="M342" s="991"/>
      <c r="N342" s="991"/>
      <c r="O342" s="991"/>
      <c r="P342" s="991"/>
      <c r="Q342" s="991"/>
      <c r="R342" s="991"/>
      <c r="S342" s="991"/>
      <c r="T342" s="991"/>
      <c r="U342" s="991"/>
      <c r="V342" s="991"/>
      <c r="W342" s="991"/>
      <c r="X342" s="991"/>
    </row>
    <row r="343" spans="1:24">
      <c r="A343" s="1108"/>
      <c r="B343" s="991"/>
      <c r="C343" s="991"/>
      <c r="D343" s="991"/>
      <c r="E343" s="991"/>
      <c r="F343" s="991"/>
      <c r="G343" s="991"/>
      <c r="H343" s="991"/>
      <c r="I343" s="991"/>
      <c r="J343" s="991"/>
      <c r="K343" s="991"/>
      <c r="L343" s="991"/>
      <c r="M343" s="991"/>
      <c r="N343" s="991"/>
      <c r="O343" s="991"/>
      <c r="P343" s="991"/>
      <c r="Q343" s="991"/>
      <c r="R343" s="991"/>
      <c r="S343" s="991"/>
      <c r="T343" s="991"/>
      <c r="U343" s="991"/>
      <c r="V343" s="991"/>
      <c r="W343" s="991"/>
      <c r="X343" s="991"/>
    </row>
    <row r="344" spans="1:24">
      <c r="A344" s="1108"/>
      <c r="B344" s="991"/>
      <c r="C344" s="991"/>
      <c r="D344" s="991"/>
      <c r="E344" s="991"/>
      <c r="F344" s="991"/>
      <c r="G344" s="991"/>
      <c r="H344" s="991"/>
      <c r="I344" s="991"/>
      <c r="J344" s="991"/>
      <c r="K344" s="991"/>
      <c r="L344" s="991"/>
      <c r="M344" s="991"/>
      <c r="N344" s="991"/>
      <c r="O344" s="991"/>
      <c r="P344" s="991"/>
      <c r="Q344" s="991"/>
      <c r="R344" s="991"/>
      <c r="S344" s="991"/>
      <c r="T344" s="991"/>
      <c r="U344" s="991"/>
      <c r="V344" s="991"/>
      <c r="W344" s="991"/>
      <c r="X344" s="991"/>
    </row>
    <row r="345" spans="1:24">
      <c r="A345" s="1108"/>
      <c r="B345" s="991"/>
      <c r="C345" s="991"/>
      <c r="D345" s="991"/>
      <c r="E345" s="991"/>
      <c r="F345" s="991"/>
      <c r="G345" s="991"/>
      <c r="H345" s="991"/>
      <c r="I345" s="991"/>
      <c r="J345" s="991"/>
      <c r="K345" s="991"/>
      <c r="L345" s="991"/>
      <c r="M345" s="991"/>
      <c r="N345" s="991"/>
      <c r="O345" s="991"/>
      <c r="P345" s="991"/>
      <c r="Q345" s="991"/>
      <c r="R345" s="991"/>
      <c r="S345" s="991"/>
      <c r="T345" s="991"/>
      <c r="U345" s="991"/>
      <c r="V345" s="991"/>
      <c r="W345" s="991"/>
      <c r="X345" s="991"/>
    </row>
    <row r="346" spans="1:24">
      <c r="A346" s="1108"/>
      <c r="B346" s="991"/>
      <c r="C346" s="991"/>
      <c r="D346" s="991"/>
      <c r="E346" s="991"/>
      <c r="F346" s="991"/>
      <c r="G346" s="991"/>
      <c r="H346" s="991"/>
      <c r="I346" s="991"/>
      <c r="J346" s="991"/>
      <c r="K346" s="991"/>
      <c r="L346" s="991"/>
      <c r="M346" s="991"/>
      <c r="N346" s="991"/>
      <c r="O346" s="991"/>
      <c r="P346" s="991"/>
      <c r="Q346" s="991"/>
      <c r="R346" s="991"/>
      <c r="S346" s="991"/>
      <c r="T346" s="991"/>
      <c r="U346" s="991"/>
      <c r="V346" s="991"/>
      <c r="W346" s="991"/>
      <c r="X346" s="991"/>
    </row>
    <row r="347" spans="1:24">
      <c r="A347" s="1108"/>
      <c r="B347" s="991"/>
      <c r="C347" s="991"/>
      <c r="D347" s="991"/>
      <c r="E347" s="991"/>
      <c r="F347" s="991"/>
      <c r="G347" s="991"/>
      <c r="H347" s="991"/>
      <c r="I347" s="991"/>
      <c r="J347" s="991"/>
      <c r="K347" s="991"/>
      <c r="L347" s="991"/>
      <c r="M347" s="991"/>
      <c r="N347" s="991"/>
      <c r="O347" s="991"/>
      <c r="P347" s="991"/>
      <c r="Q347" s="991"/>
      <c r="R347" s="991"/>
      <c r="S347" s="991"/>
      <c r="T347" s="991"/>
      <c r="U347" s="991"/>
      <c r="V347" s="991"/>
      <c r="W347" s="991"/>
      <c r="X347" s="991"/>
    </row>
    <row r="348" spans="1:24">
      <c r="A348" s="1108"/>
      <c r="B348" s="991"/>
      <c r="C348" s="991"/>
      <c r="D348" s="991"/>
      <c r="E348" s="991"/>
      <c r="F348" s="991"/>
      <c r="G348" s="991"/>
      <c r="H348" s="991"/>
      <c r="I348" s="991"/>
      <c r="J348" s="991"/>
      <c r="K348" s="991"/>
      <c r="L348" s="991"/>
      <c r="M348" s="991"/>
      <c r="N348" s="991"/>
      <c r="O348" s="991"/>
      <c r="P348" s="991"/>
      <c r="Q348" s="991"/>
      <c r="R348" s="991"/>
      <c r="S348" s="991"/>
      <c r="T348" s="991"/>
      <c r="U348" s="991"/>
      <c r="V348" s="991"/>
      <c r="W348" s="991"/>
      <c r="X348" s="991"/>
    </row>
    <row r="349" spans="1:24">
      <c r="A349" s="1108"/>
      <c r="B349" s="991"/>
      <c r="C349" s="991"/>
      <c r="D349" s="991"/>
      <c r="E349" s="991"/>
      <c r="F349" s="991"/>
      <c r="G349" s="991"/>
      <c r="H349" s="991"/>
      <c r="I349" s="991"/>
      <c r="J349" s="991"/>
      <c r="K349" s="991"/>
      <c r="L349" s="991"/>
      <c r="M349" s="991"/>
      <c r="N349" s="991"/>
      <c r="O349" s="991"/>
      <c r="P349" s="991"/>
      <c r="Q349" s="991"/>
      <c r="R349" s="991"/>
      <c r="S349" s="991"/>
      <c r="T349" s="991"/>
      <c r="U349" s="991"/>
      <c r="V349" s="991"/>
      <c r="W349" s="991"/>
      <c r="X349" s="991"/>
    </row>
    <row r="350" spans="1:24">
      <c r="A350" s="1108"/>
      <c r="B350" s="991"/>
      <c r="C350" s="991"/>
      <c r="D350" s="991"/>
      <c r="E350" s="991"/>
      <c r="F350" s="991"/>
      <c r="G350" s="991"/>
      <c r="H350" s="991"/>
      <c r="I350" s="991"/>
      <c r="J350" s="991"/>
      <c r="K350" s="991"/>
      <c r="L350" s="991"/>
      <c r="M350" s="991"/>
      <c r="N350" s="991"/>
      <c r="O350" s="991"/>
      <c r="P350" s="991"/>
      <c r="Q350" s="991"/>
      <c r="R350" s="991"/>
      <c r="S350" s="991"/>
      <c r="T350" s="991"/>
      <c r="U350" s="991"/>
      <c r="V350" s="991"/>
      <c r="W350" s="991"/>
      <c r="X350" s="991"/>
    </row>
    <row r="351" spans="1:24">
      <c r="A351" s="1108"/>
      <c r="B351" s="991"/>
      <c r="C351" s="991"/>
      <c r="D351" s="991"/>
      <c r="E351" s="991"/>
      <c r="F351" s="991"/>
      <c r="G351" s="991"/>
      <c r="H351" s="991"/>
      <c r="I351" s="991"/>
      <c r="J351" s="991"/>
      <c r="K351" s="991"/>
      <c r="L351" s="991"/>
      <c r="M351" s="991"/>
      <c r="N351" s="991"/>
      <c r="O351" s="991"/>
      <c r="P351" s="991"/>
      <c r="Q351" s="991"/>
      <c r="R351" s="991"/>
      <c r="S351" s="991"/>
      <c r="T351" s="991"/>
      <c r="U351" s="991"/>
      <c r="V351" s="991"/>
      <c r="W351" s="991"/>
      <c r="X351" s="991"/>
    </row>
    <row r="352" spans="1:24">
      <c r="A352" s="1108"/>
      <c r="B352" s="991"/>
      <c r="C352" s="991"/>
      <c r="D352" s="991"/>
      <c r="E352" s="991"/>
      <c r="F352" s="991"/>
      <c r="G352" s="991"/>
      <c r="H352" s="991"/>
      <c r="I352" s="991"/>
      <c r="J352" s="991"/>
      <c r="K352" s="991"/>
      <c r="L352" s="991"/>
      <c r="M352" s="991"/>
      <c r="N352" s="991"/>
      <c r="O352" s="991"/>
      <c r="P352" s="991"/>
      <c r="Q352" s="991"/>
      <c r="R352" s="991"/>
      <c r="S352" s="991"/>
      <c r="T352" s="991"/>
      <c r="U352" s="991"/>
      <c r="V352" s="991"/>
      <c r="W352" s="991"/>
      <c r="X352" s="991"/>
    </row>
    <row r="353" spans="1:24">
      <c r="A353" s="1108"/>
      <c r="B353" s="991"/>
      <c r="C353" s="991"/>
      <c r="D353" s="991"/>
      <c r="E353" s="991"/>
      <c r="F353" s="991"/>
      <c r="G353" s="991"/>
      <c r="H353" s="991"/>
      <c r="I353" s="991"/>
      <c r="J353" s="991"/>
      <c r="K353" s="991"/>
      <c r="L353" s="991"/>
      <c r="M353" s="991"/>
      <c r="N353" s="991"/>
      <c r="O353" s="991"/>
      <c r="P353" s="991"/>
      <c r="Q353" s="991"/>
      <c r="R353" s="991"/>
      <c r="S353" s="991"/>
      <c r="T353" s="991"/>
      <c r="U353" s="991"/>
      <c r="V353" s="991"/>
      <c r="W353" s="991"/>
      <c r="X353" s="991"/>
    </row>
    <row r="354" spans="1:24">
      <c r="A354" s="1108"/>
      <c r="B354" s="991"/>
      <c r="C354" s="991"/>
      <c r="D354" s="991"/>
      <c r="E354" s="991"/>
      <c r="F354" s="991"/>
      <c r="G354" s="991"/>
      <c r="H354" s="991"/>
      <c r="I354" s="991"/>
      <c r="J354" s="991"/>
      <c r="K354" s="991"/>
      <c r="L354" s="991"/>
      <c r="M354" s="991"/>
      <c r="N354" s="991"/>
      <c r="O354" s="991"/>
      <c r="P354" s="991"/>
      <c r="Q354" s="991"/>
      <c r="R354" s="991"/>
      <c r="S354" s="991"/>
      <c r="T354" s="991"/>
      <c r="U354" s="991"/>
      <c r="V354" s="991"/>
      <c r="W354" s="991"/>
      <c r="X354" s="991"/>
    </row>
    <row r="355" spans="1:24">
      <c r="A355" s="1108"/>
      <c r="B355" s="991"/>
      <c r="C355" s="991"/>
      <c r="D355" s="991"/>
      <c r="E355" s="991"/>
      <c r="F355" s="991"/>
      <c r="G355" s="991"/>
      <c r="H355" s="991"/>
      <c r="I355" s="991"/>
      <c r="J355" s="991"/>
      <c r="K355" s="991"/>
      <c r="L355" s="991"/>
      <c r="M355" s="991"/>
      <c r="N355" s="991"/>
      <c r="O355" s="991"/>
      <c r="P355" s="991"/>
      <c r="Q355" s="991"/>
      <c r="R355" s="991"/>
      <c r="S355" s="991"/>
      <c r="T355" s="991"/>
      <c r="U355" s="991"/>
      <c r="V355" s="991"/>
      <c r="W355" s="991"/>
      <c r="X355" s="991"/>
    </row>
    <row r="356" spans="1:24">
      <c r="A356" s="1108"/>
      <c r="B356" s="991"/>
      <c r="C356" s="991"/>
      <c r="D356" s="991"/>
      <c r="E356" s="991"/>
      <c r="F356" s="991"/>
      <c r="G356" s="991"/>
      <c r="H356" s="991"/>
      <c r="I356" s="991"/>
      <c r="J356" s="991"/>
      <c r="K356" s="991"/>
      <c r="L356" s="991"/>
      <c r="M356" s="991"/>
      <c r="N356" s="991"/>
      <c r="O356" s="991"/>
      <c r="P356" s="991"/>
      <c r="Q356" s="991"/>
      <c r="R356" s="991"/>
      <c r="S356" s="991"/>
      <c r="T356" s="991"/>
      <c r="U356" s="991"/>
      <c r="V356" s="991"/>
      <c r="W356" s="991"/>
      <c r="X356" s="991"/>
    </row>
    <row r="357" spans="1:24">
      <c r="A357" s="1108"/>
      <c r="B357" s="991"/>
      <c r="C357" s="991"/>
      <c r="D357" s="991"/>
      <c r="E357" s="991"/>
      <c r="F357" s="991"/>
      <c r="G357" s="991"/>
      <c r="H357" s="991"/>
      <c r="I357" s="991"/>
      <c r="J357" s="991"/>
      <c r="K357" s="991"/>
      <c r="L357" s="991"/>
      <c r="M357" s="991"/>
      <c r="N357" s="991"/>
      <c r="O357" s="991"/>
      <c r="P357" s="991"/>
      <c r="Q357" s="991"/>
      <c r="R357" s="991"/>
      <c r="S357" s="991"/>
      <c r="T357" s="991"/>
      <c r="U357" s="991"/>
      <c r="V357" s="991"/>
      <c r="W357" s="991"/>
      <c r="X357" s="991"/>
    </row>
    <row r="358" spans="1:24">
      <c r="A358" s="1108"/>
      <c r="B358" s="991"/>
      <c r="C358" s="991"/>
      <c r="D358" s="991"/>
      <c r="E358" s="991"/>
      <c r="F358" s="991"/>
      <c r="G358" s="991"/>
      <c r="H358" s="991"/>
      <c r="I358" s="991"/>
      <c r="J358" s="991"/>
      <c r="K358" s="991"/>
      <c r="L358" s="991"/>
      <c r="M358" s="991"/>
      <c r="N358" s="991"/>
      <c r="O358" s="991"/>
      <c r="P358" s="991"/>
      <c r="Q358" s="991"/>
      <c r="R358" s="991"/>
      <c r="S358" s="991"/>
      <c r="T358" s="991"/>
      <c r="U358" s="991"/>
      <c r="V358" s="991"/>
      <c r="W358" s="991"/>
      <c r="X358" s="991"/>
    </row>
    <row r="359" spans="1:24">
      <c r="A359" s="1108"/>
      <c r="B359" s="991"/>
      <c r="C359" s="991"/>
      <c r="D359" s="991"/>
      <c r="E359" s="991"/>
      <c r="F359" s="991"/>
      <c r="G359" s="991"/>
      <c r="H359" s="991"/>
      <c r="I359" s="991"/>
      <c r="J359" s="991"/>
      <c r="K359" s="991"/>
      <c r="L359" s="991"/>
      <c r="M359" s="991"/>
      <c r="N359" s="991"/>
      <c r="O359" s="991"/>
      <c r="P359" s="991"/>
      <c r="Q359" s="991"/>
      <c r="R359" s="991"/>
      <c r="S359" s="991"/>
      <c r="T359" s="991"/>
      <c r="U359" s="991"/>
      <c r="V359" s="991"/>
      <c r="W359" s="991"/>
      <c r="X359" s="991"/>
    </row>
    <row r="360" spans="1:24">
      <c r="A360" s="1108"/>
      <c r="B360" s="991"/>
      <c r="C360" s="991"/>
      <c r="D360" s="991"/>
      <c r="E360" s="991"/>
      <c r="F360" s="991"/>
      <c r="G360" s="991"/>
      <c r="H360" s="991"/>
      <c r="I360" s="991"/>
      <c r="J360" s="991"/>
      <c r="K360" s="991"/>
      <c r="L360" s="991"/>
      <c r="M360" s="991"/>
      <c r="N360" s="991"/>
      <c r="O360" s="991"/>
      <c r="P360" s="991"/>
      <c r="Q360" s="991"/>
      <c r="R360" s="991"/>
      <c r="S360" s="991"/>
      <c r="T360" s="991"/>
      <c r="U360" s="991"/>
      <c r="V360" s="991"/>
      <c r="W360" s="991"/>
      <c r="X360" s="991"/>
    </row>
    <row r="361" spans="1:24">
      <c r="A361" s="1108"/>
      <c r="B361" s="991"/>
      <c r="C361" s="991"/>
      <c r="D361" s="991"/>
      <c r="E361" s="991"/>
      <c r="F361" s="991"/>
      <c r="G361" s="991"/>
      <c r="H361" s="991"/>
      <c r="I361" s="991"/>
      <c r="J361" s="991"/>
      <c r="K361" s="991"/>
      <c r="L361" s="991"/>
      <c r="M361" s="991"/>
      <c r="N361" s="991"/>
      <c r="O361" s="991"/>
      <c r="P361" s="991"/>
      <c r="Q361" s="991"/>
      <c r="R361" s="991"/>
      <c r="S361" s="991"/>
      <c r="T361" s="991"/>
      <c r="U361" s="991"/>
      <c r="V361" s="991"/>
      <c r="W361" s="991"/>
      <c r="X361" s="991"/>
    </row>
    <row r="362" spans="1:24">
      <c r="A362" s="1108"/>
      <c r="B362" s="991"/>
      <c r="C362" s="991"/>
      <c r="D362" s="991"/>
      <c r="E362" s="991"/>
      <c r="F362" s="991"/>
      <c r="G362" s="991"/>
      <c r="H362" s="991"/>
      <c r="I362" s="991"/>
      <c r="J362" s="991"/>
      <c r="K362" s="991"/>
      <c r="L362" s="991"/>
      <c r="M362" s="991"/>
      <c r="N362" s="991"/>
      <c r="O362" s="991"/>
      <c r="P362" s="991"/>
      <c r="Q362" s="991"/>
      <c r="R362" s="991"/>
      <c r="S362" s="991"/>
      <c r="T362" s="991"/>
      <c r="U362" s="991"/>
      <c r="V362" s="991"/>
      <c r="W362" s="991"/>
      <c r="X362" s="991"/>
    </row>
    <row r="363" spans="1:24">
      <c r="A363" s="1108"/>
      <c r="B363" s="991"/>
      <c r="C363" s="991"/>
      <c r="D363" s="991"/>
      <c r="E363" s="991"/>
      <c r="F363" s="991"/>
      <c r="G363" s="991"/>
      <c r="H363" s="991"/>
      <c r="I363" s="991"/>
      <c r="J363" s="991"/>
      <c r="K363" s="991"/>
      <c r="L363" s="991"/>
      <c r="M363" s="991"/>
      <c r="N363" s="991"/>
      <c r="O363" s="991"/>
      <c r="P363" s="991"/>
      <c r="Q363" s="991"/>
      <c r="R363" s="991"/>
      <c r="S363" s="991"/>
      <c r="T363" s="991"/>
      <c r="U363" s="991"/>
      <c r="V363" s="991"/>
      <c r="W363" s="991"/>
      <c r="X363" s="991"/>
    </row>
    <row r="364" spans="1:24">
      <c r="A364" s="1108"/>
      <c r="B364" s="991"/>
      <c r="C364" s="991"/>
      <c r="D364" s="991"/>
      <c r="E364" s="991"/>
      <c r="F364" s="991"/>
      <c r="G364" s="991"/>
      <c r="H364" s="991"/>
      <c r="I364" s="991"/>
      <c r="J364" s="991"/>
      <c r="K364" s="991"/>
      <c r="L364" s="991"/>
      <c r="M364" s="991"/>
      <c r="N364" s="991"/>
      <c r="O364" s="991"/>
      <c r="P364" s="991"/>
      <c r="Q364" s="991"/>
      <c r="R364" s="991"/>
      <c r="S364" s="991"/>
      <c r="T364" s="991"/>
      <c r="U364" s="991"/>
      <c r="V364" s="991"/>
      <c r="W364" s="991"/>
      <c r="X364" s="991"/>
    </row>
    <row r="365" spans="1:24">
      <c r="A365" s="1108"/>
      <c r="B365" s="991"/>
      <c r="C365" s="991"/>
      <c r="D365" s="991"/>
      <c r="E365" s="991"/>
      <c r="F365" s="991"/>
      <c r="G365" s="991"/>
      <c r="H365" s="991"/>
      <c r="I365" s="991"/>
      <c r="J365" s="991"/>
      <c r="K365" s="991"/>
      <c r="L365" s="991"/>
      <c r="M365" s="991"/>
      <c r="N365" s="991"/>
      <c r="O365" s="991"/>
      <c r="P365" s="991"/>
      <c r="Q365" s="991"/>
      <c r="R365" s="991"/>
      <c r="S365" s="991"/>
      <c r="T365" s="991"/>
      <c r="U365" s="991"/>
      <c r="V365" s="991"/>
      <c r="W365" s="991"/>
      <c r="X365" s="991"/>
    </row>
    <row r="366" spans="1:24">
      <c r="A366" s="1108"/>
      <c r="B366" s="991"/>
      <c r="C366" s="991"/>
      <c r="D366" s="991"/>
      <c r="E366" s="991"/>
      <c r="F366" s="991"/>
      <c r="G366" s="991"/>
      <c r="H366" s="991"/>
      <c r="I366" s="991"/>
      <c r="J366" s="991"/>
      <c r="K366" s="991"/>
      <c r="L366" s="991"/>
      <c r="M366" s="991"/>
      <c r="N366" s="991"/>
      <c r="O366" s="991"/>
      <c r="P366" s="991"/>
      <c r="Q366" s="991"/>
      <c r="R366" s="991"/>
      <c r="S366" s="991"/>
      <c r="T366" s="991"/>
      <c r="U366" s="991"/>
      <c r="V366" s="991"/>
      <c r="W366" s="991"/>
      <c r="X366" s="991"/>
    </row>
    <row r="367" spans="1:24">
      <c r="A367" s="1108"/>
      <c r="B367" s="991"/>
      <c r="C367" s="991"/>
      <c r="D367" s="991"/>
      <c r="E367" s="991"/>
      <c r="F367" s="991"/>
      <c r="G367" s="991"/>
      <c r="H367" s="991"/>
      <c r="I367" s="991"/>
      <c r="J367" s="991"/>
      <c r="K367" s="991"/>
      <c r="L367" s="991"/>
      <c r="M367" s="991"/>
      <c r="N367" s="991"/>
      <c r="O367" s="991"/>
      <c r="P367" s="991"/>
      <c r="Q367" s="991"/>
      <c r="R367" s="991"/>
      <c r="S367" s="991"/>
      <c r="T367" s="991"/>
      <c r="U367" s="991"/>
      <c r="V367" s="991"/>
      <c r="W367" s="991"/>
      <c r="X367" s="991"/>
    </row>
    <row r="368" spans="1:24">
      <c r="A368" s="1108"/>
      <c r="B368" s="991"/>
      <c r="C368" s="991"/>
      <c r="D368" s="991"/>
      <c r="E368" s="991"/>
      <c r="F368" s="991"/>
      <c r="G368" s="991"/>
      <c r="H368" s="991"/>
      <c r="I368" s="991"/>
      <c r="J368" s="991"/>
      <c r="K368" s="991"/>
      <c r="L368" s="991"/>
      <c r="M368" s="991"/>
      <c r="N368" s="991"/>
      <c r="O368" s="991"/>
      <c r="P368" s="991"/>
      <c r="Q368" s="991"/>
      <c r="R368" s="991"/>
      <c r="S368" s="991"/>
      <c r="T368" s="991"/>
      <c r="U368" s="991"/>
      <c r="V368" s="991"/>
      <c r="W368" s="991"/>
      <c r="X368" s="991"/>
    </row>
    <row r="369" spans="1:24">
      <c r="A369" s="1108"/>
      <c r="B369" s="991"/>
      <c r="C369" s="991"/>
      <c r="D369" s="991"/>
      <c r="E369" s="991"/>
      <c r="F369" s="991"/>
      <c r="G369" s="991"/>
      <c r="H369" s="991"/>
      <c r="I369" s="991"/>
      <c r="J369" s="991"/>
      <c r="K369" s="991"/>
      <c r="L369" s="991"/>
      <c r="M369" s="991"/>
      <c r="N369" s="991"/>
      <c r="O369" s="991"/>
      <c r="P369" s="991"/>
      <c r="Q369" s="991"/>
      <c r="R369" s="991"/>
      <c r="S369" s="991"/>
      <c r="T369" s="991"/>
      <c r="U369" s="991"/>
      <c r="V369" s="991"/>
      <c r="W369" s="991"/>
      <c r="X369" s="991"/>
    </row>
    <row r="370" spans="1:24">
      <c r="A370" s="1108"/>
      <c r="B370" s="991"/>
      <c r="C370" s="991"/>
      <c r="D370" s="991"/>
      <c r="E370" s="991"/>
      <c r="F370" s="991"/>
      <c r="G370" s="991"/>
      <c r="H370" s="991"/>
      <c r="I370" s="991"/>
      <c r="J370" s="991"/>
      <c r="K370" s="991"/>
      <c r="L370" s="991"/>
      <c r="M370" s="991"/>
      <c r="N370" s="991"/>
      <c r="O370" s="991"/>
      <c r="P370" s="991"/>
      <c r="Q370" s="991"/>
      <c r="R370" s="991"/>
      <c r="S370" s="991"/>
      <c r="T370" s="991"/>
      <c r="U370" s="991"/>
      <c r="V370" s="991"/>
      <c r="W370" s="991"/>
      <c r="X370" s="991"/>
    </row>
    <row r="371" spans="1:24">
      <c r="A371" s="1108"/>
      <c r="B371" s="991"/>
      <c r="C371" s="991"/>
      <c r="D371" s="991"/>
      <c r="E371" s="991"/>
      <c r="F371" s="991"/>
      <c r="G371" s="991"/>
      <c r="H371" s="991"/>
      <c r="I371" s="991"/>
      <c r="J371" s="991"/>
      <c r="K371" s="991"/>
      <c r="L371" s="991"/>
      <c r="M371" s="991"/>
      <c r="N371" s="991"/>
      <c r="O371" s="991"/>
      <c r="P371" s="991"/>
      <c r="Q371" s="991"/>
      <c r="R371" s="991"/>
      <c r="S371" s="991"/>
      <c r="T371" s="991"/>
      <c r="U371" s="991"/>
      <c r="V371" s="991"/>
      <c r="W371" s="991"/>
      <c r="X371" s="991"/>
    </row>
    <row r="372" spans="1:24">
      <c r="A372" s="991"/>
      <c r="B372" s="991"/>
      <c r="C372" s="991"/>
      <c r="D372" s="991"/>
      <c r="E372" s="991"/>
      <c r="F372" s="991"/>
      <c r="G372" s="991"/>
      <c r="H372" s="991"/>
      <c r="I372" s="991"/>
      <c r="J372" s="991"/>
      <c r="K372" s="991"/>
      <c r="L372" s="991"/>
      <c r="M372" s="991"/>
      <c r="N372" s="991"/>
      <c r="O372" s="991"/>
      <c r="P372" s="991"/>
      <c r="Q372" s="991"/>
      <c r="R372" s="991"/>
      <c r="S372" s="991"/>
      <c r="T372" s="991"/>
      <c r="U372" s="991"/>
      <c r="V372" s="991"/>
      <c r="W372" s="991"/>
      <c r="X372" s="991"/>
    </row>
  </sheetData>
  <mergeCells count="1">
    <mergeCell ref="D3:J6"/>
  </mergeCells>
  <phoneticPr fontId="27" type="noConversion"/>
  <pageMargins left="0.75" right="0.5" top="0.75" bottom="0.5" header="0.25" footer="0.25"/>
  <pageSetup scale="64"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24">
    <pageSetUpPr fitToPage="1"/>
  </sheetPr>
  <dimension ref="A1:L1001"/>
  <sheetViews>
    <sheetView view="pageBreakPreview" zoomScaleNormal="100" zoomScaleSheetLayoutView="100" workbookViewId="0">
      <selection activeCell="A7" sqref="A7:J8"/>
    </sheetView>
  </sheetViews>
  <sheetFormatPr defaultColWidth="10.85546875" defaultRowHeight="12"/>
  <cols>
    <col min="1" max="1" width="5.140625" style="211" customWidth="1"/>
    <col min="2" max="2" width="33.5703125" style="211" customWidth="1"/>
    <col min="3" max="3" width="10.140625" style="211" customWidth="1"/>
    <col min="4" max="4" width="13.85546875" style="211" customWidth="1"/>
    <col min="5" max="5" width="12.7109375" style="211" customWidth="1"/>
    <col min="6" max="6" width="13.85546875" style="211" customWidth="1"/>
    <col min="7" max="7" width="12" style="211" customWidth="1"/>
    <col min="8" max="8" width="10" style="211" customWidth="1"/>
    <col min="9" max="9" width="2.5703125" style="211" customWidth="1"/>
    <col min="10" max="10" width="72.85546875" style="319" customWidth="1"/>
    <col min="11" max="11" width="4.140625" style="319" hidden="1" customWidth="1"/>
    <col min="12" max="16384" width="10.85546875" style="211"/>
  </cols>
  <sheetData>
    <row r="1" spans="1:12">
      <c r="A1" s="203" t="s">
        <v>602</v>
      </c>
      <c r="B1" s="203"/>
      <c r="C1" s="282"/>
      <c r="E1" s="282"/>
      <c r="G1" s="203"/>
      <c r="H1" s="203"/>
      <c r="I1" s="143" t="s">
        <v>1209</v>
      </c>
      <c r="J1" s="315"/>
      <c r="K1" s="315"/>
    </row>
    <row r="2" spans="1:12">
      <c r="A2" s="203"/>
      <c r="B2" s="203"/>
      <c r="C2" s="282"/>
      <c r="E2" s="282"/>
      <c r="G2" s="203"/>
      <c r="H2" s="203"/>
      <c r="I2" s="203"/>
      <c r="J2" s="315"/>
      <c r="K2" s="315"/>
    </row>
    <row r="3" spans="1:12">
      <c r="A3" s="203" t="s">
        <v>2644</v>
      </c>
      <c r="B3" s="203"/>
      <c r="C3" s="282"/>
      <c r="E3" s="282"/>
      <c r="G3" s="203"/>
      <c r="H3" s="203"/>
      <c r="I3" s="140" t="s">
        <v>1063</v>
      </c>
      <c r="J3" s="315"/>
      <c r="K3" s="315"/>
      <c r="L3" s="203"/>
    </row>
    <row r="4" spans="1:12">
      <c r="A4" s="203" t="s">
        <v>2645</v>
      </c>
      <c r="B4" s="203"/>
      <c r="C4" s="203"/>
      <c r="E4" s="203"/>
      <c r="G4" s="203"/>
      <c r="H4" s="203"/>
      <c r="I4" s="203" t="s">
        <v>766</v>
      </c>
      <c r="J4" s="315"/>
      <c r="K4" s="315"/>
    </row>
    <row r="5" spans="1:12">
      <c r="A5" s="203" t="s">
        <v>1935</v>
      </c>
      <c r="B5" s="203"/>
      <c r="C5" s="203"/>
      <c r="E5" s="203"/>
      <c r="G5" s="203"/>
      <c r="H5" s="203"/>
      <c r="I5" s="203" t="s">
        <v>2949</v>
      </c>
      <c r="J5" s="315"/>
      <c r="K5" s="315"/>
    </row>
    <row r="6" spans="1:12">
      <c r="A6" s="203"/>
      <c r="B6" s="203"/>
      <c r="C6" s="203"/>
      <c r="D6" s="203"/>
      <c r="E6" s="203"/>
      <c r="F6" s="203"/>
      <c r="G6" s="203"/>
      <c r="H6" s="203"/>
      <c r="I6" s="203"/>
      <c r="J6" s="315"/>
      <c r="K6" s="315"/>
    </row>
    <row r="7" spans="1:12" ht="12.75" customHeight="1">
      <c r="A7" s="2364" t="s">
        <v>572</v>
      </c>
      <c r="B7" s="2364"/>
      <c r="C7" s="2364"/>
      <c r="D7" s="2364"/>
      <c r="E7" s="2364"/>
      <c r="F7" s="2364"/>
      <c r="G7" s="2364"/>
      <c r="H7" s="2364"/>
      <c r="I7" s="2364"/>
      <c r="J7" s="2364"/>
      <c r="K7" s="291"/>
    </row>
    <row r="8" spans="1:12" ht="12.75" customHeight="1">
      <c r="A8" s="2364"/>
      <c r="B8" s="2364"/>
      <c r="C8" s="2364"/>
      <c r="D8" s="2364"/>
      <c r="E8" s="2364"/>
      <c r="F8" s="2364"/>
      <c r="G8" s="2364"/>
      <c r="H8" s="2364"/>
      <c r="I8" s="2364"/>
      <c r="J8" s="2364"/>
      <c r="K8" s="291"/>
    </row>
    <row r="9" spans="1:12">
      <c r="A9" s="291"/>
      <c r="B9" s="291"/>
      <c r="C9" s="291"/>
      <c r="D9" s="291"/>
      <c r="E9" s="291"/>
      <c r="F9" s="291"/>
      <c r="G9" s="291"/>
      <c r="H9" s="291"/>
      <c r="I9" s="291"/>
      <c r="J9" s="291"/>
      <c r="K9" s="291"/>
    </row>
    <row r="10" spans="1:12" ht="12.75" thickBot="1">
      <c r="A10" s="2129"/>
      <c r="B10" s="2129"/>
      <c r="C10" s="2129"/>
      <c r="D10" s="2129"/>
      <c r="E10" s="2129"/>
      <c r="F10" s="2129"/>
      <c r="G10" s="2129"/>
      <c r="H10" s="2129"/>
      <c r="I10" s="2129"/>
      <c r="J10" s="2129"/>
      <c r="K10" s="2129"/>
    </row>
    <row r="11" spans="1:12" s="319" customFormat="1">
      <c r="A11" s="315"/>
      <c r="B11" s="1024">
        <v>-1</v>
      </c>
      <c r="C11" s="1024">
        <v>-2</v>
      </c>
      <c r="D11" s="1024">
        <v>-3</v>
      </c>
      <c r="E11" s="1024">
        <v>-4</v>
      </c>
      <c r="F11" s="1024">
        <v>-5</v>
      </c>
      <c r="G11" s="1024">
        <v>-6</v>
      </c>
      <c r="H11" s="1024">
        <v>-7</v>
      </c>
      <c r="I11" s="1024"/>
      <c r="J11" s="1024">
        <v>-8</v>
      </c>
      <c r="K11" s="1024"/>
      <c r="L11" s="1024"/>
    </row>
    <row r="12" spans="1:12">
      <c r="A12" s="210" t="s">
        <v>53</v>
      </c>
      <c r="B12" s="203"/>
      <c r="C12" s="262" t="s">
        <v>1505</v>
      </c>
      <c r="D12" s="262" t="s">
        <v>933</v>
      </c>
      <c r="E12" s="210" t="s">
        <v>969</v>
      </c>
      <c r="F12" s="210" t="s">
        <v>968</v>
      </c>
      <c r="G12" s="210" t="s">
        <v>493</v>
      </c>
      <c r="H12" s="210" t="s">
        <v>1347</v>
      </c>
      <c r="I12" s="210"/>
      <c r="J12" s="316" t="s">
        <v>611</v>
      </c>
      <c r="K12" s="316" t="s">
        <v>611</v>
      </c>
    </row>
    <row r="13" spans="1:12" ht="33" customHeight="1">
      <c r="A13" s="1255" t="s">
        <v>730</v>
      </c>
      <c r="B13" s="1261" t="s">
        <v>975</v>
      </c>
      <c r="C13" s="1488" t="s">
        <v>2314</v>
      </c>
      <c r="D13" s="1256" t="s">
        <v>1897</v>
      </c>
      <c r="E13" s="1255" t="s">
        <v>882</v>
      </c>
      <c r="F13" s="1489" t="s">
        <v>560</v>
      </c>
      <c r="G13" s="1255" t="s">
        <v>612</v>
      </c>
      <c r="H13" s="1255" t="s">
        <v>612</v>
      </c>
      <c r="I13" s="1255"/>
      <c r="J13" s="1257" t="s">
        <v>613</v>
      </c>
      <c r="K13" s="2130"/>
    </row>
    <row r="14" spans="1:12">
      <c r="A14" s="210"/>
      <c r="C14" s="281"/>
      <c r="D14" s="281"/>
      <c r="E14" s="281"/>
      <c r="F14" s="281"/>
      <c r="G14" s="281"/>
    </row>
    <row r="15" spans="1:12">
      <c r="A15" s="281">
        <v>1</v>
      </c>
      <c r="B15" s="211" t="s">
        <v>1148</v>
      </c>
      <c r="C15" s="216">
        <v>278451</v>
      </c>
      <c r="D15" s="216">
        <v>230773.72</v>
      </c>
      <c r="E15" s="216">
        <v>46690.159619999999</v>
      </c>
      <c r="F15" s="216">
        <v>277463.87962000002</v>
      </c>
      <c r="G15" s="216">
        <v>-987.12037999997847</v>
      </c>
      <c r="H15" s="284">
        <v>-0.35</v>
      </c>
      <c r="I15" s="211" t="s">
        <v>1347</v>
      </c>
      <c r="J15" s="1490" t="s">
        <v>3234</v>
      </c>
    </row>
    <row r="16" spans="1:12">
      <c r="A16" s="281">
        <v>2</v>
      </c>
      <c r="B16" s="211" t="s">
        <v>1149</v>
      </c>
      <c r="C16" s="212">
        <v>0</v>
      </c>
      <c r="D16" s="215">
        <v>10610.31</v>
      </c>
      <c r="E16" s="216">
        <v>397.88662499999998</v>
      </c>
      <c r="F16" s="212">
        <v>11008.196624999999</v>
      </c>
      <c r="G16" s="150">
        <v>11008.196624999999</v>
      </c>
      <c r="H16" s="284">
        <v>100</v>
      </c>
      <c r="I16" s="211" t="s">
        <v>1347</v>
      </c>
      <c r="J16" s="2163" t="s">
        <v>3245</v>
      </c>
      <c r="L16" s="2278"/>
    </row>
    <row r="17" spans="1:11">
      <c r="A17" s="281">
        <v>3</v>
      </c>
      <c r="B17" s="211" t="s">
        <v>1150</v>
      </c>
      <c r="C17" s="212">
        <v>62366</v>
      </c>
      <c r="D17" s="215">
        <v>75938.64</v>
      </c>
      <c r="E17" s="216">
        <v>14641.965576000001</v>
      </c>
      <c r="F17" s="212">
        <v>90580.605576000002</v>
      </c>
      <c r="G17" s="150">
        <v>28214.605576000002</v>
      </c>
      <c r="H17" s="284">
        <v>45.24</v>
      </c>
      <c r="I17" s="211" t="s">
        <v>1347</v>
      </c>
      <c r="J17" s="2166" t="s">
        <v>3235</v>
      </c>
      <c r="K17" s="2131"/>
    </row>
    <row r="18" spans="1:11" ht="12" customHeight="1">
      <c r="A18" s="281">
        <v>4</v>
      </c>
      <c r="B18" s="211" t="s">
        <v>1134</v>
      </c>
      <c r="C18" s="212">
        <v>0</v>
      </c>
      <c r="D18" s="215">
        <v>0</v>
      </c>
      <c r="E18" s="215">
        <v>0</v>
      </c>
      <c r="F18" s="212">
        <v>0</v>
      </c>
      <c r="G18" s="150" t="s">
        <v>560</v>
      </c>
      <c r="H18" s="284" t="s">
        <v>560</v>
      </c>
      <c r="I18" s="211" t="s">
        <v>1347</v>
      </c>
      <c r="J18" s="1490"/>
    </row>
    <row r="19" spans="1:11">
      <c r="A19" s="281">
        <v>5</v>
      </c>
      <c r="B19" s="211" t="s">
        <v>1135</v>
      </c>
      <c r="C19" s="212">
        <v>408840</v>
      </c>
      <c r="D19" s="215">
        <v>172030.86</v>
      </c>
      <c r="E19" s="215">
        <v>0</v>
      </c>
      <c r="F19" s="212">
        <v>172030.86</v>
      </c>
      <c r="G19" s="150">
        <v>-236809.14</v>
      </c>
      <c r="H19" s="284">
        <v>-57.92</v>
      </c>
      <c r="I19" s="211" t="s">
        <v>1347</v>
      </c>
      <c r="J19" s="1490" t="s">
        <v>3234</v>
      </c>
    </row>
    <row r="20" spans="1:11">
      <c r="A20" s="281">
        <v>6</v>
      </c>
      <c r="B20" s="211" t="s">
        <v>901</v>
      </c>
      <c r="C20" s="212">
        <v>159559</v>
      </c>
      <c r="D20" s="215">
        <v>161901.23000000001</v>
      </c>
      <c r="E20" s="215">
        <v>0</v>
      </c>
      <c r="F20" s="212">
        <v>161901.23000000001</v>
      </c>
      <c r="G20" s="150">
        <v>2342.2300000000105</v>
      </c>
      <c r="H20" s="284">
        <v>1.47</v>
      </c>
      <c r="I20" s="211" t="s">
        <v>1347</v>
      </c>
      <c r="J20" s="2277" t="s">
        <v>3020</v>
      </c>
      <c r="K20" s="2131"/>
    </row>
    <row r="21" spans="1:11">
      <c r="A21" s="281">
        <v>7</v>
      </c>
      <c r="B21" s="211" t="s">
        <v>1459</v>
      </c>
      <c r="C21" s="212">
        <v>0</v>
      </c>
      <c r="D21" s="215">
        <v>0</v>
      </c>
      <c r="E21" s="215">
        <v>0</v>
      </c>
      <c r="F21" s="212">
        <v>0</v>
      </c>
      <c r="G21" s="150" t="s">
        <v>560</v>
      </c>
      <c r="H21" s="284" t="s">
        <v>560</v>
      </c>
      <c r="I21" s="211" t="s">
        <v>1347</v>
      </c>
      <c r="J21" s="2164"/>
    </row>
    <row r="22" spans="1:11">
      <c r="A22" s="281">
        <v>8</v>
      </c>
      <c r="B22" s="211" t="s">
        <v>1460</v>
      </c>
      <c r="C22" s="212">
        <v>167737</v>
      </c>
      <c r="D22" s="215">
        <v>164303.09</v>
      </c>
      <c r="E22" s="215">
        <v>-3079.9964999999793</v>
      </c>
      <c r="F22" s="212">
        <v>161223.09350000002</v>
      </c>
      <c r="G22" s="150">
        <v>-6513.9064999999828</v>
      </c>
      <c r="H22" s="284">
        <v>-3.88</v>
      </c>
      <c r="I22" s="211" t="s">
        <v>1347</v>
      </c>
      <c r="J22" s="1490" t="s">
        <v>3234</v>
      </c>
    </row>
    <row r="23" spans="1:11">
      <c r="A23" s="281">
        <v>9</v>
      </c>
      <c r="B23" s="211" t="s">
        <v>1156</v>
      </c>
      <c r="C23" s="212">
        <v>6015</v>
      </c>
      <c r="D23" s="215">
        <v>76954.66</v>
      </c>
      <c r="E23" s="215">
        <v>0</v>
      </c>
      <c r="F23" s="212">
        <v>76954.66</v>
      </c>
      <c r="G23" s="150">
        <v>70939.66</v>
      </c>
      <c r="H23" s="284">
        <v>1179.3800000000001</v>
      </c>
      <c r="I23" s="211" t="s">
        <v>1347</v>
      </c>
      <c r="J23" s="1491" t="s">
        <v>3021</v>
      </c>
    </row>
    <row r="24" spans="1:11">
      <c r="A24" s="281">
        <v>10</v>
      </c>
      <c r="B24" s="211" t="s">
        <v>1157</v>
      </c>
      <c r="C24" s="212">
        <v>0</v>
      </c>
      <c r="D24" s="215">
        <v>6805.98</v>
      </c>
      <c r="E24" s="215">
        <v>0</v>
      </c>
      <c r="F24" s="212">
        <v>6805.98</v>
      </c>
      <c r="G24" s="150">
        <v>6805.98</v>
      </c>
      <c r="H24" s="284">
        <v>100</v>
      </c>
      <c r="I24" s="211" t="s">
        <v>1347</v>
      </c>
      <c r="J24" s="2165" t="s">
        <v>3022</v>
      </c>
    </row>
    <row r="25" spans="1:11" ht="24">
      <c r="A25" s="281">
        <v>11</v>
      </c>
      <c r="B25" s="211" t="s">
        <v>1158</v>
      </c>
      <c r="C25" s="212">
        <v>4954</v>
      </c>
      <c r="D25" s="215">
        <v>9007.0299999999988</v>
      </c>
      <c r="E25" s="215">
        <v>0</v>
      </c>
      <c r="F25" s="212">
        <v>9007.0299999999988</v>
      </c>
      <c r="G25" s="150">
        <v>4053.0299999999988</v>
      </c>
      <c r="H25" s="284">
        <v>81.81</v>
      </c>
      <c r="I25" s="211" t="s">
        <v>1347</v>
      </c>
      <c r="J25" s="2276" t="s">
        <v>3236</v>
      </c>
    </row>
    <row r="26" spans="1:11">
      <c r="A26" s="281">
        <v>12</v>
      </c>
      <c r="B26" s="211" t="s">
        <v>37</v>
      </c>
      <c r="C26" s="212">
        <v>1282</v>
      </c>
      <c r="D26" s="215">
        <v>-107.84</v>
      </c>
      <c r="E26" s="215">
        <v>0</v>
      </c>
      <c r="F26" s="212">
        <v>-107.84</v>
      </c>
      <c r="G26" s="150">
        <v>-1389.84</v>
      </c>
      <c r="H26" s="284">
        <v>-108.41</v>
      </c>
      <c r="I26" s="211" t="s">
        <v>1347</v>
      </c>
      <c r="J26" s="1490" t="s">
        <v>3234</v>
      </c>
      <c r="K26" s="2132"/>
    </row>
    <row r="27" spans="1:11">
      <c r="A27" s="281">
        <v>13</v>
      </c>
      <c r="B27" s="211" t="s">
        <v>38</v>
      </c>
      <c r="C27" s="212">
        <v>0</v>
      </c>
      <c r="D27" s="215">
        <v>0</v>
      </c>
      <c r="E27" s="215">
        <v>0</v>
      </c>
      <c r="F27" s="212">
        <v>0</v>
      </c>
      <c r="G27" s="150" t="s">
        <v>560</v>
      </c>
      <c r="H27" s="284" t="s">
        <v>560</v>
      </c>
      <c r="I27" s="211" t="s">
        <v>1347</v>
      </c>
      <c r="J27" s="2164"/>
      <c r="K27" s="2132"/>
    </row>
    <row r="28" spans="1:11">
      <c r="A28" s="281">
        <v>14</v>
      </c>
      <c r="B28" s="328" t="s">
        <v>1496</v>
      </c>
      <c r="C28" s="212">
        <v>0</v>
      </c>
      <c r="D28" s="215">
        <v>0</v>
      </c>
      <c r="E28" s="215">
        <v>0</v>
      </c>
      <c r="F28" s="212">
        <v>0</v>
      </c>
      <c r="G28" s="150" t="s">
        <v>560</v>
      </c>
      <c r="H28" s="284" t="s">
        <v>560</v>
      </c>
      <c r="I28" s="211" t="s">
        <v>1347</v>
      </c>
      <c r="J28" s="2164"/>
      <c r="K28" s="2131"/>
    </row>
    <row r="29" spans="1:11">
      <c r="A29" s="281">
        <v>15</v>
      </c>
      <c r="B29" s="328" t="s">
        <v>1497</v>
      </c>
      <c r="C29" s="212">
        <v>22287</v>
      </c>
      <c r="D29" s="215">
        <v>33143.79</v>
      </c>
      <c r="E29" s="215">
        <v>0</v>
      </c>
      <c r="F29" s="212">
        <v>33143.79</v>
      </c>
      <c r="G29" s="150">
        <v>10856.79</v>
      </c>
      <c r="H29" s="284">
        <v>48.71</v>
      </c>
      <c r="I29" s="211" t="s">
        <v>1347</v>
      </c>
      <c r="J29" s="1491" t="s">
        <v>3023</v>
      </c>
    </row>
    <row r="30" spans="1:11">
      <c r="A30" s="281">
        <v>16</v>
      </c>
      <c r="B30" s="211" t="s">
        <v>803</v>
      </c>
      <c r="C30" s="212">
        <v>0</v>
      </c>
      <c r="D30" s="215">
        <v>289.49</v>
      </c>
      <c r="E30" s="215">
        <v>0</v>
      </c>
      <c r="F30" s="212">
        <v>289.49</v>
      </c>
      <c r="G30" s="150">
        <v>289.49</v>
      </c>
      <c r="H30" s="284">
        <v>100</v>
      </c>
      <c r="I30" s="211" t="s">
        <v>1347</v>
      </c>
      <c r="J30" s="2164"/>
    </row>
    <row r="31" spans="1:11">
      <c r="A31" s="281">
        <v>17</v>
      </c>
      <c r="B31" s="211" t="s">
        <v>804</v>
      </c>
      <c r="C31" s="212">
        <v>0</v>
      </c>
      <c r="D31" s="215">
        <v>43.51</v>
      </c>
      <c r="E31" s="215">
        <v>0</v>
      </c>
      <c r="F31" s="212">
        <v>43.51</v>
      </c>
      <c r="G31" s="150">
        <v>43.51</v>
      </c>
      <c r="H31" s="284">
        <v>100</v>
      </c>
      <c r="I31" s="211" t="s">
        <v>1347</v>
      </c>
      <c r="J31" s="2164" t="s">
        <v>3024</v>
      </c>
    </row>
    <row r="32" spans="1:11">
      <c r="A32" s="281">
        <v>18</v>
      </c>
      <c r="B32" s="211" t="s">
        <v>805</v>
      </c>
      <c r="C32" s="212">
        <v>15781</v>
      </c>
      <c r="D32" s="215">
        <v>14353.37</v>
      </c>
      <c r="E32" s="215">
        <v>430.60110000000003</v>
      </c>
      <c r="F32" s="212">
        <v>14783.971100000001</v>
      </c>
      <c r="G32" s="150">
        <v>-997.02889999999934</v>
      </c>
      <c r="H32" s="284">
        <v>-6.32</v>
      </c>
      <c r="I32" s="211" t="s">
        <v>1347</v>
      </c>
      <c r="J32" s="2164" t="s">
        <v>3234</v>
      </c>
      <c r="K32" s="2132"/>
    </row>
    <row r="33" spans="1:11">
      <c r="A33" s="281">
        <v>19</v>
      </c>
      <c r="B33" s="211" t="s">
        <v>806</v>
      </c>
      <c r="C33" s="212">
        <v>0</v>
      </c>
      <c r="D33" s="215">
        <v>0</v>
      </c>
      <c r="E33" s="215">
        <v>0</v>
      </c>
      <c r="F33" s="212">
        <v>0</v>
      </c>
      <c r="G33" s="150" t="s">
        <v>560</v>
      </c>
      <c r="H33" s="284" t="s">
        <v>560</v>
      </c>
      <c r="I33" s="211" t="s">
        <v>1347</v>
      </c>
      <c r="J33" s="2164"/>
      <c r="K33" s="2313"/>
    </row>
    <row r="34" spans="1:11" ht="24">
      <c r="A34" s="281">
        <v>20</v>
      </c>
      <c r="B34" s="211" t="s">
        <v>807</v>
      </c>
      <c r="C34" s="212">
        <v>0</v>
      </c>
      <c r="D34" s="215">
        <v>27326.42</v>
      </c>
      <c r="E34" s="215">
        <v>0</v>
      </c>
      <c r="F34" s="212">
        <v>27326.42</v>
      </c>
      <c r="G34" s="150">
        <v>27326.42</v>
      </c>
      <c r="H34" s="284">
        <v>100</v>
      </c>
      <c r="I34" s="211" t="s">
        <v>1347</v>
      </c>
      <c r="J34" s="2168" t="s">
        <v>3025</v>
      </c>
      <c r="K34" s="2313"/>
    </row>
    <row r="35" spans="1:11">
      <c r="A35" s="281">
        <v>21</v>
      </c>
      <c r="B35" s="211" t="s">
        <v>808</v>
      </c>
      <c r="C35" s="212">
        <v>0</v>
      </c>
      <c r="D35" s="215">
        <v>0</v>
      </c>
      <c r="E35" s="215">
        <v>0</v>
      </c>
      <c r="F35" s="212">
        <v>0</v>
      </c>
      <c r="G35" s="150" t="s">
        <v>560</v>
      </c>
      <c r="H35" s="284" t="s">
        <v>560</v>
      </c>
      <c r="I35" s="211" t="s">
        <v>1347</v>
      </c>
      <c r="J35" s="2164"/>
      <c r="K35" s="2132"/>
    </row>
    <row r="36" spans="1:11">
      <c r="A36" s="281">
        <v>22</v>
      </c>
      <c r="B36" s="211" t="s">
        <v>796</v>
      </c>
      <c r="C36" s="212">
        <v>70257</v>
      </c>
      <c r="D36" s="215">
        <v>5979.64</v>
      </c>
      <c r="E36" s="215">
        <v>0</v>
      </c>
      <c r="F36" s="212">
        <v>5979.64</v>
      </c>
      <c r="G36" s="150">
        <v>-64277.36</v>
      </c>
      <c r="H36" s="284">
        <v>-91.49</v>
      </c>
      <c r="I36" s="211" t="s">
        <v>1347</v>
      </c>
      <c r="J36" s="1490" t="s">
        <v>3234</v>
      </c>
      <c r="K36" s="2132"/>
    </row>
    <row r="37" spans="1:11">
      <c r="A37" s="281">
        <v>23</v>
      </c>
      <c r="B37" s="211" t="s">
        <v>928</v>
      </c>
      <c r="C37" s="212">
        <v>0</v>
      </c>
      <c r="D37" s="215">
        <v>0</v>
      </c>
      <c r="E37" s="215">
        <v>0</v>
      </c>
      <c r="F37" s="212">
        <v>0</v>
      </c>
      <c r="G37" s="150" t="s">
        <v>560</v>
      </c>
      <c r="H37" s="284" t="s">
        <v>560</v>
      </c>
      <c r="I37" s="211" t="s">
        <v>1347</v>
      </c>
      <c r="J37" s="2167"/>
    </row>
    <row r="38" spans="1:11">
      <c r="A38" s="281">
        <v>24</v>
      </c>
      <c r="B38" s="211" t="s">
        <v>929</v>
      </c>
      <c r="C38" s="212">
        <v>44369</v>
      </c>
      <c r="D38" s="215">
        <v>0</v>
      </c>
      <c r="E38" s="215">
        <v>27072.25</v>
      </c>
      <c r="F38" s="212">
        <v>27072.25</v>
      </c>
      <c r="G38" s="167" t="s">
        <v>1097</v>
      </c>
      <c r="H38" s="167" t="s">
        <v>1097</v>
      </c>
      <c r="I38" s="211" t="s">
        <v>1347</v>
      </c>
      <c r="J38" s="2167"/>
      <c r="K38" s="2131"/>
    </row>
    <row r="39" spans="1:11">
      <c r="A39" s="281">
        <v>25</v>
      </c>
      <c r="B39" s="211" t="s">
        <v>930</v>
      </c>
      <c r="C39" s="212">
        <v>0</v>
      </c>
      <c r="D39" s="215">
        <v>927.84</v>
      </c>
      <c r="E39" s="215">
        <v>0</v>
      </c>
      <c r="F39" s="212">
        <v>927.84</v>
      </c>
      <c r="G39" s="150">
        <v>927.84</v>
      </c>
      <c r="H39" s="284">
        <v>100</v>
      </c>
      <c r="I39" s="211" t="s">
        <v>1347</v>
      </c>
      <c r="J39" s="1490" t="s">
        <v>3024</v>
      </c>
    </row>
    <row r="40" spans="1:11">
      <c r="A40" s="281">
        <v>26</v>
      </c>
      <c r="B40" s="211" t="s">
        <v>931</v>
      </c>
      <c r="C40" s="212">
        <v>166</v>
      </c>
      <c r="D40" s="215">
        <v>144.36000000000013</v>
      </c>
      <c r="E40" s="215">
        <v>0</v>
      </c>
      <c r="F40" s="212">
        <v>144.36000000000013</v>
      </c>
      <c r="G40" s="150">
        <v>-21.639999999999873</v>
      </c>
      <c r="H40" s="284">
        <v>-13.04</v>
      </c>
      <c r="I40" s="211" t="s">
        <v>1347</v>
      </c>
      <c r="J40" s="1490" t="s">
        <v>3234</v>
      </c>
      <c r="K40" s="2131"/>
    </row>
    <row r="41" spans="1:11">
      <c r="A41" s="281">
        <v>27</v>
      </c>
      <c r="B41" s="211" t="s">
        <v>932</v>
      </c>
      <c r="C41" s="1472">
        <v>152532</v>
      </c>
      <c r="D41" s="215">
        <v>93428.650000000009</v>
      </c>
      <c r="E41" s="215">
        <v>0</v>
      </c>
      <c r="F41" s="1472">
        <v>93428.650000000009</v>
      </c>
      <c r="G41" s="1388">
        <v>-59103.349999999991</v>
      </c>
      <c r="H41" s="2128">
        <v>-38.75</v>
      </c>
      <c r="I41" s="211" t="s">
        <v>1347</v>
      </c>
      <c r="J41" s="1490" t="s">
        <v>3234</v>
      </c>
      <c r="K41" s="2131"/>
    </row>
    <row r="42" spans="1:11">
      <c r="A42" s="281">
        <v>28</v>
      </c>
      <c r="C42" s="228"/>
      <c r="D42" s="1492"/>
      <c r="E42" s="1492"/>
      <c r="F42" s="227"/>
      <c r="G42" s="227"/>
      <c r="I42" s="304"/>
      <c r="J42" s="320"/>
      <c r="K42" s="320"/>
    </row>
    <row r="43" spans="1:11" ht="12.75" thickBot="1">
      <c r="A43" s="281">
        <v>29</v>
      </c>
      <c r="B43" s="211" t="s">
        <v>73</v>
      </c>
      <c r="C43" s="273">
        <v>1394596</v>
      </c>
      <c r="D43" s="273">
        <v>1083854.75</v>
      </c>
      <c r="E43" s="273">
        <v>86152.866421000013</v>
      </c>
      <c r="F43" s="273">
        <v>1170007.6164210001</v>
      </c>
      <c r="G43" s="273">
        <v>-207291.63357900002</v>
      </c>
      <c r="H43" s="277">
        <v>-14.86</v>
      </c>
      <c r="I43" s="304" t="s">
        <v>1347</v>
      </c>
    </row>
    <row r="44" spans="1:11" ht="12.75" thickTop="1">
      <c r="A44" s="281">
        <v>30</v>
      </c>
      <c r="B44" s="203" t="s">
        <v>2980</v>
      </c>
      <c r="C44" s="2133"/>
      <c r="D44" s="2133"/>
      <c r="E44" s="2133"/>
      <c r="F44" s="2133"/>
      <c r="G44" s="2133"/>
      <c r="H44" s="2134"/>
      <c r="I44" s="304"/>
      <c r="J44" s="2135"/>
    </row>
    <row r="45" spans="1:11">
      <c r="A45" s="281">
        <v>31</v>
      </c>
      <c r="B45" s="2121" t="s">
        <v>2982</v>
      </c>
      <c r="C45" s="2117">
        <v>-44369</v>
      </c>
      <c r="D45" s="2117">
        <v>0</v>
      </c>
      <c r="E45" s="2117">
        <v>-27072.25</v>
      </c>
      <c r="F45" s="2117">
        <v>-27072.25</v>
      </c>
      <c r="G45" s="2118" t="s">
        <v>1097</v>
      </c>
      <c r="H45" s="2119" t="s">
        <v>1097</v>
      </c>
      <c r="I45" s="1778"/>
      <c r="J45" s="2121" t="s">
        <v>2981</v>
      </c>
    </row>
    <row r="46" spans="1:11">
      <c r="A46" s="281">
        <v>32</v>
      </c>
      <c r="B46" s="203"/>
      <c r="C46" s="2133"/>
      <c r="D46" s="2133"/>
      <c r="E46" s="2133"/>
      <c r="F46" s="2133"/>
      <c r="G46" s="2133"/>
      <c r="H46" s="2134"/>
      <c r="I46" s="304"/>
      <c r="J46" s="2136"/>
    </row>
    <row r="47" spans="1:11" ht="12.75" thickBot="1">
      <c r="A47" s="281">
        <v>33</v>
      </c>
      <c r="B47" s="203" t="s">
        <v>763</v>
      </c>
      <c r="C47" s="764">
        <v>1350227</v>
      </c>
      <c r="D47" s="764">
        <v>1083854.75</v>
      </c>
      <c r="E47" s="764">
        <v>59080.616421000013</v>
      </c>
      <c r="F47" s="764">
        <v>1142935.3664210001</v>
      </c>
      <c r="G47" s="764">
        <v>-207291.63357900002</v>
      </c>
      <c r="H47" s="2120">
        <v>-15.35</v>
      </c>
      <c r="I47" s="1778" t="s">
        <v>1347</v>
      </c>
      <c r="J47" s="2136"/>
    </row>
    <row r="48" spans="1:11" ht="12.75" thickTop="1">
      <c r="A48" s="281">
        <v>34</v>
      </c>
      <c r="C48" s="224"/>
      <c r="D48" s="224"/>
      <c r="E48" s="224"/>
      <c r="F48" s="224"/>
      <c r="G48" s="224"/>
      <c r="H48" s="1782"/>
      <c r="I48" s="304"/>
    </row>
    <row r="49" spans="1:11" ht="12.75" thickBot="1">
      <c r="A49" s="281">
        <v>35</v>
      </c>
      <c r="B49" s="211" t="s">
        <v>2778</v>
      </c>
      <c r="C49" s="1951">
        <v>3354.6</v>
      </c>
      <c r="D49" s="227"/>
      <c r="E49" s="227"/>
      <c r="F49" s="227"/>
      <c r="G49" s="227"/>
      <c r="I49" s="304"/>
    </row>
    <row r="50" spans="1:11" ht="15.75" thickTop="1" thickBot="1">
      <c r="A50" s="281">
        <v>36</v>
      </c>
      <c r="B50" s="211" t="s">
        <v>2779</v>
      </c>
      <c r="C50" s="1949">
        <v>2963</v>
      </c>
      <c r="D50" s="1950"/>
      <c r="E50" s="321"/>
      <c r="F50" s="1945">
        <v>3097</v>
      </c>
      <c r="G50" s="1493">
        <v>134</v>
      </c>
      <c r="H50" s="277">
        <v>4.5199999999999996</v>
      </c>
      <c r="I50" s="304" t="s">
        <v>1347</v>
      </c>
    </row>
    <row r="51" spans="1:11" ht="12.75" thickTop="1">
      <c r="A51" s="281">
        <v>37</v>
      </c>
      <c r="C51" s="1224"/>
      <c r="D51" s="707"/>
      <c r="E51" s="322"/>
      <c r="F51" s="322"/>
      <c r="G51" s="227"/>
      <c r="I51" s="304"/>
    </row>
    <row r="52" spans="1:11" ht="15" thickBot="1">
      <c r="A52" s="281">
        <v>38</v>
      </c>
      <c r="B52" s="211" t="s">
        <v>600</v>
      </c>
      <c r="C52" s="1943">
        <v>207.34200000000001</v>
      </c>
      <c r="D52" s="708"/>
      <c r="E52" s="321"/>
      <c r="F52" s="1943">
        <v>237.017</v>
      </c>
      <c r="G52" s="277">
        <v>29.674999999999983</v>
      </c>
      <c r="H52" s="277">
        <v>14.312102709533034</v>
      </c>
      <c r="I52" s="304" t="s">
        <v>1347</v>
      </c>
    </row>
    <row r="53" spans="1:11" ht="12.75" thickTop="1">
      <c r="A53" s="281">
        <v>39</v>
      </c>
      <c r="I53" s="304"/>
    </row>
    <row r="54" spans="1:11">
      <c r="A54" s="281">
        <v>40</v>
      </c>
      <c r="B54" s="329" t="s">
        <v>601</v>
      </c>
      <c r="C54" s="324"/>
      <c r="G54" s="325">
        <v>1.0451999999999999</v>
      </c>
      <c r="I54" s="304"/>
    </row>
    <row r="55" spans="1:11">
      <c r="A55" s="281">
        <v>41</v>
      </c>
      <c r="G55" s="1258">
        <v>1.1431</v>
      </c>
    </row>
    <row r="56" spans="1:11">
      <c r="A56" s="281">
        <v>42</v>
      </c>
      <c r="G56" s="326"/>
    </row>
    <row r="57" spans="1:11" ht="12.75" thickBot="1">
      <c r="A57" s="281">
        <v>43</v>
      </c>
      <c r="B57" s="120" t="s">
        <v>2780</v>
      </c>
      <c r="G57" s="1494">
        <v>1.1948000000000001</v>
      </c>
    </row>
    <row r="58" spans="1:11" ht="12.75" thickTop="1">
      <c r="A58" s="281">
        <v>44</v>
      </c>
      <c r="B58" s="120" t="s">
        <v>2781</v>
      </c>
      <c r="C58" s="237"/>
      <c r="D58" s="237"/>
      <c r="E58" s="237"/>
      <c r="F58" s="281"/>
      <c r="G58" s="281"/>
      <c r="H58" s="281"/>
      <c r="I58" s="281"/>
      <c r="J58" s="330"/>
    </row>
    <row r="59" spans="1:11">
      <c r="A59" s="281">
        <v>45</v>
      </c>
      <c r="B59" s="120" t="s">
        <v>2785</v>
      </c>
      <c r="C59" s="237"/>
      <c r="D59" s="237"/>
      <c r="E59" s="237"/>
    </row>
    <row r="60" spans="1:11" s="237" customFormat="1">
      <c r="A60" s="281">
        <v>46</v>
      </c>
      <c r="B60" s="120" t="s">
        <v>2782</v>
      </c>
      <c r="C60" s="1495"/>
      <c r="J60" s="320"/>
      <c r="K60" s="320"/>
    </row>
    <row r="61" spans="1:11" s="237" customFormat="1">
      <c r="A61" s="281">
        <v>47</v>
      </c>
      <c r="B61" s="120" t="s">
        <v>2783</v>
      </c>
      <c r="J61" s="320"/>
      <c r="K61" s="320"/>
    </row>
    <row r="62" spans="1:11" s="237" customFormat="1">
      <c r="A62" s="281">
        <v>48</v>
      </c>
      <c r="B62" s="120" t="s">
        <v>2784</v>
      </c>
      <c r="J62" s="320"/>
      <c r="K62" s="320"/>
    </row>
    <row r="63" spans="1:11" s="237" customFormat="1">
      <c r="A63" s="281">
        <v>49</v>
      </c>
      <c r="B63" s="120" t="s">
        <v>2786</v>
      </c>
      <c r="J63" s="320"/>
      <c r="K63" s="320"/>
    </row>
    <row r="64" spans="1:11" s="237" customFormat="1">
      <c r="A64" s="281"/>
      <c r="J64" s="320"/>
      <c r="K64" s="320"/>
    </row>
    <row r="65" spans="1:11" s="237" customFormat="1">
      <c r="A65" s="281"/>
      <c r="J65" s="320"/>
      <c r="K65" s="320"/>
    </row>
    <row r="66" spans="1:11" s="237" customFormat="1">
      <c r="J66" s="320"/>
      <c r="K66" s="320"/>
    </row>
    <row r="67" spans="1:11" s="237" customFormat="1">
      <c r="J67" s="320"/>
      <c r="K67" s="320"/>
    </row>
    <row r="68" spans="1:11" s="237" customFormat="1">
      <c r="J68" s="320"/>
      <c r="K68" s="320"/>
    </row>
    <row r="69" spans="1:11" s="237" customFormat="1">
      <c r="J69" s="320"/>
      <c r="K69" s="320"/>
    </row>
    <row r="70" spans="1:11" s="237" customFormat="1">
      <c r="J70" s="320"/>
      <c r="K70" s="320"/>
    </row>
    <row r="71" spans="1:11" s="237" customFormat="1">
      <c r="J71" s="320"/>
      <c r="K71" s="320"/>
    </row>
    <row r="72" spans="1:11" s="237" customFormat="1">
      <c r="J72" s="320"/>
      <c r="K72" s="320"/>
    </row>
    <row r="73" spans="1:11" s="237" customFormat="1">
      <c r="J73" s="320"/>
      <c r="K73" s="320"/>
    </row>
    <row r="74" spans="1:11" s="237" customFormat="1">
      <c r="J74" s="320"/>
      <c r="K74" s="320"/>
    </row>
    <row r="75" spans="1:11" s="237" customFormat="1">
      <c r="J75" s="320"/>
      <c r="K75" s="320"/>
    </row>
    <row r="76" spans="1:11" s="237" customFormat="1">
      <c r="J76" s="320"/>
      <c r="K76" s="320"/>
    </row>
    <row r="77" spans="1:11" s="237" customFormat="1">
      <c r="J77" s="320"/>
      <c r="K77" s="320"/>
    </row>
    <row r="78" spans="1:11" s="237" customFormat="1">
      <c r="J78" s="320"/>
      <c r="K78" s="320"/>
    </row>
    <row r="79" spans="1:11" s="237" customFormat="1">
      <c r="J79" s="320"/>
      <c r="K79" s="320"/>
    </row>
    <row r="80" spans="1:11" s="237" customFormat="1">
      <c r="J80" s="320"/>
      <c r="K80" s="320"/>
    </row>
    <row r="81" spans="2:11" s="237" customFormat="1">
      <c r="J81" s="320"/>
      <c r="K81" s="320"/>
    </row>
    <row r="82" spans="2:11" s="237" customFormat="1">
      <c r="B82" s="776"/>
      <c r="J82" s="320"/>
      <c r="K82" s="320"/>
    </row>
    <row r="83" spans="2:11" s="237" customFormat="1">
      <c r="J83" s="320"/>
      <c r="K83" s="320"/>
    </row>
    <row r="84" spans="2:11" s="237" customFormat="1">
      <c r="F84" s="776"/>
      <c r="J84" s="320"/>
      <c r="K84" s="320"/>
    </row>
    <row r="85" spans="2:11" s="237" customFormat="1">
      <c r="B85" s="776"/>
      <c r="J85" s="320"/>
      <c r="K85" s="320"/>
    </row>
    <row r="86" spans="2:11" s="237" customFormat="1">
      <c r="J86" s="320"/>
      <c r="K86" s="320"/>
    </row>
    <row r="87" spans="2:11" s="237" customFormat="1">
      <c r="F87" s="776"/>
      <c r="J87" s="320"/>
      <c r="K87" s="320"/>
    </row>
    <row r="88" spans="2:11" s="237" customFormat="1">
      <c r="J88" s="320"/>
      <c r="K88" s="320"/>
    </row>
    <row r="89" spans="2:11" s="237" customFormat="1">
      <c r="J89" s="320"/>
      <c r="K89" s="320"/>
    </row>
    <row r="90" spans="2:11" s="237" customFormat="1">
      <c r="J90" s="320"/>
      <c r="K90" s="320"/>
    </row>
    <row r="91" spans="2:11" s="237" customFormat="1">
      <c r="J91" s="320"/>
      <c r="K91" s="320"/>
    </row>
    <row r="92" spans="2:11" s="237" customFormat="1">
      <c r="J92" s="320"/>
      <c r="K92" s="320"/>
    </row>
    <row r="93" spans="2:11" s="237" customFormat="1">
      <c r="J93" s="320"/>
      <c r="K93" s="320"/>
    </row>
    <row r="94" spans="2:11" s="237" customFormat="1">
      <c r="J94" s="320"/>
      <c r="K94" s="320"/>
    </row>
    <row r="95" spans="2:11" s="237" customFormat="1">
      <c r="J95" s="320"/>
      <c r="K95" s="320"/>
    </row>
    <row r="96" spans="2:11" s="237" customFormat="1">
      <c r="J96" s="320"/>
      <c r="K96" s="320"/>
    </row>
    <row r="97" spans="10:11" s="237" customFormat="1">
      <c r="J97" s="320"/>
      <c r="K97" s="320"/>
    </row>
    <row r="98" spans="10:11" s="237" customFormat="1">
      <c r="J98" s="320"/>
      <c r="K98" s="320"/>
    </row>
    <row r="99" spans="10:11" s="237" customFormat="1">
      <c r="J99" s="320"/>
      <c r="K99" s="320"/>
    </row>
    <row r="100" spans="10:11" s="237" customFormat="1">
      <c r="J100" s="320"/>
      <c r="K100" s="320"/>
    </row>
    <row r="101" spans="10:11" s="237" customFormat="1">
      <c r="J101" s="320"/>
      <c r="K101" s="320"/>
    </row>
    <row r="102" spans="10:11" s="237" customFormat="1">
      <c r="J102" s="320"/>
      <c r="K102" s="320"/>
    </row>
    <row r="103" spans="10:11" s="237" customFormat="1">
      <c r="J103" s="320"/>
      <c r="K103" s="320"/>
    </row>
    <row r="104" spans="10:11" s="237" customFormat="1">
      <c r="J104" s="320"/>
      <c r="K104" s="320"/>
    </row>
    <row r="105" spans="10:11" s="237" customFormat="1">
      <c r="J105" s="320"/>
      <c r="K105" s="320"/>
    </row>
    <row r="106" spans="10:11" s="237" customFormat="1">
      <c r="J106" s="320"/>
      <c r="K106" s="320"/>
    </row>
    <row r="107" spans="10:11" s="237" customFormat="1">
      <c r="J107" s="320"/>
      <c r="K107" s="320"/>
    </row>
    <row r="108" spans="10:11" s="237" customFormat="1">
      <c r="J108" s="320"/>
      <c r="K108" s="320"/>
    </row>
    <row r="109" spans="10:11" s="237" customFormat="1">
      <c r="J109" s="320"/>
      <c r="K109" s="320"/>
    </row>
    <row r="110" spans="10:11" s="237" customFormat="1">
      <c r="J110" s="320"/>
      <c r="K110" s="320"/>
    </row>
    <row r="111" spans="10:11" s="237" customFormat="1">
      <c r="J111" s="320"/>
      <c r="K111" s="320"/>
    </row>
    <row r="112" spans="10:11" s="237" customFormat="1">
      <c r="J112" s="320"/>
      <c r="K112" s="320"/>
    </row>
    <row r="113" spans="10:11" s="237" customFormat="1">
      <c r="J113" s="320"/>
      <c r="K113" s="320"/>
    </row>
    <row r="114" spans="10:11" s="237" customFormat="1">
      <c r="J114" s="320"/>
      <c r="K114" s="320"/>
    </row>
    <row r="115" spans="10:11" s="237" customFormat="1">
      <c r="J115" s="320"/>
      <c r="K115" s="320"/>
    </row>
    <row r="116" spans="10:11" s="237" customFormat="1">
      <c r="J116" s="320"/>
      <c r="K116" s="320"/>
    </row>
    <row r="117" spans="10:11" s="237" customFormat="1">
      <c r="J117" s="320"/>
      <c r="K117" s="320"/>
    </row>
    <row r="118" spans="10:11" s="237" customFormat="1">
      <c r="J118" s="320"/>
      <c r="K118" s="320"/>
    </row>
    <row r="119" spans="10:11" s="237" customFormat="1">
      <c r="J119" s="320"/>
      <c r="K119" s="320"/>
    </row>
    <row r="120" spans="10:11" s="237" customFormat="1">
      <c r="J120" s="320"/>
      <c r="K120" s="320"/>
    </row>
    <row r="121" spans="10:11" s="237" customFormat="1">
      <c r="J121" s="320"/>
      <c r="K121" s="320"/>
    </row>
    <row r="122" spans="10:11" s="237" customFormat="1">
      <c r="J122" s="320"/>
      <c r="K122" s="320"/>
    </row>
    <row r="123" spans="10:11" s="237" customFormat="1">
      <c r="J123" s="320"/>
      <c r="K123" s="320"/>
    </row>
    <row r="124" spans="10:11" s="237" customFormat="1">
      <c r="J124" s="320"/>
      <c r="K124" s="320"/>
    </row>
    <row r="125" spans="10:11" s="237" customFormat="1">
      <c r="J125" s="320"/>
      <c r="K125" s="320"/>
    </row>
    <row r="126" spans="10:11" s="237" customFormat="1">
      <c r="J126" s="320"/>
      <c r="K126" s="320"/>
    </row>
    <row r="127" spans="10:11" s="237" customFormat="1">
      <c r="J127" s="320"/>
      <c r="K127" s="320"/>
    </row>
    <row r="128" spans="10:11" s="237" customFormat="1">
      <c r="J128" s="320"/>
      <c r="K128" s="320"/>
    </row>
    <row r="129" spans="10:11" s="237" customFormat="1">
      <c r="J129" s="320"/>
      <c r="K129" s="320"/>
    </row>
    <row r="130" spans="10:11" s="237" customFormat="1">
      <c r="J130" s="320"/>
      <c r="K130" s="320"/>
    </row>
    <row r="131" spans="10:11" s="237" customFormat="1">
      <c r="J131" s="320"/>
      <c r="K131" s="320"/>
    </row>
    <row r="132" spans="10:11" s="237" customFormat="1">
      <c r="J132" s="320"/>
      <c r="K132" s="320"/>
    </row>
    <row r="133" spans="10:11" s="237" customFormat="1">
      <c r="J133" s="320"/>
      <c r="K133" s="320"/>
    </row>
    <row r="134" spans="10:11" s="237" customFormat="1">
      <c r="J134" s="320"/>
      <c r="K134" s="320"/>
    </row>
    <row r="135" spans="10:11" s="237" customFormat="1">
      <c r="J135" s="320"/>
      <c r="K135" s="320"/>
    </row>
    <row r="136" spans="10:11" s="237" customFormat="1">
      <c r="J136" s="320"/>
      <c r="K136" s="320"/>
    </row>
    <row r="137" spans="10:11" s="237" customFormat="1">
      <c r="J137" s="320"/>
      <c r="K137" s="320"/>
    </row>
    <row r="138" spans="10:11" s="237" customFormat="1">
      <c r="J138" s="320"/>
      <c r="K138" s="320"/>
    </row>
    <row r="139" spans="10:11" s="237" customFormat="1">
      <c r="J139" s="320"/>
      <c r="K139" s="320"/>
    </row>
    <row r="140" spans="10:11" s="237" customFormat="1">
      <c r="J140" s="320"/>
      <c r="K140" s="320"/>
    </row>
    <row r="141" spans="10:11" s="237" customFormat="1">
      <c r="J141" s="320"/>
      <c r="K141" s="320"/>
    </row>
    <row r="142" spans="10:11" s="237" customFormat="1">
      <c r="J142" s="320"/>
      <c r="K142" s="320"/>
    </row>
    <row r="143" spans="10:11" s="237" customFormat="1">
      <c r="J143" s="320"/>
      <c r="K143" s="320"/>
    </row>
    <row r="144" spans="10:11" s="237" customFormat="1">
      <c r="J144" s="320"/>
      <c r="K144" s="320"/>
    </row>
    <row r="145" spans="10:11" s="237" customFormat="1">
      <c r="J145" s="320"/>
      <c r="K145" s="320"/>
    </row>
    <row r="146" spans="10:11" s="237" customFormat="1">
      <c r="J146" s="320"/>
      <c r="K146" s="320"/>
    </row>
    <row r="147" spans="10:11" s="237" customFormat="1">
      <c r="J147" s="320"/>
      <c r="K147" s="320"/>
    </row>
    <row r="148" spans="10:11" s="237" customFormat="1">
      <c r="J148" s="320"/>
      <c r="K148" s="320"/>
    </row>
    <row r="149" spans="10:11" s="237" customFormat="1">
      <c r="J149" s="320"/>
      <c r="K149" s="320"/>
    </row>
    <row r="150" spans="10:11" s="237" customFormat="1">
      <c r="J150" s="320"/>
      <c r="K150" s="320"/>
    </row>
    <row r="151" spans="10:11" s="237" customFormat="1">
      <c r="J151" s="320"/>
      <c r="K151" s="320"/>
    </row>
    <row r="152" spans="10:11" s="237" customFormat="1">
      <c r="J152" s="320"/>
      <c r="K152" s="320"/>
    </row>
    <row r="153" spans="10:11" s="237" customFormat="1">
      <c r="J153" s="320"/>
      <c r="K153" s="320"/>
    </row>
    <row r="154" spans="10:11" s="237" customFormat="1">
      <c r="J154" s="320"/>
      <c r="K154" s="320"/>
    </row>
    <row r="155" spans="10:11" s="237" customFormat="1">
      <c r="J155" s="320"/>
      <c r="K155" s="320"/>
    </row>
    <row r="156" spans="10:11" s="237" customFormat="1">
      <c r="J156" s="320"/>
      <c r="K156" s="320"/>
    </row>
    <row r="157" spans="10:11" s="237" customFormat="1">
      <c r="J157" s="320"/>
      <c r="K157" s="320"/>
    </row>
    <row r="158" spans="10:11" s="237" customFormat="1">
      <c r="J158" s="320"/>
      <c r="K158" s="320"/>
    </row>
    <row r="159" spans="10:11" s="237" customFormat="1">
      <c r="J159" s="320"/>
      <c r="K159" s="320"/>
    </row>
    <row r="160" spans="10:11" s="237" customFormat="1">
      <c r="J160" s="320"/>
      <c r="K160" s="320"/>
    </row>
    <row r="161" spans="10:11" s="237" customFormat="1">
      <c r="J161" s="320"/>
      <c r="K161" s="320"/>
    </row>
    <row r="162" spans="10:11" s="237" customFormat="1">
      <c r="J162" s="320"/>
      <c r="K162" s="320"/>
    </row>
    <row r="163" spans="10:11" s="237" customFormat="1">
      <c r="J163" s="320"/>
      <c r="K163" s="320"/>
    </row>
    <row r="164" spans="10:11" s="237" customFormat="1">
      <c r="J164" s="320"/>
      <c r="K164" s="320"/>
    </row>
    <row r="165" spans="10:11" s="237" customFormat="1">
      <c r="J165" s="320"/>
      <c r="K165" s="320"/>
    </row>
    <row r="166" spans="10:11" s="237" customFormat="1">
      <c r="J166" s="320"/>
      <c r="K166" s="320"/>
    </row>
    <row r="167" spans="10:11" s="237" customFormat="1">
      <c r="J167" s="320"/>
      <c r="K167" s="320"/>
    </row>
    <row r="168" spans="10:11" s="237" customFormat="1">
      <c r="J168" s="320"/>
      <c r="K168" s="320"/>
    </row>
    <row r="169" spans="10:11" s="237" customFormat="1">
      <c r="J169" s="320"/>
      <c r="K169" s="320"/>
    </row>
    <row r="170" spans="10:11" s="237" customFormat="1">
      <c r="J170" s="320"/>
      <c r="K170" s="320"/>
    </row>
    <row r="171" spans="10:11" s="237" customFormat="1">
      <c r="J171" s="320"/>
      <c r="K171" s="320"/>
    </row>
    <row r="172" spans="10:11" s="237" customFormat="1">
      <c r="J172" s="320"/>
      <c r="K172" s="320"/>
    </row>
    <row r="173" spans="10:11" s="237" customFormat="1">
      <c r="J173" s="320"/>
      <c r="K173" s="320"/>
    </row>
    <row r="174" spans="10:11" s="237" customFormat="1">
      <c r="J174" s="320"/>
      <c r="K174" s="320"/>
    </row>
    <row r="175" spans="10:11" s="237" customFormat="1">
      <c r="J175" s="320"/>
      <c r="K175" s="320"/>
    </row>
    <row r="176" spans="10:11" s="237" customFormat="1">
      <c r="J176" s="320"/>
      <c r="K176" s="320"/>
    </row>
    <row r="177" spans="10:11" s="237" customFormat="1">
      <c r="J177" s="320"/>
      <c r="K177" s="320"/>
    </row>
    <row r="178" spans="10:11" s="237" customFormat="1">
      <c r="J178" s="320"/>
      <c r="K178" s="320"/>
    </row>
    <row r="179" spans="10:11" s="237" customFormat="1">
      <c r="J179" s="320"/>
      <c r="K179" s="320"/>
    </row>
    <row r="180" spans="10:11" s="237" customFormat="1">
      <c r="J180" s="320"/>
      <c r="K180" s="320"/>
    </row>
    <row r="181" spans="10:11" s="237" customFormat="1">
      <c r="J181" s="320"/>
      <c r="K181" s="320"/>
    </row>
    <row r="182" spans="10:11" s="237" customFormat="1">
      <c r="J182" s="320"/>
      <c r="K182" s="320"/>
    </row>
    <row r="183" spans="10:11" s="237" customFormat="1">
      <c r="J183" s="320"/>
      <c r="K183" s="320"/>
    </row>
    <row r="184" spans="10:11" s="237" customFormat="1">
      <c r="J184" s="320"/>
      <c r="K184" s="320"/>
    </row>
    <row r="185" spans="10:11" s="237" customFormat="1">
      <c r="J185" s="320"/>
      <c r="K185" s="320"/>
    </row>
    <row r="186" spans="10:11" s="237" customFormat="1">
      <c r="J186" s="320"/>
      <c r="K186" s="320"/>
    </row>
    <row r="187" spans="10:11" s="237" customFormat="1">
      <c r="J187" s="320"/>
      <c r="K187" s="320"/>
    </row>
    <row r="188" spans="10:11" s="237" customFormat="1">
      <c r="J188" s="320"/>
      <c r="K188" s="320"/>
    </row>
    <row r="189" spans="10:11" s="237" customFormat="1">
      <c r="J189" s="320"/>
      <c r="K189" s="320"/>
    </row>
    <row r="190" spans="10:11" s="237" customFormat="1">
      <c r="J190" s="320"/>
      <c r="K190" s="320"/>
    </row>
    <row r="191" spans="10:11" s="237" customFormat="1">
      <c r="J191" s="320"/>
      <c r="K191" s="320"/>
    </row>
    <row r="192" spans="10:11" s="237" customFormat="1">
      <c r="J192" s="320"/>
      <c r="K192" s="320"/>
    </row>
    <row r="193" spans="10:11" s="237" customFormat="1">
      <c r="J193" s="320"/>
      <c r="K193" s="320"/>
    </row>
    <row r="194" spans="10:11" s="237" customFormat="1">
      <c r="J194" s="320"/>
      <c r="K194" s="320"/>
    </row>
    <row r="195" spans="10:11" s="237" customFormat="1">
      <c r="J195" s="320"/>
      <c r="K195" s="320"/>
    </row>
    <row r="196" spans="10:11" s="237" customFormat="1">
      <c r="J196" s="320"/>
      <c r="K196" s="320"/>
    </row>
    <row r="197" spans="10:11" s="237" customFormat="1">
      <c r="J197" s="320"/>
      <c r="K197" s="320"/>
    </row>
    <row r="198" spans="10:11" s="237" customFormat="1">
      <c r="J198" s="320"/>
      <c r="K198" s="320"/>
    </row>
    <row r="199" spans="10:11" s="237" customFormat="1">
      <c r="J199" s="320"/>
      <c r="K199" s="320"/>
    </row>
    <row r="200" spans="10:11" s="237" customFormat="1">
      <c r="J200" s="320"/>
      <c r="K200" s="320"/>
    </row>
    <row r="201" spans="10:11" s="237" customFormat="1">
      <c r="J201" s="320"/>
      <c r="K201" s="320"/>
    </row>
    <row r="202" spans="10:11" s="237" customFormat="1">
      <c r="J202" s="320"/>
      <c r="K202" s="320"/>
    </row>
    <row r="203" spans="10:11" s="237" customFormat="1">
      <c r="J203" s="320"/>
      <c r="K203" s="320"/>
    </row>
    <row r="204" spans="10:11" s="237" customFormat="1">
      <c r="J204" s="320"/>
      <c r="K204" s="320"/>
    </row>
    <row r="205" spans="10:11" s="237" customFormat="1">
      <c r="J205" s="320"/>
      <c r="K205" s="320"/>
    </row>
    <row r="206" spans="10:11" s="237" customFormat="1">
      <c r="J206" s="320"/>
      <c r="K206" s="320"/>
    </row>
    <row r="207" spans="10:11" s="237" customFormat="1">
      <c r="J207" s="320"/>
      <c r="K207" s="320"/>
    </row>
    <row r="208" spans="10:11" s="237" customFormat="1">
      <c r="J208" s="320"/>
      <c r="K208" s="320"/>
    </row>
    <row r="209" spans="1:11" s="237" customFormat="1">
      <c r="J209" s="320"/>
      <c r="K209" s="320"/>
    </row>
    <row r="210" spans="1:11" s="237" customFormat="1">
      <c r="J210" s="320"/>
      <c r="K210" s="320"/>
    </row>
    <row r="211" spans="1:11" s="237" customFormat="1">
      <c r="A211" s="777"/>
      <c r="J211" s="320"/>
      <c r="K211" s="320"/>
    </row>
    <row r="212" spans="1:11" s="237" customFormat="1">
      <c r="A212" s="777"/>
      <c r="J212" s="320"/>
      <c r="K212" s="320"/>
    </row>
    <row r="213" spans="1:11" s="237" customFormat="1">
      <c r="A213" s="777"/>
      <c r="J213" s="320"/>
      <c r="K213" s="320"/>
    </row>
    <row r="214" spans="1:11" s="237" customFormat="1">
      <c r="A214" s="777"/>
      <c r="J214" s="320"/>
      <c r="K214" s="320"/>
    </row>
    <row r="215" spans="1:11" s="237" customFormat="1">
      <c r="A215" s="777"/>
      <c r="J215" s="320"/>
      <c r="K215" s="320"/>
    </row>
    <row r="216" spans="1:11" s="237" customFormat="1">
      <c r="J216" s="320"/>
      <c r="K216" s="320"/>
    </row>
    <row r="217" spans="1:11" s="237" customFormat="1">
      <c r="J217" s="320"/>
      <c r="K217" s="320"/>
    </row>
    <row r="218" spans="1:11" s="237" customFormat="1">
      <c r="J218" s="320"/>
      <c r="K218" s="320"/>
    </row>
    <row r="219" spans="1:11" s="237" customFormat="1">
      <c r="J219" s="320"/>
      <c r="K219" s="320"/>
    </row>
    <row r="220" spans="1:11" s="237" customFormat="1">
      <c r="J220" s="320"/>
      <c r="K220" s="320"/>
    </row>
    <row r="221" spans="1:11" s="237" customFormat="1">
      <c r="J221" s="320"/>
      <c r="K221" s="320"/>
    </row>
    <row r="222" spans="1:11" s="237" customFormat="1">
      <c r="J222" s="320"/>
      <c r="K222" s="320"/>
    </row>
    <row r="223" spans="1:11" s="237" customFormat="1">
      <c r="J223" s="320"/>
      <c r="K223" s="320"/>
    </row>
    <row r="224" spans="1:11" s="237" customFormat="1">
      <c r="J224" s="320"/>
      <c r="K224" s="320"/>
    </row>
    <row r="225" spans="10:11" s="237" customFormat="1">
      <c r="J225" s="320"/>
      <c r="K225" s="320"/>
    </row>
    <row r="226" spans="10:11" s="237" customFormat="1">
      <c r="J226" s="320"/>
      <c r="K226" s="320"/>
    </row>
    <row r="227" spans="10:11" s="237" customFormat="1">
      <c r="J227" s="320"/>
      <c r="K227" s="320"/>
    </row>
    <row r="228" spans="10:11" s="237" customFormat="1">
      <c r="J228" s="320"/>
      <c r="K228" s="320"/>
    </row>
    <row r="229" spans="10:11" s="237" customFormat="1">
      <c r="J229" s="320"/>
      <c r="K229" s="320"/>
    </row>
    <row r="230" spans="10:11" s="237" customFormat="1">
      <c r="J230" s="320"/>
      <c r="K230" s="320"/>
    </row>
    <row r="231" spans="10:11" s="237" customFormat="1">
      <c r="J231" s="320"/>
      <c r="K231" s="320"/>
    </row>
    <row r="232" spans="10:11" s="237" customFormat="1">
      <c r="J232" s="320"/>
      <c r="K232" s="320"/>
    </row>
    <row r="233" spans="10:11" s="237" customFormat="1">
      <c r="J233" s="320"/>
      <c r="K233" s="320"/>
    </row>
    <row r="234" spans="10:11" s="237" customFormat="1">
      <c r="J234" s="320"/>
      <c r="K234" s="320"/>
    </row>
    <row r="235" spans="10:11" s="237" customFormat="1">
      <c r="J235" s="320"/>
      <c r="K235" s="320"/>
    </row>
    <row r="236" spans="10:11" s="237" customFormat="1">
      <c r="J236" s="320"/>
      <c r="K236" s="320"/>
    </row>
    <row r="237" spans="10:11" s="237" customFormat="1">
      <c r="J237" s="320"/>
      <c r="K237" s="320"/>
    </row>
    <row r="238" spans="10:11" s="237" customFormat="1">
      <c r="J238" s="320"/>
      <c r="K238" s="320"/>
    </row>
    <row r="239" spans="10:11" s="237" customFormat="1">
      <c r="J239" s="320"/>
      <c r="K239" s="320"/>
    </row>
    <row r="240" spans="10:11" s="237" customFormat="1">
      <c r="J240" s="320"/>
      <c r="K240" s="320"/>
    </row>
    <row r="241" spans="1:11" s="237" customFormat="1">
      <c r="J241" s="320"/>
      <c r="K241" s="320"/>
    </row>
    <row r="242" spans="1:11" s="237" customFormat="1">
      <c r="J242" s="320"/>
      <c r="K242" s="320"/>
    </row>
    <row r="243" spans="1:11" s="237" customFormat="1">
      <c r="J243" s="320"/>
      <c r="K243" s="320"/>
    </row>
    <row r="244" spans="1:11" s="237" customFormat="1">
      <c r="J244" s="320"/>
      <c r="K244" s="320"/>
    </row>
    <row r="245" spans="1:11" s="237" customFormat="1">
      <c r="A245" s="777"/>
      <c r="J245" s="320"/>
      <c r="K245" s="320"/>
    </row>
    <row r="246" spans="1:11" s="237" customFormat="1">
      <c r="J246" s="320"/>
      <c r="K246" s="320"/>
    </row>
    <row r="247" spans="1:11" s="237" customFormat="1">
      <c r="J247" s="320"/>
      <c r="K247" s="320"/>
    </row>
    <row r="248" spans="1:11" s="237" customFormat="1">
      <c r="J248" s="320"/>
      <c r="K248" s="320"/>
    </row>
    <row r="249" spans="1:11" s="237" customFormat="1">
      <c r="J249" s="320"/>
      <c r="K249" s="320"/>
    </row>
    <row r="250" spans="1:11" s="237" customFormat="1">
      <c r="J250" s="320"/>
      <c r="K250" s="320"/>
    </row>
    <row r="251" spans="1:11" s="237" customFormat="1">
      <c r="J251" s="320"/>
      <c r="K251" s="320"/>
    </row>
    <row r="252" spans="1:11" s="237" customFormat="1">
      <c r="J252" s="320"/>
      <c r="K252" s="320"/>
    </row>
    <row r="253" spans="1:11" s="237" customFormat="1">
      <c r="J253" s="320"/>
      <c r="K253" s="320"/>
    </row>
    <row r="254" spans="1:11" s="237" customFormat="1">
      <c r="J254" s="320"/>
      <c r="K254" s="320"/>
    </row>
    <row r="255" spans="1:11" s="237" customFormat="1">
      <c r="J255" s="320"/>
      <c r="K255" s="320"/>
    </row>
    <row r="256" spans="1:11" s="237" customFormat="1">
      <c r="J256" s="320"/>
      <c r="K256" s="320"/>
    </row>
    <row r="257" spans="10:11" s="237" customFormat="1">
      <c r="J257" s="320"/>
      <c r="K257" s="320"/>
    </row>
    <row r="258" spans="10:11" s="237" customFormat="1">
      <c r="J258" s="320"/>
      <c r="K258" s="320"/>
    </row>
    <row r="259" spans="10:11" s="237" customFormat="1">
      <c r="J259" s="320"/>
      <c r="K259" s="320"/>
    </row>
    <row r="260" spans="10:11" s="237" customFormat="1">
      <c r="J260" s="320"/>
      <c r="K260" s="320"/>
    </row>
    <row r="261" spans="10:11" s="237" customFormat="1">
      <c r="J261" s="320"/>
      <c r="K261" s="320"/>
    </row>
    <row r="262" spans="10:11" s="237" customFormat="1">
      <c r="J262" s="320"/>
      <c r="K262" s="320"/>
    </row>
    <row r="263" spans="10:11" s="237" customFormat="1">
      <c r="J263" s="320"/>
      <c r="K263" s="320"/>
    </row>
    <row r="264" spans="10:11" s="237" customFormat="1">
      <c r="J264" s="320"/>
      <c r="K264" s="320"/>
    </row>
    <row r="265" spans="10:11" s="237" customFormat="1">
      <c r="J265" s="320"/>
      <c r="K265" s="320"/>
    </row>
    <row r="266" spans="10:11" s="237" customFormat="1">
      <c r="J266" s="320"/>
      <c r="K266" s="320"/>
    </row>
    <row r="267" spans="10:11" s="237" customFormat="1">
      <c r="J267" s="320"/>
      <c r="K267" s="320"/>
    </row>
    <row r="268" spans="10:11" s="237" customFormat="1">
      <c r="J268" s="320"/>
      <c r="K268" s="320"/>
    </row>
    <row r="269" spans="10:11" s="237" customFormat="1">
      <c r="J269" s="320"/>
      <c r="K269" s="320"/>
    </row>
    <row r="270" spans="10:11" s="237" customFormat="1">
      <c r="J270" s="320"/>
      <c r="K270" s="320"/>
    </row>
    <row r="271" spans="10:11" s="237" customFormat="1">
      <c r="J271" s="320"/>
      <c r="K271" s="320"/>
    </row>
    <row r="272" spans="10:11" s="237" customFormat="1">
      <c r="J272" s="320"/>
      <c r="K272" s="320"/>
    </row>
    <row r="273" spans="10:11" s="237" customFormat="1">
      <c r="J273" s="320"/>
      <c r="K273" s="320"/>
    </row>
    <row r="274" spans="10:11" s="237" customFormat="1">
      <c r="J274" s="320"/>
      <c r="K274" s="320"/>
    </row>
    <row r="275" spans="10:11" s="237" customFormat="1">
      <c r="J275" s="320"/>
      <c r="K275" s="320"/>
    </row>
    <row r="276" spans="10:11" s="237" customFormat="1">
      <c r="J276" s="320"/>
      <c r="K276" s="320"/>
    </row>
    <row r="277" spans="10:11" s="237" customFormat="1">
      <c r="J277" s="320"/>
      <c r="K277" s="320"/>
    </row>
    <row r="278" spans="10:11" s="237" customFormat="1">
      <c r="J278" s="320"/>
      <c r="K278" s="320"/>
    </row>
    <row r="279" spans="10:11" s="237" customFormat="1">
      <c r="J279" s="320"/>
      <c r="K279" s="320"/>
    </row>
    <row r="280" spans="10:11" s="237" customFormat="1">
      <c r="J280" s="320"/>
      <c r="K280" s="320"/>
    </row>
    <row r="281" spans="10:11" s="237" customFormat="1">
      <c r="J281" s="320"/>
      <c r="K281" s="320"/>
    </row>
    <row r="282" spans="10:11" s="237" customFormat="1">
      <c r="J282" s="320"/>
      <c r="K282" s="320"/>
    </row>
    <row r="283" spans="10:11" s="237" customFormat="1">
      <c r="J283" s="320"/>
      <c r="K283" s="320"/>
    </row>
    <row r="284" spans="10:11" s="237" customFormat="1">
      <c r="J284" s="320"/>
      <c r="K284" s="320"/>
    </row>
    <row r="285" spans="10:11" s="237" customFormat="1">
      <c r="J285" s="320"/>
      <c r="K285" s="320"/>
    </row>
    <row r="286" spans="10:11" s="237" customFormat="1">
      <c r="J286" s="320"/>
      <c r="K286" s="320"/>
    </row>
    <row r="287" spans="10:11" s="237" customFormat="1">
      <c r="J287" s="320"/>
      <c r="K287" s="320"/>
    </row>
    <row r="288" spans="10:11" s="237" customFormat="1">
      <c r="J288" s="320"/>
      <c r="K288" s="320"/>
    </row>
    <row r="289" spans="10:11" s="237" customFormat="1">
      <c r="J289" s="320"/>
      <c r="K289" s="320"/>
    </row>
    <row r="290" spans="10:11" s="237" customFormat="1">
      <c r="J290" s="320"/>
      <c r="K290" s="320"/>
    </row>
    <row r="291" spans="10:11" s="237" customFormat="1">
      <c r="J291" s="320"/>
      <c r="K291" s="320"/>
    </row>
    <row r="292" spans="10:11" s="237" customFormat="1">
      <c r="J292" s="320"/>
      <c r="K292" s="320"/>
    </row>
    <row r="293" spans="10:11" s="237" customFormat="1">
      <c r="J293" s="320"/>
      <c r="K293" s="320"/>
    </row>
    <row r="294" spans="10:11" s="237" customFormat="1">
      <c r="J294" s="320"/>
      <c r="K294" s="320"/>
    </row>
    <row r="295" spans="10:11" s="237" customFormat="1">
      <c r="J295" s="320"/>
      <c r="K295" s="320"/>
    </row>
    <row r="296" spans="10:11" s="237" customFormat="1">
      <c r="J296" s="320"/>
      <c r="K296" s="320"/>
    </row>
    <row r="297" spans="10:11" s="237" customFormat="1">
      <c r="J297" s="320"/>
      <c r="K297" s="320"/>
    </row>
    <row r="298" spans="10:11" s="237" customFormat="1">
      <c r="J298" s="320"/>
      <c r="K298" s="320"/>
    </row>
    <row r="299" spans="10:11" s="237" customFormat="1">
      <c r="J299" s="320"/>
      <c r="K299" s="320"/>
    </row>
    <row r="300" spans="10:11" s="237" customFormat="1">
      <c r="J300" s="320"/>
      <c r="K300" s="320"/>
    </row>
    <row r="301" spans="10:11" s="237" customFormat="1">
      <c r="J301" s="320"/>
      <c r="K301" s="320"/>
    </row>
    <row r="302" spans="10:11" s="237" customFormat="1">
      <c r="J302" s="320"/>
      <c r="K302" s="320"/>
    </row>
    <row r="303" spans="10:11" s="237" customFormat="1">
      <c r="J303" s="320"/>
      <c r="K303" s="320"/>
    </row>
    <row r="304" spans="10:11" s="237" customFormat="1">
      <c r="J304" s="320"/>
      <c r="K304" s="320"/>
    </row>
    <row r="305" spans="1:11" s="237" customFormat="1">
      <c r="J305" s="320"/>
      <c r="K305" s="320"/>
    </row>
    <row r="306" spans="1:11" s="237" customFormat="1">
      <c r="J306" s="320"/>
      <c r="K306" s="320"/>
    </row>
    <row r="307" spans="1:11" s="237" customFormat="1">
      <c r="J307" s="320"/>
      <c r="K307" s="320"/>
    </row>
    <row r="308" spans="1:11" s="237" customFormat="1">
      <c r="J308" s="320"/>
      <c r="K308" s="320"/>
    </row>
    <row r="309" spans="1:11" s="237" customFormat="1">
      <c r="J309" s="320"/>
      <c r="K309" s="320"/>
    </row>
    <row r="310" spans="1:11" s="237" customFormat="1">
      <c r="J310" s="320"/>
      <c r="K310" s="320"/>
    </row>
    <row r="311" spans="1:11" s="237" customFormat="1">
      <c r="J311" s="320"/>
      <c r="K311" s="320"/>
    </row>
    <row r="312" spans="1:11" s="237" customFormat="1">
      <c r="J312" s="320"/>
      <c r="K312" s="320"/>
    </row>
    <row r="313" spans="1:11" s="237" customFormat="1">
      <c r="J313" s="320"/>
      <c r="K313" s="320"/>
    </row>
    <row r="314" spans="1:11" s="237" customFormat="1">
      <c r="A314" s="778"/>
      <c r="J314" s="320"/>
      <c r="K314" s="320"/>
    </row>
    <row r="315" spans="1:11" s="237" customFormat="1">
      <c r="J315" s="320"/>
      <c r="K315" s="320"/>
    </row>
    <row r="316" spans="1:11" s="237" customFormat="1">
      <c r="J316" s="320"/>
      <c r="K316" s="320"/>
    </row>
    <row r="317" spans="1:11" s="237" customFormat="1">
      <c r="J317" s="320"/>
      <c r="K317" s="320"/>
    </row>
    <row r="318" spans="1:11" s="237" customFormat="1">
      <c r="J318" s="320"/>
      <c r="K318" s="320"/>
    </row>
    <row r="319" spans="1:11" s="237" customFormat="1">
      <c r="J319" s="320"/>
      <c r="K319" s="320"/>
    </row>
    <row r="320" spans="1:11" s="237" customFormat="1">
      <c r="J320" s="320"/>
      <c r="K320" s="320"/>
    </row>
    <row r="321" spans="1:11" s="237" customFormat="1">
      <c r="J321" s="320"/>
      <c r="K321" s="320"/>
    </row>
    <row r="322" spans="1:11" s="237" customFormat="1">
      <c r="J322" s="320"/>
      <c r="K322" s="320"/>
    </row>
    <row r="323" spans="1:11" s="237" customFormat="1">
      <c r="J323" s="320"/>
      <c r="K323" s="320"/>
    </row>
    <row r="324" spans="1:11" s="237" customFormat="1">
      <c r="J324" s="320"/>
      <c r="K324" s="320"/>
    </row>
    <row r="325" spans="1:11" s="237" customFormat="1">
      <c r="J325" s="320"/>
      <c r="K325" s="320"/>
    </row>
    <row r="326" spans="1:11" s="237" customFormat="1">
      <c r="J326" s="320"/>
      <c r="K326" s="320"/>
    </row>
    <row r="327" spans="1:11" s="237" customFormat="1">
      <c r="J327" s="320"/>
      <c r="K327" s="320"/>
    </row>
    <row r="328" spans="1:11" s="237" customFormat="1">
      <c r="J328" s="320"/>
      <c r="K328" s="320"/>
    </row>
    <row r="329" spans="1:11" s="237" customFormat="1">
      <c r="J329" s="320"/>
      <c r="K329" s="320"/>
    </row>
    <row r="330" spans="1:11" s="237" customFormat="1">
      <c r="J330" s="320"/>
      <c r="K330" s="320"/>
    </row>
    <row r="331" spans="1:11" s="237" customFormat="1">
      <c r="A331" s="777"/>
      <c r="J331" s="320"/>
      <c r="K331" s="320"/>
    </row>
    <row r="332" spans="1:11" s="237" customFormat="1">
      <c r="A332" s="777"/>
      <c r="J332" s="320"/>
      <c r="K332" s="320"/>
    </row>
    <row r="333" spans="1:11" s="237" customFormat="1">
      <c r="A333" s="777"/>
      <c r="J333" s="320"/>
      <c r="K333" s="320"/>
    </row>
    <row r="334" spans="1:11" s="237" customFormat="1">
      <c r="A334" s="777"/>
      <c r="J334" s="320"/>
      <c r="K334" s="320"/>
    </row>
    <row r="335" spans="1:11" s="237" customFormat="1">
      <c r="A335" s="777"/>
      <c r="J335" s="320"/>
      <c r="K335" s="320"/>
    </row>
    <row r="336" spans="1:11" s="237" customFormat="1">
      <c r="A336" s="777"/>
      <c r="J336" s="320"/>
      <c r="K336" s="320"/>
    </row>
    <row r="337" spans="1:11" s="237" customFormat="1">
      <c r="A337" s="777"/>
      <c r="J337" s="320"/>
      <c r="K337" s="320"/>
    </row>
    <row r="338" spans="1:11" s="237" customFormat="1">
      <c r="A338" s="777"/>
      <c r="J338" s="320"/>
      <c r="K338" s="320"/>
    </row>
    <row r="339" spans="1:11" s="237" customFormat="1">
      <c r="A339" s="777"/>
      <c r="J339" s="320"/>
      <c r="K339" s="320"/>
    </row>
    <row r="340" spans="1:11" s="237" customFormat="1">
      <c r="A340" s="777"/>
      <c r="J340" s="320"/>
      <c r="K340" s="320"/>
    </row>
    <row r="341" spans="1:11" s="237" customFormat="1">
      <c r="A341" s="777"/>
      <c r="J341" s="320"/>
      <c r="K341" s="320"/>
    </row>
    <row r="342" spans="1:11" s="237" customFormat="1">
      <c r="A342" s="777"/>
      <c r="J342" s="320"/>
      <c r="K342" s="320"/>
    </row>
    <row r="343" spans="1:11" s="237" customFormat="1">
      <c r="A343" s="777"/>
      <c r="J343" s="320"/>
      <c r="K343" s="320"/>
    </row>
    <row r="344" spans="1:11" s="237" customFormat="1">
      <c r="A344" s="777"/>
      <c r="J344" s="320"/>
      <c r="K344" s="320"/>
    </row>
    <row r="345" spans="1:11" s="237" customFormat="1">
      <c r="A345" s="777"/>
      <c r="J345" s="320"/>
      <c r="K345" s="320"/>
    </row>
    <row r="346" spans="1:11" s="237" customFormat="1">
      <c r="A346" s="777"/>
      <c r="J346" s="320"/>
      <c r="K346" s="320"/>
    </row>
    <row r="347" spans="1:11" s="237" customFormat="1">
      <c r="A347" s="777"/>
      <c r="J347" s="320"/>
      <c r="K347" s="320"/>
    </row>
    <row r="348" spans="1:11" s="237" customFormat="1">
      <c r="A348" s="777"/>
      <c r="J348" s="320"/>
      <c r="K348" s="320"/>
    </row>
    <row r="349" spans="1:11" s="237" customFormat="1">
      <c r="A349" s="777"/>
      <c r="J349" s="320"/>
      <c r="K349" s="320"/>
    </row>
    <row r="350" spans="1:11" s="237" customFormat="1">
      <c r="A350" s="777"/>
      <c r="J350" s="320"/>
      <c r="K350" s="320"/>
    </row>
    <row r="351" spans="1:11" s="237" customFormat="1">
      <c r="A351" s="777"/>
      <c r="J351" s="320"/>
      <c r="K351" s="320"/>
    </row>
    <row r="352" spans="1:11" s="237" customFormat="1">
      <c r="A352" s="777"/>
      <c r="J352" s="320"/>
      <c r="K352" s="320"/>
    </row>
    <row r="353" spans="1:11" s="237" customFormat="1">
      <c r="A353" s="777"/>
      <c r="J353" s="320"/>
      <c r="K353" s="320"/>
    </row>
    <row r="354" spans="1:11" s="237" customFormat="1">
      <c r="A354" s="777"/>
      <c r="J354" s="320"/>
      <c r="K354" s="320"/>
    </row>
    <row r="355" spans="1:11" s="237" customFormat="1">
      <c r="A355" s="777"/>
      <c r="J355" s="320"/>
      <c r="K355" s="320"/>
    </row>
    <row r="356" spans="1:11" s="237" customFormat="1">
      <c r="A356" s="777"/>
      <c r="J356" s="320"/>
      <c r="K356" s="320"/>
    </row>
    <row r="357" spans="1:11" s="237" customFormat="1">
      <c r="A357" s="777"/>
      <c r="J357" s="320"/>
      <c r="K357" s="320"/>
    </row>
    <row r="358" spans="1:11" s="237" customFormat="1">
      <c r="A358" s="777"/>
      <c r="J358" s="320"/>
      <c r="K358" s="320"/>
    </row>
    <row r="359" spans="1:11" s="237" customFormat="1">
      <c r="A359" s="777"/>
      <c r="J359" s="320"/>
      <c r="K359" s="320"/>
    </row>
    <row r="360" spans="1:11" s="237" customFormat="1">
      <c r="A360" s="777"/>
      <c r="J360" s="320"/>
      <c r="K360" s="320"/>
    </row>
    <row r="361" spans="1:11" s="237" customFormat="1">
      <c r="A361" s="777"/>
      <c r="J361" s="320"/>
      <c r="K361" s="320"/>
    </row>
    <row r="362" spans="1:11" s="237" customFormat="1">
      <c r="A362" s="777"/>
      <c r="J362" s="320"/>
      <c r="K362" s="320"/>
    </row>
    <row r="363" spans="1:11" s="237" customFormat="1">
      <c r="A363" s="777"/>
      <c r="J363" s="320"/>
      <c r="K363" s="320"/>
    </row>
    <row r="364" spans="1:11" s="237" customFormat="1">
      <c r="A364" s="777"/>
      <c r="J364" s="320"/>
      <c r="K364" s="320"/>
    </row>
    <row r="365" spans="1:11" s="237" customFormat="1">
      <c r="A365" s="777"/>
      <c r="J365" s="320"/>
      <c r="K365" s="320"/>
    </row>
    <row r="366" spans="1:11" s="237" customFormat="1">
      <c r="A366" s="777"/>
      <c r="J366" s="320"/>
      <c r="K366" s="320"/>
    </row>
    <row r="367" spans="1:11" s="237" customFormat="1">
      <c r="A367" s="777"/>
      <c r="J367" s="320"/>
      <c r="K367" s="320"/>
    </row>
    <row r="368" spans="1:11" s="237" customFormat="1">
      <c r="A368" s="777"/>
      <c r="J368" s="320"/>
      <c r="K368" s="320"/>
    </row>
    <row r="369" spans="1:11" s="237" customFormat="1">
      <c r="A369" s="777"/>
      <c r="J369" s="320"/>
      <c r="K369" s="320"/>
    </row>
    <row r="370" spans="1:11" s="237" customFormat="1">
      <c r="A370" s="777"/>
      <c r="J370" s="320"/>
      <c r="K370" s="320"/>
    </row>
    <row r="371" spans="1:11" s="237" customFormat="1">
      <c r="A371" s="777"/>
      <c r="J371" s="320"/>
      <c r="K371" s="320"/>
    </row>
    <row r="372" spans="1:11" s="237" customFormat="1">
      <c r="A372" s="777"/>
      <c r="J372" s="320"/>
      <c r="K372" s="320"/>
    </row>
    <row r="373" spans="1:11" s="237" customFormat="1">
      <c r="A373" s="777"/>
      <c r="J373" s="320"/>
      <c r="K373" s="320"/>
    </row>
    <row r="374" spans="1:11" s="237" customFormat="1">
      <c r="A374" s="777"/>
      <c r="J374" s="320"/>
      <c r="K374" s="320"/>
    </row>
    <row r="375" spans="1:11" s="237" customFormat="1">
      <c r="A375" s="777"/>
      <c r="J375" s="320"/>
      <c r="K375" s="320"/>
    </row>
    <row r="376" spans="1:11" s="237" customFormat="1">
      <c r="A376" s="777"/>
      <c r="J376" s="320"/>
      <c r="K376" s="320"/>
    </row>
    <row r="377" spans="1:11" s="237" customFormat="1">
      <c r="A377" s="777"/>
      <c r="J377" s="320"/>
      <c r="K377" s="320"/>
    </row>
    <row r="378" spans="1:11" s="237" customFormat="1">
      <c r="A378" s="777"/>
      <c r="J378" s="320"/>
      <c r="K378" s="320"/>
    </row>
    <row r="379" spans="1:11" s="237" customFormat="1">
      <c r="A379" s="777"/>
      <c r="J379" s="320"/>
      <c r="K379" s="320"/>
    </row>
    <row r="380" spans="1:11" s="237" customFormat="1">
      <c r="A380" s="777"/>
      <c r="J380" s="320"/>
      <c r="K380" s="320"/>
    </row>
    <row r="381" spans="1:11" s="237" customFormat="1">
      <c r="A381" s="777"/>
      <c r="J381" s="320"/>
      <c r="K381" s="320"/>
    </row>
    <row r="382" spans="1:11" s="237" customFormat="1">
      <c r="A382" s="777"/>
      <c r="J382" s="320"/>
      <c r="K382" s="320"/>
    </row>
    <row r="383" spans="1:11" s="237" customFormat="1">
      <c r="A383" s="777"/>
      <c r="J383" s="320"/>
      <c r="K383" s="320"/>
    </row>
    <row r="384" spans="1:11" s="237" customFormat="1">
      <c r="A384" s="777"/>
      <c r="J384" s="320"/>
      <c r="K384" s="320"/>
    </row>
    <row r="385" spans="1:11" s="237" customFormat="1">
      <c r="A385" s="777"/>
      <c r="J385" s="320"/>
      <c r="K385" s="320"/>
    </row>
    <row r="386" spans="1:11" s="237" customFormat="1">
      <c r="J386" s="320"/>
      <c r="K386" s="320"/>
    </row>
    <row r="387" spans="1:11" s="237" customFormat="1">
      <c r="J387" s="320"/>
      <c r="K387" s="320"/>
    </row>
    <row r="388" spans="1:11" s="237" customFormat="1">
      <c r="J388" s="320"/>
      <c r="K388" s="320"/>
    </row>
    <row r="389" spans="1:11" s="237" customFormat="1">
      <c r="J389" s="320"/>
      <c r="K389" s="320"/>
    </row>
    <row r="390" spans="1:11" s="237" customFormat="1">
      <c r="J390" s="320"/>
      <c r="K390" s="320"/>
    </row>
    <row r="391" spans="1:11" s="237" customFormat="1">
      <c r="J391" s="320"/>
      <c r="K391" s="320"/>
    </row>
    <row r="392" spans="1:11" s="237" customFormat="1">
      <c r="J392" s="320"/>
      <c r="K392" s="320"/>
    </row>
    <row r="393" spans="1:11" s="237" customFormat="1">
      <c r="J393" s="320"/>
      <c r="K393" s="320"/>
    </row>
    <row r="394" spans="1:11" s="237" customFormat="1">
      <c r="J394" s="320"/>
      <c r="K394" s="320"/>
    </row>
    <row r="395" spans="1:11" s="237" customFormat="1">
      <c r="J395" s="320"/>
      <c r="K395" s="320"/>
    </row>
    <row r="396" spans="1:11" s="237" customFormat="1">
      <c r="J396" s="320"/>
      <c r="K396" s="320"/>
    </row>
    <row r="397" spans="1:11" s="237" customFormat="1">
      <c r="J397" s="320"/>
      <c r="K397" s="320"/>
    </row>
    <row r="398" spans="1:11" s="237" customFormat="1">
      <c r="J398" s="320"/>
      <c r="K398" s="320"/>
    </row>
    <row r="399" spans="1:11" s="237" customFormat="1">
      <c r="J399" s="320"/>
      <c r="K399" s="320"/>
    </row>
    <row r="400" spans="1:11" s="237" customFormat="1">
      <c r="J400" s="320"/>
      <c r="K400" s="320"/>
    </row>
    <row r="401" spans="10:11" s="237" customFormat="1">
      <c r="J401" s="320"/>
      <c r="K401" s="320"/>
    </row>
    <row r="402" spans="10:11" s="237" customFormat="1">
      <c r="J402" s="320"/>
      <c r="K402" s="320"/>
    </row>
    <row r="403" spans="10:11" s="237" customFormat="1">
      <c r="J403" s="320"/>
      <c r="K403" s="320"/>
    </row>
    <row r="404" spans="10:11" s="237" customFormat="1">
      <c r="J404" s="320"/>
      <c r="K404" s="320"/>
    </row>
    <row r="405" spans="10:11" s="237" customFormat="1">
      <c r="J405" s="320"/>
      <c r="K405" s="320"/>
    </row>
    <row r="406" spans="10:11" s="237" customFormat="1">
      <c r="J406" s="320"/>
      <c r="K406" s="320"/>
    </row>
    <row r="407" spans="10:11" s="237" customFormat="1">
      <c r="J407" s="320"/>
      <c r="K407" s="320"/>
    </row>
    <row r="408" spans="10:11" s="237" customFormat="1">
      <c r="J408" s="320"/>
      <c r="K408" s="320"/>
    </row>
    <row r="409" spans="10:11" s="237" customFormat="1">
      <c r="J409" s="320"/>
      <c r="K409" s="320"/>
    </row>
    <row r="410" spans="10:11" s="237" customFormat="1">
      <c r="J410" s="320"/>
      <c r="K410" s="320"/>
    </row>
    <row r="411" spans="10:11" s="237" customFormat="1">
      <c r="J411" s="320"/>
      <c r="K411" s="320"/>
    </row>
    <row r="412" spans="10:11" s="237" customFormat="1">
      <c r="J412" s="320"/>
      <c r="K412" s="320"/>
    </row>
    <row r="413" spans="10:11" s="237" customFormat="1">
      <c r="J413" s="320"/>
      <c r="K413" s="320"/>
    </row>
    <row r="414" spans="10:11" s="237" customFormat="1">
      <c r="J414" s="320"/>
      <c r="K414" s="320"/>
    </row>
    <row r="415" spans="10:11" s="237" customFormat="1">
      <c r="J415" s="320"/>
      <c r="K415" s="320"/>
    </row>
    <row r="416" spans="10:11" s="237" customFormat="1">
      <c r="J416" s="320"/>
      <c r="K416" s="320"/>
    </row>
    <row r="417" spans="10:11" s="237" customFormat="1">
      <c r="J417" s="320"/>
      <c r="K417" s="320"/>
    </row>
    <row r="418" spans="10:11" s="237" customFormat="1">
      <c r="J418" s="320"/>
      <c r="K418" s="320"/>
    </row>
    <row r="419" spans="10:11" s="237" customFormat="1">
      <c r="J419" s="320"/>
      <c r="K419" s="320"/>
    </row>
    <row r="420" spans="10:11" s="237" customFormat="1">
      <c r="J420" s="320"/>
      <c r="K420" s="320"/>
    </row>
    <row r="421" spans="10:11" s="237" customFormat="1">
      <c r="J421" s="320"/>
      <c r="K421" s="320"/>
    </row>
    <row r="422" spans="10:11" s="237" customFormat="1">
      <c r="J422" s="320"/>
      <c r="K422" s="320"/>
    </row>
    <row r="423" spans="10:11" s="237" customFormat="1">
      <c r="J423" s="320"/>
      <c r="K423" s="320"/>
    </row>
    <row r="424" spans="10:11" s="237" customFormat="1">
      <c r="J424" s="320"/>
      <c r="K424" s="320"/>
    </row>
    <row r="425" spans="10:11" s="237" customFormat="1">
      <c r="J425" s="320"/>
      <c r="K425" s="320"/>
    </row>
    <row r="426" spans="10:11" s="237" customFormat="1">
      <c r="J426" s="320"/>
      <c r="K426" s="320"/>
    </row>
    <row r="427" spans="10:11" s="237" customFormat="1">
      <c r="J427" s="320"/>
      <c r="K427" s="320"/>
    </row>
    <row r="428" spans="10:11" s="237" customFormat="1">
      <c r="J428" s="320"/>
      <c r="K428" s="320"/>
    </row>
    <row r="429" spans="10:11" s="237" customFormat="1">
      <c r="J429" s="320"/>
      <c r="K429" s="320"/>
    </row>
    <row r="430" spans="10:11" s="237" customFormat="1">
      <c r="J430" s="320"/>
      <c r="K430" s="320"/>
    </row>
    <row r="431" spans="10:11" s="237" customFormat="1">
      <c r="J431" s="320"/>
      <c r="K431" s="320"/>
    </row>
    <row r="432" spans="10:11" s="237" customFormat="1">
      <c r="J432" s="320"/>
      <c r="K432" s="320"/>
    </row>
    <row r="433" spans="10:11" s="237" customFormat="1">
      <c r="J433" s="320"/>
      <c r="K433" s="320"/>
    </row>
    <row r="434" spans="10:11" s="237" customFormat="1">
      <c r="J434" s="320"/>
      <c r="K434" s="320"/>
    </row>
    <row r="435" spans="10:11" s="237" customFormat="1">
      <c r="J435" s="320"/>
      <c r="K435" s="320"/>
    </row>
    <row r="436" spans="10:11" s="237" customFormat="1">
      <c r="J436" s="320"/>
      <c r="K436" s="320"/>
    </row>
    <row r="437" spans="10:11" s="237" customFormat="1">
      <c r="J437" s="320"/>
      <c r="K437" s="320"/>
    </row>
    <row r="438" spans="10:11" s="237" customFormat="1">
      <c r="J438" s="320"/>
      <c r="K438" s="320"/>
    </row>
    <row r="439" spans="10:11" s="237" customFormat="1">
      <c r="J439" s="320"/>
      <c r="K439" s="320"/>
    </row>
    <row r="440" spans="10:11" s="237" customFormat="1">
      <c r="J440" s="320"/>
      <c r="K440" s="320"/>
    </row>
    <row r="441" spans="10:11" s="237" customFormat="1">
      <c r="J441" s="320"/>
      <c r="K441" s="320"/>
    </row>
    <row r="442" spans="10:11" s="237" customFormat="1">
      <c r="J442" s="320"/>
      <c r="K442" s="320"/>
    </row>
    <row r="443" spans="10:11" s="237" customFormat="1">
      <c r="J443" s="320"/>
      <c r="K443" s="320"/>
    </row>
    <row r="444" spans="10:11" s="237" customFormat="1">
      <c r="J444" s="320"/>
      <c r="K444" s="320"/>
    </row>
    <row r="445" spans="10:11" s="237" customFormat="1">
      <c r="J445" s="320"/>
      <c r="K445" s="320"/>
    </row>
    <row r="446" spans="10:11" s="237" customFormat="1">
      <c r="J446" s="320"/>
      <c r="K446" s="320"/>
    </row>
    <row r="447" spans="10:11" s="237" customFormat="1">
      <c r="J447" s="320"/>
      <c r="K447" s="320"/>
    </row>
    <row r="448" spans="10:11" s="237" customFormat="1">
      <c r="J448" s="320"/>
      <c r="K448" s="320"/>
    </row>
    <row r="449" spans="10:11" s="237" customFormat="1">
      <c r="J449" s="320"/>
      <c r="K449" s="320"/>
    </row>
    <row r="450" spans="10:11" s="237" customFormat="1">
      <c r="J450" s="320"/>
      <c r="K450" s="320"/>
    </row>
    <row r="451" spans="10:11" s="237" customFormat="1">
      <c r="J451" s="320"/>
      <c r="K451" s="320"/>
    </row>
    <row r="452" spans="10:11" s="237" customFormat="1">
      <c r="J452" s="320"/>
      <c r="K452" s="320"/>
    </row>
    <row r="453" spans="10:11" s="237" customFormat="1">
      <c r="J453" s="320"/>
      <c r="K453" s="320"/>
    </row>
    <row r="454" spans="10:11" s="237" customFormat="1">
      <c r="J454" s="320"/>
      <c r="K454" s="320"/>
    </row>
    <row r="455" spans="10:11" s="237" customFormat="1">
      <c r="J455" s="320"/>
      <c r="K455" s="320"/>
    </row>
    <row r="456" spans="10:11" s="237" customFormat="1">
      <c r="J456" s="320"/>
      <c r="K456" s="320"/>
    </row>
    <row r="457" spans="10:11" s="237" customFormat="1">
      <c r="J457" s="320"/>
      <c r="K457" s="320"/>
    </row>
    <row r="458" spans="10:11" s="237" customFormat="1">
      <c r="J458" s="320"/>
      <c r="K458" s="320"/>
    </row>
    <row r="459" spans="10:11" s="237" customFormat="1">
      <c r="J459" s="320"/>
      <c r="K459" s="320"/>
    </row>
    <row r="460" spans="10:11" s="237" customFormat="1">
      <c r="J460" s="320"/>
      <c r="K460" s="320"/>
    </row>
    <row r="461" spans="10:11" s="237" customFormat="1">
      <c r="J461" s="320"/>
      <c r="K461" s="320"/>
    </row>
    <row r="462" spans="10:11" s="237" customFormat="1">
      <c r="J462" s="320"/>
      <c r="K462" s="320"/>
    </row>
    <row r="463" spans="10:11" s="237" customFormat="1">
      <c r="J463" s="320"/>
      <c r="K463" s="320"/>
    </row>
    <row r="464" spans="10:11" s="237" customFormat="1">
      <c r="J464" s="320"/>
      <c r="K464" s="320"/>
    </row>
    <row r="465" spans="10:11" s="237" customFormat="1">
      <c r="J465" s="320"/>
      <c r="K465" s="320"/>
    </row>
    <row r="466" spans="10:11" s="237" customFormat="1">
      <c r="J466" s="320"/>
      <c r="K466" s="320"/>
    </row>
    <row r="467" spans="10:11" s="237" customFormat="1">
      <c r="J467" s="320"/>
      <c r="K467" s="320"/>
    </row>
    <row r="468" spans="10:11" s="237" customFormat="1">
      <c r="J468" s="320"/>
      <c r="K468" s="320"/>
    </row>
    <row r="469" spans="10:11" s="237" customFormat="1">
      <c r="J469" s="320"/>
      <c r="K469" s="320"/>
    </row>
    <row r="470" spans="10:11" s="237" customFormat="1">
      <c r="J470" s="320"/>
      <c r="K470" s="320"/>
    </row>
    <row r="471" spans="10:11" s="237" customFormat="1">
      <c r="J471" s="320"/>
      <c r="K471" s="320"/>
    </row>
    <row r="472" spans="10:11" s="237" customFormat="1">
      <c r="J472" s="320"/>
      <c r="K472" s="320"/>
    </row>
    <row r="473" spans="10:11" s="237" customFormat="1">
      <c r="J473" s="320"/>
      <c r="K473" s="320"/>
    </row>
    <row r="474" spans="10:11" s="237" customFormat="1">
      <c r="J474" s="320"/>
      <c r="K474" s="320"/>
    </row>
    <row r="475" spans="10:11" s="237" customFormat="1">
      <c r="J475" s="320"/>
      <c r="K475" s="320"/>
    </row>
    <row r="476" spans="10:11" s="237" customFormat="1">
      <c r="J476" s="320"/>
      <c r="K476" s="320"/>
    </row>
    <row r="477" spans="10:11" s="237" customFormat="1">
      <c r="J477" s="320"/>
      <c r="K477" s="320"/>
    </row>
    <row r="478" spans="10:11" s="237" customFormat="1">
      <c r="J478" s="320"/>
      <c r="K478" s="320"/>
    </row>
    <row r="479" spans="10:11" s="237" customFormat="1">
      <c r="J479" s="320"/>
      <c r="K479" s="320"/>
    </row>
    <row r="480" spans="10:11" s="237" customFormat="1">
      <c r="J480" s="320"/>
      <c r="K480" s="320"/>
    </row>
    <row r="481" spans="10:11" s="237" customFormat="1">
      <c r="J481" s="320"/>
      <c r="K481" s="320"/>
    </row>
    <row r="482" spans="10:11" s="237" customFormat="1">
      <c r="J482" s="320"/>
      <c r="K482" s="320"/>
    </row>
    <row r="483" spans="10:11" s="237" customFormat="1">
      <c r="J483" s="320"/>
      <c r="K483" s="320"/>
    </row>
    <row r="484" spans="10:11" s="237" customFormat="1">
      <c r="J484" s="320"/>
      <c r="K484" s="320"/>
    </row>
    <row r="485" spans="10:11" s="237" customFormat="1">
      <c r="J485" s="320"/>
      <c r="K485" s="320"/>
    </row>
    <row r="486" spans="10:11" s="237" customFormat="1">
      <c r="J486" s="320"/>
      <c r="K486" s="320"/>
    </row>
    <row r="487" spans="10:11" s="237" customFormat="1">
      <c r="J487" s="320"/>
      <c r="K487" s="320"/>
    </row>
    <row r="488" spans="10:11" s="237" customFormat="1">
      <c r="J488" s="320"/>
      <c r="K488" s="320"/>
    </row>
    <row r="489" spans="10:11" s="237" customFormat="1">
      <c r="J489" s="320"/>
      <c r="K489" s="320"/>
    </row>
    <row r="490" spans="10:11" s="237" customFormat="1">
      <c r="J490" s="320"/>
      <c r="K490" s="320"/>
    </row>
    <row r="491" spans="10:11" s="237" customFormat="1">
      <c r="J491" s="320"/>
      <c r="K491" s="320"/>
    </row>
    <row r="492" spans="10:11" s="237" customFormat="1">
      <c r="J492" s="320"/>
      <c r="K492" s="320"/>
    </row>
    <row r="493" spans="10:11" s="237" customFormat="1">
      <c r="J493" s="320"/>
      <c r="K493" s="320"/>
    </row>
    <row r="494" spans="10:11" s="237" customFormat="1">
      <c r="J494" s="320"/>
      <c r="K494" s="320"/>
    </row>
    <row r="495" spans="10:11" s="237" customFormat="1">
      <c r="J495" s="320"/>
      <c r="K495" s="320"/>
    </row>
    <row r="496" spans="10:11" s="237" customFormat="1">
      <c r="J496" s="320"/>
      <c r="K496" s="320"/>
    </row>
    <row r="497" spans="10:11" s="237" customFormat="1">
      <c r="J497" s="320"/>
      <c r="K497" s="320"/>
    </row>
    <row r="498" spans="10:11" s="237" customFormat="1">
      <c r="J498" s="320"/>
      <c r="K498" s="320"/>
    </row>
    <row r="499" spans="10:11" s="237" customFormat="1">
      <c r="J499" s="320"/>
      <c r="K499" s="320"/>
    </row>
    <row r="500" spans="10:11" s="237" customFormat="1">
      <c r="J500" s="320"/>
      <c r="K500" s="320"/>
    </row>
    <row r="501" spans="10:11" s="237" customFormat="1">
      <c r="J501" s="320"/>
      <c r="K501" s="320"/>
    </row>
    <row r="502" spans="10:11" s="237" customFormat="1">
      <c r="J502" s="320"/>
      <c r="K502" s="320"/>
    </row>
    <row r="503" spans="10:11" s="237" customFormat="1">
      <c r="J503" s="320"/>
      <c r="K503" s="320"/>
    </row>
    <row r="504" spans="10:11" s="237" customFormat="1">
      <c r="J504" s="320"/>
      <c r="K504" s="320"/>
    </row>
    <row r="505" spans="10:11" s="237" customFormat="1">
      <c r="J505" s="320"/>
      <c r="K505" s="320"/>
    </row>
    <row r="506" spans="10:11" s="237" customFormat="1">
      <c r="J506" s="320"/>
      <c r="K506" s="320"/>
    </row>
    <row r="507" spans="10:11" s="237" customFormat="1">
      <c r="J507" s="320"/>
      <c r="K507" s="320"/>
    </row>
    <row r="508" spans="10:11" s="237" customFormat="1">
      <c r="J508" s="320"/>
      <c r="K508" s="320"/>
    </row>
    <row r="509" spans="10:11" s="237" customFormat="1">
      <c r="J509" s="320"/>
      <c r="K509" s="320"/>
    </row>
    <row r="510" spans="10:11" s="237" customFormat="1">
      <c r="J510" s="320"/>
      <c r="K510" s="320"/>
    </row>
    <row r="511" spans="10:11" s="237" customFormat="1">
      <c r="J511" s="320"/>
      <c r="K511" s="320"/>
    </row>
    <row r="512" spans="10:11" s="237" customFormat="1">
      <c r="J512" s="320"/>
      <c r="K512" s="320"/>
    </row>
    <row r="513" spans="10:11" s="237" customFormat="1">
      <c r="J513" s="320"/>
      <c r="K513" s="320"/>
    </row>
    <row r="514" spans="10:11" s="237" customFormat="1">
      <c r="J514" s="320"/>
      <c r="K514" s="320"/>
    </row>
    <row r="515" spans="10:11" s="237" customFormat="1">
      <c r="J515" s="320"/>
      <c r="K515" s="320"/>
    </row>
    <row r="516" spans="10:11" s="237" customFormat="1">
      <c r="J516" s="320"/>
      <c r="K516" s="320"/>
    </row>
    <row r="517" spans="10:11" s="237" customFormat="1">
      <c r="J517" s="320"/>
      <c r="K517" s="320"/>
    </row>
    <row r="518" spans="10:11" s="237" customFormat="1">
      <c r="J518" s="320"/>
      <c r="K518" s="320"/>
    </row>
    <row r="519" spans="10:11" s="237" customFormat="1">
      <c r="J519" s="320"/>
      <c r="K519" s="320"/>
    </row>
    <row r="520" spans="10:11" s="237" customFormat="1">
      <c r="J520" s="320"/>
      <c r="K520" s="320"/>
    </row>
    <row r="521" spans="10:11" s="237" customFormat="1">
      <c r="J521" s="320"/>
      <c r="K521" s="320"/>
    </row>
    <row r="522" spans="10:11" s="237" customFormat="1">
      <c r="J522" s="320"/>
      <c r="K522" s="320"/>
    </row>
    <row r="523" spans="10:11" s="237" customFormat="1">
      <c r="J523" s="320"/>
      <c r="K523" s="320"/>
    </row>
    <row r="524" spans="10:11" s="237" customFormat="1">
      <c r="J524" s="320"/>
      <c r="K524" s="320"/>
    </row>
    <row r="525" spans="10:11" s="237" customFormat="1">
      <c r="J525" s="320"/>
      <c r="K525" s="320"/>
    </row>
    <row r="526" spans="10:11" s="237" customFormat="1">
      <c r="J526" s="320"/>
      <c r="K526" s="320"/>
    </row>
    <row r="527" spans="10:11" s="237" customFormat="1">
      <c r="J527" s="320"/>
      <c r="K527" s="320"/>
    </row>
    <row r="528" spans="10:11" s="237" customFormat="1">
      <c r="J528" s="320"/>
      <c r="K528" s="320"/>
    </row>
    <row r="529" spans="10:11" s="237" customFormat="1">
      <c r="J529" s="320"/>
      <c r="K529" s="320"/>
    </row>
    <row r="530" spans="10:11" s="237" customFormat="1">
      <c r="J530" s="320"/>
      <c r="K530" s="320"/>
    </row>
    <row r="531" spans="10:11" s="237" customFormat="1">
      <c r="J531" s="320"/>
      <c r="K531" s="320"/>
    </row>
    <row r="532" spans="10:11" s="237" customFormat="1">
      <c r="J532" s="320"/>
      <c r="K532" s="320"/>
    </row>
    <row r="533" spans="10:11" s="237" customFormat="1">
      <c r="J533" s="320"/>
      <c r="K533" s="320"/>
    </row>
    <row r="534" spans="10:11" s="237" customFormat="1">
      <c r="J534" s="320"/>
      <c r="K534" s="320"/>
    </row>
    <row r="535" spans="10:11" s="237" customFormat="1">
      <c r="J535" s="320"/>
      <c r="K535" s="320"/>
    </row>
    <row r="536" spans="10:11" s="237" customFormat="1">
      <c r="J536" s="320"/>
      <c r="K536" s="320"/>
    </row>
    <row r="537" spans="10:11" s="237" customFormat="1">
      <c r="J537" s="320"/>
      <c r="K537" s="320"/>
    </row>
    <row r="538" spans="10:11" s="237" customFormat="1">
      <c r="J538" s="320"/>
      <c r="K538" s="320"/>
    </row>
    <row r="539" spans="10:11" s="237" customFormat="1">
      <c r="J539" s="320"/>
      <c r="K539" s="320"/>
    </row>
    <row r="540" spans="10:11" s="237" customFormat="1">
      <c r="J540" s="320"/>
      <c r="K540" s="320"/>
    </row>
    <row r="541" spans="10:11" s="237" customFormat="1">
      <c r="J541" s="320"/>
      <c r="K541" s="320"/>
    </row>
    <row r="542" spans="10:11" s="237" customFormat="1">
      <c r="J542" s="320"/>
      <c r="K542" s="320"/>
    </row>
    <row r="543" spans="10:11" s="237" customFormat="1">
      <c r="J543" s="320"/>
      <c r="K543" s="320"/>
    </row>
    <row r="544" spans="10:11" s="237" customFormat="1">
      <c r="J544" s="320"/>
      <c r="K544" s="320"/>
    </row>
    <row r="545" spans="10:11" s="237" customFormat="1">
      <c r="J545" s="320"/>
      <c r="K545" s="320"/>
    </row>
    <row r="546" spans="10:11" s="237" customFormat="1">
      <c r="J546" s="320"/>
      <c r="K546" s="320"/>
    </row>
    <row r="547" spans="10:11" s="237" customFormat="1">
      <c r="J547" s="320"/>
      <c r="K547" s="320"/>
    </row>
    <row r="548" spans="10:11" s="237" customFormat="1">
      <c r="J548" s="320"/>
      <c r="K548" s="320"/>
    </row>
    <row r="549" spans="10:11" s="237" customFormat="1">
      <c r="J549" s="320"/>
      <c r="K549" s="320"/>
    </row>
    <row r="550" spans="10:11" s="237" customFormat="1">
      <c r="J550" s="320"/>
      <c r="K550" s="320"/>
    </row>
    <row r="551" spans="10:11" s="237" customFormat="1">
      <c r="J551" s="320"/>
      <c r="K551" s="320"/>
    </row>
    <row r="552" spans="10:11" s="237" customFormat="1">
      <c r="J552" s="320"/>
      <c r="K552" s="320"/>
    </row>
    <row r="553" spans="10:11" s="237" customFormat="1">
      <c r="J553" s="320"/>
      <c r="K553" s="320"/>
    </row>
    <row r="554" spans="10:11" s="237" customFormat="1">
      <c r="J554" s="320"/>
      <c r="K554" s="320"/>
    </row>
    <row r="555" spans="10:11" s="237" customFormat="1">
      <c r="J555" s="320"/>
      <c r="K555" s="320"/>
    </row>
    <row r="556" spans="10:11" s="237" customFormat="1">
      <c r="J556" s="320"/>
      <c r="K556" s="320"/>
    </row>
    <row r="557" spans="10:11" s="237" customFormat="1">
      <c r="J557" s="320"/>
      <c r="K557" s="320"/>
    </row>
    <row r="558" spans="10:11" s="237" customFormat="1">
      <c r="J558" s="320"/>
      <c r="K558" s="320"/>
    </row>
    <row r="559" spans="10:11" s="237" customFormat="1">
      <c r="J559" s="320"/>
      <c r="K559" s="320"/>
    </row>
    <row r="560" spans="10:11" s="237" customFormat="1">
      <c r="J560" s="320"/>
      <c r="K560" s="320"/>
    </row>
    <row r="561" spans="10:11" s="237" customFormat="1">
      <c r="J561" s="320"/>
      <c r="K561" s="320"/>
    </row>
    <row r="562" spans="10:11" s="237" customFormat="1">
      <c r="J562" s="320"/>
      <c r="K562" s="320"/>
    </row>
    <row r="563" spans="10:11" s="237" customFormat="1">
      <c r="J563" s="320"/>
      <c r="K563" s="320"/>
    </row>
    <row r="564" spans="10:11" s="237" customFormat="1">
      <c r="J564" s="320"/>
      <c r="K564" s="320"/>
    </row>
    <row r="565" spans="10:11" s="237" customFormat="1">
      <c r="J565" s="320"/>
      <c r="K565" s="320"/>
    </row>
    <row r="566" spans="10:11" s="237" customFormat="1">
      <c r="J566" s="320"/>
      <c r="K566" s="320"/>
    </row>
    <row r="567" spans="10:11" s="237" customFormat="1">
      <c r="J567" s="320"/>
      <c r="K567" s="320"/>
    </row>
    <row r="568" spans="10:11" s="237" customFormat="1">
      <c r="J568" s="320"/>
      <c r="K568" s="320"/>
    </row>
    <row r="569" spans="10:11" s="237" customFormat="1">
      <c r="J569" s="320"/>
      <c r="K569" s="320"/>
    </row>
    <row r="570" spans="10:11" s="237" customFormat="1">
      <c r="J570" s="320"/>
      <c r="K570" s="320"/>
    </row>
    <row r="571" spans="10:11" s="237" customFormat="1">
      <c r="J571" s="320"/>
      <c r="K571" s="320"/>
    </row>
    <row r="572" spans="10:11" s="237" customFormat="1">
      <c r="J572" s="320"/>
      <c r="K572" s="320"/>
    </row>
    <row r="573" spans="10:11" s="237" customFormat="1">
      <c r="J573" s="320"/>
      <c r="K573" s="320"/>
    </row>
    <row r="574" spans="10:11" s="237" customFormat="1">
      <c r="J574" s="320"/>
      <c r="K574" s="320"/>
    </row>
    <row r="575" spans="10:11" s="237" customFormat="1">
      <c r="J575" s="320"/>
      <c r="K575" s="320"/>
    </row>
    <row r="576" spans="10:11" s="237" customFormat="1">
      <c r="J576" s="320"/>
      <c r="K576" s="320"/>
    </row>
    <row r="577" spans="10:11" s="237" customFormat="1">
      <c r="J577" s="320"/>
      <c r="K577" s="320"/>
    </row>
    <row r="578" spans="10:11" s="237" customFormat="1">
      <c r="J578" s="320"/>
      <c r="K578" s="320"/>
    </row>
    <row r="579" spans="10:11" s="237" customFormat="1">
      <c r="J579" s="320"/>
      <c r="K579" s="320"/>
    </row>
    <row r="580" spans="10:11" s="237" customFormat="1">
      <c r="J580" s="320"/>
      <c r="K580" s="320"/>
    </row>
    <row r="581" spans="10:11" s="237" customFormat="1">
      <c r="J581" s="320"/>
      <c r="K581" s="320"/>
    </row>
    <row r="582" spans="10:11" s="237" customFormat="1">
      <c r="J582" s="320"/>
      <c r="K582" s="320"/>
    </row>
    <row r="583" spans="10:11" s="237" customFormat="1">
      <c r="J583" s="320"/>
      <c r="K583" s="320"/>
    </row>
    <row r="584" spans="10:11" s="237" customFormat="1">
      <c r="J584" s="320"/>
      <c r="K584" s="320"/>
    </row>
    <row r="585" spans="10:11" s="237" customFormat="1">
      <c r="J585" s="320"/>
      <c r="K585" s="320"/>
    </row>
    <row r="586" spans="10:11" s="237" customFormat="1">
      <c r="J586" s="320"/>
      <c r="K586" s="320"/>
    </row>
    <row r="587" spans="10:11" s="237" customFormat="1">
      <c r="J587" s="320"/>
      <c r="K587" s="320"/>
    </row>
    <row r="588" spans="10:11" s="237" customFormat="1">
      <c r="J588" s="320"/>
      <c r="K588" s="320"/>
    </row>
    <row r="589" spans="10:11" s="237" customFormat="1">
      <c r="J589" s="320"/>
      <c r="K589" s="320"/>
    </row>
    <row r="590" spans="10:11" s="237" customFormat="1">
      <c r="J590" s="320"/>
      <c r="K590" s="320"/>
    </row>
    <row r="591" spans="10:11" s="237" customFormat="1">
      <c r="J591" s="320"/>
      <c r="K591" s="320"/>
    </row>
    <row r="592" spans="10:11" s="237" customFormat="1">
      <c r="J592" s="320"/>
      <c r="K592" s="320"/>
    </row>
    <row r="593" spans="10:11" s="237" customFormat="1">
      <c r="J593" s="320"/>
      <c r="K593" s="320"/>
    </row>
    <row r="594" spans="10:11" s="237" customFormat="1">
      <c r="J594" s="320"/>
      <c r="K594" s="320"/>
    </row>
    <row r="595" spans="10:11" s="237" customFormat="1">
      <c r="J595" s="320"/>
      <c r="K595" s="320"/>
    </row>
    <row r="596" spans="10:11" s="237" customFormat="1">
      <c r="J596" s="320"/>
      <c r="K596" s="320"/>
    </row>
    <row r="597" spans="10:11" s="237" customFormat="1">
      <c r="J597" s="320"/>
      <c r="K597" s="320"/>
    </row>
    <row r="598" spans="10:11" s="237" customFormat="1">
      <c r="J598" s="320"/>
      <c r="K598" s="320"/>
    </row>
    <row r="599" spans="10:11" s="237" customFormat="1">
      <c r="J599" s="320"/>
      <c r="K599" s="320"/>
    </row>
    <row r="600" spans="10:11" s="237" customFormat="1">
      <c r="J600" s="320"/>
      <c r="K600" s="320"/>
    </row>
    <row r="601" spans="10:11" s="237" customFormat="1">
      <c r="J601" s="320"/>
      <c r="K601" s="320"/>
    </row>
    <row r="602" spans="10:11" s="237" customFormat="1">
      <c r="J602" s="320"/>
      <c r="K602" s="320"/>
    </row>
    <row r="603" spans="10:11" s="237" customFormat="1">
      <c r="J603" s="320"/>
      <c r="K603" s="320"/>
    </row>
    <row r="604" spans="10:11" s="237" customFormat="1">
      <c r="J604" s="320"/>
      <c r="K604" s="320"/>
    </row>
    <row r="605" spans="10:11" s="237" customFormat="1">
      <c r="J605" s="320"/>
      <c r="K605" s="320"/>
    </row>
    <row r="606" spans="10:11" s="237" customFormat="1">
      <c r="J606" s="320"/>
      <c r="K606" s="320"/>
    </row>
    <row r="607" spans="10:11" s="237" customFormat="1">
      <c r="J607" s="320"/>
      <c r="K607" s="320"/>
    </row>
    <row r="608" spans="10:11" s="237" customFormat="1">
      <c r="J608" s="320"/>
      <c r="K608" s="320"/>
    </row>
    <row r="609" spans="10:11" s="237" customFormat="1">
      <c r="J609" s="320"/>
      <c r="K609" s="320"/>
    </row>
    <row r="610" spans="10:11" s="237" customFormat="1">
      <c r="J610" s="320"/>
      <c r="K610" s="320"/>
    </row>
    <row r="611" spans="10:11" s="237" customFormat="1">
      <c r="J611" s="320"/>
      <c r="K611" s="320"/>
    </row>
    <row r="612" spans="10:11" s="237" customFormat="1">
      <c r="J612" s="320"/>
      <c r="K612" s="320"/>
    </row>
    <row r="613" spans="10:11" s="237" customFormat="1">
      <c r="J613" s="320"/>
      <c r="K613" s="320"/>
    </row>
    <row r="614" spans="10:11" s="237" customFormat="1">
      <c r="J614" s="320"/>
      <c r="K614" s="320"/>
    </row>
    <row r="615" spans="10:11" s="237" customFormat="1">
      <c r="J615" s="320"/>
      <c r="K615" s="320"/>
    </row>
    <row r="616" spans="10:11" s="237" customFormat="1">
      <c r="J616" s="320"/>
      <c r="K616" s="320"/>
    </row>
    <row r="617" spans="10:11" s="237" customFormat="1">
      <c r="J617" s="320"/>
      <c r="K617" s="320"/>
    </row>
    <row r="618" spans="10:11" s="237" customFormat="1">
      <c r="J618" s="320"/>
      <c r="K618" s="320"/>
    </row>
    <row r="619" spans="10:11" s="237" customFormat="1">
      <c r="J619" s="320"/>
      <c r="K619" s="320"/>
    </row>
    <row r="620" spans="10:11" s="237" customFormat="1">
      <c r="J620" s="320"/>
      <c r="K620" s="320"/>
    </row>
    <row r="621" spans="10:11" s="237" customFormat="1">
      <c r="J621" s="320"/>
      <c r="K621" s="320"/>
    </row>
    <row r="622" spans="10:11" s="237" customFormat="1">
      <c r="J622" s="320"/>
      <c r="K622" s="320"/>
    </row>
    <row r="623" spans="10:11" s="237" customFormat="1">
      <c r="J623" s="320"/>
      <c r="K623" s="320"/>
    </row>
    <row r="624" spans="10:11" s="237" customFormat="1">
      <c r="J624" s="320"/>
      <c r="K624" s="320"/>
    </row>
    <row r="625" spans="10:11" s="237" customFormat="1">
      <c r="J625" s="320"/>
      <c r="K625" s="320"/>
    </row>
    <row r="626" spans="10:11" s="237" customFormat="1">
      <c r="J626" s="320"/>
      <c r="K626" s="320"/>
    </row>
    <row r="627" spans="10:11" s="237" customFormat="1">
      <c r="J627" s="320"/>
      <c r="K627" s="320"/>
    </row>
    <row r="628" spans="10:11" s="237" customFormat="1">
      <c r="J628" s="320"/>
      <c r="K628" s="320"/>
    </row>
    <row r="629" spans="10:11" s="237" customFormat="1">
      <c r="J629" s="320"/>
      <c r="K629" s="320"/>
    </row>
    <row r="630" spans="10:11" s="237" customFormat="1">
      <c r="J630" s="320"/>
      <c r="K630" s="320"/>
    </row>
    <row r="631" spans="10:11" s="237" customFormat="1">
      <c r="J631" s="320"/>
      <c r="K631" s="320"/>
    </row>
    <row r="632" spans="10:11" s="237" customFormat="1">
      <c r="J632" s="320"/>
      <c r="K632" s="320"/>
    </row>
    <row r="633" spans="10:11" s="237" customFormat="1">
      <c r="J633" s="320"/>
      <c r="K633" s="320"/>
    </row>
    <row r="634" spans="10:11" s="237" customFormat="1">
      <c r="J634" s="320"/>
      <c r="K634" s="320"/>
    </row>
    <row r="635" spans="10:11" s="237" customFormat="1">
      <c r="J635" s="320"/>
      <c r="K635" s="320"/>
    </row>
    <row r="636" spans="10:11" s="237" customFormat="1">
      <c r="J636" s="320"/>
      <c r="K636" s="320"/>
    </row>
    <row r="637" spans="10:11" s="237" customFormat="1">
      <c r="J637" s="320"/>
      <c r="K637" s="320"/>
    </row>
    <row r="638" spans="10:11" s="237" customFormat="1">
      <c r="J638" s="320"/>
      <c r="K638" s="320"/>
    </row>
    <row r="639" spans="10:11" s="237" customFormat="1">
      <c r="J639" s="320"/>
      <c r="K639" s="320"/>
    </row>
    <row r="640" spans="10:11" s="237" customFormat="1">
      <c r="J640" s="320"/>
      <c r="K640" s="320"/>
    </row>
    <row r="641" spans="10:11" s="237" customFormat="1">
      <c r="J641" s="320"/>
      <c r="K641" s="320"/>
    </row>
    <row r="642" spans="10:11" s="237" customFormat="1">
      <c r="J642" s="320"/>
      <c r="K642" s="320"/>
    </row>
    <row r="643" spans="10:11" s="237" customFormat="1">
      <c r="J643" s="320"/>
      <c r="K643" s="320"/>
    </row>
    <row r="644" spans="10:11" s="237" customFormat="1">
      <c r="J644" s="320"/>
      <c r="K644" s="320"/>
    </row>
    <row r="645" spans="10:11" s="237" customFormat="1">
      <c r="J645" s="320"/>
      <c r="K645" s="320"/>
    </row>
    <row r="646" spans="10:11" s="237" customFormat="1">
      <c r="J646" s="320"/>
      <c r="K646" s="320"/>
    </row>
    <row r="647" spans="10:11" s="237" customFormat="1">
      <c r="J647" s="320"/>
      <c r="K647" s="320"/>
    </row>
    <row r="648" spans="10:11" s="237" customFormat="1">
      <c r="J648" s="320"/>
      <c r="K648" s="320"/>
    </row>
    <row r="649" spans="10:11" s="237" customFormat="1">
      <c r="J649" s="320"/>
      <c r="K649" s="320"/>
    </row>
    <row r="650" spans="10:11" s="237" customFormat="1">
      <c r="J650" s="320"/>
      <c r="K650" s="320"/>
    </row>
    <row r="651" spans="10:11" s="237" customFormat="1">
      <c r="J651" s="320"/>
      <c r="K651" s="320"/>
    </row>
    <row r="652" spans="10:11" s="237" customFormat="1">
      <c r="J652" s="320"/>
      <c r="K652" s="320"/>
    </row>
    <row r="653" spans="10:11" s="237" customFormat="1">
      <c r="J653" s="320"/>
      <c r="K653" s="320"/>
    </row>
    <row r="654" spans="10:11" s="237" customFormat="1">
      <c r="J654" s="320"/>
      <c r="K654" s="320"/>
    </row>
    <row r="655" spans="10:11" s="237" customFormat="1">
      <c r="J655" s="320"/>
      <c r="K655" s="320"/>
    </row>
    <row r="656" spans="10:11" s="237" customFormat="1">
      <c r="J656" s="320"/>
      <c r="K656" s="320"/>
    </row>
    <row r="657" spans="10:11" s="237" customFormat="1">
      <c r="J657" s="320"/>
      <c r="K657" s="320"/>
    </row>
    <row r="658" spans="10:11" s="237" customFormat="1">
      <c r="J658" s="320"/>
      <c r="K658" s="320"/>
    </row>
    <row r="659" spans="10:11" s="237" customFormat="1">
      <c r="J659" s="320"/>
      <c r="K659" s="320"/>
    </row>
    <row r="660" spans="10:11" s="237" customFormat="1">
      <c r="J660" s="320"/>
      <c r="K660" s="320"/>
    </row>
    <row r="661" spans="10:11" s="237" customFormat="1">
      <c r="J661" s="320"/>
      <c r="K661" s="320"/>
    </row>
    <row r="662" spans="10:11" s="237" customFormat="1">
      <c r="J662" s="320"/>
      <c r="K662" s="320"/>
    </row>
    <row r="663" spans="10:11" s="237" customFormat="1">
      <c r="J663" s="320"/>
      <c r="K663" s="320"/>
    </row>
    <row r="664" spans="10:11" s="237" customFormat="1">
      <c r="J664" s="320"/>
      <c r="K664" s="320"/>
    </row>
    <row r="665" spans="10:11" s="237" customFormat="1">
      <c r="J665" s="320"/>
      <c r="K665" s="320"/>
    </row>
    <row r="666" spans="10:11" s="237" customFormat="1">
      <c r="J666" s="320"/>
      <c r="K666" s="320"/>
    </row>
    <row r="667" spans="10:11" s="237" customFormat="1">
      <c r="J667" s="320"/>
      <c r="K667" s="320"/>
    </row>
    <row r="668" spans="10:11" s="237" customFormat="1">
      <c r="J668" s="320"/>
      <c r="K668" s="320"/>
    </row>
    <row r="669" spans="10:11" s="237" customFormat="1">
      <c r="J669" s="320"/>
      <c r="K669" s="320"/>
    </row>
    <row r="670" spans="10:11" s="237" customFormat="1">
      <c r="J670" s="320"/>
      <c r="K670" s="320"/>
    </row>
    <row r="671" spans="10:11" s="237" customFormat="1">
      <c r="J671" s="320"/>
      <c r="K671" s="320"/>
    </row>
    <row r="672" spans="10:11" s="237" customFormat="1">
      <c r="J672" s="320"/>
      <c r="K672" s="320"/>
    </row>
    <row r="673" spans="10:11" s="237" customFormat="1">
      <c r="J673" s="320"/>
      <c r="K673" s="320"/>
    </row>
    <row r="674" spans="10:11" s="237" customFormat="1">
      <c r="J674" s="320"/>
      <c r="K674" s="320"/>
    </row>
    <row r="675" spans="10:11" s="237" customFormat="1">
      <c r="J675" s="320"/>
      <c r="K675" s="320"/>
    </row>
    <row r="676" spans="10:11" s="237" customFormat="1">
      <c r="J676" s="320"/>
      <c r="K676" s="320"/>
    </row>
    <row r="677" spans="10:11" s="237" customFormat="1">
      <c r="J677" s="320"/>
      <c r="K677" s="320"/>
    </row>
    <row r="678" spans="10:11" s="237" customFormat="1">
      <c r="J678" s="320"/>
      <c r="K678" s="320"/>
    </row>
    <row r="679" spans="10:11" s="237" customFormat="1">
      <c r="J679" s="320"/>
      <c r="K679" s="320"/>
    </row>
    <row r="680" spans="10:11" s="237" customFormat="1">
      <c r="J680" s="320"/>
      <c r="K680" s="320"/>
    </row>
    <row r="681" spans="10:11" s="237" customFormat="1">
      <c r="J681" s="320"/>
      <c r="K681" s="320"/>
    </row>
    <row r="682" spans="10:11" s="237" customFormat="1">
      <c r="J682" s="320"/>
      <c r="K682" s="320"/>
    </row>
    <row r="683" spans="10:11" s="237" customFormat="1">
      <c r="J683" s="320"/>
      <c r="K683" s="320"/>
    </row>
    <row r="684" spans="10:11" s="237" customFormat="1">
      <c r="J684" s="320"/>
      <c r="K684" s="320"/>
    </row>
    <row r="685" spans="10:11" s="237" customFormat="1">
      <c r="J685" s="320"/>
      <c r="K685" s="320"/>
    </row>
    <row r="686" spans="10:11" s="237" customFormat="1">
      <c r="J686" s="320"/>
      <c r="K686" s="320"/>
    </row>
    <row r="687" spans="10:11" s="237" customFormat="1">
      <c r="J687" s="320"/>
      <c r="K687" s="320"/>
    </row>
    <row r="688" spans="10:11" s="237" customFormat="1">
      <c r="J688" s="320"/>
      <c r="K688" s="320"/>
    </row>
    <row r="689" spans="10:11" s="237" customFormat="1">
      <c r="J689" s="320"/>
      <c r="K689" s="320"/>
    </row>
    <row r="690" spans="10:11" s="237" customFormat="1">
      <c r="J690" s="320"/>
      <c r="K690" s="320"/>
    </row>
    <row r="691" spans="10:11" s="237" customFormat="1">
      <c r="J691" s="320"/>
      <c r="K691" s="320"/>
    </row>
    <row r="692" spans="10:11" s="237" customFormat="1">
      <c r="J692" s="320"/>
      <c r="K692" s="320"/>
    </row>
    <row r="693" spans="10:11" s="237" customFormat="1">
      <c r="J693" s="320"/>
      <c r="K693" s="320"/>
    </row>
    <row r="694" spans="10:11" s="237" customFormat="1">
      <c r="J694" s="320"/>
      <c r="K694" s="320"/>
    </row>
    <row r="695" spans="10:11" s="237" customFormat="1">
      <c r="J695" s="320"/>
      <c r="K695" s="320"/>
    </row>
    <row r="696" spans="10:11" s="237" customFormat="1">
      <c r="J696" s="320"/>
      <c r="K696" s="320"/>
    </row>
    <row r="697" spans="10:11" s="237" customFormat="1">
      <c r="J697" s="320"/>
      <c r="K697" s="320"/>
    </row>
    <row r="698" spans="10:11" s="237" customFormat="1">
      <c r="J698" s="320"/>
      <c r="K698" s="320"/>
    </row>
    <row r="699" spans="10:11" s="237" customFormat="1">
      <c r="J699" s="320"/>
      <c r="K699" s="320"/>
    </row>
    <row r="700" spans="10:11" s="237" customFormat="1">
      <c r="J700" s="320"/>
      <c r="K700" s="320"/>
    </row>
    <row r="701" spans="10:11" s="237" customFormat="1">
      <c r="J701" s="320"/>
      <c r="K701" s="320"/>
    </row>
    <row r="702" spans="10:11" s="237" customFormat="1">
      <c r="J702" s="320"/>
      <c r="K702" s="320"/>
    </row>
    <row r="703" spans="10:11" s="237" customFormat="1">
      <c r="J703" s="320"/>
      <c r="K703" s="320"/>
    </row>
    <row r="704" spans="10:11" s="237" customFormat="1">
      <c r="J704" s="320"/>
      <c r="K704" s="320"/>
    </row>
    <row r="705" spans="10:11" s="237" customFormat="1">
      <c r="J705" s="320"/>
      <c r="K705" s="320"/>
    </row>
    <row r="706" spans="10:11" s="237" customFormat="1">
      <c r="J706" s="320"/>
      <c r="K706" s="320"/>
    </row>
    <row r="707" spans="10:11" s="237" customFormat="1">
      <c r="J707" s="320"/>
      <c r="K707" s="320"/>
    </row>
    <row r="708" spans="10:11" s="237" customFormat="1">
      <c r="J708" s="320"/>
      <c r="K708" s="320"/>
    </row>
    <row r="709" spans="10:11" s="237" customFormat="1">
      <c r="J709" s="320"/>
      <c r="K709" s="320"/>
    </row>
    <row r="710" spans="10:11" s="237" customFormat="1">
      <c r="J710" s="320"/>
      <c r="K710" s="320"/>
    </row>
    <row r="711" spans="10:11" s="237" customFormat="1">
      <c r="J711" s="320"/>
      <c r="K711" s="320"/>
    </row>
    <row r="712" spans="10:11" s="237" customFormat="1">
      <c r="J712" s="320"/>
      <c r="K712" s="320"/>
    </row>
    <row r="713" spans="10:11" s="237" customFormat="1">
      <c r="J713" s="320"/>
      <c r="K713" s="320"/>
    </row>
    <row r="714" spans="10:11" s="237" customFormat="1">
      <c r="J714" s="320"/>
      <c r="K714" s="320"/>
    </row>
    <row r="715" spans="10:11" s="237" customFormat="1">
      <c r="J715" s="320"/>
      <c r="K715" s="320"/>
    </row>
    <row r="716" spans="10:11" s="237" customFormat="1">
      <c r="J716" s="320"/>
      <c r="K716" s="320"/>
    </row>
    <row r="717" spans="10:11" s="237" customFormat="1">
      <c r="J717" s="320"/>
      <c r="K717" s="320"/>
    </row>
    <row r="718" spans="10:11" s="237" customFormat="1">
      <c r="J718" s="320"/>
      <c r="K718" s="320"/>
    </row>
    <row r="719" spans="10:11" s="237" customFormat="1">
      <c r="J719" s="320"/>
      <c r="K719" s="320"/>
    </row>
    <row r="720" spans="10:11" s="237" customFormat="1">
      <c r="J720" s="320"/>
      <c r="K720" s="320"/>
    </row>
    <row r="721" spans="10:11" s="237" customFormat="1">
      <c r="J721" s="320"/>
      <c r="K721" s="320"/>
    </row>
    <row r="722" spans="10:11" s="237" customFormat="1">
      <c r="J722" s="320"/>
      <c r="K722" s="320"/>
    </row>
    <row r="723" spans="10:11" s="237" customFormat="1">
      <c r="J723" s="320"/>
      <c r="K723" s="320"/>
    </row>
    <row r="724" spans="10:11" s="237" customFormat="1">
      <c r="J724" s="320"/>
      <c r="K724" s="320"/>
    </row>
    <row r="725" spans="10:11" s="237" customFormat="1">
      <c r="J725" s="320"/>
      <c r="K725" s="320"/>
    </row>
    <row r="726" spans="10:11" s="237" customFormat="1">
      <c r="J726" s="320"/>
      <c r="K726" s="320"/>
    </row>
    <row r="727" spans="10:11" s="237" customFormat="1">
      <c r="J727" s="320"/>
      <c r="K727" s="320"/>
    </row>
    <row r="728" spans="10:11" s="237" customFormat="1">
      <c r="J728" s="320"/>
      <c r="K728" s="320"/>
    </row>
    <row r="729" spans="10:11" s="237" customFormat="1">
      <c r="J729" s="320"/>
      <c r="K729" s="320"/>
    </row>
    <row r="730" spans="10:11" s="237" customFormat="1">
      <c r="J730" s="320"/>
      <c r="K730" s="320"/>
    </row>
    <row r="731" spans="10:11" s="237" customFormat="1">
      <c r="J731" s="320"/>
      <c r="K731" s="320"/>
    </row>
    <row r="732" spans="10:11" s="237" customFormat="1">
      <c r="J732" s="320"/>
      <c r="K732" s="320"/>
    </row>
    <row r="733" spans="10:11" s="237" customFormat="1">
      <c r="J733" s="320"/>
      <c r="K733" s="320"/>
    </row>
    <row r="734" spans="10:11" s="237" customFormat="1">
      <c r="J734" s="320"/>
      <c r="K734" s="320"/>
    </row>
    <row r="735" spans="10:11" s="237" customFormat="1">
      <c r="J735" s="320"/>
      <c r="K735" s="320"/>
    </row>
    <row r="736" spans="10:11" s="237" customFormat="1">
      <c r="J736" s="320"/>
      <c r="K736" s="320"/>
    </row>
    <row r="737" spans="10:11" s="237" customFormat="1">
      <c r="J737" s="320"/>
      <c r="K737" s="320"/>
    </row>
    <row r="738" spans="10:11" s="237" customFormat="1">
      <c r="J738" s="320"/>
      <c r="K738" s="320"/>
    </row>
    <row r="739" spans="10:11" s="237" customFormat="1">
      <c r="J739" s="320"/>
      <c r="K739" s="320"/>
    </row>
    <row r="740" spans="10:11" s="237" customFormat="1">
      <c r="J740" s="320"/>
      <c r="K740" s="320"/>
    </row>
    <row r="741" spans="10:11" s="237" customFormat="1">
      <c r="J741" s="320"/>
      <c r="K741" s="320"/>
    </row>
    <row r="742" spans="10:11" s="237" customFormat="1">
      <c r="J742" s="320"/>
      <c r="K742" s="320"/>
    </row>
    <row r="743" spans="10:11" s="237" customFormat="1">
      <c r="J743" s="320"/>
      <c r="K743" s="320"/>
    </row>
    <row r="744" spans="10:11" s="237" customFormat="1">
      <c r="J744" s="320"/>
      <c r="K744" s="320"/>
    </row>
    <row r="745" spans="10:11" s="237" customFormat="1">
      <c r="J745" s="320"/>
      <c r="K745" s="320"/>
    </row>
    <row r="746" spans="10:11" s="237" customFormat="1">
      <c r="J746" s="320"/>
      <c r="K746" s="320"/>
    </row>
    <row r="747" spans="10:11" s="237" customFormat="1">
      <c r="J747" s="320"/>
      <c r="K747" s="320"/>
    </row>
    <row r="748" spans="10:11" s="237" customFormat="1">
      <c r="J748" s="320"/>
      <c r="K748" s="320"/>
    </row>
    <row r="749" spans="10:11" s="237" customFormat="1">
      <c r="J749" s="320"/>
      <c r="K749" s="320"/>
    </row>
    <row r="750" spans="10:11" s="237" customFormat="1">
      <c r="J750" s="320"/>
      <c r="K750" s="320"/>
    </row>
    <row r="751" spans="10:11" s="237" customFormat="1">
      <c r="J751" s="320"/>
      <c r="K751" s="320"/>
    </row>
    <row r="752" spans="10:11" s="237" customFormat="1">
      <c r="J752" s="320"/>
      <c r="K752" s="320"/>
    </row>
    <row r="753" spans="10:11" s="237" customFormat="1">
      <c r="J753" s="320"/>
      <c r="K753" s="320"/>
    </row>
    <row r="754" spans="10:11" s="237" customFormat="1">
      <c r="J754" s="320"/>
      <c r="K754" s="320"/>
    </row>
    <row r="755" spans="10:11" s="237" customFormat="1">
      <c r="J755" s="320"/>
      <c r="K755" s="320"/>
    </row>
    <row r="756" spans="10:11" s="237" customFormat="1">
      <c r="J756" s="320"/>
      <c r="K756" s="320"/>
    </row>
    <row r="757" spans="10:11" s="237" customFormat="1">
      <c r="J757" s="320"/>
      <c r="K757" s="320"/>
    </row>
    <row r="758" spans="10:11" s="237" customFormat="1">
      <c r="J758" s="320"/>
      <c r="K758" s="320"/>
    </row>
    <row r="759" spans="10:11" s="237" customFormat="1">
      <c r="J759" s="320"/>
      <c r="K759" s="320"/>
    </row>
    <row r="760" spans="10:11" s="237" customFormat="1">
      <c r="J760" s="320"/>
      <c r="K760" s="320"/>
    </row>
    <row r="761" spans="10:11" s="237" customFormat="1">
      <c r="J761" s="320"/>
      <c r="K761" s="320"/>
    </row>
    <row r="762" spans="10:11" s="237" customFormat="1">
      <c r="J762" s="320"/>
      <c r="K762" s="320"/>
    </row>
    <row r="763" spans="10:11" s="237" customFormat="1">
      <c r="J763" s="320"/>
      <c r="K763" s="320"/>
    </row>
    <row r="764" spans="10:11" s="237" customFormat="1">
      <c r="J764" s="320"/>
      <c r="K764" s="320"/>
    </row>
    <row r="765" spans="10:11" s="237" customFormat="1">
      <c r="J765" s="320"/>
      <c r="K765" s="320"/>
    </row>
    <row r="766" spans="10:11" s="237" customFormat="1">
      <c r="J766" s="320"/>
      <c r="K766" s="320"/>
    </row>
    <row r="767" spans="10:11" s="237" customFormat="1">
      <c r="J767" s="320"/>
      <c r="K767" s="320"/>
    </row>
    <row r="768" spans="10:11" s="237" customFormat="1">
      <c r="J768" s="320"/>
      <c r="K768" s="320"/>
    </row>
    <row r="769" spans="10:11" s="237" customFormat="1">
      <c r="J769" s="320"/>
      <c r="K769" s="320"/>
    </row>
    <row r="770" spans="10:11" s="237" customFormat="1">
      <c r="J770" s="320"/>
      <c r="K770" s="320"/>
    </row>
    <row r="771" spans="10:11" s="237" customFormat="1">
      <c r="J771" s="320"/>
      <c r="K771" s="320"/>
    </row>
    <row r="772" spans="10:11" s="237" customFormat="1">
      <c r="J772" s="320"/>
      <c r="K772" s="320"/>
    </row>
    <row r="773" spans="10:11" s="237" customFormat="1">
      <c r="J773" s="320"/>
      <c r="K773" s="320"/>
    </row>
    <row r="774" spans="10:11" s="237" customFormat="1">
      <c r="J774" s="320"/>
      <c r="K774" s="320"/>
    </row>
    <row r="775" spans="10:11" s="237" customFormat="1">
      <c r="J775" s="320"/>
      <c r="K775" s="320"/>
    </row>
    <row r="776" spans="10:11" s="237" customFormat="1">
      <c r="J776" s="320"/>
      <c r="K776" s="320"/>
    </row>
    <row r="777" spans="10:11" s="237" customFormat="1">
      <c r="J777" s="320"/>
      <c r="K777" s="320"/>
    </row>
    <row r="778" spans="10:11" s="237" customFormat="1">
      <c r="J778" s="320"/>
      <c r="K778" s="320"/>
    </row>
    <row r="779" spans="10:11" s="237" customFormat="1">
      <c r="J779" s="320"/>
      <c r="K779" s="320"/>
    </row>
    <row r="780" spans="10:11" s="237" customFormat="1">
      <c r="J780" s="320"/>
      <c r="K780" s="320"/>
    </row>
    <row r="781" spans="10:11" s="237" customFormat="1">
      <c r="J781" s="320"/>
      <c r="K781" s="320"/>
    </row>
    <row r="782" spans="10:11" s="237" customFormat="1">
      <c r="J782" s="320"/>
      <c r="K782" s="320"/>
    </row>
    <row r="783" spans="10:11" s="237" customFormat="1">
      <c r="J783" s="320"/>
      <c r="K783" s="320"/>
    </row>
    <row r="784" spans="10:11" s="237" customFormat="1">
      <c r="J784" s="320"/>
      <c r="K784" s="320"/>
    </row>
    <row r="785" spans="10:11" s="237" customFormat="1">
      <c r="J785" s="320"/>
      <c r="K785" s="320"/>
    </row>
    <row r="786" spans="10:11" s="237" customFormat="1">
      <c r="J786" s="320"/>
      <c r="K786" s="320"/>
    </row>
    <row r="787" spans="10:11" s="237" customFormat="1">
      <c r="J787" s="320"/>
      <c r="K787" s="320"/>
    </row>
    <row r="788" spans="10:11" s="237" customFormat="1">
      <c r="J788" s="320"/>
      <c r="K788" s="320"/>
    </row>
    <row r="789" spans="10:11" s="237" customFormat="1">
      <c r="J789" s="320"/>
      <c r="K789" s="320"/>
    </row>
    <row r="790" spans="10:11" s="237" customFormat="1">
      <c r="J790" s="320"/>
      <c r="K790" s="320"/>
    </row>
    <row r="791" spans="10:11" s="237" customFormat="1">
      <c r="J791" s="320"/>
      <c r="K791" s="320"/>
    </row>
    <row r="792" spans="10:11" s="237" customFormat="1">
      <c r="J792" s="320"/>
      <c r="K792" s="320"/>
    </row>
    <row r="793" spans="10:11" s="237" customFormat="1">
      <c r="J793" s="320"/>
      <c r="K793" s="320"/>
    </row>
    <row r="794" spans="10:11" s="237" customFormat="1">
      <c r="J794" s="320"/>
      <c r="K794" s="320"/>
    </row>
    <row r="795" spans="10:11" s="237" customFormat="1">
      <c r="J795" s="320"/>
      <c r="K795" s="320"/>
    </row>
    <row r="796" spans="10:11" s="237" customFormat="1">
      <c r="J796" s="320"/>
      <c r="K796" s="320"/>
    </row>
    <row r="797" spans="10:11" s="237" customFormat="1">
      <c r="J797" s="320"/>
      <c r="K797" s="320"/>
    </row>
    <row r="798" spans="10:11" s="237" customFormat="1">
      <c r="J798" s="320"/>
      <c r="K798" s="320"/>
    </row>
    <row r="799" spans="10:11" s="237" customFormat="1">
      <c r="J799" s="320"/>
      <c r="K799" s="320"/>
    </row>
    <row r="800" spans="10:11" s="237" customFormat="1">
      <c r="J800" s="320"/>
      <c r="K800" s="320"/>
    </row>
    <row r="801" spans="10:11" s="237" customFormat="1">
      <c r="J801" s="320"/>
      <c r="K801" s="320"/>
    </row>
    <row r="802" spans="10:11" s="237" customFormat="1">
      <c r="J802" s="320"/>
      <c r="K802" s="320"/>
    </row>
    <row r="803" spans="10:11" s="237" customFormat="1">
      <c r="J803" s="320"/>
      <c r="K803" s="320"/>
    </row>
    <row r="804" spans="10:11" s="237" customFormat="1">
      <c r="J804" s="320"/>
      <c r="K804" s="320"/>
    </row>
    <row r="805" spans="10:11" s="237" customFormat="1">
      <c r="J805" s="320"/>
      <c r="K805" s="320"/>
    </row>
    <row r="806" spans="10:11" s="237" customFormat="1">
      <c r="J806" s="320"/>
      <c r="K806" s="320"/>
    </row>
    <row r="807" spans="10:11" s="237" customFormat="1">
      <c r="J807" s="320"/>
      <c r="K807" s="320"/>
    </row>
    <row r="808" spans="10:11" s="237" customFormat="1">
      <c r="J808" s="320"/>
      <c r="K808" s="320"/>
    </row>
    <row r="809" spans="10:11" s="237" customFormat="1">
      <c r="J809" s="320"/>
      <c r="K809" s="320"/>
    </row>
    <row r="810" spans="10:11" s="237" customFormat="1">
      <c r="J810" s="320"/>
      <c r="K810" s="320"/>
    </row>
    <row r="811" spans="10:11" s="237" customFormat="1">
      <c r="J811" s="320"/>
      <c r="K811" s="320"/>
    </row>
    <row r="812" spans="10:11" s="237" customFormat="1">
      <c r="J812" s="320"/>
      <c r="K812" s="320"/>
    </row>
    <row r="813" spans="10:11" s="237" customFormat="1">
      <c r="J813" s="320"/>
      <c r="K813" s="320"/>
    </row>
    <row r="814" spans="10:11" s="237" customFormat="1">
      <c r="J814" s="320"/>
      <c r="K814" s="320"/>
    </row>
    <row r="815" spans="10:11" s="237" customFormat="1">
      <c r="J815" s="320"/>
      <c r="K815" s="320"/>
    </row>
    <row r="816" spans="10:11" s="237" customFormat="1">
      <c r="J816" s="320"/>
      <c r="K816" s="320"/>
    </row>
    <row r="817" spans="10:11" s="237" customFormat="1">
      <c r="J817" s="320"/>
      <c r="K817" s="320"/>
    </row>
    <row r="818" spans="10:11" s="237" customFormat="1">
      <c r="J818" s="320"/>
      <c r="K818" s="320"/>
    </row>
    <row r="819" spans="10:11" s="237" customFormat="1">
      <c r="J819" s="320"/>
      <c r="K819" s="320"/>
    </row>
    <row r="820" spans="10:11" s="237" customFormat="1">
      <c r="J820" s="320"/>
      <c r="K820" s="320"/>
    </row>
    <row r="821" spans="10:11" s="237" customFormat="1">
      <c r="J821" s="320"/>
      <c r="K821" s="320"/>
    </row>
    <row r="822" spans="10:11" s="237" customFormat="1">
      <c r="J822" s="320"/>
      <c r="K822" s="320"/>
    </row>
    <row r="823" spans="10:11" s="237" customFormat="1">
      <c r="J823" s="320"/>
      <c r="K823" s="320"/>
    </row>
    <row r="824" spans="10:11" s="237" customFormat="1">
      <c r="J824" s="320"/>
      <c r="K824" s="320"/>
    </row>
    <row r="825" spans="10:11" s="237" customFormat="1">
      <c r="J825" s="320"/>
      <c r="K825" s="320"/>
    </row>
    <row r="826" spans="10:11" s="237" customFormat="1">
      <c r="J826" s="320"/>
      <c r="K826" s="320"/>
    </row>
    <row r="827" spans="10:11" s="237" customFormat="1">
      <c r="J827" s="320"/>
      <c r="K827" s="320"/>
    </row>
    <row r="828" spans="10:11" s="237" customFormat="1">
      <c r="J828" s="320"/>
      <c r="K828" s="320"/>
    </row>
    <row r="829" spans="10:11" s="237" customFormat="1">
      <c r="J829" s="320"/>
      <c r="K829" s="320"/>
    </row>
    <row r="830" spans="10:11" s="237" customFormat="1">
      <c r="J830" s="320"/>
      <c r="K830" s="320"/>
    </row>
    <row r="831" spans="10:11" s="237" customFormat="1">
      <c r="J831" s="320"/>
      <c r="K831" s="320"/>
    </row>
    <row r="832" spans="10:11" s="237" customFormat="1">
      <c r="J832" s="320"/>
      <c r="K832" s="320"/>
    </row>
    <row r="833" spans="10:11" s="237" customFormat="1">
      <c r="J833" s="320"/>
      <c r="K833" s="320"/>
    </row>
    <row r="834" spans="10:11" s="237" customFormat="1">
      <c r="J834" s="320"/>
      <c r="K834" s="320"/>
    </row>
    <row r="835" spans="10:11" s="237" customFormat="1">
      <c r="J835" s="320"/>
      <c r="K835" s="320"/>
    </row>
    <row r="836" spans="10:11" s="237" customFormat="1">
      <c r="J836" s="320"/>
      <c r="K836" s="320"/>
    </row>
    <row r="837" spans="10:11" s="237" customFormat="1">
      <c r="J837" s="320"/>
      <c r="K837" s="320"/>
    </row>
    <row r="838" spans="10:11" s="237" customFormat="1">
      <c r="J838" s="320"/>
      <c r="K838" s="320"/>
    </row>
    <row r="839" spans="10:11" s="237" customFormat="1">
      <c r="J839" s="320"/>
      <c r="K839" s="320"/>
    </row>
    <row r="840" spans="10:11" s="237" customFormat="1">
      <c r="J840" s="320"/>
      <c r="K840" s="320"/>
    </row>
    <row r="841" spans="10:11" s="237" customFormat="1">
      <c r="J841" s="320"/>
      <c r="K841" s="320"/>
    </row>
    <row r="842" spans="10:11" s="237" customFormat="1">
      <c r="J842" s="320"/>
      <c r="K842" s="320"/>
    </row>
    <row r="843" spans="10:11" s="237" customFormat="1">
      <c r="J843" s="320"/>
      <c r="K843" s="320"/>
    </row>
    <row r="844" spans="10:11" s="237" customFormat="1">
      <c r="J844" s="320"/>
      <c r="K844" s="320"/>
    </row>
    <row r="845" spans="10:11" s="237" customFormat="1">
      <c r="J845" s="320"/>
      <c r="K845" s="320"/>
    </row>
    <row r="846" spans="10:11" s="237" customFormat="1">
      <c r="J846" s="320"/>
      <c r="K846" s="320"/>
    </row>
    <row r="847" spans="10:11" s="237" customFormat="1">
      <c r="J847" s="320"/>
      <c r="K847" s="320"/>
    </row>
    <row r="848" spans="10:11" s="237" customFormat="1">
      <c r="J848" s="320"/>
      <c r="K848" s="320"/>
    </row>
    <row r="849" spans="10:11" s="237" customFormat="1">
      <c r="J849" s="320"/>
      <c r="K849" s="320"/>
    </row>
    <row r="850" spans="10:11" s="237" customFormat="1">
      <c r="J850" s="320"/>
      <c r="K850" s="320"/>
    </row>
    <row r="851" spans="10:11" s="237" customFormat="1">
      <c r="J851" s="320"/>
      <c r="K851" s="320"/>
    </row>
    <row r="852" spans="10:11" s="237" customFormat="1">
      <c r="J852" s="320"/>
      <c r="K852" s="320"/>
    </row>
    <row r="853" spans="10:11" s="237" customFormat="1">
      <c r="J853" s="320"/>
      <c r="K853" s="320"/>
    </row>
    <row r="854" spans="10:11" s="237" customFormat="1">
      <c r="J854" s="320"/>
      <c r="K854" s="320"/>
    </row>
    <row r="855" spans="10:11" s="237" customFormat="1">
      <c r="J855" s="320"/>
      <c r="K855" s="320"/>
    </row>
    <row r="856" spans="10:11" s="237" customFormat="1">
      <c r="J856" s="320"/>
      <c r="K856" s="320"/>
    </row>
    <row r="857" spans="10:11" s="237" customFormat="1">
      <c r="J857" s="320"/>
      <c r="K857" s="320"/>
    </row>
    <row r="858" spans="10:11" s="237" customFormat="1">
      <c r="J858" s="320"/>
      <c r="K858" s="320"/>
    </row>
    <row r="859" spans="10:11" s="237" customFormat="1">
      <c r="J859" s="320"/>
      <c r="K859" s="320"/>
    </row>
    <row r="860" spans="10:11" s="237" customFormat="1">
      <c r="J860" s="320"/>
      <c r="K860" s="320"/>
    </row>
    <row r="861" spans="10:11" s="237" customFormat="1">
      <c r="J861" s="320"/>
      <c r="K861" s="320"/>
    </row>
    <row r="862" spans="10:11" s="237" customFormat="1">
      <c r="J862" s="320"/>
      <c r="K862" s="320"/>
    </row>
    <row r="863" spans="10:11" s="237" customFormat="1">
      <c r="J863" s="320"/>
      <c r="K863" s="320"/>
    </row>
    <row r="864" spans="10:11" s="237" customFormat="1">
      <c r="J864" s="320"/>
      <c r="K864" s="320"/>
    </row>
    <row r="865" spans="10:11" s="237" customFormat="1">
      <c r="J865" s="320"/>
      <c r="K865" s="320"/>
    </row>
    <row r="866" spans="10:11" s="237" customFormat="1">
      <c r="J866" s="320"/>
      <c r="K866" s="320"/>
    </row>
    <row r="867" spans="10:11" s="237" customFormat="1">
      <c r="J867" s="320"/>
      <c r="K867" s="320"/>
    </row>
    <row r="868" spans="10:11" s="237" customFormat="1">
      <c r="J868" s="320"/>
      <c r="K868" s="320"/>
    </row>
    <row r="869" spans="10:11" s="237" customFormat="1">
      <c r="J869" s="320"/>
      <c r="K869" s="320"/>
    </row>
    <row r="870" spans="10:11" s="237" customFormat="1">
      <c r="J870" s="320"/>
      <c r="K870" s="320"/>
    </row>
    <row r="871" spans="10:11" s="237" customFormat="1">
      <c r="J871" s="320"/>
      <c r="K871" s="320"/>
    </row>
    <row r="872" spans="10:11" s="237" customFormat="1">
      <c r="J872" s="320"/>
      <c r="K872" s="320"/>
    </row>
    <row r="873" spans="10:11" s="237" customFormat="1">
      <c r="J873" s="320"/>
      <c r="K873" s="320"/>
    </row>
    <row r="874" spans="10:11" s="237" customFormat="1">
      <c r="J874" s="320"/>
      <c r="K874" s="320"/>
    </row>
    <row r="875" spans="10:11" s="237" customFormat="1">
      <c r="J875" s="320"/>
      <c r="K875" s="320"/>
    </row>
    <row r="876" spans="10:11" s="237" customFormat="1">
      <c r="J876" s="320"/>
      <c r="K876" s="320"/>
    </row>
    <row r="877" spans="10:11" s="237" customFormat="1">
      <c r="J877" s="320"/>
      <c r="K877" s="320"/>
    </row>
    <row r="878" spans="10:11" s="237" customFormat="1">
      <c r="J878" s="320"/>
      <c r="K878" s="320"/>
    </row>
    <row r="879" spans="10:11" s="237" customFormat="1">
      <c r="J879" s="320"/>
      <c r="K879" s="320"/>
    </row>
    <row r="880" spans="10:11" s="237" customFormat="1">
      <c r="J880" s="320"/>
      <c r="K880" s="320"/>
    </row>
    <row r="881" spans="10:11" s="237" customFormat="1">
      <c r="J881" s="320"/>
      <c r="K881" s="320"/>
    </row>
    <row r="882" spans="10:11" s="237" customFormat="1">
      <c r="J882" s="320"/>
      <c r="K882" s="320"/>
    </row>
    <row r="883" spans="10:11" s="237" customFormat="1">
      <c r="J883" s="320"/>
      <c r="K883" s="320"/>
    </row>
    <row r="884" spans="10:11" s="237" customFormat="1">
      <c r="J884" s="320"/>
      <c r="K884" s="320"/>
    </row>
    <row r="885" spans="10:11" s="237" customFormat="1">
      <c r="J885" s="320"/>
      <c r="K885" s="320"/>
    </row>
    <row r="886" spans="10:11" s="237" customFormat="1">
      <c r="J886" s="320"/>
      <c r="K886" s="320"/>
    </row>
    <row r="887" spans="10:11" s="237" customFormat="1">
      <c r="J887" s="320"/>
      <c r="K887" s="320"/>
    </row>
    <row r="888" spans="10:11" s="237" customFormat="1">
      <c r="J888" s="320"/>
      <c r="K888" s="320"/>
    </row>
    <row r="889" spans="10:11" s="237" customFormat="1">
      <c r="J889" s="320"/>
      <c r="K889" s="320"/>
    </row>
    <row r="890" spans="10:11" s="237" customFormat="1">
      <c r="J890" s="320"/>
      <c r="K890" s="320"/>
    </row>
    <row r="891" spans="10:11" s="237" customFormat="1">
      <c r="J891" s="320"/>
      <c r="K891" s="320"/>
    </row>
    <row r="892" spans="10:11" s="237" customFormat="1">
      <c r="J892" s="320"/>
      <c r="K892" s="320"/>
    </row>
    <row r="893" spans="10:11" s="237" customFormat="1">
      <c r="J893" s="320"/>
      <c r="K893" s="320"/>
    </row>
    <row r="894" spans="10:11" s="237" customFormat="1">
      <c r="J894" s="320"/>
      <c r="K894" s="320"/>
    </row>
    <row r="895" spans="10:11" s="237" customFormat="1">
      <c r="J895" s="320"/>
      <c r="K895" s="320"/>
    </row>
    <row r="896" spans="10:11" s="237" customFormat="1">
      <c r="J896" s="320"/>
      <c r="K896" s="320"/>
    </row>
    <row r="897" spans="10:11" s="237" customFormat="1">
      <c r="J897" s="320"/>
      <c r="K897" s="320"/>
    </row>
    <row r="898" spans="10:11" s="237" customFormat="1">
      <c r="J898" s="320"/>
      <c r="K898" s="320"/>
    </row>
    <row r="899" spans="10:11" s="237" customFormat="1">
      <c r="J899" s="320"/>
      <c r="K899" s="320"/>
    </row>
    <row r="900" spans="10:11" s="237" customFormat="1">
      <c r="J900" s="320"/>
      <c r="K900" s="320"/>
    </row>
    <row r="901" spans="10:11" s="237" customFormat="1">
      <c r="J901" s="320"/>
      <c r="K901" s="320"/>
    </row>
    <row r="902" spans="10:11" s="237" customFormat="1">
      <c r="J902" s="320"/>
      <c r="K902" s="320"/>
    </row>
    <row r="903" spans="10:11" s="237" customFormat="1">
      <c r="J903" s="320"/>
      <c r="K903" s="320"/>
    </row>
    <row r="904" spans="10:11" s="237" customFormat="1">
      <c r="J904" s="320"/>
      <c r="K904" s="320"/>
    </row>
    <row r="905" spans="10:11" s="237" customFormat="1">
      <c r="J905" s="320"/>
      <c r="K905" s="320"/>
    </row>
    <row r="906" spans="10:11" s="237" customFormat="1">
      <c r="J906" s="320"/>
      <c r="K906" s="320"/>
    </row>
    <row r="907" spans="10:11" s="237" customFormat="1">
      <c r="J907" s="320"/>
      <c r="K907" s="320"/>
    </row>
    <row r="908" spans="10:11" s="237" customFormat="1">
      <c r="J908" s="320"/>
      <c r="K908" s="320"/>
    </row>
    <row r="909" spans="10:11" s="237" customFormat="1">
      <c r="J909" s="320"/>
      <c r="K909" s="320"/>
    </row>
    <row r="910" spans="10:11" s="237" customFormat="1">
      <c r="J910" s="320"/>
      <c r="K910" s="320"/>
    </row>
    <row r="911" spans="10:11" s="237" customFormat="1">
      <c r="J911" s="320"/>
      <c r="K911" s="320"/>
    </row>
    <row r="912" spans="10:11" s="237" customFormat="1">
      <c r="J912" s="320"/>
      <c r="K912" s="320"/>
    </row>
    <row r="913" spans="10:11" s="237" customFormat="1">
      <c r="J913" s="320"/>
      <c r="K913" s="320"/>
    </row>
    <row r="914" spans="10:11" s="237" customFormat="1">
      <c r="J914" s="320"/>
      <c r="K914" s="320"/>
    </row>
    <row r="915" spans="10:11" s="237" customFormat="1">
      <c r="J915" s="320"/>
      <c r="K915" s="320"/>
    </row>
    <row r="916" spans="10:11" s="237" customFormat="1">
      <c r="J916" s="320"/>
      <c r="K916" s="320"/>
    </row>
    <row r="917" spans="10:11" s="237" customFormat="1">
      <c r="J917" s="320"/>
      <c r="K917" s="320"/>
    </row>
    <row r="918" spans="10:11" s="237" customFormat="1">
      <c r="J918" s="320"/>
      <c r="K918" s="320"/>
    </row>
    <row r="919" spans="10:11" s="237" customFormat="1">
      <c r="J919" s="320"/>
      <c r="K919" s="320"/>
    </row>
    <row r="920" spans="10:11" s="237" customFormat="1">
      <c r="J920" s="320"/>
      <c r="K920" s="320"/>
    </row>
    <row r="921" spans="10:11" s="237" customFormat="1">
      <c r="J921" s="320"/>
      <c r="K921" s="320"/>
    </row>
    <row r="922" spans="10:11" s="237" customFormat="1">
      <c r="J922" s="320"/>
      <c r="K922" s="320"/>
    </row>
    <row r="923" spans="10:11" s="237" customFormat="1">
      <c r="J923" s="320"/>
      <c r="K923" s="320"/>
    </row>
    <row r="924" spans="10:11" s="237" customFormat="1">
      <c r="J924" s="320"/>
      <c r="K924" s="320"/>
    </row>
    <row r="925" spans="10:11" s="237" customFormat="1">
      <c r="J925" s="320"/>
      <c r="K925" s="320"/>
    </row>
    <row r="926" spans="10:11" s="237" customFormat="1">
      <c r="J926" s="320"/>
      <c r="K926" s="320"/>
    </row>
    <row r="927" spans="10:11" s="237" customFormat="1">
      <c r="J927" s="320"/>
      <c r="K927" s="320"/>
    </row>
    <row r="928" spans="10:11" s="237" customFormat="1">
      <c r="J928" s="320"/>
      <c r="K928" s="320"/>
    </row>
    <row r="929" spans="10:11" s="237" customFormat="1">
      <c r="J929" s="320"/>
      <c r="K929" s="320"/>
    </row>
    <row r="930" spans="10:11" s="237" customFormat="1">
      <c r="J930" s="320"/>
      <c r="K930" s="320"/>
    </row>
    <row r="931" spans="10:11" s="237" customFormat="1">
      <c r="J931" s="320"/>
      <c r="K931" s="320"/>
    </row>
    <row r="932" spans="10:11" s="237" customFormat="1">
      <c r="J932" s="320"/>
      <c r="K932" s="320"/>
    </row>
    <row r="933" spans="10:11" s="237" customFormat="1">
      <c r="J933" s="320"/>
      <c r="K933" s="320"/>
    </row>
    <row r="934" spans="10:11" s="237" customFormat="1">
      <c r="J934" s="320"/>
      <c r="K934" s="320"/>
    </row>
    <row r="935" spans="10:11" s="237" customFormat="1">
      <c r="J935" s="320"/>
      <c r="K935" s="320"/>
    </row>
    <row r="936" spans="10:11" s="237" customFormat="1">
      <c r="J936" s="320"/>
      <c r="K936" s="320"/>
    </row>
    <row r="937" spans="10:11" s="237" customFormat="1">
      <c r="J937" s="320"/>
      <c r="K937" s="320"/>
    </row>
    <row r="938" spans="10:11" s="237" customFormat="1">
      <c r="J938" s="320"/>
      <c r="K938" s="320"/>
    </row>
    <row r="939" spans="10:11" s="237" customFormat="1">
      <c r="J939" s="320"/>
      <c r="K939" s="320"/>
    </row>
    <row r="940" spans="10:11" s="237" customFormat="1">
      <c r="J940" s="320"/>
      <c r="K940" s="320"/>
    </row>
    <row r="941" spans="10:11" s="237" customFormat="1">
      <c r="J941" s="320"/>
      <c r="K941" s="320"/>
    </row>
    <row r="942" spans="10:11" s="237" customFormat="1">
      <c r="J942" s="320"/>
      <c r="K942" s="320"/>
    </row>
    <row r="943" spans="10:11" s="237" customFormat="1">
      <c r="J943" s="320"/>
      <c r="K943" s="320"/>
    </row>
    <row r="944" spans="10:11" s="237" customFormat="1">
      <c r="J944" s="320"/>
      <c r="K944" s="320"/>
    </row>
    <row r="945" spans="10:11" s="237" customFormat="1">
      <c r="J945" s="320"/>
      <c r="K945" s="320"/>
    </row>
    <row r="946" spans="10:11" s="237" customFormat="1">
      <c r="J946" s="320"/>
      <c r="K946" s="320"/>
    </row>
    <row r="947" spans="10:11" s="237" customFormat="1">
      <c r="J947" s="320"/>
      <c r="K947" s="320"/>
    </row>
    <row r="948" spans="10:11" s="237" customFormat="1">
      <c r="J948" s="320"/>
      <c r="K948" s="320"/>
    </row>
    <row r="949" spans="10:11" s="237" customFormat="1">
      <c r="J949" s="320"/>
      <c r="K949" s="320"/>
    </row>
    <row r="950" spans="10:11" s="237" customFormat="1">
      <c r="J950" s="320"/>
      <c r="K950" s="320"/>
    </row>
    <row r="951" spans="10:11" s="237" customFormat="1">
      <c r="J951" s="320"/>
      <c r="K951" s="320"/>
    </row>
    <row r="952" spans="10:11" s="237" customFormat="1">
      <c r="J952" s="320"/>
      <c r="K952" s="320"/>
    </row>
    <row r="953" spans="10:11" s="237" customFormat="1">
      <c r="J953" s="320"/>
      <c r="K953" s="320"/>
    </row>
    <row r="954" spans="10:11" s="237" customFormat="1">
      <c r="J954" s="320"/>
      <c r="K954" s="320"/>
    </row>
    <row r="955" spans="10:11" s="237" customFormat="1">
      <c r="J955" s="320"/>
      <c r="K955" s="320"/>
    </row>
    <row r="956" spans="10:11" s="237" customFormat="1">
      <c r="J956" s="320"/>
      <c r="K956" s="320"/>
    </row>
    <row r="957" spans="10:11" s="237" customFormat="1">
      <c r="J957" s="320"/>
      <c r="K957" s="320"/>
    </row>
    <row r="958" spans="10:11" s="237" customFormat="1">
      <c r="J958" s="320"/>
      <c r="K958" s="320"/>
    </row>
    <row r="959" spans="10:11" s="237" customFormat="1">
      <c r="J959" s="320"/>
      <c r="K959" s="320"/>
    </row>
    <row r="960" spans="10:11" s="237" customFormat="1">
      <c r="J960" s="320"/>
      <c r="K960" s="320"/>
    </row>
    <row r="961" spans="10:11" s="237" customFormat="1">
      <c r="J961" s="320"/>
      <c r="K961" s="320"/>
    </row>
    <row r="962" spans="10:11" s="237" customFormat="1">
      <c r="J962" s="320"/>
      <c r="K962" s="320"/>
    </row>
    <row r="963" spans="10:11" s="237" customFormat="1">
      <c r="J963" s="320"/>
      <c r="K963" s="320"/>
    </row>
    <row r="964" spans="10:11" s="237" customFormat="1">
      <c r="J964" s="320"/>
      <c r="K964" s="320"/>
    </row>
    <row r="965" spans="10:11" s="237" customFormat="1">
      <c r="J965" s="320"/>
      <c r="K965" s="320"/>
    </row>
    <row r="966" spans="10:11" s="237" customFormat="1">
      <c r="J966" s="320"/>
      <c r="K966" s="320"/>
    </row>
    <row r="967" spans="10:11" s="237" customFormat="1">
      <c r="J967" s="320"/>
      <c r="K967" s="320"/>
    </row>
    <row r="968" spans="10:11" s="237" customFormat="1">
      <c r="J968" s="320"/>
      <c r="K968" s="320"/>
    </row>
    <row r="969" spans="10:11" s="237" customFormat="1">
      <c r="J969" s="320"/>
      <c r="K969" s="320"/>
    </row>
    <row r="970" spans="10:11" s="237" customFormat="1">
      <c r="J970" s="320"/>
      <c r="K970" s="320"/>
    </row>
    <row r="971" spans="10:11" s="237" customFormat="1">
      <c r="J971" s="320"/>
      <c r="K971" s="320"/>
    </row>
    <row r="972" spans="10:11" s="237" customFormat="1">
      <c r="J972" s="320"/>
      <c r="K972" s="320"/>
    </row>
    <row r="973" spans="10:11" s="237" customFormat="1">
      <c r="J973" s="320"/>
      <c r="K973" s="320"/>
    </row>
    <row r="974" spans="10:11" s="237" customFormat="1">
      <c r="J974" s="320"/>
      <c r="K974" s="320"/>
    </row>
    <row r="975" spans="10:11" s="237" customFormat="1">
      <c r="J975" s="320"/>
      <c r="K975" s="320"/>
    </row>
    <row r="976" spans="10:11" s="237" customFormat="1">
      <c r="J976" s="320"/>
      <c r="K976" s="320"/>
    </row>
    <row r="977" spans="10:11" s="237" customFormat="1">
      <c r="J977" s="320"/>
      <c r="K977" s="320"/>
    </row>
    <row r="978" spans="10:11" s="237" customFormat="1">
      <c r="J978" s="320"/>
      <c r="K978" s="320"/>
    </row>
    <row r="979" spans="10:11" s="237" customFormat="1">
      <c r="J979" s="320"/>
      <c r="K979" s="320"/>
    </row>
    <row r="980" spans="10:11" s="237" customFormat="1">
      <c r="J980" s="320"/>
      <c r="K980" s="320"/>
    </row>
    <row r="981" spans="10:11" s="237" customFormat="1">
      <c r="J981" s="320"/>
      <c r="K981" s="320"/>
    </row>
    <row r="982" spans="10:11" s="237" customFormat="1">
      <c r="J982" s="320"/>
      <c r="K982" s="320"/>
    </row>
    <row r="983" spans="10:11" s="237" customFormat="1">
      <c r="J983" s="320"/>
      <c r="K983" s="320"/>
    </row>
    <row r="984" spans="10:11" s="237" customFormat="1">
      <c r="J984" s="320"/>
      <c r="K984" s="320"/>
    </row>
    <row r="985" spans="10:11" s="237" customFormat="1">
      <c r="J985" s="320"/>
      <c r="K985" s="320"/>
    </row>
    <row r="986" spans="10:11" s="237" customFormat="1">
      <c r="J986" s="320"/>
      <c r="K986" s="320"/>
    </row>
    <row r="987" spans="10:11" s="237" customFormat="1">
      <c r="J987" s="320"/>
      <c r="K987" s="320"/>
    </row>
    <row r="988" spans="10:11" s="237" customFormat="1">
      <c r="J988" s="320"/>
      <c r="K988" s="320"/>
    </row>
    <row r="989" spans="10:11" s="237" customFormat="1">
      <c r="J989" s="320"/>
      <c r="K989" s="320"/>
    </row>
    <row r="990" spans="10:11" s="237" customFormat="1">
      <c r="J990" s="320"/>
      <c r="K990" s="320"/>
    </row>
    <row r="991" spans="10:11" s="237" customFormat="1">
      <c r="J991" s="320"/>
      <c r="K991" s="320"/>
    </row>
    <row r="992" spans="10:11" s="237" customFormat="1">
      <c r="J992" s="320"/>
      <c r="K992" s="320"/>
    </row>
    <row r="993" spans="1:11" s="237" customFormat="1">
      <c r="J993" s="320"/>
      <c r="K993" s="320"/>
    </row>
    <row r="994" spans="1:11" s="237" customFormat="1">
      <c r="J994" s="320"/>
      <c r="K994" s="320"/>
    </row>
    <row r="995" spans="1:11" s="237" customFormat="1">
      <c r="J995" s="320"/>
      <c r="K995" s="320"/>
    </row>
    <row r="996" spans="1:11" s="237" customFormat="1">
      <c r="J996" s="320"/>
      <c r="K996" s="320"/>
    </row>
    <row r="997" spans="1:11" s="237" customFormat="1">
      <c r="J997" s="320"/>
      <c r="K997" s="320"/>
    </row>
    <row r="998" spans="1:11" s="237" customFormat="1">
      <c r="J998" s="320"/>
      <c r="K998" s="320"/>
    </row>
    <row r="999" spans="1:11" s="237" customFormat="1">
      <c r="B999" s="211"/>
      <c r="C999" s="211"/>
      <c r="D999" s="211"/>
      <c r="E999" s="211"/>
      <c r="J999" s="320"/>
      <c r="K999" s="320"/>
    </row>
    <row r="1000" spans="1:11" s="237" customFormat="1">
      <c r="B1000" s="211"/>
      <c r="C1000" s="211"/>
      <c r="D1000" s="211"/>
      <c r="E1000" s="211"/>
      <c r="J1000" s="320"/>
      <c r="K1000" s="320"/>
    </row>
    <row r="1001" spans="1:11">
      <c r="A1001" s="237"/>
    </row>
  </sheetData>
  <mergeCells count="2">
    <mergeCell ref="K33:K34"/>
    <mergeCell ref="A7:J8"/>
  </mergeCells>
  <pageMargins left="0.75" right="0.5" top="0.75" bottom="0.5" header="0.25" footer="0.25"/>
  <pageSetup scale="63"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6">
    <pageSetUpPr fitToPage="1"/>
  </sheetPr>
  <dimension ref="A1:H215"/>
  <sheetViews>
    <sheetView view="pageBreakPreview" zoomScaleNormal="100" zoomScaleSheetLayoutView="100" workbookViewId="0">
      <selection activeCell="C38" sqref="C38"/>
    </sheetView>
  </sheetViews>
  <sheetFormatPr defaultColWidth="10.85546875" defaultRowHeight="12.75"/>
  <cols>
    <col min="1" max="1" width="6.5703125" style="120" customWidth="1"/>
    <col min="2" max="2" width="28" style="120" customWidth="1"/>
    <col min="3" max="3" width="14.85546875" style="120" bestFit="1" customWidth="1"/>
    <col min="4" max="4" width="14.85546875" style="120" customWidth="1"/>
    <col min="5" max="5" width="3.28515625" style="120" customWidth="1"/>
    <col min="6" max="6" width="14.85546875" style="120" customWidth="1"/>
    <col min="7" max="7" width="14.28515625" style="120" customWidth="1"/>
    <col min="8" max="8" width="2" style="120" customWidth="1"/>
    <col min="9" max="16384" width="10.85546875" style="11"/>
  </cols>
  <sheetData>
    <row r="1" spans="1:8" s="21" customFormat="1" ht="12">
      <c r="A1" s="117" t="s">
        <v>495</v>
      </c>
      <c r="B1" s="117"/>
      <c r="C1" s="117"/>
      <c r="D1" s="117"/>
      <c r="E1" s="120"/>
      <c r="F1" s="117" t="s">
        <v>1209</v>
      </c>
      <c r="G1" s="117"/>
      <c r="H1" s="120"/>
    </row>
    <row r="2" spans="1:8" s="21" customFormat="1" ht="12">
      <c r="A2" s="117"/>
      <c r="B2" s="117"/>
      <c r="C2" s="117"/>
      <c r="D2" s="117"/>
      <c r="E2" s="120"/>
      <c r="G2" s="117"/>
      <c r="H2" s="120"/>
    </row>
    <row r="3" spans="1:8" s="21" customFormat="1" ht="12">
      <c r="A3" s="117" t="s">
        <v>2644</v>
      </c>
      <c r="B3" s="117"/>
      <c r="C3" s="117"/>
      <c r="D3" s="117"/>
      <c r="E3" s="120"/>
      <c r="F3" s="117" t="s">
        <v>1530</v>
      </c>
      <c r="G3" s="117"/>
      <c r="H3" s="120"/>
    </row>
    <row r="4" spans="1:8" s="21" customFormat="1" ht="12">
      <c r="A4" s="117" t="s">
        <v>2645</v>
      </c>
      <c r="B4" s="176"/>
      <c r="C4" s="117"/>
      <c r="D4" s="117"/>
      <c r="E4" s="120"/>
      <c r="F4" s="117" t="s">
        <v>2948</v>
      </c>
      <c r="G4" s="117"/>
      <c r="H4" s="120"/>
    </row>
    <row r="5" spans="1:8" s="21" customFormat="1" ht="12">
      <c r="A5" s="117" t="s">
        <v>1935</v>
      </c>
      <c r="B5" s="176"/>
      <c r="C5" s="117"/>
      <c r="D5" s="117"/>
      <c r="E5" s="120"/>
      <c r="G5" s="117"/>
      <c r="H5" s="120"/>
    </row>
    <row r="6" spans="1:8" s="21" customFormat="1" ht="12">
      <c r="A6" s="117" t="s">
        <v>683</v>
      </c>
      <c r="B6" s="117"/>
      <c r="C6" s="117"/>
      <c r="D6" s="117"/>
      <c r="E6" s="117"/>
      <c r="F6" s="120"/>
      <c r="G6" s="117"/>
      <c r="H6" s="120"/>
    </row>
    <row r="7" spans="1:8" s="21" customFormat="1" ht="12">
      <c r="A7" s="123" t="s">
        <v>1343</v>
      </c>
      <c r="B7" s="176"/>
      <c r="C7" s="117"/>
      <c r="D7" s="117"/>
      <c r="E7" s="117"/>
      <c r="F7" s="117"/>
      <c r="G7" s="117"/>
      <c r="H7" s="120"/>
    </row>
    <row r="8" spans="1:8" s="21" customFormat="1" ht="12">
      <c r="A8" s="117"/>
      <c r="B8" s="117"/>
      <c r="C8" s="117"/>
      <c r="D8" s="117"/>
      <c r="E8" s="117"/>
      <c r="F8" s="117"/>
      <c r="G8" s="117"/>
      <c r="H8" s="120"/>
    </row>
    <row r="9" spans="1:8" s="21" customFormat="1" ht="12" customHeight="1">
      <c r="A9" s="2292" t="s">
        <v>776</v>
      </c>
      <c r="B9" s="2293"/>
      <c r="C9" s="2293"/>
      <c r="D9" s="2293"/>
      <c r="E9" s="2293"/>
      <c r="F9" s="2293"/>
      <c r="G9" s="2293"/>
      <c r="H9" s="120"/>
    </row>
    <row r="10" spans="1:8" s="21" customFormat="1" ht="12">
      <c r="A10" s="2293"/>
      <c r="B10" s="2293"/>
      <c r="C10" s="2293"/>
      <c r="D10" s="2293"/>
      <c r="E10" s="2293"/>
      <c r="F10" s="2293"/>
      <c r="G10" s="2293"/>
      <c r="H10" s="120"/>
    </row>
    <row r="11" spans="1:8" s="21" customFormat="1" ht="12">
      <c r="A11" s="2293"/>
      <c r="B11" s="2293"/>
      <c r="C11" s="2293"/>
      <c r="D11" s="2293"/>
      <c r="E11" s="2293"/>
      <c r="F11" s="2293"/>
      <c r="G11" s="2293"/>
      <c r="H11" s="120"/>
    </row>
    <row r="12" spans="1:8" s="21" customFormat="1" ht="12">
      <c r="A12" s="2293"/>
      <c r="B12" s="2293"/>
      <c r="C12" s="2293"/>
      <c r="D12" s="2293"/>
      <c r="E12" s="2293"/>
      <c r="F12" s="2293"/>
      <c r="G12" s="2293"/>
      <c r="H12" s="120"/>
    </row>
    <row r="13" spans="1:8" s="21" customFormat="1" thickBot="1">
      <c r="A13" s="124"/>
      <c r="B13" s="124"/>
      <c r="C13" s="124"/>
      <c r="D13" s="124"/>
      <c r="E13" s="124"/>
      <c r="F13" s="124"/>
      <c r="G13" s="124"/>
      <c r="H13" s="120"/>
    </row>
    <row r="14" spans="1:8" s="21" customFormat="1" ht="12">
      <c r="A14" s="117"/>
      <c r="B14" s="148" t="s">
        <v>914</v>
      </c>
      <c r="C14" s="127" t="s">
        <v>915</v>
      </c>
      <c r="D14" s="148" t="s">
        <v>916</v>
      </c>
      <c r="E14" s="148"/>
      <c r="F14" s="127" t="s">
        <v>917</v>
      </c>
      <c r="G14" s="127" t="s">
        <v>526</v>
      </c>
      <c r="H14" s="120"/>
    </row>
    <row r="15" spans="1:8" s="21" customFormat="1" ht="12">
      <c r="A15" s="177"/>
      <c r="B15" s="148"/>
      <c r="C15" s="178" t="s">
        <v>1060</v>
      </c>
      <c r="D15" s="148" t="s">
        <v>454</v>
      </c>
      <c r="E15" s="148"/>
      <c r="F15" s="127" t="s">
        <v>52</v>
      </c>
      <c r="G15" s="148"/>
      <c r="H15" s="120"/>
    </row>
    <row r="16" spans="1:8" s="21" customFormat="1" ht="12">
      <c r="A16" s="179" t="s">
        <v>53</v>
      </c>
      <c r="B16" s="148"/>
      <c r="C16" s="127" t="s">
        <v>54</v>
      </c>
      <c r="D16" s="148" t="s">
        <v>728</v>
      </c>
      <c r="E16" s="148"/>
      <c r="F16" s="127" t="s">
        <v>728</v>
      </c>
      <c r="G16" s="148" t="s">
        <v>729</v>
      </c>
      <c r="H16" s="120"/>
    </row>
    <row r="17" spans="1:8" s="21" customFormat="1" ht="12">
      <c r="A17" s="806" t="s">
        <v>730</v>
      </c>
      <c r="B17" s="805" t="s">
        <v>731</v>
      </c>
      <c r="C17" s="806" t="s">
        <v>732</v>
      </c>
      <c r="D17" s="805" t="s">
        <v>733</v>
      </c>
      <c r="E17" s="805"/>
      <c r="F17" s="806" t="s">
        <v>527</v>
      </c>
      <c r="G17" s="805" t="s">
        <v>734</v>
      </c>
      <c r="H17" s="120"/>
    </row>
    <row r="18" spans="1:8" s="21" customFormat="1" ht="12">
      <c r="A18" s="153">
        <v>1</v>
      </c>
      <c r="B18" s="120" t="s">
        <v>1124</v>
      </c>
      <c r="C18" s="181">
        <v>8181294</v>
      </c>
      <c r="D18" s="181">
        <v>1308809</v>
      </c>
      <c r="E18" s="2114" t="s">
        <v>500</v>
      </c>
      <c r="F18" s="181">
        <v>9490103</v>
      </c>
      <c r="G18" s="131" t="s">
        <v>1405</v>
      </c>
      <c r="H18" s="120"/>
    </row>
    <row r="19" spans="1:8" s="21" customFormat="1" ht="12">
      <c r="A19" s="153">
        <v>2</v>
      </c>
      <c r="B19" s="120"/>
      <c r="C19" s="150"/>
      <c r="D19" s="150"/>
      <c r="E19" s="155"/>
      <c r="F19" s="150"/>
      <c r="G19" s="120"/>
      <c r="H19" s="120"/>
    </row>
    <row r="20" spans="1:8" s="21" customFormat="1" ht="12">
      <c r="A20" s="153">
        <v>3</v>
      </c>
      <c r="B20" s="120" t="s">
        <v>1125</v>
      </c>
      <c r="C20" s="150">
        <v>19567</v>
      </c>
      <c r="D20" s="150">
        <v>0</v>
      </c>
      <c r="E20" s="2114" t="s">
        <v>500</v>
      </c>
      <c r="F20" s="150">
        <v>19567</v>
      </c>
      <c r="G20" s="131" t="s">
        <v>1405</v>
      </c>
      <c r="H20" s="120"/>
    </row>
    <row r="21" spans="1:8" s="21" customFormat="1" ht="12">
      <c r="A21" s="153">
        <v>4</v>
      </c>
      <c r="B21" s="120"/>
      <c r="C21" s="150"/>
      <c r="D21" s="150"/>
      <c r="E21" s="155"/>
      <c r="F21" s="150"/>
      <c r="G21" s="120"/>
      <c r="H21" s="120"/>
    </row>
    <row r="22" spans="1:8" s="21" customFormat="1" ht="12">
      <c r="A22" s="153">
        <v>5</v>
      </c>
      <c r="B22" s="120" t="s">
        <v>1126</v>
      </c>
      <c r="C22" s="150">
        <v>0</v>
      </c>
      <c r="D22" s="150">
        <v>0</v>
      </c>
      <c r="E22" s="2115" t="s">
        <v>501</v>
      </c>
      <c r="F22" s="150">
        <v>0</v>
      </c>
      <c r="G22" s="131" t="s">
        <v>816</v>
      </c>
      <c r="H22" s="120"/>
    </row>
    <row r="23" spans="1:8" s="21" customFormat="1" ht="12">
      <c r="A23" s="153">
        <v>6</v>
      </c>
      <c r="B23" s="120"/>
      <c r="C23" s="150"/>
      <c r="D23" s="150"/>
      <c r="E23" s="155"/>
      <c r="F23" s="150"/>
      <c r="G23" s="120"/>
      <c r="H23" s="120"/>
    </row>
    <row r="24" spans="1:8" s="21" customFormat="1" ht="12">
      <c r="A24" s="153">
        <v>7</v>
      </c>
      <c r="B24" s="120" t="s">
        <v>1127</v>
      </c>
      <c r="C24" s="150">
        <v>181657.65461538458</v>
      </c>
      <c r="D24" s="150">
        <v>-181657.65461538458</v>
      </c>
      <c r="E24" s="2115" t="s">
        <v>465</v>
      </c>
      <c r="F24" s="150">
        <v>0</v>
      </c>
      <c r="G24" s="131" t="s">
        <v>454</v>
      </c>
      <c r="H24" s="120"/>
    </row>
    <row r="25" spans="1:8" s="21" customFormat="1" ht="12">
      <c r="A25" s="153">
        <v>8</v>
      </c>
      <c r="B25" s="120"/>
      <c r="C25" s="150"/>
      <c r="D25" s="150"/>
      <c r="E25" s="155"/>
      <c r="F25" s="150"/>
      <c r="G25" s="120"/>
      <c r="H25" s="120"/>
    </row>
    <row r="26" spans="1:8" s="21" customFormat="1" ht="12">
      <c r="A26" s="153">
        <v>9</v>
      </c>
      <c r="B26" s="120" t="s">
        <v>1128</v>
      </c>
      <c r="C26" s="150">
        <v>-4046684</v>
      </c>
      <c r="D26" s="150">
        <v>789104.27777777775</v>
      </c>
      <c r="E26" s="2113" t="s">
        <v>460</v>
      </c>
      <c r="F26" s="150">
        <v>-3257579.722222222</v>
      </c>
      <c r="G26" s="131" t="s">
        <v>1406</v>
      </c>
      <c r="H26" s="120"/>
    </row>
    <row r="27" spans="1:8" s="21" customFormat="1" ht="12">
      <c r="A27" s="153">
        <v>10</v>
      </c>
      <c r="B27" s="120"/>
      <c r="C27" s="150"/>
      <c r="D27" s="150"/>
      <c r="F27" s="150"/>
      <c r="G27" s="120"/>
      <c r="H27" s="120"/>
    </row>
    <row r="28" spans="1:8" s="21" customFormat="1" ht="12">
      <c r="A28" s="153">
        <v>11</v>
      </c>
      <c r="B28" s="120" t="s">
        <v>797</v>
      </c>
      <c r="C28" s="150">
        <v>-3144687</v>
      </c>
      <c r="D28" s="150"/>
      <c r="E28" s="2113" t="s">
        <v>466</v>
      </c>
      <c r="F28" s="150">
        <v>-3144687</v>
      </c>
      <c r="G28" s="1210" t="s">
        <v>1786</v>
      </c>
      <c r="H28" s="120"/>
    </row>
    <row r="29" spans="1:8" s="21" customFormat="1" ht="12">
      <c r="A29" s="153">
        <v>12</v>
      </c>
      <c r="B29" s="120"/>
      <c r="C29" s="150"/>
      <c r="D29" s="150"/>
      <c r="E29" s="2112"/>
      <c r="F29" s="150"/>
      <c r="G29" s="120"/>
      <c r="H29" s="120"/>
    </row>
    <row r="30" spans="1:8" s="21" customFormat="1" ht="12">
      <c r="A30" s="153">
        <v>13</v>
      </c>
      <c r="B30" s="120" t="s">
        <v>798</v>
      </c>
      <c r="C30" s="150">
        <v>2359047</v>
      </c>
      <c r="D30" s="150"/>
      <c r="E30" s="2113" t="s">
        <v>466</v>
      </c>
      <c r="F30" s="150">
        <v>2359047</v>
      </c>
      <c r="G30" s="1210" t="s">
        <v>1787</v>
      </c>
      <c r="H30" s="120"/>
    </row>
    <row r="31" spans="1:8" s="21" customFormat="1" ht="12">
      <c r="A31" s="153">
        <v>14</v>
      </c>
      <c r="B31" s="120"/>
      <c r="C31" s="150"/>
      <c r="D31" s="150"/>
      <c r="E31" s="2112"/>
      <c r="F31" s="150"/>
      <c r="G31" s="120"/>
      <c r="H31" s="120"/>
    </row>
    <row r="32" spans="1:8" s="21" customFormat="1" ht="12">
      <c r="A32" s="153">
        <v>15</v>
      </c>
      <c r="B32" s="120" t="s">
        <v>1326</v>
      </c>
      <c r="C32" s="150"/>
      <c r="D32" s="150"/>
      <c r="E32" s="2113" t="s">
        <v>383</v>
      </c>
      <c r="F32" s="150"/>
      <c r="G32" s="131" t="s">
        <v>1328</v>
      </c>
      <c r="H32" s="120"/>
    </row>
    <row r="33" spans="1:8" s="21" customFormat="1" ht="12">
      <c r="A33" s="153">
        <v>16</v>
      </c>
      <c r="B33" s="120"/>
      <c r="C33" s="150"/>
      <c r="D33" s="150"/>
      <c r="E33" s="2112"/>
      <c r="F33" s="150"/>
      <c r="G33" s="120"/>
      <c r="H33" s="120"/>
    </row>
    <row r="34" spans="1:8" s="21" customFormat="1" ht="12">
      <c r="A34" s="153">
        <v>17</v>
      </c>
      <c r="B34" s="120" t="s">
        <v>1327</v>
      </c>
      <c r="C34" s="150"/>
      <c r="D34" s="150"/>
      <c r="E34" s="2113" t="s">
        <v>383</v>
      </c>
      <c r="F34" s="150"/>
      <c r="G34" s="131" t="s">
        <v>1328</v>
      </c>
      <c r="H34" s="120"/>
    </row>
    <row r="35" spans="1:8" s="21" customFormat="1" ht="12">
      <c r="A35" s="153">
        <v>18</v>
      </c>
      <c r="B35" s="120"/>
      <c r="C35" s="150"/>
      <c r="D35" s="150"/>
      <c r="E35" s="2112"/>
      <c r="F35" s="150"/>
      <c r="G35" s="120"/>
      <c r="H35" s="120"/>
    </row>
    <row r="36" spans="1:8" s="21" customFormat="1" ht="12">
      <c r="A36" s="153">
        <v>19</v>
      </c>
      <c r="B36" s="120" t="s">
        <v>491</v>
      </c>
      <c r="C36" s="182"/>
      <c r="D36" s="182">
        <v>184875.42846153845</v>
      </c>
      <c r="E36" s="2113" t="s">
        <v>3012</v>
      </c>
      <c r="F36" s="182">
        <v>184875.42846153845</v>
      </c>
      <c r="G36" s="1210" t="s">
        <v>1788</v>
      </c>
      <c r="H36" s="120"/>
    </row>
    <row r="37" spans="1:8" s="21" customFormat="1" ht="12">
      <c r="A37" s="153">
        <v>20</v>
      </c>
      <c r="B37" s="120"/>
      <c r="C37" s="180"/>
      <c r="D37" s="180"/>
      <c r="E37" s="2116"/>
      <c r="F37" s="180"/>
      <c r="G37" s="120"/>
      <c r="H37" s="120"/>
    </row>
    <row r="38" spans="1:8" s="21" customFormat="1" thickBot="1">
      <c r="A38" s="153">
        <v>21</v>
      </c>
      <c r="B38" s="120" t="s">
        <v>492</v>
      </c>
      <c r="C38" s="187">
        <v>3550194.6546153845</v>
      </c>
      <c r="D38" s="187">
        <v>2101132.0516239316</v>
      </c>
      <c r="E38" s="352"/>
      <c r="F38" s="187">
        <v>5651325.7062393166</v>
      </c>
      <c r="G38" s="120"/>
      <c r="H38" s="120"/>
    </row>
    <row r="39" spans="1:8" s="21" customFormat="1" thickTop="1">
      <c r="A39" s="153"/>
      <c r="B39" s="120"/>
      <c r="C39" s="180"/>
      <c r="D39" s="180"/>
      <c r="E39" s="185"/>
      <c r="F39" s="180"/>
      <c r="G39" s="120"/>
      <c r="H39" s="120"/>
    </row>
    <row r="40" spans="1:8" s="21" customFormat="1" ht="12">
      <c r="A40" s="148"/>
      <c r="B40" s="117"/>
      <c r="C40" s="180"/>
      <c r="D40" s="180"/>
      <c r="E40" s="185"/>
      <c r="F40" s="180"/>
      <c r="G40" s="120"/>
      <c r="H40" s="120"/>
    </row>
    <row r="41" spans="1:8" s="21" customFormat="1" ht="12">
      <c r="A41" s="120"/>
      <c r="B41" s="120"/>
      <c r="C41" s="180"/>
      <c r="D41" s="180"/>
      <c r="E41" s="185"/>
      <c r="F41" s="180"/>
      <c r="G41" s="120"/>
      <c r="H41" s="120"/>
    </row>
    <row r="42" spans="1:8" s="21" customFormat="1" ht="12">
      <c r="A42" s="120"/>
      <c r="B42" s="120"/>
      <c r="C42" s="180"/>
      <c r="D42" s="180"/>
      <c r="E42" s="185"/>
      <c r="F42" s="180"/>
      <c r="G42" s="120"/>
      <c r="H42" s="120"/>
    </row>
    <row r="43" spans="1:8" s="21" customFormat="1" ht="12">
      <c r="A43" s="120"/>
      <c r="B43" s="120"/>
      <c r="C43" s="180"/>
      <c r="D43" s="180"/>
      <c r="E43" s="185"/>
      <c r="F43" s="180"/>
      <c r="G43" s="120"/>
      <c r="H43" s="120"/>
    </row>
    <row r="44" spans="1:8" s="21" customFormat="1" ht="12">
      <c r="A44" s="120"/>
      <c r="B44" s="120"/>
      <c r="C44" s="180"/>
      <c r="D44" s="180"/>
      <c r="E44" s="185"/>
      <c r="F44" s="180"/>
      <c r="G44" s="120"/>
      <c r="H44" s="120"/>
    </row>
    <row r="45" spans="1:8" s="21" customFormat="1" ht="12">
      <c r="A45" s="120"/>
      <c r="B45" s="120"/>
      <c r="C45" s="180"/>
      <c r="D45" s="180"/>
      <c r="E45" s="185"/>
      <c r="F45" s="180"/>
      <c r="G45" s="120"/>
      <c r="H45" s="120"/>
    </row>
    <row r="46" spans="1:8" s="21" customFormat="1" ht="12">
      <c r="A46" s="120"/>
      <c r="B46" s="120"/>
      <c r="C46" s="180"/>
      <c r="D46" s="180"/>
      <c r="E46" s="185"/>
      <c r="F46" s="180"/>
      <c r="G46" s="120"/>
      <c r="H46" s="120"/>
    </row>
    <row r="47" spans="1:8" s="21" customFormat="1" ht="12">
      <c r="A47" s="120"/>
      <c r="B47" s="120"/>
      <c r="C47" s="180"/>
      <c r="D47" s="180"/>
      <c r="E47" s="185"/>
      <c r="F47" s="180"/>
      <c r="G47" s="120"/>
      <c r="H47" s="120"/>
    </row>
    <row r="48" spans="1:8" s="21" customFormat="1" ht="12">
      <c r="A48" s="120"/>
      <c r="B48" s="120"/>
      <c r="C48" s="180"/>
      <c r="D48" s="180"/>
      <c r="E48" s="185"/>
      <c r="F48" s="180"/>
      <c r="G48" s="120"/>
      <c r="H48" s="120"/>
    </row>
    <row r="49" spans="1:8" s="21" customFormat="1" ht="12">
      <c r="A49" s="120"/>
      <c r="B49" s="120"/>
      <c r="C49" s="180"/>
      <c r="D49" s="180"/>
      <c r="E49" s="185"/>
      <c r="F49" s="180"/>
      <c r="G49" s="120"/>
      <c r="H49" s="120"/>
    </row>
    <row r="50" spans="1:8" s="21" customFormat="1" ht="12">
      <c r="A50" s="120"/>
      <c r="B50" s="120"/>
      <c r="C50" s="180"/>
      <c r="D50" s="180"/>
      <c r="E50" s="185"/>
      <c r="F50" s="180"/>
      <c r="G50" s="120"/>
      <c r="H50" s="120"/>
    </row>
    <row r="51" spans="1:8" s="21" customFormat="1" ht="12">
      <c r="A51" s="148"/>
      <c r="B51" s="148"/>
      <c r="C51" s="184"/>
      <c r="D51" s="184"/>
      <c r="E51" s="184"/>
      <c r="F51" s="184"/>
      <c r="G51" s="148"/>
      <c r="H51" s="120"/>
    </row>
    <row r="52" spans="1:8" s="21" customFormat="1" ht="12">
      <c r="A52" s="120"/>
      <c r="B52" s="120"/>
      <c r="C52" s="180"/>
      <c r="D52" s="180"/>
      <c r="E52" s="185"/>
      <c r="F52" s="180"/>
      <c r="G52" s="120"/>
      <c r="H52" s="120"/>
    </row>
    <row r="53" spans="1:8" s="21" customFormat="1" ht="12">
      <c r="A53" s="120"/>
      <c r="B53" s="120"/>
      <c r="C53" s="120"/>
      <c r="D53" s="120"/>
      <c r="E53" s="120"/>
      <c r="F53" s="120"/>
      <c r="G53" s="120"/>
      <c r="H53" s="120"/>
    </row>
    <row r="54" spans="1:8" s="21" customFormat="1" ht="12">
      <c r="A54" s="120"/>
      <c r="B54" s="120"/>
      <c r="C54" s="120"/>
      <c r="D54" s="120"/>
      <c r="E54" s="120"/>
      <c r="F54" s="120"/>
      <c r="G54" s="120"/>
      <c r="H54" s="120"/>
    </row>
    <row r="75" spans="1:2">
      <c r="A75" s="138"/>
      <c r="B75" s="138"/>
    </row>
    <row r="144" spans="1:1">
      <c r="A144" s="117"/>
    </row>
    <row r="161" spans="1:1">
      <c r="A161" s="138"/>
    </row>
    <row r="162" spans="1:1">
      <c r="A162" s="138"/>
    </row>
    <row r="163" spans="1:1">
      <c r="A163" s="138"/>
    </row>
    <row r="164" spans="1:1">
      <c r="A164" s="138"/>
    </row>
    <row r="165" spans="1:1">
      <c r="A165" s="138"/>
    </row>
    <row r="166" spans="1:1">
      <c r="A166" s="138"/>
    </row>
    <row r="167" spans="1:1">
      <c r="A167" s="138"/>
    </row>
    <row r="168" spans="1:1">
      <c r="A168" s="138"/>
    </row>
    <row r="169" spans="1:1">
      <c r="A169" s="138"/>
    </row>
    <row r="170" spans="1:1">
      <c r="A170" s="138"/>
    </row>
    <row r="171" spans="1:1">
      <c r="A171" s="138"/>
    </row>
    <row r="172" spans="1:1">
      <c r="A172" s="138"/>
    </row>
    <row r="173" spans="1:1">
      <c r="A173" s="138"/>
    </row>
    <row r="174" spans="1:1">
      <c r="A174" s="138"/>
    </row>
    <row r="175" spans="1:1">
      <c r="A175" s="138"/>
    </row>
    <row r="176" spans="1:1">
      <c r="A176" s="138"/>
    </row>
    <row r="177" spans="1:1">
      <c r="A177" s="138"/>
    </row>
    <row r="178" spans="1:1">
      <c r="A178" s="138"/>
    </row>
    <row r="179" spans="1:1">
      <c r="A179" s="138"/>
    </row>
    <row r="180" spans="1:1">
      <c r="A180" s="138"/>
    </row>
    <row r="181" spans="1:1">
      <c r="A181" s="138"/>
    </row>
    <row r="182" spans="1:1">
      <c r="A182" s="138"/>
    </row>
    <row r="183" spans="1:1">
      <c r="A183" s="138"/>
    </row>
    <row r="184" spans="1:1">
      <c r="A184" s="138"/>
    </row>
    <row r="185" spans="1:1">
      <c r="A185" s="138"/>
    </row>
    <row r="186" spans="1:1">
      <c r="A186" s="138"/>
    </row>
    <row r="187" spans="1:1">
      <c r="A187" s="138"/>
    </row>
    <row r="188" spans="1:1">
      <c r="A188" s="138"/>
    </row>
    <row r="189" spans="1:1">
      <c r="A189" s="138"/>
    </row>
    <row r="190" spans="1:1">
      <c r="A190" s="138"/>
    </row>
    <row r="191" spans="1:1">
      <c r="A191" s="138"/>
    </row>
    <row r="192" spans="1:1">
      <c r="A192" s="138"/>
    </row>
    <row r="193" spans="1:1">
      <c r="A193" s="138"/>
    </row>
    <row r="194" spans="1:1">
      <c r="A194" s="138"/>
    </row>
    <row r="195" spans="1:1">
      <c r="A195" s="138"/>
    </row>
    <row r="196" spans="1:1">
      <c r="A196" s="138"/>
    </row>
    <row r="197" spans="1:1">
      <c r="A197" s="138"/>
    </row>
    <row r="198" spans="1:1">
      <c r="A198" s="138"/>
    </row>
    <row r="199" spans="1:1">
      <c r="A199" s="138"/>
    </row>
    <row r="200" spans="1:1">
      <c r="A200" s="138"/>
    </row>
    <row r="201" spans="1:1">
      <c r="A201" s="138"/>
    </row>
    <row r="202" spans="1:1">
      <c r="A202" s="138"/>
    </row>
    <row r="203" spans="1:1">
      <c r="A203" s="138"/>
    </row>
    <row r="204" spans="1:1">
      <c r="A204" s="138"/>
    </row>
    <row r="205" spans="1:1">
      <c r="A205" s="138"/>
    </row>
    <row r="206" spans="1:1">
      <c r="A206" s="138"/>
    </row>
    <row r="207" spans="1:1">
      <c r="A207" s="138"/>
    </row>
    <row r="208" spans="1:1">
      <c r="A208" s="138"/>
    </row>
    <row r="209" spans="1:1">
      <c r="A209" s="138"/>
    </row>
    <row r="210" spans="1:1">
      <c r="A210" s="138"/>
    </row>
    <row r="211" spans="1:1">
      <c r="A211" s="138"/>
    </row>
    <row r="212" spans="1:1">
      <c r="A212" s="138"/>
    </row>
    <row r="213" spans="1:1">
      <c r="A213" s="138"/>
    </row>
    <row r="214" spans="1:1">
      <c r="A214" s="138"/>
    </row>
    <row r="215" spans="1:1">
      <c r="A215" s="138"/>
    </row>
  </sheetData>
  <mergeCells count="1">
    <mergeCell ref="A9:G12"/>
  </mergeCells>
  <phoneticPr fontId="27" type="noConversion"/>
  <printOptions horizontalCentered="1"/>
  <pageMargins left="0.75" right="0.5" top="0.75" bottom="0.5" header="0.25" footer="0.25"/>
  <pageSetup scale="97" orientation="portrait" r:id="rId1"/>
  <headerFooter alignWithMargins="0">
    <oddFooter xml:space="preserve">&amp;C&amp;"Garmond (W1),Bold"
</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32">
    <pageSetUpPr fitToPage="1"/>
  </sheetPr>
  <dimension ref="A1:E449"/>
  <sheetViews>
    <sheetView view="pageBreakPreview" zoomScale="60" zoomScaleNormal="100" workbookViewId="0">
      <selection sqref="A1:XFD1048576"/>
    </sheetView>
  </sheetViews>
  <sheetFormatPr defaultColWidth="10.85546875" defaultRowHeight="12"/>
  <cols>
    <col min="1" max="1" width="4.85546875" style="120" customWidth="1"/>
    <col min="2" max="2" width="24" style="120" customWidth="1"/>
    <col min="3" max="3" width="41.42578125" style="120" customWidth="1"/>
    <col min="4" max="4" width="11.7109375" style="120" customWidth="1"/>
    <col min="5" max="5" width="39.7109375" style="120" customWidth="1"/>
    <col min="6" max="16384" width="10.85546875" style="120"/>
  </cols>
  <sheetData>
    <row r="1" spans="1:5">
      <c r="A1" s="117" t="s">
        <v>603</v>
      </c>
      <c r="B1" s="117"/>
      <c r="C1" s="117"/>
      <c r="E1" s="1523" t="s">
        <v>1209</v>
      </c>
    </row>
    <row r="2" spans="1:5">
      <c r="A2" s="117"/>
      <c r="B2" s="117"/>
      <c r="C2" s="117"/>
      <c r="E2" s="367"/>
    </row>
    <row r="3" spans="1:5">
      <c r="A3" s="117" t="s">
        <v>2644</v>
      </c>
      <c r="B3" s="117"/>
      <c r="C3" s="117"/>
      <c r="E3" s="367" t="s">
        <v>1534</v>
      </c>
    </row>
    <row r="4" spans="1:5">
      <c r="A4" s="117" t="s">
        <v>2645</v>
      </c>
      <c r="B4" s="176"/>
      <c r="C4" s="117"/>
      <c r="E4" s="367" t="s">
        <v>766</v>
      </c>
    </row>
    <row r="5" spans="1:5">
      <c r="A5" s="117" t="s">
        <v>1936</v>
      </c>
      <c r="B5" s="176"/>
      <c r="C5" s="117"/>
      <c r="E5" s="367" t="s">
        <v>2948</v>
      </c>
    </row>
    <row r="6" spans="1:5">
      <c r="A6" s="117"/>
      <c r="B6" s="117"/>
      <c r="C6" s="117"/>
      <c r="D6" s="117"/>
      <c r="E6" s="117"/>
    </row>
    <row r="7" spans="1:5" ht="53.25" customHeight="1">
      <c r="A7" s="2314" t="s">
        <v>1021</v>
      </c>
      <c r="B7" s="2299"/>
      <c r="C7" s="2299"/>
      <c r="D7" s="2299"/>
      <c r="E7" s="2299"/>
    </row>
    <row r="8" spans="1:5" hidden="1">
      <c r="A8" s="833"/>
      <c r="B8" s="833"/>
      <c r="C8" s="833"/>
      <c r="D8" s="833"/>
      <c r="E8" s="833"/>
    </row>
    <row r="9" spans="1:5" hidden="1">
      <c r="A9" s="833"/>
      <c r="B9" s="833"/>
      <c r="C9" s="833"/>
      <c r="D9" s="833"/>
      <c r="E9" s="833"/>
    </row>
    <row r="10" spans="1:5" hidden="1">
      <c r="A10" s="833"/>
      <c r="B10" s="833"/>
      <c r="C10" s="833"/>
      <c r="D10" s="833"/>
      <c r="E10" s="833"/>
    </row>
    <row r="11" spans="1:5" ht="12.75" thickBot="1">
      <c r="A11" s="331"/>
      <c r="B11" s="331"/>
      <c r="C11" s="331"/>
      <c r="D11" s="331"/>
      <c r="E11" s="331"/>
    </row>
    <row r="12" spans="1:5" s="336" customFormat="1">
      <c r="A12" s="332" t="s">
        <v>914</v>
      </c>
      <c r="B12" s="332" t="s">
        <v>915</v>
      </c>
      <c r="C12" s="333" t="s">
        <v>916</v>
      </c>
      <c r="D12" s="334" t="s">
        <v>917</v>
      </c>
      <c r="E12" s="817">
        <v>-5</v>
      </c>
    </row>
    <row r="13" spans="1:5" s="336" customFormat="1">
      <c r="A13" s="332" t="s">
        <v>53</v>
      </c>
      <c r="B13" s="832"/>
      <c r="C13" s="832"/>
      <c r="D13" s="832"/>
      <c r="E13" s="832"/>
    </row>
    <row r="14" spans="1:5" s="336" customFormat="1">
      <c r="A14" s="835" t="s">
        <v>730</v>
      </c>
      <c r="B14" s="836" t="s">
        <v>1700</v>
      </c>
      <c r="C14" s="836" t="s">
        <v>1701</v>
      </c>
      <c r="D14" s="836" t="s">
        <v>978</v>
      </c>
      <c r="E14" s="836" t="s">
        <v>1702</v>
      </c>
    </row>
    <row r="15" spans="1:5" s="336" customFormat="1">
      <c r="A15" s="1025"/>
      <c r="B15" s="1330"/>
      <c r="C15" s="1331"/>
      <c r="D15" s="1332"/>
      <c r="E15" s="1331"/>
    </row>
    <row r="16" spans="1:5" s="336" customFormat="1">
      <c r="A16" s="2170">
        <v>1</v>
      </c>
      <c r="B16" s="2171" t="s">
        <v>3026</v>
      </c>
      <c r="C16" s="2172" t="s">
        <v>3027</v>
      </c>
      <c r="D16" s="2176">
        <v>2380.1999999999998</v>
      </c>
      <c r="E16" s="2172" t="s">
        <v>3028</v>
      </c>
    </row>
    <row r="17" spans="1:5" s="336" customFormat="1">
      <c r="A17" s="2170">
        <v>2</v>
      </c>
      <c r="B17" s="2171" t="s">
        <v>1651</v>
      </c>
      <c r="C17" s="2172" t="s">
        <v>3029</v>
      </c>
      <c r="D17" s="2176">
        <v>890.15</v>
      </c>
      <c r="E17" s="2172" t="s">
        <v>3030</v>
      </c>
    </row>
    <row r="18" spans="1:5" s="336" customFormat="1">
      <c r="A18" s="2170">
        <v>3</v>
      </c>
      <c r="B18" s="2173" t="s">
        <v>1651</v>
      </c>
      <c r="C18" s="2174" t="s">
        <v>3031</v>
      </c>
      <c r="D18" s="2176">
        <v>180.36</v>
      </c>
      <c r="E18" s="2171" t="s">
        <v>3032</v>
      </c>
    </row>
    <row r="19" spans="1:5" s="336" customFormat="1">
      <c r="A19" s="2170">
        <v>4</v>
      </c>
      <c r="B19" s="2173" t="s">
        <v>3026</v>
      </c>
      <c r="C19" s="2175" t="s">
        <v>3033</v>
      </c>
      <c r="D19" s="2176">
        <v>4425.6400000000003</v>
      </c>
      <c r="E19" s="2173" t="s">
        <v>3028</v>
      </c>
    </row>
    <row r="20" spans="1:5" s="336" customFormat="1">
      <c r="A20" s="2170">
        <v>5</v>
      </c>
      <c r="B20" s="2173" t="s">
        <v>1651</v>
      </c>
      <c r="C20" s="2173" t="s">
        <v>3034</v>
      </c>
      <c r="D20" s="2176">
        <v>5875</v>
      </c>
      <c r="E20" s="2172" t="s">
        <v>3035</v>
      </c>
    </row>
    <row r="21" spans="1:5" s="336" customFormat="1" ht="12.75" thickBot="1">
      <c r="A21" s="1025">
        <v>6</v>
      </c>
      <c r="B21" s="1337" t="s">
        <v>81</v>
      </c>
      <c r="C21" s="1331"/>
      <c r="D21" s="2177">
        <v>13751.35</v>
      </c>
      <c r="E21" s="1331"/>
    </row>
    <row r="22" spans="1:5" s="336" customFormat="1" ht="12.75" thickTop="1">
      <c r="A22" s="1026"/>
      <c r="B22" s="1330"/>
      <c r="C22" s="1331"/>
      <c r="D22" s="1332"/>
      <c r="E22" s="1331"/>
    </row>
    <row r="23" spans="1:5" s="336" customFormat="1">
      <c r="A23" s="1025"/>
      <c r="B23" s="1330"/>
      <c r="C23" s="1331"/>
      <c r="D23" s="1332"/>
      <c r="E23" s="1334"/>
    </row>
    <row r="24" spans="1:5" s="336" customFormat="1">
      <c r="A24" s="1025"/>
      <c r="B24" s="1330"/>
      <c r="C24" s="1331"/>
      <c r="D24" s="1332"/>
      <c r="E24" s="1335"/>
    </row>
    <row r="25" spans="1:5" s="336" customFormat="1">
      <c r="A25" s="1025"/>
      <c r="B25" s="1330"/>
      <c r="C25" s="1336"/>
      <c r="D25" s="1332"/>
      <c r="E25" s="1334"/>
    </row>
    <row r="26" spans="1:5" s="336" customFormat="1">
      <c r="A26" s="1025"/>
      <c r="B26" s="1330"/>
      <c r="C26" s="1331"/>
      <c r="D26" s="1332"/>
      <c r="E26" s="1334"/>
    </row>
    <row r="27" spans="1:5" s="336" customFormat="1">
      <c r="A27" s="1025"/>
      <c r="B27" s="1330"/>
      <c r="C27" s="1331"/>
      <c r="D27" s="1332"/>
      <c r="E27" s="1330"/>
    </row>
    <row r="28" spans="1:5" s="336" customFormat="1">
      <c r="A28" s="1025"/>
      <c r="B28" s="1330"/>
      <c r="C28" s="1333"/>
      <c r="D28" s="1332"/>
      <c r="E28" s="1330"/>
    </row>
    <row r="29" spans="1:5" s="336" customFormat="1">
      <c r="A29" s="1025"/>
      <c r="C29" s="1330"/>
      <c r="E29" s="1338"/>
    </row>
    <row r="30" spans="1:5" s="336" customFormat="1">
      <c r="A30" s="333"/>
      <c r="B30" s="1328"/>
      <c r="C30" s="1328"/>
      <c r="D30" s="1329"/>
      <c r="E30" s="1329"/>
    </row>
    <row r="31" spans="1:5" s="336" customFormat="1">
      <c r="A31" s="333"/>
      <c r="B31" s="1328"/>
      <c r="C31" s="1328"/>
      <c r="D31" s="1329"/>
      <c r="E31" s="1329"/>
    </row>
    <row r="32" spans="1:5" s="336" customFormat="1">
      <c r="A32" s="333"/>
      <c r="D32" s="338"/>
      <c r="E32" s="338"/>
    </row>
    <row r="33" spans="1:5" s="336" customFormat="1">
      <c r="A33" s="333"/>
      <c r="D33" s="338"/>
      <c r="E33" s="338"/>
    </row>
    <row r="34" spans="1:5" s="336" customFormat="1">
      <c r="A34" s="333"/>
      <c r="D34" s="338"/>
      <c r="E34" s="338"/>
    </row>
    <row r="35" spans="1:5" s="336" customFormat="1" ht="12.75" customHeight="1">
      <c r="A35" s="333"/>
      <c r="D35" s="338"/>
      <c r="E35" s="338"/>
    </row>
    <row r="36" spans="1:5" s="336" customFormat="1" ht="12.75" customHeight="1">
      <c r="A36" s="333"/>
      <c r="D36" s="338"/>
      <c r="E36" s="338"/>
    </row>
    <row r="37" spans="1:5" s="336" customFormat="1" ht="12.75" customHeight="1">
      <c r="A37" s="333"/>
      <c r="D37" s="338"/>
      <c r="E37" s="338"/>
    </row>
    <row r="38" spans="1:5" s="336" customFormat="1" ht="12.75" customHeight="1">
      <c r="A38" s="333"/>
      <c r="D38" s="338"/>
      <c r="E38" s="338"/>
    </row>
    <row r="39" spans="1:5" s="336" customFormat="1" ht="12.75" customHeight="1">
      <c r="A39" s="333"/>
      <c r="D39" s="338"/>
      <c r="E39" s="338"/>
    </row>
    <row r="40" spans="1:5" s="336" customFormat="1" ht="12.75" customHeight="1">
      <c r="A40" s="333"/>
      <c r="D40" s="338"/>
      <c r="E40" s="338"/>
    </row>
    <row r="41" spans="1:5" s="336" customFormat="1" ht="12.75" customHeight="1">
      <c r="A41" s="335"/>
      <c r="D41" s="338"/>
      <c r="E41" s="338"/>
    </row>
    <row r="42" spans="1:5" s="336" customFormat="1" ht="12.75" customHeight="1">
      <c r="A42" s="335"/>
      <c r="D42" s="338"/>
      <c r="E42" s="338"/>
    </row>
    <row r="43" spans="1:5" s="336" customFormat="1" ht="12.75" customHeight="1">
      <c r="A43" s="335"/>
      <c r="D43" s="338"/>
      <c r="E43" s="338"/>
    </row>
    <row r="44" spans="1:5" s="336" customFormat="1" ht="12.75" customHeight="1">
      <c r="A44" s="335"/>
      <c r="D44" s="338"/>
      <c r="E44" s="338"/>
    </row>
    <row r="45" spans="1:5" s="336" customFormat="1" ht="12.75" customHeight="1">
      <c r="A45" s="335"/>
      <c r="D45" s="338"/>
      <c r="E45" s="338"/>
    </row>
    <row r="46" spans="1:5" s="336" customFormat="1" ht="12.75" customHeight="1">
      <c r="A46" s="335"/>
      <c r="D46" s="338"/>
      <c r="E46" s="338"/>
    </row>
    <row r="47" spans="1:5" s="336" customFormat="1" ht="12.75" customHeight="1">
      <c r="A47" s="339"/>
      <c r="B47" s="337"/>
      <c r="C47" s="337"/>
      <c r="D47" s="340"/>
      <c r="E47" s="340"/>
    </row>
    <row r="48" spans="1:5" s="336" customFormat="1" ht="12.75" customHeight="1">
      <c r="A48" s="335"/>
      <c r="D48" s="338"/>
      <c r="E48" s="338"/>
    </row>
    <row r="49" spans="1:5" s="336" customFormat="1" ht="12.75" customHeight="1">
      <c r="A49" s="335"/>
      <c r="D49" s="338"/>
      <c r="E49" s="338"/>
    </row>
    <row r="50" spans="1:5" s="336" customFormat="1" ht="12.75" customHeight="1">
      <c r="D50" s="338"/>
      <c r="E50" s="338"/>
    </row>
    <row r="51" spans="1:5" s="336" customFormat="1" ht="12.75" customHeight="1">
      <c r="D51" s="338"/>
      <c r="E51" s="338"/>
    </row>
    <row r="52" spans="1:5" s="336" customFormat="1" ht="12.75" customHeight="1">
      <c r="D52" s="338"/>
      <c r="E52" s="338"/>
    </row>
    <row r="53" spans="1:5" s="336" customFormat="1" ht="12.75" customHeight="1">
      <c r="D53" s="338"/>
      <c r="E53" s="338"/>
    </row>
    <row r="54" spans="1:5" s="336" customFormat="1" ht="12.75" customHeight="1">
      <c r="D54" s="338"/>
      <c r="E54" s="338"/>
    </row>
    <row r="55" spans="1:5" ht="12.75" customHeight="1">
      <c r="D55" s="180"/>
      <c r="E55" s="180"/>
    </row>
    <row r="56" spans="1:5" ht="12.75" customHeight="1">
      <c r="D56" s="180"/>
      <c r="E56" s="180"/>
    </row>
    <row r="57" spans="1:5" ht="12.75" customHeight="1">
      <c r="D57" s="180"/>
      <c r="E57" s="180"/>
    </row>
    <row r="58" spans="1:5" ht="12.75" customHeight="1">
      <c r="D58" s="180"/>
      <c r="E58" s="180"/>
    </row>
    <row r="59" spans="1:5" ht="12.75" customHeight="1">
      <c r="D59" s="180"/>
      <c r="E59" s="180"/>
    </row>
    <row r="60" spans="1:5" ht="12.75" customHeight="1">
      <c r="D60" s="180"/>
      <c r="E60" s="180"/>
    </row>
    <row r="61" spans="1:5" ht="12.75" customHeight="1"/>
    <row r="62" spans="1:5" ht="12.75" customHeight="1"/>
    <row r="63" spans="1:5" ht="12.75" customHeight="1"/>
    <row r="64" spans="1:5" ht="12.75" customHeight="1"/>
    <row r="65" ht="12.75" customHeight="1"/>
    <row r="66" ht="12.75" customHeight="1"/>
    <row r="149" spans="2:5">
      <c r="B149" s="137"/>
      <c r="D149" s="137"/>
      <c r="E149" s="137"/>
    </row>
    <row r="152" spans="2:5">
      <c r="B152" s="137"/>
      <c r="D152" s="137"/>
      <c r="E152" s="137"/>
    </row>
    <row r="275" spans="1:1">
      <c r="A275" s="138"/>
    </row>
    <row r="276" spans="1:1">
      <c r="A276" s="138"/>
    </row>
    <row r="277" spans="1:1">
      <c r="A277" s="138"/>
    </row>
    <row r="278" spans="1:1">
      <c r="A278" s="138"/>
    </row>
    <row r="279" spans="1:1">
      <c r="A279" s="138"/>
    </row>
    <row r="309" spans="1:1">
      <c r="A309" s="138"/>
    </row>
    <row r="378" spans="1:1">
      <c r="A378" s="117"/>
    </row>
    <row r="395" spans="1:1">
      <c r="A395" s="138"/>
    </row>
    <row r="396" spans="1:1">
      <c r="A396" s="138"/>
    </row>
    <row r="397" spans="1:1">
      <c r="A397" s="138"/>
    </row>
    <row r="398" spans="1:1">
      <c r="A398" s="138"/>
    </row>
    <row r="399" spans="1:1">
      <c r="A399" s="138"/>
    </row>
    <row r="400" spans="1:1">
      <c r="A400" s="138"/>
    </row>
    <row r="401" spans="1:1">
      <c r="A401" s="138"/>
    </row>
    <row r="402" spans="1:1">
      <c r="A402" s="138"/>
    </row>
    <row r="403" spans="1:1">
      <c r="A403" s="138"/>
    </row>
    <row r="404" spans="1:1">
      <c r="A404" s="138"/>
    </row>
    <row r="405" spans="1:1">
      <c r="A405" s="138"/>
    </row>
    <row r="406" spans="1:1">
      <c r="A406" s="138"/>
    </row>
    <row r="407" spans="1:1">
      <c r="A407" s="138"/>
    </row>
    <row r="408" spans="1:1">
      <c r="A408" s="138"/>
    </row>
    <row r="409" spans="1:1">
      <c r="A409" s="138"/>
    </row>
    <row r="410" spans="1:1">
      <c r="A410" s="138"/>
    </row>
    <row r="411" spans="1:1">
      <c r="A411" s="138"/>
    </row>
    <row r="412" spans="1:1">
      <c r="A412" s="138"/>
    </row>
    <row r="413" spans="1:1">
      <c r="A413" s="138"/>
    </row>
    <row r="414" spans="1:1">
      <c r="A414" s="138"/>
    </row>
    <row r="415" spans="1:1">
      <c r="A415" s="138"/>
    </row>
    <row r="416" spans="1:1">
      <c r="A416" s="138"/>
    </row>
    <row r="417" spans="1:1">
      <c r="A417" s="138"/>
    </row>
    <row r="418" spans="1:1">
      <c r="A418" s="138"/>
    </row>
    <row r="419" spans="1:1">
      <c r="A419" s="138"/>
    </row>
    <row r="420" spans="1:1">
      <c r="A420" s="138"/>
    </row>
    <row r="421" spans="1:1">
      <c r="A421" s="138"/>
    </row>
    <row r="422" spans="1:1">
      <c r="A422" s="138"/>
    </row>
    <row r="423" spans="1:1">
      <c r="A423" s="138"/>
    </row>
    <row r="424" spans="1:1">
      <c r="A424" s="138"/>
    </row>
    <row r="425" spans="1:1">
      <c r="A425" s="138"/>
    </row>
    <row r="426" spans="1:1">
      <c r="A426" s="138"/>
    </row>
    <row r="427" spans="1:1">
      <c r="A427" s="138"/>
    </row>
    <row r="428" spans="1:1">
      <c r="A428" s="138"/>
    </row>
    <row r="429" spans="1:1">
      <c r="A429" s="138"/>
    </row>
    <row r="430" spans="1:1">
      <c r="A430" s="138"/>
    </row>
    <row r="431" spans="1:1">
      <c r="A431" s="138"/>
    </row>
    <row r="432" spans="1:1">
      <c r="A432" s="138"/>
    </row>
    <row r="433" spans="1:1">
      <c r="A433" s="138"/>
    </row>
    <row r="434" spans="1:1">
      <c r="A434" s="138"/>
    </row>
    <row r="435" spans="1:1">
      <c r="A435" s="138"/>
    </row>
    <row r="436" spans="1:1">
      <c r="A436" s="138"/>
    </row>
    <row r="437" spans="1:1">
      <c r="A437" s="138"/>
    </row>
    <row r="438" spans="1:1">
      <c r="A438" s="138"/>
    </row>
    <row r="439" spans="1:1">
      <c r="A439" s="138"/>
    </row>
    <row r="440" spans="1:1">
      <c r="A440" s="138"/>
    </row>
    <row r="441" spans="1:1">
      <c r="A441" s="138"/>
    </row>
    <row r="442" spans="1:1">
      <c r="A442" s="138"/>
    </row>
    <row r="443" spans="1:1">
      <c r="A443" s="138"/>
    </row>
    <row r="444" spans="1:1">
      <c r="A444" s="138"/>
    </row>
    <row r="445" spans="1:1">
      <c r="A445" s="138"/>
    </row>
    <row r="446" spans="1:1">
      <c r="A446" s="138"/>
    </row>
    <row r="447" spans="1:1">
      <c r="A447" s="138"/>
    </row>
    <row r="448" spans="1:1">
      <c r="A448" s="138"/>
    </row>
    <row r="449" spans="1:1">
      <c r="A449" s="138"/>
    </row>
  </sheetData>
  <mergeCells count="1">
    <mergeCell ref="A7:E7"/>
  </mergeCells>
  <phoneticPr fontId="27" type="noConversion"/>
  <pageMargins left="0.75" right="0.5" top="0.75" bottom="0.5" header="0.25" footer="0.25"/>
  <pageSetup scale="90"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26">
    <pageSetUpPr fitToPage="1"/>
  </sheetPr>
  <dimension ref="A1:M442"/>
  <sheetViews>
    <sheetView view="pageBreakPreview" zoomScale="60" zoomScaleNormal="100" workbookViewId="0">
      <selection sqref="A1:XFD1048576"/>
    </sheetView>
  </sheetViews>
  <sheetFormatPr defaultColWidth="10.85546875" defaultRowHeight="12"/>
  <cols>
    <col min="1" max="1" width="5" style="211" customWidth="1"/>
    <col min="2" max="2" width="28.140625" style="211" customWidth="1"/>
    <col min="3" max="3" width="20.85546875" style="211" customWidth="1"/>
    <col min="4" max="4" width="12.140625" style="211" customWidth="1"/>
    <col min="5" max="5" width="11" style="211" customWidth="1"/>
    <col min="6" max="6" width="14.85546875" style="211" customWidth="1"/>
    <col min="7" max="7" width="63.28515625" style="211" customWidth="1"/>
    <col min="8" max="16384" width="10.85546875" style="211"/>
  </cols>
  <sheetData>
    <row r="1" spans="1:13">
      <c r="A1" s="203" t="s">
        <v>604</v>
      </c>
      <c r="B1" s="203"/>
      <c r="C1" s="282"/>
      <c r="D1" s="203"/>
      <c r="E1" s="203"/>
      <c r="F1" s="203"/>
      <c r="G1" s="1181" t="s">
        <v>1209</v>
      </c>
    </row>
    <row r="2" spans="1:13">
      <c r="A2" s="203"/>
      <c r="B2" s="203"/>
      <c r="C2" s="282"/>
      <c r="D2" s="203"/>
      <c r="E2" s="203"/>
      <c r="F2" s="203"/>
      <c r="G2" s="1181"/>
    </row>
    <row r="3" spans="1:13">
      <c r="A3" s="117" t="s">
        <v>2644</v>
      </c>
      <c r="B3" s="203"/>
      <c r="C3" s="282"/>
      <c r="D3" s="203"/>
      <c r="E3" s="203"/>
      <c r="F3" s="203"/>
      <c r="G3" s="1181" t="s">
        <v>605</v>
      </c>
    </row>
    <row r="4" spans="1:13">
      <c r="A4" s="117" t="s">
        <v>2645</v>
      </c>
      <c r="B4" s="203"/>
      <c r="C4" s="348"/>
      <c r="D4" s="203"/>
      <c r="E4" s="203"/>
      <c r="F4" s="203"/>
      <c r="G4" s="1181" t="s">
        <v>766</v>
      </c>
    </row>
    <row r="5" spans="1:13">
      <c r="A5" s="117" t="s">
        <v>1936</v>
      </c>
      <c r="B5" s="203"/>
      <c r="C5" s="203"/>
      <c r="D5" s="203"/>
      <c r="E5" s="203"/>
      <c r="F5" s="203"/>
      <c r="G5" s="367" t="s">
        <v>2948</v>
      </c>
    </row>
    <row r="6" spans="1:13" ht="62.25" customHeight="1">
      <c r="A6" s="2301" t="s">
        <v>967</v>
      </c>
      <c r="B6" s="2301"/>
      <c r="C6" s="2301"/>
      <c r="D6" s="2301"/>
      <c r="E6" s="2301"/>
      <c r="F6" s="2301"/>
      <c r="G6" s="2301"/>
    </row>
    <row r="7" spans="1:13" ht="12.75" thickBot="1">
      <c r="A7" s="283"/>
      <c r="B7" s="283"/>
      <c r="C7" s="283"/>
      <c r="D7" s="283"/>
      <c r="E7" s="283"/>
      <c r="F7" s="283"/>
      <c r="G7" s="283"/>
    </row>
    <row r="8" spans="1:13">
      <c r="A8" s="203"/>
      <c r="B8" s="349" t="s">
        <v>914</v>
      </c>
      <c r="C8" s="349" t="s">
        <v>915</v>
      </c>
      <c r="D8" s="349" t="s">
        <v>916</v>
      </c>
      <c r="E8" s="349" t="s">
        <v>917</v>
      </c>
      <c r="F8" s="987" t="s">
        <v>526</v>
      </c>
      <c r="G8" s="349" t="s">
        <v>76</v>
      </c>
    </row>
    <row r="9" spans="1:13">
      <c r="A9" s="203"/>
      <c r="B9" s="262"/>
      <c r="C9" s="210"/>
      <c r="D9" s="210"/>
      <c r="E9" s="210"/>
      <c r="F9" s="210" t="s">
        <v>1002</v>
      </c>
      <c r="G9" s="291"/>
    </row>
    <row r="10" spans="1:13">
      <c r="A10" s="262" t="s">
        <v>53</v>
      </c>
      <c r="B10" s="262" t="s">
        <v>999</v>
      </c>
      <c r="C10" s="210" t="s">
        <v>1000</v>
      </c>
      <c r="D10" s="262" t="s">
        <v>1001</v>
      </c>
      <c r="E10" s="778"/>
      <c r="F10" s="1148" t="s">
        <v>1022</v>
      </c>
      <c r="G10" s="262" t="s">
        <v>1003</v>
      </c>
      <c r="M10" s="265"/>
    </row>
    <row r="11" spans="1:13" ht="14.25">
      <c r="A11" s="247" t="s">
        <v>730</v>
      </c>
      <c r="B11" s="247" t="s">
        <v>1004</v>
      </c>
      <c r="C11" s="1259" t="s">
        <v>1005</v>
      </c>
      <c r="D11" s="247" t="s">
        <v>594</v>
      </c>
      <c r="E11" s="247" t="s">
        <v>1116</v>
      </c>
      <c r="F11" s="1259" t="s">
        <v>1023</v>
      </c>
      <c r="G11" s="247" t="s">
        <v>595</v>
      </c>
      <c r="M11" s="265"/>
    </row>
    <row r="12" spans="1:13" ht="12.75">
      <c r="A12" s="211">
        <v>1</v>
      </c>
      <c r="B12" s="1315" t="s">
        <v>2794</v>
      </c>
      <c r="C12" s="1314" t="s">
        <v>1849</v>
      </c>
      <c r="D12" s="1317">
        <v>360</v>
      </c>
      <c r="E12" s="1961">
        <v>96.09</v>
      </c>
      <c r="F12" s="1318">
        <v>34592</v>
      </c>
      <c r="G12" s="1319" t="s">
        <v>1247</v>
      </c>
      <c r="H12" s="1266"/>
      <c r="J12" s="1266"/>
    </row>
    <row r="13" spans="1:13" ht="12.75">
      <c r="A13" s="211">
        <v>2</v>
      </c>
      <c r="B13" s="1315" t="s">
        <v>2794</v>
      </c>
      <c r="C13" s="1314" t="s">
        <v>2795</v>
      </c>
      <c r="D13" s="1317">
        <v>360</v>
      </c>
      <c r="E13" s="1961">
        <v>32.03</v>
      </c>
      <c r="F13" s="1318">
        <v>11531</v>
      </c>
      <c r="G13" s="1319" t="s">
        <v>1247</v>
      </c>
      <c r="H13" s="1266"/>
      <c r="J13" s="1266"/>
    </row>
    <row r="14" spans="1:13" ht="12.75">
      <c r="A14" s="211">
        <v>3</v>
      </c>
      <c r="B14" s="1315" t="s">
        <v>1844</v>
      </c>
      <c r="C14" s="1314" t="s">
        <v>1847</v>
      </c>
      <c r="D14" s="1317">
        <v>200</v>
      </c>
      <c r="E14" s="1961">
        <v>80.08</v>
      </c>
      <c r="F14" s="1318">
        <v>16016</v>
      </c>
      <c r="G14" s="1319" t="s">
        <v>2796</v>
      </c>
      <c r="H14" s="1266"/>
      <c r="J14" s="1266"/>
    </row>
    <row r="15" spans="1:13" ht="12.75">
      <c r="A15" s="211">
        <v>4</v>
      </c>
      <c r="B15" s="1315" t="s">
        <v>1844</v>
      </c>
      <c r="C15" s="1314" t="s">
        <v>1848</v>
      </c>
      <c r="D15" s="1317">
        <v>150</v>
      </c>
      <c r="E15" s="1961">
        <v>100.1</v>
      </c>
      <c r="F15" s="1318">
        <v>15015</v>
      </c>
      <c r="G15" s="1319" t="s">
        <v>2796</v>
      </c>
      <c r="H15" s="1266"/>
      <c r="J15" s="1266"/>
    </row>
    <row r="16" spans="1:13" ht="12.75">
      <c r="A16" s="211">
        <v>5</v>
      </c>
      <c r="B16" s="1315" t="s">
        <v>1844</v>
      </c>
      <c r="C16" s="1314" t="s">
        <v>2797</v>
      </c>
      <c r="D16" s="1317">
        <v>130</v>
      </c>
      <c r="E16" s="1961">
        <v>4.8</v>
      </c>
      <c r="F16" s="1318">
        <v>624</v>
      </c>
      <c r="G16" s="1319" t="s">
        <v>2796</v>
      </c>
      <c r="H16" s="1266"/>
      <c r="J16" s="1266"/>
    </row>
    <row r="17" spans="1:10" ht="12.75">
      <c r="A17" s="211">
        <v>6</v>
      </c>
      <c r="B17" s="1315" t="s">
        <v>1845</v>
      </c>
      <c r="C17" s="1314" t="s">
        <v>1850</v>
      </c>
      <c r="D17" s="1317">
        <v>150</v>
      </c>
      <c r="E17" s="1961">
        <v>48.05</v>
      </c>
      <c r="F17" s="1318">
        <v>7208</v>
      </c>
      <c r="G17" s="1319" t="s">
        <v>2798</v>
      </c>
      <c r="H17" s="1266"/>
      <c r="J17" s="1266"/>
    </row>
    <row r="18" spans="1:10" ht="12.75">
      <c r="A18" s="211">
        <v>7</v>
      </c>
      <c r="B18" s="1315" t="s">
        <v>2799</v>
      </c>
      <c r="C18" s="1314" t="s">
        <v>2800</v>
      </c>
      <c r="D18" s="1317">
        <v>245</v>
      </c>
      <c r="E18" s="1961">
        <v>32.03</v>
      </c>
      <c r="F18" s="1318">
        <v>7847</v>
      </c>
      <c r="G18" s="1319" t="s">
        <v>2801</v>
      </c>
      <c r="H18" s="1266"/>
      <c r="J18" s="1266"/>
    </row>
    <row r="19" spans="1:10" ht="12.75">
      <c r="A19" s="211">
        <v>8</v>
      </c>
      <c r="B19" s="1315" t="s">
        <v>2799</v>
      </c>
      <c r="C19" s="1314" t="s">
        <v>2802</v>
      </c>
      <c r="D19" s="1317">
        <v>200</v>
      </c>
      <c r="E19" s="1961">
        <v>24.02</v>
      </c>
      <c r="F19" s="1318">
        <v>4804</v>
      </c>
      <c r="G19" s="1319" t="s">
        <v>2796</v>
      </c>
      <c r="H19" s="1266"/>
      <c r="J19" s="1266"/>
    </row>
    <row r="20" spans="1:10" ht="12.75">
      <c r="A20" s="211">
        <v>9</v>
      </c>
      <c r="B20" s="1315" t="s">
        <v>1846</v>
      </c>
      <c r="C20" s="1314"/>
      <c r="D20" s="1320"/>
      <c r="E20" s="1320"/>
      <c r="F20" s="1318">
        <v>721</v>
      </c>
      <c r="G20" s="1319" t="s">
        <v>1729</v>
      </c>
      <c r="H20" s="1266"/>
      <c r="J20" s="1266"/>
    </row>
    <row r="21" spans="1:10" ht="12.75">
      <c r="A21" s="211">
        <v>10</v>
      </c>
      <c r="B21" s="1315"/>
      <c r="C21" s="1314" t="s">
        <v>2803</v>
      </c>
      <c r="D21" s="1317"/>
      <c r="E21" s="1321"/>
      <c r="F21" s="1318">
        <v>1602</v>
      </c>
      <c r="G21" s="1319" t="s">
        <v>1539</v>
      </c>
      <c r="H21" s="1266"/>
      <c r="J21" s="1266"/>
    </row>
    <row r="22" spans="1:10">
      <c r="A22" s="211">
        <v>11</v>
      </c>
      <c r="B22" s="1315" t="s">
        <v>2804</v>
      </c>
      <c r="C22" s="1263"/>
      <c r="D22" s="1320"/>
      <c r="E22" s="1320"/>
      <c r="F22" s="1318"/>
      <c r="G22" s="1319"/>
      <c r="H22" s="1266"/>
      <c r="J22" s="1266"/>
    </row>
    <row r="23" spans="1:10">
      <c r="A23" s="211">
        <v>12</v>
      </c>
      <c r="B23" s="1962" t="s">
        <v>2805</v>
      </c>
      <c r="C23" s="1263"/>
      <c r="D23" s="1320"/>
      <c r="E23" s="1320"/>
      <c r="F23" s="1318">
        <v>1081</v>
      </c>
      <c r="G23" s="1319" t="s">
        <v>1851</v>
      </c>
      <c r="H23" s="1266"/>
      <c r="J23" s="1266"/>
    </row>
    <row r="24" spans="1:10">
      <c r="A24" s="211">
        <v>13</v>
      </c>
      <c r="B24" s="1963" t="s">
        <v>2806</v>
      </c>
      <c r="C24" s="1269"/>
      <c r="D24" s="1322"/>
      <c r="E24" s="1322"/>
      <c r="F24" s="1318">
        <v>1201</v>
      </c>
      <c r="G24" s="1323" t="s">
        <v>1851</v>
      </c>
      <c r="H24" s="1266"/>
      <c r="J24" s="1266"/>
    </row>
    <row r="25" spans="1:10">
      <c r="A25" s="211">
        <v>14</v>
      </c>
      <c r="B25" s="1963" t="s">
        <v>2806</v>
      </c>
      <c r="C25" s="1263"/>
      <c r="D25" s="1322"/>
      <c r="E25" s="1322"/>
      <c r="F25" s="1318">
        <v>6006</v>
      </c>
      <c r="G25" s="1323" t="s">
        <v>2807</v>
      </c>
      <c r="H25" s="1266"/>
      <c r="J25" s="1266"/>
    </row>
    <row r="26" spans="1:10">
      <c r="A26" s="211">
        <v>15</v>
      </c>
      <c r="B26" s="1964"/>
      <c r="C26" s="1263"/>
      <c r="D26" s="1315"/>
      <c r="E26" s="1320"/>
      <c r="F26" s="1324"/>
      <c r="G26" s="1965"/>
      <c r="H26" s="1266"/>
      <c r="J26" s="1266"/>
    </row>
    <row r="27" spans="1:10">
      <c r="A27" s="211">
        <v>16</v>
      </c>
      <c r="B27" s="1315" t="s">
        <v>596</v>
      </c>
      <c r="C27" s="1263"/>
      <c r="D27" s="1315"/>
      <c r="E27" s="1320"/>
      <c r="F27" s="1325">
        <v>108248</v>
      </c>
      <c r="G27" s="1320"/>
      <c r="H27" s="1266"/>
      <c r="J27" s="1266"/>
    </row>
    <row r="28" spans="1:10">
      <c r="A28" s="211">
        <v>17</v>
      </c>
      <c r="B28" s="1316"/>
      <c r="C28" s="1263"/>
      <c r="D28" s="1267"/>
      <c r="E28" s="1268"/>
      <c r="F28" s="1264"/>
      <c r="G28" s="1265"/>
      <c r="H28" s="1266"/>
      <c r="J28" s="1266"/>
    </row>
    <row r="29" spans="1:10">
      <c r="A29" s="211">
        <v>18</v>
      </c>
      <c r="C29" s="1263"/>
      <c r="D29" s="1267"/>
      <c r="E29" s="1268"/>
      <c r="F29" s="1264"/>
      <c r="G29" s="1265"/>
      <c r="H29" s="1266"/>
      <c r="J29" s="1266"/>
    </row>
    <row r="30" spans="1:10">
      <c r="A30" s="211">
        <v>19</v>
      </c>
      <c r="B30" s="1315" t="s">
        <v>2943</v>
      </c>
      <c r="C30" s="1263"/>
      <c r="D30" s="1267"/>
      <c r="E30" s="1268"/>
      <c r="F30" s="1264"/>
      <c r="G30" s="1265"/>
      <c r="H30" s="1266"/>
      <c r="J30" s="1266"/>
    </row>
    <row r="31" spans="1:10">
      <c r="A31" s="211">
        <v>20</v>
      </c>
      <c r="B31" s="1315" t="s">
        <v>2944</v>
      </c>
      <c r="C31" s="1263"/>
      <c r="D31" s="1267"/>
      <c r="E31" s="1268"/>
      <c r="F31" s="1264"/>
      <c r="G31" s="1265"/>
      <c r="H31" s="1266"/>
      <c r="J31" s="1266"/>
    </row>
    <row r="32" spans="1:10">
      <c r="A32" s="211">
        <v>21</v>
      </c>
      <c r="B32" s="1315"/>
      <c r="C32" s="1263"/>
      <c r="D32" s="1267"/>
      <c r="E32" s="1268"/>
      <c r="F32" s="1264"/>
      <c r="G32" s="1265"/>
      <c r="H32" s="1266"/>
      <c r="J32" s="1266"/>
    </row>
    <row r="33" spans="1:11">
      <c r="A33" s="211">
        <v>22</v>
      </c>
      <c r="B33" s="1315" t="s">
        <v>597</v>
      </c>
      <c r="C33" s="1263"/>
      <c r="D33" s="1267"/>
      <c r="E33" s="1268"/>
      <c r="F33" s="1264"/>
      <c r="G33" s="1265"/>
      <c r="H33" s="1266"/>
      <c r="J33" s="1266"/>
    </row>
    <row r="34" spans="1:11">
      <c r="A34" s="211">
        <v>23</v>
      </c>
      <c r="B34" s="1315" t="s">
        <v>573</v>
      </c>
      <c r="C34" s="1263"/>
      <c r="D34" s="1267"/>
      <c r="E34" s="1268"/>
      <c r="F34" s="1264"/>
      <c r="G34" s="1265"/>
      <c r="H34" s="1266"/>
      <c r="J34" s="1266"/>
    </row>
    <row r="35" spans="1:11">
      <c r="A35" s="211">
        <v>24</v>
      </c>
      <c r="B35" s="1315"/>
      <c r="C35" s="1263"/>
      <c r="D35" s="1267"/>
      <c r="E35" s="1268"/>
      <c r="F35" s="1264"/>
      <c r="G35" s="1265"/>
      <c r="H35" s="1266"/>
      <c r="J35" s="1266"/>
    </row>
    <row r="36" spans="1:11">
      <c r="A36" s="211">
        <v>25</v>
      </c>
      <c r="B36" s="1315" t="s">
        <v>12</v>
      </c>
      <c r="C36" s="1263"/>
      <c r="D36" s="1263"/>
      <c r="E36" s="1266"/>
      <c r="F36" s="1266"/>
      <c r="G36" s="1266"/>
      <c r="H36" s="1266"/>
      <c r="I36" s="1270"/>
      <c r="J36" s="1266"/>
      <c r="K36" s="1266"/>
    </row>
    <row r="37" spans="1:11">
      <c r="A37" s="211">
        <v>26</v>
      </c>
      <c r="B37" s="1315"/>
      <c r="C37" s="1263"/>
      <c r="D37" s="1263"/>
      <c r="E37" s="1266"/>
      <c r="F37" s="1266"/>
      <c r="G37" s="1266"/>
      <c r="H37" s="1266"/>
      <c r="I37" s="1270"/>
      <c r="J37" s="1266"/>
      <c r="K37" s="1266"/>
    </row>
    <row r="38" spans="1:11">
      <c r="A38" s="211">
        <v>27</v>
      </c>
      <c r="B38" s="1315"/>
      <c r="C38" s="1263"/>
      <c r="D38" s="1266"/>
      <c r="E38" s="1266"/>
      <c r="F38" s="1266"/>
      <c r="H38" s="1266"/>
      <c r="J38" s="1266"/>
      <c r="K38" s="1266"/>
    </row>
    <row r="39" spans="1:11">
      <c r="A39" s="211">
        <v>28</v>
      </c>
      <c r="B39" s="1315"/>
      <c r="C39" s="1263"/>
      <c r="D39" s="1267"/>
      <c r="E39" s="1267"/>
      <c r="F39" s="1270" t="s">
        <v>81</v>
      </c>
      <c r="G39" s="304"/>
      <c r="H39" s="1266"/>
      <c r="J39" s="1266"/>
      <c r="K39" s="1266"/>
    </row>
    <row r="40" spans="1:11">
      <c r="A40" s="211">
        <v>29</v>
      </c>
      <c r="B40" s="2002" t="s">
        <v>1730</v>
      </c>
      <c r="C40" s="2003"/>
      <c r="D40" s="1267"/>
      <c r="E40" s="1267"/>
      <c r="F40" s="2057">
        <v>0</v>
      </c>
      <c r="G40" s="1271"/>
      <c r="H40" s="1272"/>
      <c r="J40" s="1272"/>
      <c r="K40" s="1266"/>
    </row>
    <row r="41" spans="1:11">
      <c r="A41" s="211">
        <v>30</v>
      </c>
      <c r="B41" s="2002" t="s">
        <v>2874</v>
      </c>
      <c r="C41" s="2003"/>
      <c r="D41" s="1267"/>
      <c r="E41" s="1267"/>
      <c r="F41" s="167">
        <v>6945</v>
      </c>
      <c r="G41" s="1271"/>
      <c r="H41" s="1272"/>
      <c r="J41" s="1272"/>
      <c r="K41" s="1266"/>
    </row>
    <row r="42" spans="1:11">
      <c r="A42" s="211">
        <v>31</v>
      </c>
      <c r="B42" s="1315" t="s">
        <v>13</v>
      </c>
      <c r="C42" s="1263"/>
      <c r="D42" s="1267"/>
      <c r="E42" s="1267"/>
      <c r="F42" s="2004">
        <v>108248</v>
      </c>
      <c r="G42" s="1273"/>
      <c r="H42" s="1273"/>
      <c r="J42" s="1273"/>
      <c r="K42" s="1266"/>
    </row>
    <row r="43" spans="1:11">
      <c r="A43" s="211">
        <v>32</v>
      </c>
      <c r="B43" s="1315" t="s">
        <v>14</v>
      </c>
      <c r="C43" s="1263"/>
      <c r="D43" s="1267"/>
      <c r="E43" s="1267"/>
      <c r="F43" s="1274">
        <v>108289</v>
      </c>
      <c r="G43" s="1274"/>
      <c r="H43" s="1274"/>
      <c r="J43" s="1274"/>
      <c r="K43" s="1266"/>
    </row>
    <row r="44" spans="1:11" ht="12.75" thickBot="1">
      <c r="A44" s="211">
        <v>33</v>
      </c>
      <c r="B44" s="1315" t="s">
        <v>15</v>
      </c>
      <c r="C44" s="1263"/>
      <c r="D44" s="1267"/>
      <c r="E44" s="1267"/>
      <c r="F44" s="2056">
        <v>27072.25</v>
      </c>
      <c r="G44" s="1275"/>
      <c r="H44" s="1275"/>
      <c r="J44" s="1275"/>
      <c r="K44" s="1266"/>
    </row>
    <row r="45" spans="1:11" ht="12.75" thickTop="1">
      <c r="A45" s="211">
        <v>34</v>
      </c>
      <c r="B45" s="1315"/>
      <c r="C45" s="1263"/>
      <c r="D45" s="1267"/>
      <c r="E45" s="1267"/>
      <c r="F45" s="1276"/>
      <c r="G45" s="1273"/>
      <c r="H45" s="1276"/>
      <c r="J45" s="1276"/>
      <c r="K45" s="1266"/>
    </row>
    <row r="46" spans="1:11">
      <c r="A46" s="203"/>
      <c r="B46" s="304"/>
      <c r="C46" s="1277"/>
      <c r="D46" s="986"/>
      <c r="E46" s="304"/>
      <c r="F46" s="304"/>
      <c r="G46" s="304"/>
      <c r="H46" s="1276"/>
      <c r="J46" s="1276"/>
      <c r="K46" s="1266"/>
    </row>
    <row r="47" spans="1:11" ht="12.75" customHeight="1">
      <c r="A47" s="203"/>
      <c r="B47" s="304"/>
      <c r="C47" s="1277"/>
      <c r="D47" s="986"/>
      <c r="E47" s="304"/>
      <c r="F47" s="304"/>
      <c r="G47" s="304"/>
      <c r="H47" s="1276"/>
      <c r="J47" s="1276"/>
      <c r="K47" s="1266"/>
    </row>
    <row r="48" spans="1:11" ht="12.75" customHeight="1">
      <c r="A48" s="203"/>
      <c r="B48" s="304"/>
      <c r="C48" s="1277"/>
      <c r="D48" s="986"/>
      <c r="E48" s="304"/>
      <c r="F48" s="1278"/>
      <c r="G48" s="304"/>
    </row>
    <row r="49" spans="1:7" ht="12.75" customHeight="1">
      <c r="A49" s="1600"/>
      <c r="B49" s="265"/>
      <c r="C49" s="265"/>
      <c r="D49" s="265"/>
      <c r="E49" s="265"/>
      <c r="F49" s="265"/>
      <c r="G49" s="265"/>
    </row>
    <row r="50" spans="1:7" ht="12.75" customHeight="1"/>
    <row r="142" spans="2:5">
      <c r="B142" s="327"/>
      <c r="D142" s="327"/>
      <c r="E142" s="327"/>
    </row>
    <row r="145" spans="2:5">
      <c r="B145" s="327"/>
      <c r="D145" s="327"/>
      <c r="E145" s="327"/>
    </row>
    <row r="268" spans="1:1">
      <c r="A268" s="286"/>
    </row>
    <row r="269" spans="1:1">
      <c r="A269" s="286"/>
    </row>
    <row r="270" spans="1:1">
      <c r="A270" s="286"/>
    </row>
    <row r="271" spans="1:1">
      <c r="A271" s="286"/>
    </row>
    <row r="272" spans="1:1">
      <c r="A272" s="286"/>
    </row>
    <row r="302" spans="1:1">
      <c r="A302" s="286"/>
    </row>
    <row r="371" spans="1:1">
      <c r="A371" s="203"/>
    </row>
    <row r="388" spans="1:1">
      <c r="A388" s="286"/>
    </row>
    <row r="389" spans="1:1">
      <c r="A389" s="286"/>
    </row>
    <row r="390" spans="1:1">
      <c r="A390" s="286"/>
    </row>
    <row r="391" spans="1:1">
      <c r="A391" s="286"/>
    </row>
    <row r="392" spans="1:1">
      <c r="A392" s="286"/>
    </row>
    <row r="393" spans="1:1">
      <c r="A393" s="286"/>
    </row>
    <row r="394" spans="1:1">
      <c r="A394" s="286"/>
    </row>
    <row r="395" spans="1:1">
      <c r="A395" s="286"/>
    </row>
    <row r="396" spans="1:1">
      <c r="A396" s="286"/>
    </row>
    <row r="397" spans="1:1">
      <c r="A397" s="286"/>
    </row>
    <row r="398" spans="1:1">
      <c r="A398" s="286"/>
    </row>
    <row r="399" spans="1:1">
      <c r="A399" s="286"/>
    </row>
    <row r="400" spans="1:1">
      <c r="A400" s="286"/>
    </row>
    <row r="401" spans="1:1">
      <c r="A401" s="286"/>
    </row>
    <row r="402" spans="1:1">
      <c r="A402" s="286"/>
    </row>
    <row r="403" spans="1:1">
      <c r="A403" s="286"/>
    </row>
    <row r="404" spans="1:1">
      <c r="A404" s="286"/>
    </row>
    <row r="405" spans="1:1">
      <c r="A405" s="286"/>
    </row>
    <row r="406" spans="1:1">
      <c r="A406" s="286"/>
    </row>
    <row r="407" spans="1:1">
      <c r="A407" s="286"/>
    </row>
    <row r="408" spans="1:1">
      <c r="A408" s="286"/>
    </row>
    <row r="409" spans="1:1">
      <c r="A409" s="286"/>
    </row>
    <row r="410" spans="1:1">
      <c r="A410" s="286"/>
    </row>
    <row r="411" spans="1:1">
      <c r="A411" s="286"/>
    </row>
    <row r="412" spans="1:1">
      <c r="A412" s="286"/>
    </row>
    <row r="413" spans="1:1">
      <c r="A413" s="286"/>
    </row>
    <row r="414" spans="1:1">
      <c r="A414" s="286"/>
    </row>
    <row r="415" spans="1:1">
      <c r="A415" s="286"/>
    </row>
    <row r="416" spans="1:1">
      <c r="A416" s="286"/>
    </row>
    <row r="417" spans="1:1">
      <c r="A417" s="286"/>
    </row>
    <row r="418" spans="1:1">
      <c r="A418" s="286"/>
    </row>
    <row r="419" spans="1:1">
      <c r="A419" s="286"/>
    </row>
    <row r="420" spans="1:1">
      <c r="A420" s="286"/>
    </row>
    <row r="421" spans="1:1">
      <c r="A421" s="286"/>
    </row>
    <row r="422" spans="1:1">
      <c r="A422" s="286"/>
    </row>
    <row r="423" spans="1:1">
      <c r="A423" s="286"/>
    </row>
    <row r="424" spans="1:1">
      <c r="A424" s="286"/>
    </row>
    <row r="425" spans="1:1">
      <c r="A425" s="286"/>
    </row>
    <row r="426" spans="1:1">
      <c r="A426" s="286"/>
    </row>
    <row r="427" spans="1:1">
      <c r="A427" s="286"/>
    </row>
    <row r="428" spans="1:1">
      <c r="A428" s="286"/>
    </row>
    <row r="429" spans="1:1">
      <c r="A429" s="286"/>
    </row>
    <row r="430" spans="1:1">
      <c r="A430" s="286"/>
    </row>
    <row r="431" spans="1:1">
      <c r="A431" s="286"/>
    </row>
    <row r="432" spans="1:1">
      <c r="A432" s="286"/>
    </row>
    <row r="433" spans="1:1">
      <c r="A433" s="286"/>
    </row>
    <row r="434" spans="1:1">
      <c r="A434" s="286"/>
    </row>
    <row r="435" spans="1:1">
      <c r="A435" s="286"/>
    </row>
    <row r="436" spans="1:1">
      <c r="A436" s="286"/>
    </row>
    <row r="437" spans="1:1">
      <c r="A437" s="286"/>
    </row>
    <row r="438" spans="1:1">
      <c r="A438" s="286"/>
    </row>
    <row r="439" spans="1:1">
      <c r="A439" s="286"/>
    </row>
    <row r="440" spans="1:1">
      <c r="A440" s="286"/>
    </row>
    <row r="441" spans="1:1">
      <c r="A441" s="286"/>
    </row>
    <row r="442" spans="1:1">
      <c r="A442" s="286"/>
    </row>
  </sheetData>
  <mergeCells count="1">
    <mergeCell ref="A6:G6"/>
  </mergeCells>
  <pageMargins left="0.75" right="0.5" top="0.75" bottom="0.5" header="0.25" footer="0.25"/>
  <pageSetup scale="81"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34">
    <pageSetUpPr fitToPage="1"/>
  </sheetPr>
  <dimension ref="A1:H440"/>
  <sheetViews>
    <sheetView view="pageBreakPreview" zoomScale="60" zoomScaleNormal="100" workbookViewId="0">
      <selection activeCell="T54" sqref="T54"/>
    </sheetView>
  </sheetViews>
  <sheetFormatPr defaultColWidth="10.85546875" defaultRowHeight="12.75"/>
  <cols>
    <col min="1" max="1" width="5.85546875" style="120" customWidth="1"/>
    <col min="2" max="2" width="30.7109375" style="120" customWidth="1"/>
    <col min="3" max="3" width="7.5703125" style="120" customWidth="1"/>
    <col min="4" max="4" width="30.28515625" style="120" customWidth="1"/>
    <col min="5" max="5" width="11.28515625" style="120" customWidth="1"/>
    <col min="6" max="6" width="9.85546875" style="120" customWidth="1"/>
    <col min="7" max="7" width="13" style="120" customWidth="1"/>
    <col min="8" max="8" width="3.85546875" style="120" customWidth="1"/>
    <col min="9" max="9" width="8.85546875" customWidth="1"/>
    <col min="10" max="10" width="3.85546875" customWidth="1"/>
  </cols>
  <sheetData>
    <row r="1" spans="1:7">
      <c r="A1" s="117" t="s">
        <v>1095</v>
      </c>
      <c r="B1" s="117"/>
      <c r="C1" s="117"/>
      <c r="E1" s="117" t="s">
        <v>1209</v>
      </c>
      <c r="G1" s="117"/>
    </row>
    <row r="2" spans="1:7">
      <c r="A2" s="117" t="s">
        <v>697</v>
      </c>
      <c r="B2" s="117"/>
      <c r="C2" s="117"/>
      <c r="E2" s="117"/>
      <c r="G2" s="117"/>
    </row>
    <row r="3" spans="1:7">
      <c r="A3" s="117"/>
      <c r="B3" s="117"/>
      <c r="C3" s="117"/>
      <c r="E3" s="117"/>
      <c r="G3" s="117"/>
    </row>
    <row r="4" spans="1:7">
      <c r="A4" s="117" t="s">
        <v>2644</v>
      </c>
      <c r="B4" s="117"/>
      <c r="C4" s="117"/>
      <c r="E4" s="117" t="s">
        <v>698</v>
      </c>
      <c r="G4" s="117"/>
    </row>
    <row r="5" spans="1:7">
      <c r="A5" s="117" t="s">
        <v>2645</v>
      </c>
      <c r="B5" s="117"/>
      <c r="C5" s="117"/>
      <c r="E5" s="117" t="s">
        <v>766</v>
      </c>
      <c r="G5" s="117"/>
    </row>
    <row r="6" spans="1:7">
      <c r="A6" s="117" t="s">
        <v>1936</v>
      </c>
      <c r="B6" s="117"/>
      <c r="C6" s="117"/>
      <c r="D6" s="117"/>
      <c r="E6" s="117" t="s">
        <v>2948</v>
      </c>
      <c r="F6" s="117"/>
      <c r="G6" s="117"/>
    </row>
    <row r="7" spans="1:7">
      <c r="A7" s="117"/>
      <c r="B7" s="117"/>
      <c r="C7" s="117"/>
      <c r="D7" s="117"/>
      <c r="E7" s="117"/>
      <c r="F7" s="117"/>
      <c r="G7" s="117"/>
    </row>
    <row r="8" spans="1:7">
      <c r="A8" s="2307" t="s">
        <v>750</v>
      </c>
      <c r="B8" s="2297"/>
      <c r="C8" s="2297"/>
      <c r="D8" s="2297"/>
      <c r="E8" s="2297"/>
      <c r="F8" s="2297"/>
      <c r="G8" s="2297"/>
    </row>
    <row r="9" spans="1:7">
      <c r="A9" s="2297"/>
      <c r="B9" s="2297"/>
      <c r="C9" s="2297"/>
      <c r="D9" s="2297"/>
      <c r="E9" s="2297"/>
      <c r="F9" s="2297"/>
      <c r="G9" s="2297"/>
    </row>
    <row r="10" spans="1:7">
      <c r="A10" s="2297"/>
      <c r="B10" s="2297"/>
      <c r="C10" s="2297"/>
      <c r="D10" s="2297"/>
      <c r="E10" s="2297"/>
      <c r="F10" s="2297"/>
      <c r="G10" s="2297"/>
    </row>
    <row r="11" spans="1:7">
      <c r="A11" s="2297"/>
      <c r="B11" s="2297"/>
      <c r="C11" s="2297"/>
      <c r="D11" s="2297"/>
      <c r="E11" s="2297"/>
      <c r="F11" s="2297"/>
      <c r="G11" s="2297"/>
    </row>
    <row r="12" spans="1:7" ht="13.5" thickBot="1">
      <c r="A12" s="124"/>
      <c r="B12" s="124"/>
      <c r="C12" s="124"/>
      <c r="D12" s="124"/>
      <c r="E12" s="124"/>
      <c r="F12" s="124"/>
      <c r="G12" s="124"/>
    </row>
    <row r="13" spans="1:7">
      <c r="A13" s="127" t="s">
        <v>53</v>
      </c>
      <c r="E13" s="127" t="s">
        <v>489</v>
      </c>
      <c r="F13" s="127" t="s">
        <v>487</v>
      </c>
      <c r="G13" s="127" t="s">
        <v>74</v>
      </c>
    </row>
    <row r="14" spans="1:7">
      <c r="A14" s="806" t="s">
        <v>730</v>
      </c>
      <c r="B14" s="2315" t="s">
        <v>731</v>
      </c>
      <c r="C14" s="2315"/>
      <c r="D14" s="807" t="s">
        <v>490</v>
      </c>
      <c r="E14" s="807" t="s">
        <v>978</v>
      </c>
      <c r="F14" s="807" t="s">
        <v>488</v>
      </c>
      <c r="G14" s="807" t="s">
        <v>463</v>
      </c>
    </row>
    <row r="15" spans="1:7">
      <c r="A15" s="117"/>
    </row>
    <row r="16" spans="1:7">
      <c r="A16" s="2169">
        <v>1</v>
      </c>
      <c r="B16" s="2316" t="s">
        <v>3036</v>
      </c>
      <c r="C16" s="2316"/>
      <c r="D16" s="2169" t="s">
        <v>3037</v>
      </c>
      <c r="E16" s="2178">
        <v>32403.52</v>
      </c>
      <c r="F16" s="2169" t="s">
        <v>3038</v>
      </c>
      <c r="G16" s="2178">
        <v>2315</v>
      </c>
    </row>
    <row r="17" spans="1:7" ht="15">
      <c r="A17" s="2169">
        <v>2</v>
      </c>
      <c r="B17" s="2316" t="s">
        <v>3039</v>
      </c>
      <c r="C17" s="2316"/>
      <c r="D17" s="2169" t="s">
        <v>3040</v>
      </c>
      <c r="E17" s="2179">
        <v>8967</v>
      </c>
      <c r="F17" s="2169" t="s">
        <v>3041</v>
      </c>
      <c r="G17" s="2179">
        <v>0</v>
      </c>
    </row>
    <row r="18" spans="1:7">
      <c r="A18" s="131"/>
      <c r="B18" s="1360"/>
      <c r="C18" s="1360"/>
      <c r="D18" s="1360"/>
      <c r="E18" s="2180">
        <v>41370.520000000004</v>
      </c>
      <c r="F18" s="1360"/>
      <c r="G18" s="2180">
        <v>2315</v>
      </c>
    </row>
    <row r="19" spans="1:7">
      <c r="A19" s="131"/>
      <c r="B19" s="1360"/>
      <c r="C19" s="1360"/>
      <c r="D19" s="1360"/>
      <c r="E19" s="1362"/>
      <c r="F19" s="1360"/>
      <c r="G19" s="1362"/>
    </row>
    <row r="20" spans="1:7">
      <c r="A20" s="131"/>
      <c r="B20" s="1360"/>
      <c r="C20" s="1360"/>
      <c r="D20" s="1360"/>
      <c r="E20" s="1362"/>
      <c r="F20" s="1360"/>
      <c r="G20" s="1362"/>
    </row>
    <row r="21" spans="1:7">
      <c r="A21" s="131"/>
      <c r="B21" s="1360"/>
      <c r="C21" s="1360"/>
      <c r="D21" s="1360"/>
      <c r="E21" s="1362"/>
      <c r="F21" s="1360"/>
      <c r="G21" s="1362"/>
    </row>
    <row r="22" spans="1:7">
      <c r="A22" s="131"/>
      <c r="B22" s="1360"/>
      <c r="C22" s="1360"/>
      <c r="D22" s="1360"/>
      <c r="E22" s="1362"/>
      <c r="F22" s="1360"/>
      <c r="G22" s="1362"/>
    </row>
    <row r="23" spans="1:7">
      <c r="A23" s="131"/>
      <c r="B23" s="1360"/>
      <c r="C23" s="1360"/>
      <c r="D23" s="1360"/>
      <c r="E23" s="1362"/>
      <c r="F23" s="1360"/>
      <c r="G23" s="1362"/>
    </row>
    <row r="24" spans="1:7">
      <c r="A24" s="131"/>
      <c r="B24" s="1360"/>
      <c r="C24" s="1360"/>
      <c r="D24" s="1360"/>
      <c r="E24" s="1362"/>
      <c r="F24" s="1360"/>
      <c r="G24" s="1362"/>
    </row>
    <row r="25" spans="1:7">
      <c r="A25" s="131"/>
      <c r="B25" s="1360"/>
      <c r="C25" s="1360"/>
      <c r="D25" s="1360"/>
      <c r="E25" s="1362"/>
      <c r="F25" s="1360"/>
      <c r="G25" s="1362"/>
    </row>
    <row r="26" spans="1:7">
      <c r="A26" s="131"/>
      <c r="B26" s="1360"/>
      <c r="C26" s="1360"/>
      <c r="D26" s="1360"/>
      <c r="E26" s="1362"/>
      <c r="F26" s="1360"/>
      <c r="G26" s="1362"/>
    </row>
    <row r="27" spans="1:7">
      <c r="A27" s="131"/>
      <c r="B27" s="1360"/>
      <c r="C27" s="1360"/>
      <c r="D27" s="1360"/>
      <c r="E27" s="1362"/>
      <c r="F27" s="1360"/>
      <c r="G27" s="1362"/>
    </row>
    <row r="28" spans="1:7">
      <c r="A28" s="131"/>
      <c r="B28" s="1360"/>
      <c r="C28" s="1360"/>
      <c r="D28" s="1360"/>
      <c r="E28" s="1362"/>
      <c r="F28" s="1360"/>
      <c r="G28" s="1362"/>
    </row>
    <row r="29" spans="1:7">
      <c r="A29" s="131"/>
      <c r="C29" s="1360"/>
      <c r="D29" s="1360"/>
      <c r="E29" s="1362"/>
      <c r="F29" s="1360"/>
      <c r="G29" s="1362"/>
    </row>
    <row r="30" spans="1:7">
      <c r="A30" s="131"/>
      <c r="B30" s="1360"/>
      <c r="C30" s="1360"/>
      <c r="D30" s="1360"/>
      <c r="E30" s="1362"/>
      <c r="F30" s="1360"/>
      <c r="G30" s="1362"/>
    </row>
    <row r="31" spans="1:7">
      <c r="A31" s="131"/>
      <c r="B31" s="1360"/>
      <c r="C31" s="1360"/>
      <c r="D31" s="1360"/>
      <c r="E31" s="1362"/>
      <c r="F31" s="1360"/>
      <c r="G31" s="1362"/>
    </row>
    <row r="32" spans="1:7">
      <c r="A32" s="131"/>
      <c r="B32" s="1360"/>
      <c r="C32" s="1360"/>
      <c r="D32" s="1360"/>
      <c r="E32" s="1362"/>
      <c r="F32" s="1360"/>
      <c r="G32" s="1362"/>
    </row>
    <row r="33" spans="1:8">
      <c r="A33" s="131"/>
      <c r="B33" s="1360"/>
      <c r="C33" s="1360"/>
      <c r="D33" s="1360"/>
      <c r="E33" s="1362"/>
      <c r="F33" s="1360"/>
      <c r="G33" s="1362"/>
    </row>
    <row r="34" spans="1:8">
      <c r="A34" s="131"/>
      <c r="B34" s="1360"/>
      <c r="C34" s="1360"/>
      <c r="D34" s="1360"/>
      <c r="E34" s="1362"/>
      <c r="F34" s="1360"/>
      <c r="G34" s="1362"/>
    </row>
    <row r="35" spans="1:8">
      <c r="A35" s="131"/>
      <c r="B35" s="1360"/>
      <c r="C35" s="1360"/>
      <c r="D35" s="1360"/>
      <c r="E35" s="1362"/>
      <c r="F35" s="1360"/>
      <c r="G35" s="1362"/>
    </row>
    <row r="36" spans="1:8">
      <c r="A36" s="131"/>
      <c r="B36" s="1360"/>
      <c r="C36" s="1360"/>
      <c r="D36" s="1360"/>
      <c r="E36" s="1362"/>
      <c r="F36" s="1360"/>
      <c r="G36" s="1362"/>
    </row>
    <row r="37" spans="1:8">
      <c r="A37" s="131"/>
      <c r="B37" s="1360"/>
      <c r="C37" s="1360"/>
      <c r="D37" s="1360"/>
      <c r="E37" s="1362"/>
      <c r="F37" s="1360"/>
      <c r="G37" s="1360"/>
    </row>
    <row r="38" spans="1:8">
      <c r="A38" s="131"/>
      <c r="B38" s="1360"/>
      <c r="C38" s="1360"/>
      <c r="D38" s="1360"/>
      <c r="E38" s="1360"/>
      <c r="F38" s="1360"/>
      <c r="G38" s="1360"/>
    </row>
    <row r="39" spans="1:8">
      <c r="A39" s="131"/>
      <c r="B39" s="1360"/>
      <c r="C39" s="1360"/>
      <c r="D39" s="1360"/>
      <c r="E39" s="1360"/>
      <c r="F39" s="1360"/>
      <c r="G39" s="1360"/>
    </row>
    <row r="40" spans="1:8">
      <c r="A40" s="131"/>
      <c r="B40" s="1360"/>
      <c r="C40" s="1360"/>
      <c r="D40" s="1360"/>
      <c r="E40" s="1360"/>
      <c r="F40" s="1360"/>
      <c r="G40" s="1360"/>
    </row>
    <row r="41" spans="1:8">
      <c r="A41" s="131"/>
      <c r="B41" s="1360"/>
      <c r="C41" s="1360"/>
      <c r="D41" s="1360"/>
      <c r="E41" s="1360"/>
      <c r="F41" s="1360"/>
      <c r="G41" s="1360"/>
    </row>
    <row r="42" spans="1:8">
      <c r="A42" s="189"/>
      <c r="B42" s="1361"/>
      <c r="C42" s="1361"/>
      <c r="D42" s="1361"/>
      <c r="E42" s="1361"/>
      <c r="F42" s="1361"/>
      <c r="G42" s="1361"/>
      <c r="H42" s="153"/>
    </row>
    <row r="43" spans="1:8">
      <c r="B43" s="1360"/>
      <c r="C43" s="1360"/>
      <c r="D43" s="1360"/>
      <c r="E43" s="1360"/>
      <c r="F43" s="1360"/>
      <c r="G43" s="1360"/>
    </row>
    <row r="44" spans="1:8">
      <c r="B44" s="1360"/>
      <c r="C44" s="1360"/>
      <c r="D44" s="1360"/>
      <c r="E44" s="1360"/>
      <c r="F44" s="1360"/>
      <c r="G44" s="1360"/>
    </row>
    <row r="45" spans="1:8">
      <c r="B45" s="1360"/>
      <c r="C45" s="1360"/>
      <c r="D45" s="1360"/>
      <c r="E45" s="1360"/>
      <c r="F45" s="1360"/>
      <c r="G45" s="1360"/>
    </row>
    <row r="46" spans="1:8">
      <c r="B46" s="1360"/>
      <c r="C46" s="1360"/>
      <c r="D46" s="1360"/>
      <c r="E46" s="1360"/>
      <c r="F46" s="1360"/>
      <c r="G46" s="1360"/>
    </row>
    <row r="47" spans="1:8">
      <c r="B47" s="1360"/>
      <c r="C47" s="1360"/>
      <c r="D47" s="1360"/>
      <c r="E47" s="1360"/>
      <c r="F47" s="1360"/>
      <c r="G47" s="1360"/>
    </row>
    <row r="48" spans="1:8">
      <c r="B48" s="1360"/>
      <c r="C48" s="1360"/>
      <c r="D48" s="1360"/>
      <c r="E48" s="1360"/>
      <c r="F48" s="1360"/>
      <c r="G48" s="1360"/>
    </row>
    <row r="49" spans="2:7">
      <c r="B49" s="1360"/>
      <c r="C49" s="1360"/>
      <c r="D49" s="1360"/>
      <c r="E49" s="1360"/>
      <c r="F49" s="1360"/>
      <c r="G49" s="1360"/>
    </row>
    <row r="50" spans="2:7">
      <c r="B50" s="1360"/>
      <c r="C50" s="1360"/>
      <c r="D50" s="1360"/>
      <c r="E50" s="1360"/>
      <c r="F50" s="1360"/>
      <c r="G50" s="1360"/>
    </row>
    <row r="51" spans="2:7">
      <c r="B51" s="1360"/>
      <c r="C51" s="1360"/>
      <c r="D51" s="1360"/>
      <c r="E51" s="1360"/>
      <c r="F51" s="1360"/>
      <c r="G51" s="1360"/>
    </row>
    <row r="52" spans="2:7">
      <c r="B52" s="1360"/>
      <c r="C52" s="1360"/>
      <c r="D52" s="1360"/>
      <c r="E52" s="1360"/>
      <c r="F52" s="1360"/>
      <c r="G52" s="1360"/>
    </row>
    <row r="53" spans="2:7">
      <c r="B53" s="1360"/>
      <c r="C53" s="1360"/>
      <c r="D53" s="1360"/>
      <c r="E53" s="1360"/>
      <c r="F53" s="1360"/>
      <c r="G53" s="1360"/>
    </row>
    <row r="54" spans="2:7">
      <c r="B54" s="1360"/>
      <c r="C54" s="1360"/>
      <c r="D54" s="1360"/>
      <c r="E54" s="1360"/>
      <c r="F54" s="1360"/>
      <c r="G54" s="1360"/>
    </row>
    <row r="55" spans="2:7">
      <c r="B55" s="1360"/>
      <c r="C55" s="1360"/>
      <c r="D55" s="1360"/>
      <c r="E55" s="1360"/>
      <c r="F55" s="1360"/>
      <c r="G55" s="1360"/>
    </row>
    <row r="56" spans="2:7">
      <c r="B56" s="1360"/>
      <c r="C56" s="1360"/>
      <c r="D56" s="1360"/>
      <c r="E56" s="1360"/>
      <c r="F56" s="1360"/>
      <c r="G56" s="1360"/>
    </row>
    <row r="57" spans="2:7">
      <c r="B57" s="1360"/>
      <c r="C57" s="1360"/>
      <c r="D57" s="1360"/>
      <c r="E57" s="1360"/>
      <c r="F57" s="1360"/>
      <c r="G57" s="1360"/>
    </row>
    <row r="58" spans="2:7">
      <c r="B58" s="1360"/>
      <c r="C58" s="1360"/>
      <c r="D58" s="1360"/>
      <c r="E58" s="1360"/>
      <c r="F58" s="1360"/>
      <c r="G58" s="1360"/>
    </row>
    <row r="59" spans="2:7">
      <c r="B59" s="1360"/>
      <c r="C59" s="1360"/>
      <c r="D59" s="1360"/>
      <c r="E59" s="1360"/>
      <c r="F59" s="1360"/>
      <c r="G59" s="1360"/>
    </row>
    <row r="60" spans="2:7">
      <c r="B60" s="1360"/>
      <c r="C60" s="1360"/>
      <c r="D60" s="1360"/>
      <c r="E60" s="1360"/>
      <c r="F60" s="1360"/>
      <c r="G60" s="1360"/>
    </row>
    <row r="61" spans="2:7">
      <c r="B61" s="1360"/>
      <c r="C61" s="1360"/>
      <c r="D61" s="1360"/>
      <c r="E61" s="1360"/>
      <c r="F61" s="1360"/>
      <c r="G61" s="1360"/>
    </row>
    <row r="62" spans="2:7">
      <c r="B62" s="1360"/>
      <c r="C62" s="1360"/>
      <c r="D62" s="1360"/>
      <c r="E62" s="1360"/>
      <c r="F62" s="1360"/>
      <c r="G62" s="1360"/>
    </row>
    <row r="63" spans="2:7">
      <c r="B63" s="1360"/>
      <c r="C63" s="1360"/>
      <c r="D63" s="1360"/>
      <c r="E63" s="1360"/>
      <c r="F63" s="1360"/>
      <c r="G63" s="1360"/>
    </row>
    <row r="64" spans="2:7">
      <c r="B64" s="1360"/>
      <c r="C64" s="1360"/>
      <c r="D64" s="1360"/>
      <c r="E64" s="1360"/>
      <c r="F64" s="1360"/>
      <c r="G64" s="1360"/>
    </row>
    <row r="65" spans="2:7">
      <c r="B65" s="1360"/>
      <c r="C65" s="1360"/>
      <c r="D65" s="1360"/>
      <c r="E65" s="1360"/>
      <c r="F65" s="1360"/>
      <c r="G65" s="1360"/>
    </row>
    <row r="66" spans="2:7">
      <c r="B66" s="1360"/>
      <c r="C66" s="1360"/>
      <c r="D66" s="1360"/>
      <c r="E66" s="1360"/>
      <c r="F66" s="1360"/>
      <c r="G66" s="1360"/>
    </row>
    <row r="67" spans="2:7">
      <c r="B67" s="1360"/>
      <c r="C67" s="1360"/>
      <c r="D67" s="1360"/>
      <c r="E67" s="1360"/>
      <c r="F67" s="1360"/>
      <c r="G67" s="1360"/>
    </row>
    <row r="68" spans="2:7">
      <c r="B68" s="1360"/>
      <c r="C68" s="1360"/>
      <c r="D68" s="1360"/>
      <c r="E68" s="1360"/>
      <c r="F68" s="1360"/>
      <c r="G68" s="1360"/>
    </row>
    <row r="69" spans="2:7">
      <c r="B69" s="1360"/>
      <c r="C69" s="1360"/>
      <c r="D69" s="1360"/>
      <c r="E69" s="1360"/>
      <c r="F69" s="1360"/>
      <c r="G69" s="1360"/>
    </row>
    <row r="140" spans="2:4">
      <c r="B140" s="137"/>
      <c r="D140" s="137"/>
    </row>
    <row r="143" spans="2:4">
      <c r="B143" s="137"/>
      <c r="D143" s="137"/>
    </row>
    <row r="266" spans="1:1">
      <c r="A266" s="138"/>
    </row>
    <row r="267" spans="1:1">
      <c r="A267" s="138"/>
    </row>
    <row r="268" spans="1:1">
      <c r="A268" s="138"/>
    </row>
    <row r="269" spans="1:1">
      <c r="A269" s="138"/>
    </row>
    <row r="270" spans="1:1">
      <c r="A270" s="138"/>
    </row>
    <row r="300" spans="1:1">
      <c r="A300" s="138"/>
    </row>
    <row r="369" spans="1:1">
      <c r="A369" s="117"/>
    </row>
    <row r="386" spans="1:1">
      <c r="A386" s="138"/>
    </row>
    <row r="387" spans="1:1">
      <c r="A387" s="138"/>
    </row>
    <row r="388" spans="1:1">
      <c r="A388" s="138"/>
    </row>
    <row r="389" spans="1:1">
      <c r="A389" s="138"/>
    </row>
    <row r="390" spans="1:1">
      <c r="A390" s="138"/>
    </row>
    <row r="391" spans="1:1">
      <c r="A391" s="138"/>
    </row>
    <row r="392" spans="1:1">
      <c r="A392" s="138"/>
    </row>
    <row r="393" spans="1:1">
      <c r="A393" s="138"/>
    </row>
    <row r="394" spans="1:1">
      <c r="A394" s="138"/>
    </row>
    <row r="395" spans="1:1">
      <c r="A395" s="138"/>
    </row>
    <row r="396" spans="1:1">
      <c r="A396" s="138"/>
    </row>
    <row r="397" spans="1:1">
      <c r="A397" s="138"/>
    </row>
    <row r="398" spans="1:1">
      <c r="A398" s="138"/>
    </row>
    <row r="399" spans="1:1">
      <c r="A399" s="138"/>
    </row>
    <row r="400" spans="1:1">
      <c r="A400" s="138"/>
    </row>
    <row r="401" spans="1:1">
      <c r="A401" s="138"/>
    </row>
    <row r="402" spans="1:1">
      <c r="A402" s="138"/>
    </row>
    <row r="403" spans="1:1">
      <c r="A403" s="138"/>
    </row>
    <row r="404" spans="1:1">
      <c r="A404" s="138"/>
    </row>
    <row r="405" spans="1:1">
      <c r="A405" s="138"/>
    </row>
    <row r="406" spans="1:1">
      <c r="A406" s="138"/>
    </row>
    <row r="407" spans="1:1">
      <c r="A407" s="138"/>
    </row>
    <row r="408" spans="1:1">
      <c r="A408" s="138"/>
    </row>
    <row r="409" spans="1:1">
      <c r="A409" s="138"/>
    </row>
    <row r="410" spans="1:1">
      <c r="A410" s="138"/>
    </row>
    <row r="411" spans="1:1">
      <c r="A411" s="138"/>
    </row>
    <row r="412" spans="1:1">
      <c r="A412" s="138"/>
    </row>
    <row r="413" spans="1:1">
      <c r="A413" s="138"/>
    </row>
    <row r="414" spans="1:1">
      <c r="A414" s="138"/>
    </row>
    <row r="415" spans="1:1">
      <c r="A415" s="138"/>
    </row>
    <row r="416" spans="1:1">
      <c r="A416" s="138"/>
    </row>
    <row r="417" spans="1:1">
      <c r="A417" s="138"/>
    </row>
    <row r="418" spans="1:1">
      <c r="A418" s="138"/>
    </row>
    <row r="419" spans="1:1">
      <c r="A419" s="138"/>
    </row>
    <row r="420" spans="1:1">
      <c r="A420" s="138"/>
    </row>
    <row r="421" spans="1:1">
      <c r="A421" s="138"/>
    </row>
    <row r="422" spans="1:1">
      <c r="A422" s="138"/>
    </row>
    <row r="423" spans="1:1">
      <c r="A423" s="138"/>
    </row>
    <row r="424" spans="1:1">
      <c r="A424" s="138"/>
    </row>
    <row r="425" spans="1:1">
      <c r="A425" s="138"/>
    </row>
    <row r="426" spans="1:1">
      <c r="A426" s="138"/>
    </row>
    <row r="427" spans="1:1">
      <c r="A427" s="138"/>
    </row>
    <row r="428" spans="1:1">
      <c r="A428" s="138"/>
    </row>
    <row r="429" spans="1:1">
      <c r="A429" s="138"/>
    </row>
    <row r="430" spans="1:1">
      <c r="A430" s="138"/>
    </row>
    <row r="431" spans="1:1">
      <c r="A431" s="138"/>
    </row>
    <row r="432" spans="1:1">
      <c r="A432" s="138"/>
    </row>
    <row r="433" spans="1:1">
      <c r="A433" s="138"/>
    </row>
    <row r="434" spans="1:1">
      <c r="A434" s="138"/>
    </row>
    <row r="435" spans="1:1">
      <c r="A435" s="138"/>
    </row>
    <row r="436" spans="1:1">
      <c r="A436" s="138"/>
    </row>
    <row r="437" spans="1:1">
      <c r="A437" s="138"/>
    </row>
    <row r="438" spans="1:1">
      <c r="A438" s="138"/>
    </row>
    <row r="439" spans="1:1">
      <c r="A439" s="138"/>
    </row>
    <row r="440" spans="1:1">
      <c r="A440" s="138"/>
    </row>
  </sheetData>
  <mergeCells count="4">
    <mergeCell ref="A8:G11"/>
    <mergeCell ref="B14:C14"/>
    <mergeCell ref="B16:C16"/>
    <mergeCell ref="B17:C17"/>
  </mergeCells>
  <phoneticPr fontId="27" type="noConversion"/>
  <pageMargins left="0.75" right="0.5" top="0.75" bottom="0.5" header="0.25" footer="0.25"/>
  <pageSetup scale="99"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W65"/>
  <sheetViews>
    <sheetView view="pageBreakPreview" topLeftCell="A17" zoomScale="60" zoomScaleNormal="100" workbookViewId="0">
      <selection sqref="A1:XFD1048576"/>
    </sheetView>
  </sheetViews>
  <sheetFormatPr defaultRowHeight="12"/>
  <cols>
    <col min="1" max="1" width="4" style="991" customWidth="1"/>
    <col min="2" max="2" width="3" style="991" customWidth="1"/>
    <col min="3" max="3" width="10.85546875" style="991" customWidth="1"/>
    <col min="4" max="4" width="2.28515625" style="991" customWidth="1"/>
    <col min="5" max="5" width="33.7109375" style="991" customWidth="1"/>
    <col min="6" max="6" width="2.28515625" style="991" customWidth="1"/>
    <col min="7" max="7" width="18" style="991" bestFit="1" customWidth="1"/>
    <col min="8" max="8" width="2.28515625" style="991" customWidth="1"/>
    <col min="9" max="9" width="12.7109375" style="991" customWidth="1"/>
    <col min="10" max="10" width="2.28515625" style="991" customWidth="1"/>
    <col min="11" max="11" width="9.7109375" style="991" customWidth="1"/>
    <col min="12" max="12" width="2.28515625" style="991" customWidth="1"/>
    <col min="13" max="13" width="19.140625" style="991" bestFit="1" customWidth="1"/>
    <col min="14" max="14" width="2.28515625" style="991" customWidth="1"/>
    <col min="15" max="15" width="18" style="991" bestFit="1" customWidth="1"/>
    <col min="16" max="16" width="2.28515625" style="991" customWidth="1"/>
    <col min="17" max="17" width="11.7109375" style="991" customWidth="1"/>
    <col min="18" max="18" width="4.85546875" style="991" customWidth="1"/>
    <col min="19" max="19" width="9.28515625" style="991" bestFit="1" customWidth="1"/>
    <col min="20" max="20" width="2.28515625" style="991" customWidth="1"/>
    <col min="21" max="21" width="5.7109375" style="991" bestFit="1" customWidth="1"/>
    <col min="22" max="22" width="2.28515625" style="991" customWidth="1"/>
    <col min="23" max="23" width="9.85546875" style="991" customWidth="1"/>
    <col min="24" max="16384" width="9.140625" style="991"/>
  </cols>
  <sheetData>
    <row r="1" spans="1:23">
      <c r="A1" s="2079"/>
      <c r="B1" s="2079"/>
      <c r="C1" s="2078"/>
      <c r="D1" s="2079"/>
      <c r="E1" s="2079"/>
      <c r="F1" s="2079"/>
      <c r="G1" s="2110"/>
      <c r="H1" s="2110"/>
      <c r="I1" s="2110"/>
      <c r="J1" s="2110"/>
      <c r="K1" s="2110"/>
      <c r="L1" s="2079"/>
      <c r="M1" s="2079"/>
      <c r="N1" s="2079"/>
      <c r="O1" s="2079"/>
      <c r="P1" s="2079"/>
      <c r="Q1" s="2079"/>
      <c r="R1" s="2079"/>
      <c r="S1" s="2079"/>
      <c r="T1" s="2079"/>
      <c r="U1" s="2079"/>
      <c r="V1" s="2079"/>
      <c r="W1" s="2078" t="s">
        <v>1209</v>
      </c>
    </row>
    <row r="2" spans="1:23">
      <c r="A2" s="2080" t="s">
        <v>2716</v>
      </c>
      <c r="B2" s="2079"/>
      <c r="C2" s="2078"/>
      <c r="D2" s="2079"/>
      <c r="E2" s="2079"/>
      <c r="F2" s="2079"/>
      <c r="G2" s="2110"/>
      <c r="H2" s="2137"/>
      <c r="I2" s="2137" t="s">
        <v>911</v>
      </c>
      <c r="J2" s="2137"/>
      <c r="K2" s="2137"/>
      <c r="L2" s="2138"/>
      <c r="M2" s="2079"/>
      <c r="N2" s="2079"/>
      <c r="O2" s="2079"/>
      <c r="P2" s="2079"/>
      <c r="Q2" s="2079"/>
      <c r="R2" s="2079"/>
      <c r="S2" s="2078"/>
      <c r="T2" s="2079"/>
      <c r="U2" s="2079"/>
      <c r="V2" s="2079"/>
      <c r="W2" s="2078"/>
    </row>
    <row r="3" spans="1:23">
      <c r="A3" s="2080"/>
      <c r="B3" s="2079"/>
      <c r="C3" s="2078"/>
      <c r="D3" s="2079"/>
      <c r="E3" s="2079"/>
      <c r="F3" s="2079"/>
      <c r="G3" s="2110"/>
      <c r="H3" s="2137"/>
      <c r="I3" s="2137"/>
      <c r="J3" s="2137"/>
      <c r="K3" s="2137"/>
      <c r="L3" s="2138"/>
      <c r="M3" s="2079"/>
      <c r="N3" s="2079"/>
      <c r="O3" s="2079"/>
      <c r="P3" s="2079"/>
      <c r="Q3" s="2079"/>
      <c r="R3" s="2079"/>
      <c r="S3" s="2080"/>
      <c r="T3" s="2079"/>
      <c r="U3" s="2079"/>
      <c r="V3" s="2079"/>
      <c r="W3" s="2078" t="s">
        <v>2717</v>
      </c>
    </row>
    <row r="4" spans="1:23">
      <c r="A4" s="2079" t="s">
        <v>2644</v>
      </c>
      <c r="B4" s="2080"/>
      <c r="C4" s="2080"/>
      <c r="D4" s="2079"/>
      <c r="E4" s="2079"/>
      <c r="F4" s="2079"/>
      <c r="G4" s="2110"/>
      <c r="H4" s="2137"/>
      <c r="I4" s="2137"/>
      <c r="J4" s="2137"/>
      <c r="K4" s="2137"/>
      <c r="L4" s="2138"/>
      <c r="M4" s="2079"/>
      <c r="N4" s="2079"/>
      <c r="O4" s="2079"/>
      <c r="P4" s="2079"/>
      <c r="Q4" s="2079"/>
      <c r="R4" s="2079"/>
      <c r="S4" s="2078"/>
      <c r="T4" s="2079"/>
      <c r="U4" s="2079"/>
      <c r="V4" s="2079"/>
      <c r="W4" s="2078" t="s">
        <v>2718</v>
      </c>
    </row>
    <row r="5" spans="1:23">
      <c r="A5" s="2080" t="s">
        <v>2719</v>
      </c>
      <c r="B5" s="2079"/>
      <c r="C5" s="2078"/>
      <c r="D5" s="2079"/>
      <c r="E5" s="2079"/>
      <c r="F5" s="2080"/>
      <c r="G5" s="2110"/>
      <c r="H5" s="2137"/>
      <c r="I5" s="2137"/>
      <c r="J5" s="2137"/>
      <c r="K5" s="2137"/>
      <c r="L5" s="2138"/>
      <c r="M5" s="2079"/>
      <c r="N5" s="2079"/>
      <c r="O5" s="2079"/>
      <c r="P5" s="2079"/>
      <c r="Q5" s="2079"/>
      <c r="R5" s="2079"/>
      <c r="S5" s="2078"/>
      <c r="T5" s="2079"/>
      <c r="U5" s="2079"/>
      <c r="V5" s="2079"/>
      <c r="W5" s="2078"/>
    </row>
    <row r="6" spans="1:23">
      <c r="A6" s="2080" t="s">
        <v>1935</v>
      </c>
      <c r="B6" s="2079"/>
      <c r="C6" s="2078"/>
      <c r="D6" s="2079"/>
      <c r="E6" s="2139"/>
      <c r="F6" s="2080"/>
      <c r="G6" s="2110"/>
      <c r="H6" s="2137"/>
      <c r="I6" s="2137"/>
      <c r="J6" s="2137"/>
      <c r="K6" s="2137"/>
      <c r="L6" s="2138"/>
      <c r="M6" s="2079"/>
      <c r="N6" s="2079"/>
      <c r="O6" s="2079"/>
      <c r="P6" s="2079"/>
      <c r="Q6" s="2079"/>
      <c r="R6" s="2079"/>
      <c r="S6" s="2080"/>
      <c r="T6" s="2079"/>
      <c r="U6" s="2079"/>
      <c r="V6" s="2079"/>
      <c r="W6" s="1011" t="s">
        <v>2950</v>
      </c>
    </row>
    <row r="7" spans="1:23">
      <c r="A7" s="2080" t="s">
        <v>1092</v>
      </c>
      <c r="B7" s="2079"/>
      <c r="C7" s="2078"/>
      <c r="D7" s="2079"/>
      <c r="E7" s="2079"/>
      <c r="F7" s="2080"/>
      <c r="G7" s="2110"/>
      <c r="H7" s="2137"/>
      <c r="I7" s="2137"/>
      <c r="J7" s="2137"/>
      <c r="K7" s="2137"/>
      <c r="L7" s="2138"/>
      <c r="M7" s="2079"/>
      <c r="N7" s="2079"/>
      <c r="O7" s="2079"/>
      <c r="P7" s="2079"/>
      <c r="Q7" s="2079"/>
      <c r="R7" s="2079"/>
      <c r="S7" s="2078"/>
      <c r="T7" s="2079"/>
      <c r="U7" s="2079"/>
      <c r="V7" s="2079"/>
      <c r="W7" s="2078"/>
    </row>
    <row r="8" spans="1:23">
      <c r="A8" s="2080" t="s">
        <v>717</v>
      </c>
      <c r="B8" s="2079"/>
      <c r="C8" s="2078"/>
      <c r="D8" s="2079"/>
      <c r="E8" s="2079"/>
      <c r="F8" s="2080"/>
      <c r="G8" s="2110"/>
      <c r="H8" s="2137"/>
      <c r="I8" s="2137"/>
      <c r="J8" s="2137"/>
      <c r="K8" s="2137"/>
      <c r="L8" s="2138"/>
      <c r="M8" s="2079"/>
      <c r="N8" s="2079"/>
      <c r="O8" s="2079"/>
      <c r="P8" s="2079"/>
      <c r="Q8" s="2079"/>
      <c r="R8" s="2079"/>
      <c r="S8" s="2079"/>
      <c r="T8" s="2079"/>
      <c r="U8" s="2079"/>
      <c r="V8" s="2079"/>
      <c r="W8" s="2079"/>
    </row>
    <row r="9" spans="1:23">
      <c r="A9" s="2079"/>
      <c r="B9" s="2079"/>
      <c r="C9" s="2078"/>
      <c r="D9" s="2079"/>
      <c r="E9" s="2079"/>
      <c r="F9" s="2079"/>
      <c r="G9" s="2110"/>
      <c r="H9" s="2110"/>
      <c r="I9" s="2110"/>
      <c r="J9" s="2110"/>
      <c r="K9" s="2110"/>
      <c r="L9" s="2079"/>
      <c r="M9" s="2079"/>
      <c r="N9" s="2079"/>
      <c r="O9" s="2079"/>
      <c r="P9" s="2079"/>
      <c r="Q9" s="2079"/>
      <c r="R9" s="2079"/>
      <c r="S9" s="2079"/>
      <c r="T9" s="2079"/>
      <c r="U9" s="2079"/>
      <c r="V9" s="2079"/>
      <c r="W9" s="2079"/>
    </row>
    <row r="10" spans="1:23">
      <c r="A10" s="2079" t="s">
        <v>2720</v>
      </c>
      <c r="B10" s="2079"/>
      <c r="C10" s="2078"/>
      <c r="D10" s="2079"/>
      <c r="E10" s="2079"/>
      <c r="F10" s="2079"/>
      <c r="G10" s="2110"/>
      <c r="H10" s="2110"/>
      <c r="I10" s="2110"/>
      <c r="J10" s="2110"/>
      <c r="K10" s="2110"/>
      <c r="L10" s="2079"/>
      <c r="M10" s="2079"/>
      <c r="N10" s="2079"/>
      <c r="O10" s="2079"/>
      <c r="P10" s="2079"/>
      <c r="Q10" s="2079"/>
      <c r="R10" s="2079"/>
      <c r="S10" s="2079"/>
      <c r="T10" s="2079"/>
      <c r="U10" s="2318" t="s">
        <v>2956</v>
      </c>
      <c r="V10" s="2318"/>
      <c r="W10" s="2318"/>
    </row>
    <row r="11" spans="1:23">
      <c r="A11" s="2080" t="s">
        <v>2721</v>
      </c>
      <c r="B11" s="2079"/>
      <c r="C11" s="2078"/>
      <c r="D11" s="2079"/>
      <c r="E11" s="2079"/>
      <c r="F11" s="2079"/>
      <c r="G11" s="2110"/>
      <c r="H11" s="2110"/>
      <c r="I11" s="2110"/>
      <c r="J11" s="2110"/>
      <c r="K11" s="2110"/>
      <c r="L11" s="2079"/>
      <c r="M11" s="2079"/>
      <c r="N11" s="2079"/>
      <c r="O11" s="2079"/>
      <c r="P11" s="2079"/>
      <c r="Q11" s="2079"/>
      <c r="R11" s="2079"/>
      <c r="S11" s="2079"/>
      <c r="T11" s="2079"/>
      <c r="U11" s="2317" t="s">
        <v>2722</v>
      </c>
      <c r="V11" s="2317"/>
      <c r="W11" s="2317"/>
    </row>
    <row r="12" spans="1:23">
      <c r="A12" s="2140"/>
      <c r="B12" s="2140"/>
      <c r="C12" s="2141"/>
      <c r="D12" s="2140"/>
      <c r="E12" s="2140"/>
      <c r="F12" s="2140"/>
      <c r="G12" s="2142"/>
      <c r="H12" s="2142"/>
      <c r="I12" s="2142"/>
      <c r="J12" s="2142"/>
      <c r="K12" s="2142"/>
      <c r="L12" s="2140"/>
      <c r="M12" s="2140"/>
      <c r="N12" s="2140"/>
      <c r="O12" s="2140"/>
      <c r="P12" s="2140"/>
      <c r="Q12" s="2140"/>
      <c r="R12" s="2140"/>
      <c r="S12" s="2140"/>
      <c r="T12" s="2140"/>
      <c r="U12" s="2319"/>
      <c r="V12" s="2319"/>
      <c r="W12" s="2319"/>
    </row>
    <row r="13" spans="1:23">
      <c r="A13" s="2082"/>
      <c r="B13" s="2082"/>
      <c r="C13" s="2083"/>
      <c r="D13" s="2082"/>
      <c r="E13" s="2082"/>
      <c r="F13" s="2082"/>
      <c r="G13" s="2084">
        <v>-1</v>
      </c>
      <c r="H13" s="2084"/>
      <c r="I13" s="2084">
        <v>-2</v>
      </c>
      <c r="J13" s="2084"/>
      <c r="K13" s="2084">
        <v>-3</v>
      </c>
      <c r="L13" s="2082"/>
      <c r="M13" s="2084">
        <v>-4</v>
      </c>
      <c r="N13" s="2082"/>
      <c r="O13" s="2084">
        <v>-5</v>
      </c>
      <c r="P13" s="2082"/>
      <c r="Q13" s="2084">
        <v>-6</v>
      </c>
      <c r="R13" s="2082"/>
      <c r="S13" s="2084">
        <v>-7</v>
      </c>
      <c r="T13" s="2082"/>
      <c r="U13" s="2320">
        <v>-8</v>
      </c>
      <c r="V13" s="2320"/>
      <c r="W13" s="2320"/>
    </row>
    <row r="14" spans="1:23">
      <c r="A14" s="2082"/>
      <c r="B14" s="2082"/>
      <c r="C14" s="2083"/>
      <c r="D14" s="2082"/>
      <c r="E14" s="2082"/>
      <c r="F14" s="2082"/>
      <c r="G14" s="2084"/>
      <c r="H14" s="2084"/>
      <c r="I14" s="2084"/>
      <c r="J14" s="2084"/>
      <c r="K14" s="2084"/>
      <c r="L14" s="2082"/>
      <c r="M14" s="2084"/>
      <c r="N14" s="2082"/>
      <c r="O14" s="2321" t="s">
        <v>2723</v>
      </c>
      <c r="P14" s="2321"/>
      <c r="Q14" s="2321"/>
      <c r="R14" s="2321"/>
      <c r="S14" s="2321"/>
      <c r="T14" s="2321"/>
      <c r="U14" s="2321"/>
      <c r="V14" s="2321"/>
      <c r="W14" s="2321"/>
    </row>
    <row r="15" spans="1:23">
      <c r="A15" s="2079"/>
      <c r="B15" s="2079"/>
      <c r="C15" s="2078"/>
      <c r="D15" s="2079"/>
      <c r="E15" s="2079"/>
      <c r="F15" s="2079"/>
      <c r="G15" s="2317" t="s">
        <v>2724</v>
      </c>
      <c r="H15" s="2317"/>
      <c r="I15" s="2317"/>
      <c r="J15" s="2317"/>
      <c r="K15" s="2317"/>
      <c r="L15" s="2143"/>
      <c r="M15" s="2143"/>
      <c r="N15" s="2143"/>
      <c r="O15" s="2143"/>
      <c r="P15" s="2140"/>
      <c r="Q15" s="2142" t="s">
        <v>2725</v>
      </c>
      <c r="R15" s="2140"/>
      <c r="S15" s="2140"/>
      <c r="T15" s="2079"/>
      <c r="U15" s="2143"/>
      <c r="V15" s="2142"/>
      <c r="W15" s="2142"/>
    </row>
    <row r="16" spans="1:23">
      <c r="A16" s="2079"/>
      <c r="B16" s="2079"/>
      <c r="C16" s="2110" t="s">
        <v>2726</v>
      </c>
      <c r="D16" s="2079"/>
      <c r="E16" s="2079"/>
      <c r="F16" s="2079"/>
      <c r="G16" s="2110"/>
      <c r="H16" s="2110"/>
      <c r="I16" s="2110" t="s">
        <v>1170</v>
      </c>
      <c r="J16" s="2110"/>
      <c r="K16" s="2110"/>
      <c r="L16" s="2079"/>
      <c r="M16" s="2110" t="s">
        <v>731</v>
      </c>
      <c r="N16" s="2079"/>
      <c r="O16" s="2110"/>
      <c r="P16" s="2079"/>
      <c r="Q16" s="2110" t="s">
        <v>1170</v>
      </c>
      <c r="R16" s="2079"/>
      <c r="S16" s="2110"/>
      <c r="T16" s="2079"/>
      <c r="U16" s="2110"/>
      <c r="V16" s="2079"/>
      <c r="W16" s="2110"/>
    </row>
    <row r="17" spans="1:23">
      <c r="A17" s="2110" t="s">
        <v>53</v>
      </c>
      <c r="B17" s="2079"/>
      <c r="C17" s="2110" t="s">
        <v>2727</v>
      </c>
      <c r="D17" s="2079"/>
      <c r="E17" s="2079"/>
      <c r="F17" s="2085"/>
      <c r="G17" s="2086"/>
      <c r="H17" s="2086"/>
      <c r="I17" s="2086" t="s">
        <v>2728</v>
      </c>
      <c r="J17" s="2086"/>
      <c r="K17" s="2086"/>
      <c r="L17" s="2085"/>
      <c r="M17" s="2110" t="s">
        <v>2729</v>
      </c>
      <c r="N17" s="2085"/>
      <c r="O17" s="2086"/>
      <c r="P17" s="2085"/>
      <c r="Q17" s="2086" t="s">
        <v>2728</v>
      </c>
      <c r="R17" s="2085"/>
      <c r="S17" s="2081"/>
      <c r="T17" s="2085"/>
      <c r="U17" s="2087">
        <v>0</v>
      </c>
      <c r="V17" s="2085"/>
      <c r="W17" s="2087">
        <v>1</v>
      </c>
    </row>
    <row r="18" spans="1:23">
      <c r="A18" s="2142" t="s">
        <v>730</v>
      </c>
      <c r="B18" s="2143"/>
      <c r="C18" s="2142" t="s">
        <v>730</v>
      </c>
      <c r="D18" s="2143"/>
      <c r="E18" s="2142" t="s">
        <v>731</v>
      </c>
      <c r="F18" s="2143"/>
      <c r="G18" s="2144" t="s">
        <v>2956</v>
      </c>
      <c r="H18" s="2142"/>
      <c r="I18" s="2142" t="s">
        <v>2730</v>
      </c>
      <c r="J18" s="2142"/>
      <c r="K18" s="2142" t="s">
        <v>81</v>
      </c>
      <c r="L18" s="2143"/>
      <c r="M18" s="2142" t="s">
        <v>2731</v>
      </c>
      <c r="N18" s="2143"/>
      <c r="O18" s="2144" t="s">
        <v>2956</v>
      </c>
      <c r="P18" s="2143"/>
      <c r="Q18" s="2142" t="s">
        <v>2730</v>
      </c>
      <c r="R18" s="2143"/>
      <c r="S18" s="2142" t="s">
        <v>81</v>
      </c>
      <c r="T18" s="2143"/>
      <c r="U18" s="2142" t="s">
        <v>498</v>
      </c>
      <c r="V18" s="2143"/>
      <c r="W18" s="2142" t="s">
        <v>670</v>
      </c>
    </row>
    <row r="19" spans="1:23">
      <c r="A19" s="2079"/>
      <c r="B19" s="2079"/>
      <c r="C19" s="2078"/>
      <c r="D19" s="2079"/>
      <c r="E19" s="2079"/>
      <c r="F19" s="2079"/>
      <c r="G19" s="2110"/>
      <c r="H19" s="2110"/>
      <c r="I19" s="2110"/>
      <c r="J19" s="2110"/>
      <c r="K19" s="2110"/>
      <c r="L19" s="2079"/>
      <c r="M19" s="2079"/>
      <c r="N19" s="2079"/>
      <c r="O19" s="2079"/>
      <c r="P19" s="2079"/>
      <c r="Q19" s="2079"/>
      <c r="R19" s="2079"/>
      <c r="S19" s="2079"/>
      <c r="T19" s="2079"/>
      <c r="U19" s="2079"/>
      <c r="V19" s="2079"/>
      <c r="W19" s="2079"/>
    </row>
    <row r="20" spans="1:23">
      <c r="A20" s="2110">
        <v>1</v>
      </c>
      <c r="B20" s="2088" t="s">
        <v>2732</v>
      </c>
      <c r="C20" s="2078"/>
      <c r="D20" s="2079"/>
      <c r="E20" s="2079"/>
      <c r="F20" s="2079"/>
      <c r="G20" s="2110"/>
      <c r="H20" s="2110"/>
      <c r="I20" s="2110"/>
      <c r="J20" s="2110"/>
      <c r="K20" s="2110"/>
      <c r="L20" s="2079"/>
      <c r="M20" s="2079"/>
      <c r="N20" s="2079"/>
      <c r="O20" s="2089"/>
      <c r="P20" s="2089"/>
      <c r="Q20" s="2089"/>
      <c r="R20" s="2089"/>
      <c r="S20" s="2089"/>
      <c r="T20" s="2089"/>
      <c r="U20" s="2089"/>
      <c r="V20" s="2089"/>
      <c r="W20" s="2089"/>
    </row>
    <row r="21" spans="1:23">
      <c r="A21" s="2110">
        <v>2</v>
      </c>
      <c r="B21" s="2079"/>
      <c r="C21" s="2078">
        <v>403</v>
      </c>
      <c r="D21" s="2079"/>
      <c r="E21" s="2079" t="s">
        <v>379</v>
      </c>
      <c r="F21" s="2079"/>
      <c r="G21" s="2090">
        <v>1.2068168006246766E-2</v>
      </c>
      <c r="H21" s="2110"/>
      <c r="I21" s="2090">
        <v>0.98793183199375312</v>
      </c>
      <c r="J21" s="2090"/>
      <c r="K21" s="2090">
        <v>1</v>
      </c>
      <c r="L21" s="2079"/>
      <c r="M21" s="2091" t="s">
        <v>347</v>
      </c>
      <c r="N21" s="2079"/>
      <c r="O21" s="2092">
        <v>3747.59</v>
      </c>
      <c r="P21" s="2092"/>
      <c r="Q21" s="2089">
        <v>306787.52999999997</v>
      </c>
      <c r="R21" s="2092"/>
      <c r="S21" s="2092">
        <v>310535.12</v>
      </c>
      <c r="T21" s="2092"/>
      <c r="U21" s="2089">
        <v>0</v>
      </c>
      <c r="V21" s="2089"/>
      <c r="W21" s="2089">
        <v>3747.59</v>
      </c>
    </row>
    <row r="22" spans="1:23">
      <c r="A22" s="2110">
        <v>3</v>
      </c>
      <c r="B22" s="2079"/>
      <c r="C22" s="2078">
        <v>408</v>
      </c>
      <c r="D22" s="2079"/>
      <c r="E22" s="2079" t="s">
        <v>25</v>
      </c>
      <c r="F22" s="2079"/>
      <c r="G22" s="2090">
        <v>1.2416572362732163E-2</v>
      </c>
      <c r="H22" s="2110"/>
      <c r="I22" s="2090">
        <v>0.98758342763726781</v>
      </c>
      <c r="J22" s="2090"/>
      <c r="K22" s="2090">
        <v>1</v>
      </c>
      <c r="L22" s="2079"/>
      <c r="M22" s="2091" t="s">
        <v>347</v>
      </c>
      <c r="N22" s="2079"/>
      <c r="O22" s="2092">
        <v>614</v>
      </c>
      <c r="P22" s="2089"/>
      <c r="Q22" s="2089">
        <v>48836.04</v>
      </c>
      <c r="R22" s="2089"/>
      <c r="S22" s="2092">
        <v>49450.04</v>
      </c>
      <c r="T22" s="2089"/>
      <c r="U22" s="2089">
        <v>0</v>
      </c>
      <c r="V22" s="2089"/>
      <c r="W22" s="2089">
        <v>614</v>
      </c>
    </row>
    <row r="23" spans="1:23">
      <c r="A23" s="2110">
        <v>4</v>
      </c>
      <c r="B23" s="2079"/>
      <c r="C23" s="2078">
        <v>409</v>
      </c>
      <c r="D23" s="2079"/>
      <c r="E23" s="2079" t="s">
        <v>2733</v>
      </c>
      <c r="F23" s="2079"/>
      <c r="G23" s="2090">
        <v>0</v>
      </c>
      <c r="H23" s="2110"/>
      <c r="I23" s="2090">
        <v>0</v>
      </c>
      <c r="J23" s="2090"/>
      <c r="K23" s="2090">
        <v>0</v>
      </c>
      <c r="L23" s="2079"/>
      <c r="M23" s="2091" t="s">
        <v>347</v>
      </c>
      <c r="N23" s="2079"/>
      <c r="O23" s="2092">
        <v>0</v>
      </c>
      <c r="P23" s="2089"/>
      <c r="Q23" s="2089">
        <v>0</v>
      </c>
      <c r="R23" s="2089"/>
      <c r="S23" s="2092">
        <v>0</v>
      </c>
      <c r="T23" s="2089"/>
      <c r="U23" s="2089">
        <v>0</v>
      </c>
      <c r="V23" s="2089"/>
      <c r="W23" s="2089">
        <v>0</v>
      </c>
    </row>
    <row r="24" spans="1:23">
      <c r="A24" s="2110">
        <v>5</v>
      </c>
      <c r="B24" s="2079"/>
      <c r="C24" s="2078">
        <v>410</v>
      </c>
      <c r="D24" s="2079"/>
      <c r="E24" s="2079" t="s">
        <v>2734</v>
      </c>
      <c r="F24" s="2079"/>
      <c r="G24" s="2090">
        <v>0</v>
      </c>
      <c r="H24" s="2110"/>
      <c r="I24" s="2090">
        <v>0</v>
      </c>
      <c r="J24" s="2090"/>
      <c r="K24" s="2090">
        <v>0</v>
      </c>
      <c r="L24" s="2079"/>
      <c r="M24" s="2091" t="s">
        <v>347</v>
      </c>
      <c r="N24" s="2079"/>
      <c r="O24" s="2092">
        <v>0</v>
      </c>
      <c r="P24" s="2089"/>
      <c r="Q24" s="2089">
        <v>0</v>
      </c>
      <c r="R24" s="2089"/>
      <c r="S24" s="2092">
        <v>0</v>
      </c>
      <c r="T24" s="2089"/>
      <c r="U24" s="2089">
        <v>0</v>
      </c>
      <c r="V24" s="2089"/>
      <c r="W24" s="2089">
        <v>0</v>
      </c>
    </row>
    <row r="25" spans="1:23">
      <c r="A25" s="2110">
        <v>6</v>
      </c>
      <c r="B25" s="2079"/>
      <c r="C25" s="2078" t="s">
        <v>2735</v>
      </c>
      <c r="D25" s="2079"/>
      <c r="E25" s="2079" t="s">
        <v>530</v>
      </c>
      <c r="F25" s="2079"/>
      <c r="G25" s="2090">
        <v>0</v>
      </c>
      <c r="H25" s="2110"/>
      <c r="I25" s="2090">
        <v>0</v>
      </c>
      <c r="J25" s="2090"/>
      <c r="K25" s="2090">
        <v>0</v>
      </c>
      <c r="L25" s="2079"/>
      <c r="M25" s="2091" t="s">
        <v>347</v>
      </c>
      <c r="N25" s="2079"/>
      <c r="O25" s="2092">
        <v>0</v>
      </c>
      <c r="P25" s="2089"/>
      <c r="Q25" s="2089">
        <v>0</v>
      </c>
      <c r="R25" s="2089"/>
      <c r="S25" s="2092">
        <v>0</v>
      </c>
      <c r="T25" s="2089"/>
      <c r="U25" s="2089">
        <v>0</v>
      </c>
      <c r="V25" s="2089"/>
      <c r="W25" s="2089">
        <v>0</v>
      </c>
    </row>
    <row r="26" spans="1:23">
      <c r="A26" s="2110">
        <v>7</v>
      </c>
      <c r="B26" s="2079"/>
      <c r="C26" s="2078">
        <v>427</v>
      </c>
      <c r="D26" s="2079"/>
      <c r="E26" s="2079" t="s">
        <v>2619</v>
      </c>
      <c r="F26" s="2079"/>
      <c r="G26" s="2090">
        <v>1.2415768194070082E-2</v>
      </c>
      <c r="H26" s="2110"/>
      <c r="I26" s="2090">
        <v>0.98758423180592991</v>
      </c>
      <c r="J26" s="2090"/>
      <c r="K26" s="2090">
        <v>1</v>
      </c>
      <c r="L26" s="2079"/>
      <c r="M26" s="2091" t="s">
        <v>347</v>
      </c>
      <c r="N26" s="2079"/>
      <c r="O26" s="2092">
        <v>-51.59</v>
      </c>
      <c r="P26" s="2089"/>
      <c r="Q26" s="2089">
        <v>-4103.6099999999997</v>
      </c>
      <c r="R26" s="2089"/>
      <c r="S26" s="2092">
        <v>-4155.2</v>
      </c>
      <c r="T26" s="2089"/>
      <c r="U26" s="2089">
        <v>0</v>
      </c>
      <c r="V26" s="2089"/>
      <c r="W26" s="2089">
        <v>-51.59</v>
      </c>
    </row>
    <row r="27" spans="1:23">
      <c r="A27" s="2110">
        <v>8</v>
      </c>
      <c r="B27" s="2079"/>
      <c r="C27" s="2078" t="s">
        <v>2736</v>
      </c>
      <c r="D27" s="2079"/>
      <c r="E27" s="2079" t="s">
        <v>2737</v>
      </c>
      <c r="F27" s="2079"/>
      <c r="G27" s="2090">
        <v>1.241654814867266E-2</v>
      </c>
      <c r="H27" s="2110"/>
      <c r="I27" s="2090">
        <v>0.98758345185132734</v>
      </c>
      <c r="J27" s="2090"/>
      <c r="K27" s="2090">
        <v>1</v>
      </c>
      <c r="L27" s="2079"/>
      <c r="M27" s="2091" t="s">
        <v>347</v>
      </c>
      <c r="N27" s="2091"/>
      <c r="O27" s="2092">
        <v>4387.2999999999993</v>
      </c>
      <c r="P27" s="2092"/>
      <c r="Q27" s="2089">
        <v>348955.67</v>
      </c>
      <c r="R27" s="2092"/>
      <c r="S27" s="2092">
        <v>353342.97</v>
      </c>
      <c r="T27" s="2092"/>
      <c r="U27" s="2089">
        <v>0</v>
      </c>
      <c r="V27" s="2089"/>
      <c r="W27" s="2089">
        <v>4387.2999999999993</v>
      </c>
    </row>
    <row r="28" spans="1:23">
      <c r="A28" s="2110">
        <v>9</v>
      </c>
      <c r="B28" s="2079"/>
      <c r="C28" s="2078" t="s">
        <v>2002</v>
      </c>
      <c r="D28" s="2079"/>
      <c r="E28" s="2079" t="s">
        <v>2738</v>
      </c>
      <c r="F28" s="2079"/>
      <c r="G28" s="2090">
        <v>1.2416543352339708E-2</v>
      </c>
      <c r="H28" s="2110"/>
      <c r="I28" s="2090">
        <v>0.98758345664766034</v>
      </c>
      <c r="J28" s="2090"/>
      <c r="K28" s="2090">
        <v>1</v>
      </c>
      <c r="L28" s="2079"/>
      <c r="M28" s="2091" t="s">
        <v>347</v>
      </c>
      <c r="N28" s="2079"/>
      <c r="O28" s="2092">
        <v>8740.58</v>
      </c>
      <c r="P28" s="2089"/>
      <c r="Q28" s="2089">
        <v>695205.74</v>
      </c>
      <c r="R28" s="2089"/>
      <c r="S28" s="2092">
        <v>703946.32</v>
      </c>
      <c r="T28" s="2089"/>
      <c r="U28" s="2089">
        <v>0</v>
      </c>
      <c r="V28" s="2089"/>
      <c r="W28" s="2089">
        <v>8740.58</v>
      </c>
    </row>
    <row r="29" spans="1:23">
      <c r="A29" s="2110">
        <v>10</v>
      </c>
      <c r="B29" s="2079"/>
      <c r="C29" s="2078" t="s">
        <v>1991</v>
      </c>
      <c r="D29" s="2079"/>
      <c r="E29" s="2079" t="s">
        <v>2739</v>
      </c>
      <c r="F29" s="2079"/>
      <c r="G29" s="2090">
        <v>1.2416554252609464E-2</v>
      </c>
      <c r="H29" s="2110"/>
      <c r="I29" s="2090">
        <v>0.98758344574739054</v>
      </c>
      <c r="J29" s="2090"/>
      <c r="K29" s="2090">
        <v>1</v>
      </c>
      <c r="L29" s="2079"/>
      <c r="M29" s="2091" t="s">
        <v>347</v>
      </c>
      <c r="N29" s="2079"/>
      <c r="O29" s="2092">
        <v>1105.55</v>
      </c>
      <c r="P29" s="2089"/>
      <c r="Q29" s="2089">
        <v>87932.84</v>
      </c>
      <c r="R29" s="2089"/>
      <c r="S29" s="2092">
        <v>89038.39</v>
      </c>
      <c r="T29" s="2089"/>
      <c r="U29" s="2089">
        <v>0</v>
      </c>
      <c r="V29" s="2089"/>
      <c r="W29" s="2089">
        <v>1105.55</v>
      </c>
    </row>
    <row r="30" spans="1:23">
      <c r="A30" s="2110">
        <v>11</v>
      </c>
      <c r="B30" s="2079"/>
      <c r="C30" s="2078" t="s">
        <v>2056</v>
      </c>
      <c r="D30" s="2079"/>
      <c r="E30" s="2079" t="s">
        <v>2740</v>
      </c>
      <c r="F30" s="2079"/>
      <c r="G30" s="2090">
        <v>1.2416570314259081E-2</v>
      </c>
      <c r="H30" s="2110"/>
      <c r="I30" s="2090">
        <v>0.98758342968574098</v>
      </c>
      <c r="J30" s="2090"/>
      <c r="K30" s="2090">
        <v>1</v>
      </c>
      <c r="L30" s="2079"/>
      <c r="M30" s="2091" t="s">
        <v>347</v>
      </c>
      <c r="N30" s="2079"/>
      <c r="O30" s="2092">
        <v>669.46</v>
      </c>
      <c r="P30" s="2089"/>
      <c r="Q30" s="2089">
        <v>53247.200000000004</v>
      </c>
      <c r="R30" s="2089"/>
      <c r="S30" s="2092">
        <v>53916.66</v>
      </c>
      <c r="T30" s="2089"/>
      <c r="U30" s="2089">
        <v>0</v>
      </c>
      <c r="V30" s="2089"/>
      <c r="W30" s="2089">
        <v>669.46</v>
      </c>
    </row>
    <row r="31" spans="1:23">
      <c r="A31" s="2110">
        <v>12</v>
      </c>
      <c r="B31" s="2079"/>
      <c r="C31" s="2078" t="s">
        <v>2063</v>
      </c>
      <c r="D31" s="2079"/>
      <c r="E31" s="2079" t="s">
        <v>1248</v>
      </c>
      <c r="F31" s="2079"/>
      <c r="G31" s="2090">
        <v>0</v>
      </c>
      <c r="H31" s="2110"/>
      <c r="I31" s="2090">
        <v>0</v>
      </c>
      <c r="J31" s="2090"/>
      <c r="K31" s="2090">
        <v>0</v>
      </c>
      <c r="L31" s="2079"/>
      <c r="M31" s="2091" t="s">
        <v>347</v>
      </c>
      <c r="N31" s="2079"/>
      <c r="O31" s="2092">
        <v>0</v>
      </c>
      <c r="P31" s="2089"/>
      <c r="Q31" s="2089">
        <v>0</v>
      </c>
      <c r="R31" s="2089"/>
      <c r="S31" s="2092">
        <v>0</v>
      </c>
      <c r="T31" s="2089"/>
      <c r="U31" s="2089">
        <v>0</v>
      </c>
      <c r="V31" s="2089"/>
      <c r="W31" s="2089">
        <v>0</v>
      </c>
    </row>
    <row r="32" spans="1:23">
      <c r="A32" s="2110">
        <v>13</v>
      </c>
      <c r="B32" s="2079"/>
      <c r="C32" s="2078" t="s">
        <v>1981</v>
      </c>
      <c r="D32" s="2079"/>
      <c r="E32" s="2079" t="s">
        <v>1250</v>
      </c>
      <c r="F32" s="2079"/>
      <c r="G32" s="2090">
        <v>1.2416478363555821E-2</v>
      </c>
      <c r="H32" s="2110"/>
      <c r="I32" s="2090">
        <v>0.98758352163644414</v>
      </c>
      <c r="J32" s="2090"/>
      <c r="K32" s="2090">
        <v>1</v>
      </c>
      <c r="L32" s="2079"/>
      <c r="M32" s="2091" t="s">
        <v>347</v>
      </c>
      <c r="N32" s="2079"/>
      <c r="O32" s="2092">
        <v>1050.24</v>
      </c>
      <c r="P32" s="2089"/>
      <c r="Q32" s="2089">
        <v>83534.12999999999</v>
      </c>
      <c r="R32" s="2089"/>
      <c r="S32" s="2092">
        <v>84584.37</v>
      </c>
      <c r="T32" s="2089"/>
      <c r="U32" s="2089">
        <v>0</v>
      </c>
      <c r="V32" s="2089"/>
      <c r="W32" s="2089">
        <v>1050.24</v>
      </c>
    </row>
    <row r="33" spans="1:23">
      <c r="A33" s="2110">
        <v>14</v>
      </c>
      <c r="B33" s="2079"/>
      <c r="C33" s="2078" t="s">
        <v>2741</v>
      </c>
      <c r="D33" s="2079"/>
      <c r="E33" s="2079" t="s">
        <v>2742</v>
      </c>
      <c r="F33" s="2079"/>
      <c r="G33" s="2090">
        <v>1.2417840375586854E-2</v>
      </c>
      <c r="H33" s="2110"/>
      <c r="I33" s="2090">
        <v>0.98758215962441309</v>
      </c>
      <c r="J33" s="2090"/>
      <c r="K33" s="2090">
        <v>1</v>
      </c>
      <c r="L33" s="2079"/>
      <c r="M33" s="2091" t="s">
        <v>347</v>
      </c>
      <c r="N33" s="2079"/>
      <c r="O33" s="2092">
        <v>21.16</v>
      </c>
      <c r="P33" s="2089"/>
      <c r="Q33" s="2089">
        <v>1682.84</v>
      </c>
      <c r="R33" s="2089"/>
      <c r="S33" s="2092">
        <v>1704</v>
      </c>
      <c r="T33" s="2089"/>
      <c r="U33" s="2089">
        <v>0</v>
      </c>
      <c r="V33" s="2089"/>
      <c r="W33" s="2089">
        <v>21.16</v>
      </c>
    </row>
    <row r="34" spans="1:23">
      <c r="A34" s="2110">
        <v>15</v>
      </c>
      <c r="B34" s="2079"/>
      <c r="C34" s="2078" t="s">
        <v>2076</v>
      </c>
      <c r="D34" s="2079"/>
      <c r="E34" s="2079" t="s">
        <v>2519</v>
      </c>
      <c r="F34" s="2079"/>
      <c r="G34" s="2090">
        <v>1.2419898262535508E-2</v>
      </c>
      <c r="H34" s="2110"/>
      <c r="I34" s="2090">
        <v>0.98758010173746447</v>
      </c>
      <c r="J34" s="2090"/>
      <c r="K34" s="2090">
        <v>1</v>
      </c>
      <c r="L34" s="2079"/>
      <c r="M34" s="2091" t="s">
        <v>347</v>
      </c>
      <c r="N34" s="2079"/>
      <c r="O34" s="2092">
        <v>13.16</v>
      </c>
      <c r="P34" s="2089"/>
      <c r="Q34" s="2089">
        <v>1046.43</v>
      </c>
      <c r="R34" s="2089"/>
      <c r="S34" s="2092">
        <v>1059.5900000000001</v>
      </c>
      <c r="T34" s="2089"/>
      <c r="U34" s="2089">
        <v>0</v>
      </c>
      <c r="V34" s="2089"/>
      <c r="W34" s="2089">
        <v>13.16</v>
      </c>
    </row>
    <row r="35" spans="1:23">
      <c r="A35" s="2110">
        <v>16</v>
      </c>
      <c r="B35" s="2079"/>
      <c r="C35" s="2078" t="s">
        <v>2743</v>
      </c>
      <c r="D35" s="2079"/>
      <c r="E35" s="2079" t="s">
        <v>2523</v>
      </c>
      <c r="F35" s="2079"/>
      <c r="G35" s="2090">
        <v>1.2416541859353725E-2</v>
      </c>
      <c r="H35" s="2110"/>
      <c r="I35" s="2090">
        <v>0.98758345814064619</v>
      </c>
      <c r="J35" s="2090"/>
      <c r="K35" s="2090">
        <v>1</v>
      </c>
      <c r="L35" s="2079"/>
      <c r="M35" s="2091" t="s">
        <v>347</v>
      </c>
      <c r="N35" s="2079"/>
      <c r="O35" s="2092">
        <v>2308.98</v>
      </c>
      <c r="P35" s="2089"/>
      <c r="Q35" s="2089">
        <v>183651.00999999998</v>
      </c>
      <c r="R35" s="2089"/>
      <c r="S35" s="2092">
        <v>185959.99</v>
      </c>
      <c r="T35" s="2089"/>
      <c r="U35" s="2089">
        <v>0</v>
      </c>
      <c r="V35" s="2089"/>
      <c r="W35" s="2089">
        <v>2308.98</v>
      </c>
    </row>
    <row r="36" spans="1:23">
      <c r="A36" s="2110">
        <v>17</v>
      </c>
      <c r="B36" s="2079"/>
      <c r="C36" s="2078" t="s">
        <v>2015</v>
      </c>
      <c r="D36" s="2079"/>
      <c r="E36" s="2079" t="s">
        <v>2744</v>
      </c>
      <c r="F36" s="2079"/>
      <c r="G36" s="2090">
        <v>1.2416424758105098E-2</v>
      </c>
      <c r="H36" s="2110"/>
      <c r="I36" s="2090">
        <v>0.98758357524189488</v>
      </c>
      <c r="J36" s="2090"/>
      <c r="K36" s="2090">
        <v>1</v>
      </c>
      <c r="L36" s="2079"/>
      <c r="M36" s="2091" t="s">
        <v>347</v>
      </c>
      <c r="N36" s="2079"/>
      <c r="O36" s="2092">
        <v>75.75</v>
      </c>
      <c r="P36" s="2089"/>
      <c r="Q36" s="2089">
        <v>6025.04</v>
      </c>
      <c r="R36" s="2089"/>
      <c r="S36" s="2092">
        <v>6100.79</v>
      </c>
      <c r="T36" s="2089"/>
      <c r="U36" s="2089">
        <v>0</v>
      </c>
      <c r="V36" s="2089"/>
      <c r="W36" s="2089">
        <v>75.75</v>
      </c>
    </row>
    <row r="37" spans="1:23">
      <c r="A37" s="2110">
        <v>18</v>
      </c>
      <c r="B37" s="2079"/>
      <c r="C37" s="2078" t="s">
        <v>1984</v>
      </c>
      <c r="D37" s="2079"/>
      <c r="E37" s="2079" t="s">
        <v>1253</v>
      </c>
      <c r="F37" s="2079"/>
      <c r="G37" s="2090">
        <v>1.241814642204E-2</v>
      </c>
      <c r="H37" s="2110"/>
      <c r="I37" s="2090">
        <v>0.98758185357796002</v>
      </c>
      <c r="J37" s="2090"/>
      <c r="K37" s="2090">
        <v>1</v>
      </c>
      <c r="L37" s="2079"/>
      <c r="M37" s="2091" t="s">
        <v>347</v>
      </c>
      <c r="N37" s="2079"/>
      <c r="O37" s="2092">
        <v>12.63</v>
      </c>
      <c r="P37" s="2089"/>
      <c r="Q37" s="2089">
        <v>1004.43</v>
      </c>
      <c r="R37" s="2089"/>
      <c r="S37" s="2092">
        <v>1017.06</v>
      </c>
      <c r="T37" s="2089"/>
      <c r="U37" s="2089">
        <v>0</v>
      </c>
      <c r="V37" s="2089"/>
      <c r="W37" s="2089">
        <v>12.63</v>
      </c>
    </row>
    <row r="38" spans="1:23">
      <c r="A38" s="2110">
        <v>19</v>
      </c>
      <c r="B38" s="2079"/>
      <c r="C38" s="2078" t="s">
        <v>1998</v>
      </c>
      <c r="D38" s="2079"/>
      <c r="E38" s="2079" t="s">
        <v>2535</v>
      </c>
      <c r="F38" s="2079"/>
      <c r="G38" s="2090">
        <v>1.2416666962285111E-2</v>
      </c>
      <c r="H38" s="2110"/>
      <c r="I38" s="2090">
        <v>0.98758333303771484</v>
      </c>
      <c r="J38" s="2090"/>
      <c r="K38" s="2090">
        <v>1</v>
      </c>
      <c r="L38" s="2079"/>
      <c r="M38" s="2091" t="s">
        <v>347</v>
      </c>
      <c r="N38" s="2079"/>
      <c r="O38" s="2092">
        <v>1435.0799999999995</v>
      </c>
      <c r="P38" s="2089"/>
      <c r="Q38" s="2089">
        <v>114141.82999999999</v>
      </c>
      <c r="R38" s="2089"/>
      <c r="S38" s="2092">
        <v>115576.90999999999</v>
      </c>
      <c r="T38" s="2089"/>
      <c r="U38" s="2089">
        <v>0</v>
      </c>
      <c r="V38" s="2089"/>
      <c r="W38" s="2089">
        <v>1435.0799999999995</v>
      </c>
    </row>
    <row r="39" spans="1:23" ht="12.75" thickBot="1">
      <c r="A39" s="2110">
        <v>20</v>
      </c>
      <c r="B39" s="2079"/>
      <c r="C39" s="2078"/>
      <c r="D39" s="2079"/>
      <c r="E39" s="2079"/>
      <c r="F39" s="2079"/>
      <c r="G39" s="2090"/>
      <c r="H39" s="2110"/>
      <c r="I39" s="2110"/>
      <c r="J39" s="2110"/>
      <c r="K39" s="2110"/>
      <c r="L39" s="2079"/>
      <c r="M39" s="2079"/>
      <c r="N39" s="2079"/>
      <c r="O39" s="2093">
        <v>24129.889999999996</v>
      </c>
      <c r="P39" s="2089"/>
      <c r="Q39" s="2093">
        <v>1927947.1199999999</v>
      </c>
      <c r="R39" s="2089"/>
      <c r="S39" s="2093">
        <v>1952077.01</v>
      </c>
      <c r="T39" s="2089"/>
      <c r="U39" s="2094">
        <v>0</v>
      </c>
      <c r="V39" s="2089"/>
      <c r="W39" s="2094">
        <v>24129.889999999996</v>
      </c>
    </row>
    <row r="40" spans="1:23" ht="12.75" thickTop="1">
      <c r="A40" s="2110">
        <v>21</v>
      </c>
      <c r="B40" s="2079"/>
      <c r="C40" s="2078"/>
      <c r="D40" s="2079"/>
      <c r="E40" s="2079"/>
      <c r="F40" s="2079"/>
      <c r="G40" s="2090"/>
      <c r="H40" s="2110"/>
      <c r="I40" s="2110"/>
      <c r="J40" s="2110"/>
      <c r="K40" s="2110"/>
      <c r="L40" s="2079"/>
      <c r="M40" s="2079"/>
      <c r="N40" s="2079"/>
      <c r="O40" s="2089"/>
      <c r="P40" s="2089"/>
      <c r="Q40" s="2089"/>
      <c r="R40" s="2089"/>
      <c r="S40" s="2089"/>
      <c r="T40" s="2089"/>
      <c r="U40" s="2089"/>
      <c r="V40" s="2089"/>
      <c r="W40" s="2089"/>
    </row>
    <row r="41" spans="1:23">
      <c r="A41" s="2110">
        <v>22</v>
      </c>
      <c r="B41" s="2088" t="s">
        <v>2745</v>
      </c>
      <c r="C41" s="2078"/>
      <c r="D41" s="2079"/>
      <c r="E41" s="2079"/>
      <c r="F41" s="2079"/>
      <c r="G41" s="2090"/>
      <c r="H41" s="2110"/>
      <c r="I41" s="2090"/>
      <c r="J41" s="2090"/>
      <c r="K41" s="2090"/>
      <c r="L41" s="2079"/>
      <c r="M41" s="2079"/>
      <c r="N41" s="2079"/>
      <c r="O41" s="2089"/>
      <c r="P41" s="2089"/>
      <c r="Q41" s="2089"/>
      <c r="R41" s="2089"/>
      <c r="S41" s="2089"/>
      <c r="T41" s="2089"/>
      <c r="U41" s="2089"/>
      <c r="V41" s="2089"/>
      <c r="W41" s="2089"/>
    </row>
    <row r="42" spans="1:23">
      <c r="A42" s="2110">
        <v>23</v>
      </c>
      <c r="B42" s="2079"/>
      <c r="C42" s="2078"/>
      <c r="D42" s="2079"/>
      <c r="E42" s="2079"/>
      <c r="F42" s="2079"/>
      <c r="G42" s="2090"/>
      <c r="H42" s="2110"/>
      <c r="I42" s="2090"/>
      <c r="J42" s="2090"/>
      <c r="K42" s="2090"/>
      <c r="L42" s="2079"/>
      <c r="M42" s="2079"/>
      <c r="N42" s="2079"/>
      <c r="O42" s="2089"/>
      <c r="P42" s="2089"/>
      <c r="Q42" s="2089"/>
      <c r="R42" s="2089"/>
      <c r="S42" s="2089"/>
      <c r="T42" s="2089"/>
      <c r="U42" s="2089"/>
      <c r="V42" s="2089"/>
      <c r="W42" s="2089"/>
    </row>
    <row r="43" spans="1:23">
      <c r="A43" s="2110">
        <v>24</v>
      </c>
      <c r="B43" s="2079"/>
      <c r="C43" s="2078">
        <v>403</v>
      </c>
      <c r="D43" s="2079"/>
      <c r="E43" s="2079" t="s">
        <v>2746</v>
      </c>
      <c r="F43" s="2079"/>
      <c r="G43" s="2090">
        <v>4.6215622917788315E-2</v>
      </c>
      <c r="H43" s="2110"/>
      <c r="I43" s="2090">
        <v>0.95378437708221175</v>
      </c>
      <c r="J43" s="2090"/>
      <c r="K43" s="2090">
        <v>1</v>
      </c>
      <c r="L43" s="2079"/>
      <c r="M43" s="2091" t="s">
        <v>347</v>
      </c>
      <c r="N43" s="2079"/>
      <c r="O43" s="2092">
        <v>1676.45</v>
      </c>
      <c r="P43" s="2092"/>
      <c r="Q43" s="2092">
        <v>34598.080000000009</v>
      </c>
      <c r="R43" s="2092"/>
      <c r="S43" s="2092">
        <v>36274.530000000006</v>
      </c>
      <c r="T43" s="2092"/>
      <c r="U43" s="994">
        <v>0</v>
      </c>
      <c r="V43" s="994"/>
      <c r="W43" s="994">
        <v>1676.45</v>
      </c>
    </row>
    <row r="44" spans="1:23">
      <c r="A44" s="2110">
        <v>25</v>
      </c>
      <c r="B44" s="2079"/>
      <c r="C44" s="2078">
        <v>408</v>
      </c>
      <c r="D44" s="2079"/>
      <c r="E44" s="2079" t="s">
        <v>25</v>
      </c>
      <c r="F44" s="2079"/>
      <c r="G44" s="2090">
        <v>5.2612739553960383E-2</v>
      </c>
      <c r="H44" s="2110"/>
      <c r="I44" s="2090">
        <v>0.94738726044603971</v>
      </c>
      <c r="J44" s="2090"/>
      <c r="K44" s="2090">
        <v>1</v>
      </c>
      <c r="L44" s="2079"/>
      <c r="M44" s="2091" t="s">
        <v>347</v>
      </c>
      <c r="N44" s="2079"/>
      <c r="O44" s="2092">
        <v>1850.5300000000004</v>
      </c>
      <c r="P44" s="2089"/>
      <c r="Q44" s="2092">
        <v>33322.130000000005</v>
      </c>
      <c r="R44" s="2089"/>
      <c r="S44" s="2092">
        <v>35172.660000000003</v>
      </c>
      <c r="T44" s="2089"/>
      <c r="U44" s="994">
        <v>0</v>
      </c>
      <c r="V44" s="994"/>
      <c r="W44" s="994">
        <v>1850.5300000000004</v>
      </c>
    </row>
    <row r="45" spans="1:23">
      <c r="A45" s="2110">
        <v>26</v>
      </c>
      <c r="B45" s="2079"/>
      <c r="C45" s="2078">
        <v>410</v>
      </c>
      <c r="D45" s="2079"/>
      <c r="E45" s="2079" t="s">
        <v>2734</v>
      </c>
      <c r="F45" s="2079"/>
      <c r="G45" s="2090">
        <v>0</v>
      </c>
      <c r="H45" s="2110"/>
      <c r="I45" s="2090">
        <v>0</v>
      </c>
      <c r="J45" s="2090"/>
      <c r="K45" s="2090">
        <v>0</v>
      </c>
      <c r="L45" s="2079"/>
      <c r="M45" s="2091" t="s">
        <v>347</v>
      </c>
      <c r="N45" s="2079"/>
      <c r="O45" s="2092">
        <v>0</v>
      </c>
      <c r="P45" s="2089"/>
      <c r="Q45" s="2092">
        <v>0</v>
      </c>
      <c r="R45" s="2089"/>
      <c r="S45" s="2092">
        <v>0</v>
      </c>
      <c r="T45" s="2089"/>
      <c r="U45" s="994">
        <v>0</v>
      </c>
      <c r="V45" s="994"/>
      <c r="W45" s="994">
        <v>0</v>
      </c>
    </row>
    <row r="46" spans="1:23">
      <c r="A46" s="2110">
        <v>27</v>
      </c>
      <c r="B46" s="2079"/>
      <c r="C46" s="2078" t="s">
        <v>2747</v>
      </c>
      <c r="D46" s="2079"/>
      <c r="E46" s="2079" t="s">
        <v>25</v>
      </c>
      <c r="F46" s="2079"/>
      <c r="G46" s="2090">
        <v>0</v>
      </c>
      <c r="H46" s="2110"/>
      <c r="I46" s="2090">
        <v>0</v>
      </c>
      <c r="J46" s="2090"/>
      <c r="K46" s="2090">
        <v>0</v>
      </c>
      <c r="L46" s="2079"/>
      <c r="M46" s="2091" t="s">
        <v>347</v>
      </c>
      <c r="N46" s="2079"/>
      <c r="O46" s="2092">
        <v>0</v>
      </c>
      <c r="P46" s="2089"/>
      <c r="Q46" s="2092">
        <v>0</v>
      </c>
      <c r="R46" s="2089"/>
      <c r="S46" s="2092">
        <v>0</v>
      </c>
      <c r="T46" s="2089"/>
      <c r="U46" s="994">
        <v>0</v>
      </c>
      <c r="V46" s="994"/>
      <c r="W46" s="994">
        <v>0</v>
      </c>
    </row>
    <row r="47" spans="1:23">
      <c r="A47" s="2110">
        <v>28</v>
      </c>
      <c r="B47" s="2079"/>
      <c r="C47" s="2078">
        <v>427</v>
      </c>
      <c r="D47" s="2079"/>
      <c r="E47" s="2079" t="s">
        <v>2619</v>
      </c>
      <c r="F47" s="2079"/>
      <c r="G47" s="2090">
        <v>5.2941176470588241E-2</v>
      </c>
      <c r="H47" s="2110"/>
      <c r="I47" s="2090">
        <v>0.94705882352941184</v>
      </c>
      <c r="J47" s="2090"/>
      <c r="K47" s="2090">
        <v>1</v>
      </c>
      <c r="L47" s="2079"/>
      <c r="M47" s="2091" t="s">
        <v>347</v>
      </c>
      <c r="N47" s="2079"/>
      <c r="O47" s="2092">
        <v>0.27</v>
      </c>
      <c r="P47" s="2089"/>
      <c r="Q47" s="2092">
        <v>4.83</v>
      </c>
      <c r="R47" s="2089"/>
      <c r="S47" s="2092">
        <v>5.0999999999999996</v>
      </c>
      <c r="T47" s="2089"/>
      <c r="U47" s="994">
        <v>0</v>
      </c>
      <c r="V47" s="994"/>
      <c r="W47" s="994">
        <v>0.27</v>
      </c>
    </row>
    <row r="48" spans="1:23">
      <c r="A48" s="2110">
        <v>29</v>
      </c>
      <c r="B48" s="2079"/>
      <c r="C48" s="2078" t="s">
        <v>2736</v>
      </c>
      <c r="D48" s="2079"/>
      <c r="E48" s="2079" t="s">
        <v>2737</v>
      </c>
      <c r="F48" s="2079"/>
      <c r="G48" s="2090">
        <v>5.3193527526148206E-2</v>
      </c>
      <c r="H48" s="2110"/>
      <c r="I48" s="2090">
        <v>0.94680647247385175</v>
      </c>
      <c r="J48" s="2090"/>
      <c r="K48" s="2090">
        <v>1</v>
      </c>
      <c r="L48" s="2079"/>
      <c r="M48" s="2091" t="s">
        <v>347</v>
      </c>
      <c r="N48" s="2091"/>
      <c r="O48" s="2092">
        <v>2440.5100000000002</v>
      </c>
      <c r="P48" s="2089"/>
      <c r="Q48" s="2092">
        <v>43439.32</v>
      </c>
      <c r="R48" s="2089"/>
      <c r="S48" s="2092">
        <v>45879.83</v>
      </c>
      <c r="T48" s="2089"/>
      <c r="U48" s="994">
        <v>0</v>
      </c>
      <c r="V48" s="994"/>
      <c r="W48" s="994">
        <v>2440.5100000000002</v>
      </c>
    </row>
    <row r="49" spans="1:23">
      <c r="A49" s="2110">
        <v>30</v>
      </c>
      <c r="B49" s="2079"/>
      <c r="C49" s="2078" t="s">
        <v>2002</v>
      </c>
      <c r="D49" s="2079"/>
      <c r="E49" s="2079" t="s">
        <v>2738</v>
      </c>
      <c r="F49" s="2079"/>
      <c r="G49" s="2090">
        <v>0</v>
      </c>
      <c r="H49" s="2110"/>
      <c r="I49" s="2090">
        <v>0</v>
      </c>
      <c r="J49" s="2090"/>
      <c r="K49" s="2090">
        <v>0</v>
      </c>
      <c r="L49" s="2079"/>
      <c r="M49" s="2091" t="s">
        <v>347</v>
      </c>
      <c r="N49" s="2079"/>
      <c r="O49" s="2092">
        <v>0</v>
      </c>
      <c r="P49" s="2089"/>
      <c r="Q49" s="2092">
        <v>0</v>
      </c>
      <c r="R49" s="2089"/>
      <c r="S49" s="2092">
        <v>0</v>
      </c>
      <c r="T49" s="2089"/>
      <c r="U49" s="994">
        <v>0</v>
      </c>
      <c r="V49" s="994"/>
      <c r="W49" s="994">
        <v>0</v>
      </c>
    </row>
    <row r="50" spans="1:23">
      <c r="A50" s="2110">
        <v>31</v>
      </c>
      <c r="B50" s="2079"/>
      <c r="C50" s="2078" t="s">
        <v>1991</v>
      </c>
      <c r="D50" s="2079"/>
      <c r="E50" s="2079" t="s">
        <v>2739</v>
      </c>
      <c r="F50" s="2079"/>
      <c r="G50" s="2090">
        <v>5.251188753359521E-2</v>
      </c>
      <c r="H50" s="2110"/>
      <c r="I50" s="2090">
        <v>0.94748811246640485</v>
      </c>
      <c r="J50" s="2090"/>
      <c r="K50" s="2090">
        <v>1</v>
      </c>
      <c r="L50" s="2079"/>
      <c r="M50" s="2091" t="s">
        <v>347</v>
      </c>
      <c r="N50" s="2079"/>
      <c r="O50" s="2092">
        <v>12.700000000000001</v>
      </c>
      <c r="P50" s="2089"/>
      <c r="Q50" s="2092">
        <v>229.15</v>
      </c>
      <c r="R50" s="2089"/>
      <c r="S50" s="2092">
        <v>241.85</v>
      </c>
      <c r="T50" s="2089"/>
      <c r="U50" s="994">
        <v>0</v>
      </c>
      <c r="V50" s="994"/>
      <c r="W50" s="994">
        <v>12.700000000000001</v>
      </c>
    </row>
    <row r="51" spans="1:23">
      <c r="A51" s="2110">
        <v>32</v>
      </c>
      <c r="B51" s="2079"/>
      <c r="C51" s="2078" t="s">
        <v>2052</v>
      </c>
      <c r="D51" s="2079"/>
      <c r="E51" s="2079" t="s">
        <v>2748</v>
      </c>
      <c r="F51" s="2079"/>
      <c r="G51" s="2090">
        <v>0</v>
      </c>
      <c r="H51" s="2110"/>
      <c r="I51" s="2090">
        <v>0</v>
      </c>
      <c r="J51" s="2090"/>
      <c r="K51" s="2090">
        <v>0</v>
      </c>
      <c r="L51" s="2079"/>
      <c r="M51" s="2091" t="s">
        <v>347</v>
      </c>
      <c r="N51" s="2079"/>
      <c r="O51" s="2092">
        <v>0</v>
      </c>
      <c r="P51" s="2089"/>
      <c r="Q51" s="2092">
        <v>0</v>
      </c>
      <c r="R51" s="2089"/>
      <c r="S51" s="2092">
        <v>0</v>
      </c>
      <c r="T51" s="2089"/>
      <c r="U51" s="994">
        <v>0</v>
      </c>
      <c r="V51" s="994"/>
      <c r="W51" s="994">
        <v>0</v>
      </c>
    </row>
    <row r="52" spans="1:23">
      <c r="A52" s="2110">
        <v>33</v>
      </c>
      <c r="B52" s="2079"/>
      <c r="C52" s="2078" t="s">
        <v>2063</v>
      </c>
      <c r="D52" s="2079"/>
      <c r="E52" s="2079" t="s">
        <v>1248</v>
      </c>
      <c r="F52" s="2079"/>
      <c r="G52" s="2090">
        <v>0</v>
      </c>
      <c r="H52" s="2110"/>
      <c r="I52" s="2090">
        <v>0</v>
      </c>
      <c r="J52" s="2090"/>
      <c r="K52" s="2090">
        <v>0</v>
      </c>
      <c r="L52" s="2079"/>
      <c r="M52" s="2091" t="s">
        <v>347</v>
      </c>
      <c r="N52" s="2079"/>
      <c r="O52" s="2092">
        <v>0</v>
      </c>
      <c r="P52" s="2089"/>
      <c r="Q52" s="2092">
        <v>0</v>
      </c>
      <c r="R52" s="2089"/>
      <c r="S52" s="2092">
        <v>0</v>
      </c>
      <c r="T52" s="2089"/>
      <c r="U52" s="994">
        <v>0</v>
      </c>
      <c r="V52" s="994"/>
      <c r="W52" s="994">
        <v>0</v>
      </c>
    </row>
    <row r="53" spans="1:23">
      <c r="A53" s="2110">
        <v>34</v>
      </c>
      <c r="B53" s="2079"/>
      <c r="C53" s="2078">
        <v>635</v>
      </c>
      <c r="D53" s="2079"/>
      <c r="E53" s="2079" t="s">
        <v>2749</v>
      </c>
      <c r="F53" s="2079"/>
      <c r="G53" s="2090">
        <v>0.10780333333333335</v>
      </c>
      <c r="H53" s="2110"/>
      <c r="I53" s="2090">
        <v>0.89219666666666675</v>
      </c>
      <c r="J53" s="2090"/>
      <c r="K53" s="2090">
        <v>1</v>
      </c>
      <c r="L53" s="2079"/>
      <c r="M53" s="2091" t="s">
        <v>347</v>
      </c>
      <c r="N53" s="2079"/>
      <c r="O53" s="2092">
        <v>323.41000000000003</v>
      </c>
      <c r="P53" s="2089"/>
      <c r="Q53" s="2092">
        <v>2676.59</v>
      </c>
      <c r="R53" s="2089"/>
      <c r="S53" s="2092">
        <v>3000</v>
      </c>
      <c r="T53" s="2089"/>
      <c r="U53" s="994">
        <v>0</v>
      </c>
      <c r="V53" s="994"/>
      <c r="W53" s="994">
        <v>323.41000000000003</v>
      </c>
    </row>
    <row r="54" spans="1:23">
      <c r="A54" s="2110">
        <v>35</v>
      </c>
      <c r="B54" s="2079"/>
      <c r="C54" s="2078" t="s">
        <v>1981</v>
      </c>
      <c r="D54" s="2079"/>
      <c r="E54" s="2079" t="s">
        <v>1250</v>
      </c>
      <c r="F54" s="2079"/>
      <c r="G54" s="2090">
        <v>0.10625615105160202</v>
      </c>
      <c r="H54" s="2110"/>
      <c r="I54" s="2090">
        <v>0.89374384894839798</v>
      </c>
      <c r="J54" s="2090"/>
      <c r="K54" s="2090">
        <v>1</v>
      </c>
      <c r="L54" s="2079"/>
      <c r="M54" s="2091" t="s">
        <v>347</v>
      </c>
      <c r="N54" s="2079"/>
      <c r="O54" s="2092">
        <v>437.26</v>
      </c>
      <c r="P54" s="2089"/>
      <c r="Q54" s="2092">
        <v>3677.8899999999994</v>
      </c>
      <c r="R54" s="2089"/>
      <c r="S54" s="2092">
        <v>4115.1499999999996</v>
      </c>
      <c r="T54" s="2089"/>
      <c r="U54" s="994">
        <v>0</v>
      </c>
      <c r="V54" s="994"/>
      <c r="W54" s="994">
        <v>437.26</v>
      </c>
    </row>
    <row r="55" spans="1:23">
      <c r="A55" s="2110">
        <v>36</v>
      </c>
      <c r="B55" s="2079"/>
      <c r="C55" s="2078" t="s">
        <v>2074</v>
      </c>
      <c r="D55" s="2079"/>
      <c r="E55" s="2079" t="s">
        <v>2517</v>
      </c>
      <c r="F55" s="2079"/>
      <c r="G55" s="2090">
        <v>0</v>
      </c>
      <c r="H55" s="2110"/>
      <c r="I55" s="2090">
        <v>0</v>
      </c>
      <c r="J55" s="2090"/>
      <c r="K55" s="2090">
        <v>0</v>
      </c>
      <c r="L55" s="2079"/>
      <c r="M55" s="2091" t="s">
        <v>347</v>
      </c>
      <c r="N55" s="2079"/>
      <c r="O55" s="2092">
        <v>0</v>
      </c>
      <c r="P55" s="2089"/>
      <c r="Q55" s="2092">
        <v>0</v>
      </c>
      <c r="R55" s="2089"/>
      <c r="S55" s="2092">
        <v>0</v>
      </c>
      <c r="T55" s="2089"/>
      <c r="U55" s="994">
        <v>0</v>
      </c>
      <c r="V55" s="994"/>
      <c r="W55" s="994">
        <v>0</v>
      </c>
    </row>
    <row r="56" spans="1:23">
      <c r="A56" s="2110">
        <v>37</v>
      </c>
      <c r="B56" s="2079"/>
      <c r="C56" s="2078" t="s">
        <v>2076</v>
      </c>
      <c r="D56" s="2079"/>
      <c r="E56" s="2079" t="s">
        <v>1251</v>
      </c>
      <c r="F56" s="2079"/>
      <c r="G56" s="2090">
        <v>5.252121247377424E-2</v>
      </c>
      <c r="H56" s="2110"/>
      <c r="I56" s="2090">
        <v>0.94747878752622572</v>
      </c>
      <c r="J56" s="2090"/>
      <c r="K56" s="2090">
        <v>1</v>
      </c>
      <c r="L56" s="2079"/>
      <c r="M56" s="2091" t="s">
        <v>347</v>
      </c>
      <c r="N56" s="2079"/>
      <c r="O56" s="2092">
        <v>957.02</v>
      </c>
      <c r="P56" s="2089"/>
      <c r="Q56" s="2092">
        <v>17264.57</v>
      </c>
      <c r="R56" s="2089"/>
      <c r="S56" s="2092">
        <v>18221.59</v>
      </c>
      <c r="T56" s="2089"/>
      <c r="U56" s="994">
        <v>0</v>
      </c>
      <c r="V56" s="994"/>
      <c r="W56" s="994">
        <v>957.02</v>
      </c>
    </row>
    <row r="57" spans="1:23">
      <c r="A57" s="2110">
        <v>38</v>
      </c>
      <c r="B57" s="2079"/>
      <c r="C57" s="2078" t="s">
        <v>2071</v>
      </c>
      <c r="D57" s="2079"/>
      <c r="E57" s="2079" t="s">
        <v>2750</v>
      </c>
      <c r="F57" s="2079"/>
      <c r="G57" s="2090">
        <v>5.2520473157415835E-2</v>
      </c>
      <c r="H57" s="2110"/>
      <c r="I57" s="2090">
        <v>0.94747952684258407</v>
      </c>
      <c r="J57" s="2090"/>
      <c r="K57" s="2090">
        <v>1</v>
      </c>
      <c r="L57" s="2079"/>
      <c r="M57" s="2091" t="s">
        <v>347</v>
      </c>
      <c r="N57" s="2079"/>
      <c r="O57" s="2092">
        <v>-288.60000000000002</v>
      </c>
      <c r="P57" s="2089"/>
      <c r="Q57" s="2092">
        <v>-5206.3999999999996</v>
      </c>
      <c r="R57" s="2089"/>
      <c r="S57" s="2092">
        <v>-5495</v>
      </c>
      <c r="T57" s="2089"/>
      <c r="U57" s="994">
        <v>0</v>
      </c>
      <c r="V57" s="994"/>
      <c r="W57" s="994">
        <v>-288.60000000000002</v>
      </c>
    </row>
    <row r="58" spans="1:23">
      <c r="A58" s="2110">
        <v>39</v>
      </c>
      <c r="B58" s="2079"/>
      <c r="C58" s="2078" t="s">
        <v>1998</v>
      </c>
      <c r="D58" s="2079"/>
      <c r="E58" s="2079" t="s">
        <v>2535</v>
      </c>
      <c r="F58" s="2079"/>
      <c r="G58" s="2090">
        <v>5.2523164947643183E-2</v>
      </c>
      <c r="H58" s="2110"/>
      <c r="I58" s="2090">
        <v>0.9474768350523568</v>
      </c>
      <c r="J58" s="2090"/>
      <c r="K58" s="2090">
        <v>1</v>
      </c>
      <c r="L58" s="2079"/>
      <c r="M58" s="2091" t="s">
        <v>347</v>
      </c>
      <c r="N58" s="2079"/>
      <c r="O58" s="2092">
        <v>461.01</v>
      </c>
      <c r="P58" s="2089"/>
      <c r="Q58" s="2092">
        <v>8316.2599999999984</v>
      </c>
      <c r="R58" s="2089"/>
      <c r="S58" s="2092">
        <v>8777.2699999999986</v>
      </c>
      <c r="T58" s="2089"/>
      <c r="U58" s="994">
        <v>0</v>
      </c>
      <c r="V58" s="994"/>
      <c r="W58" s="994">
        <v>461.01</v>
      </c>
    </row>
    <row r="59" spans="1:23" ht="12.75" thickBot="1">
      <c r="A59" s="2110">
        <v>40</v>
      </c>
      <c r="B59" s="2079"/>
      <c r="C59" s="2078"/>
      <c r="D59" s="2079"/>
      <c r="E59" s="2079"/>
      <c r="F59" s="2079"/>
      <c r="G59" s="2110"/>
      <c r="H59" s="2110"/>
      <c r="I59" s="2110"/>
      <c r="J59" s="2110"/>
      <c r="K59" s="2090"/>
      <c r="L59" s="2079"/>
      <c r="M59" s="2079"/>
      <c r="N59" s="2079"/>
      <c r="O59" s="2145">
        <v>7870.5599999999995</v>
      </c>
      <c r="P59" s="2089"/>
      <c r="Q59" s="2145">
        <v>138322.42000000001</v>
      </c>
      <c r="R59" s="2089"/>
      <c r="S59" s="2146">
        <v>146192.98000000001</v>
      </c>
      <c r="T59" s="2089"/>
      <c r="U59" s="2147">
        <v>0</v>
      </c>
      <c r="V59" s="2089"/>
      <c r="W59" s="2147">
        <v>7870.5599999999995</v>
      </c>
    </row>
    <row r="60" spans="1:23" ht="12.75" thickTop="1">
      <c r="A60" s="2110">
        <v>41</v>
      </c>
      <c r="B60" s="2079"/>
      <c r="C60" s="2078"/>
      <c r="D60" s="2079"/>
      <c r="E60" s="2079"/>
      <c r="F60" s="2079"/>
      <c r="G60" s="2110"/>
      <c r="H60" s="2110"/>
      <c r="I60" s="2110"/>
      <c r="J60" s="2110"/>
      <c r="K60" s="2110"/>
      <c r="L60" s="2079"/>
      <c r="M60" s="2079"/>
      <c r="N60" s="2079"/>
      <c r="O60" s="2079"/>
      <c r="P60" s="2079"/>
      <c r="Q60" s="2079"/>
      <c r="R60" s="2079"/>
      <c r="S60" s="2079"/>
      <c r="T60" s="2079"/>
      <c r="U60" s="2079"/>
      <c r="V60" s="2079"/>
      <c r="W60" s="2079"/>
    </row>
    <row r="61" spans="1:23">
      <c r="A61" s="2110">
        <v>42</v>
      </c>
      <c r="B61" s="2088" t="s">
        <v>2751</v>
      </c>
      <c r="C61" s="2078"/>
      <c r="D61" s="2079"/>
      <c r="E61" s="2079"/>
      <c r="F61" s="2079"/>
      <c r="G61" s="2090"/>
      <c r="H61" s="2110"/>
      <c r="I61" s="2090"/>
      <c r="J61" s="2090"/>
      <c r="K61" s="2090"/>
      <c r="L61" s="2079"/>
      <c r="M61" s="2079"/>
      <c r="N61" s="2079"/>
      <c r="O61" s="2089"/>
      <c r="P61" s="2089"/>
      <c r="Q61" s="2089"/>
      <c r="R61" s="2089"/>
      <c r="S61" s="2089"/>
      <c r="T61" s="2089"/>
      <c r="U61" s="2089"/>
      <c r="V61" s="2089"/>
      <c r="W61" s="2089"/>
    </row>
    <row r="62" spans="1:23">
      <c r="A62" s="2110">
        <v>43</v>
      </c>
      <c r="B62" s="2079"/>
      <c r="C62" s="2078"/>
      <c r="D62" s="2079"/>
      <c r="E62" s="2079"/>
      <c r="F62" s="2079"/>
      <c r="G62" s="2090"/>
      <c r="H62" s="2110"/>
      <c r="I62" s="2090"/>
      <c r="J62" s="2090"/>
      <c r="K62" s="2090"/>
      <c r="L62" s="2079"/>
      <c r="M62" s="2079"/>
      <c r="N62" s="2079"/>
      <c r="O62" s="2089"/>
      <c r="P62" s="2089"/>
      <c r="Q62" s="2089"/>
      <c r="R62" s="2089"/>
      <c r="S62" s="2089"/>
      <c r="T62" s="2089"/>
      <c r="U62" s="2089"/>
      <c r="V62" s="2089"/>
      <c r="W62" s="2089"/>
    </row>
    <row r="63" spans="1:23">
      <c r="A63" s="2110">
        <v>44</v>
      </c>
      <c r="B63" s="2079"/>
      <c r="C63" s="2078">
        <v>427</v>
      </c>
      <c r="D63" s="2079"/>
      <c r="E63" s="2079" t="s">
        <v>2619</v>
      </c>
      <c r="F63" s="2079"/>
      <c r="G63" s="2090">
        <v>0</v>
      </c>
      <c r="H63" s="2110"/>
      <c r="I63" s="2090">
        <v>0</v>
      </c>
      <c r="J63" s="2090"/>
      <c r="K63" s="2090">
        <v>0</v>
      </c>
      <c r="L63" s="2079"/>
      <c r="M63" s="2091" t="s">
        <v>2752</v>
      </c>
      <c r="N63" s="2079"/>
      <c r="O63" s="2092">
        <v>0</v>
      </c>
      <c r="P63" s="2092"/>
      <c r="Q63" s="2092">
        <v>0</v>
      </c>
      <c r="R63" s="2092"/>
      <c r="S63" s="2092">
        <v>0</v>
      </c>
      <c r="T63" s="2092"/>
      <c r="U63" s="994">
        <v>0</v>
      </c>
      <c r="V63" s="994"/>
      <c r="W63" s="994">
        <v>0</v>
      </c>
    </row>
    <row r="64" spans="1:23" ht="12.75" thickBot="1">
      <c r="A64" s="2110">
        <v>45</v>
      </c>
      <c r="B64" s="2079"/>
      <c r="C64" s="2078"/>
      <c r="D64" s="2079"/>
      <c r="E64" s="2079"/>
      <c r="F64" s="2079"/>
      <c r="G64" s="2110"/>
      <c r="H64" s="2110"/>
      <c r="I64" s="2110"/>
      <c r="J64" s="2110"/>
      <c r="K64" s="2090"/>
      <c r="L64" s="2079"/>
      <c r="M64" s="2079"/>
      <c r="N64" s="2079"/>
      <c r="O64" s="2145">
        <v>0</v>
      </c>
      <c r="P64" s="2089"/>
      <c r="Q64" s="2145">
        <v>0</v>
      </c>
      <c r="R64" s="2089"/>
      <c r="S64" s="2146">
        <v>0</v>
      </c>
      <c r="T64" s="2089"/>
      <c r="U64" s="2147">
        <v>0</v>
      </c>
      <c r="V64" s="2089"/>
      <c r="W64" s="2147">
        <v>0</v>
      </c>
    </row>
    <row r="65" spans="1:23" ht="12.75" thickTop="1">
      <c r="A65" s="2110">
        <v>46</v>
      </c>
      <c r="B65" s="2079" t="s">
        <v>2753</v>
      </c>
      <c r="C65" s="2078"/>
      <c r="D65" s="2079"/>
      <c r="E65" s="2079"/>
      <c r="F65" s="2079"/>
      <c r="G65" s="2110"/>
      <c r="H65" s="2110"/>
      <c r="I65" s="2110"/>
      <c r="J65" s="2110"/>
      <c r="K65" s="2110"/>
      <c r="L65" s="2079"/>
      <c r="M65" s="2079"/>
      <c r="N65" s="2079"/>
      <c r="O65" s="2079"/>
      <c r="P65" s="2079"/>
      <c r="Q65" s="2079"/>
      <c r="R65" s="2079"/>
      <c r="S65" s="2079"/>
      <c r="T65" s="2079"/>
      <c r="U65" s="2079"/>
      <c r="V65" s="2079"/>
      <c r="W65" s="2079"/>
    </row>
  </sheetData>
  <mergeCells count="6">
    <mergeCell ref="G15:K15"/>
    <mergeCell ref="U10:W10"/>
    <mergeCell ref="U11:W11"/>
    <mergeCell ref="U12:W12"/>
    <mergeCell ref="U13:W13"/>
    <mergeCell ref="O14:W14"/>
  </mergeCells>
  <pageMargins left="0.75" right="0.5" top="0.25" bottom="0.25" header="0.25" footer="0.5"/>
  <pageSetup scale="49"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W65"/>
  <sheetViews>
    <sheetView view="pageBreakPreview" zoomScale="60" zoomScaleNormal="100" workbookViewId="0">
      <selection sqref="A1:XFD1048576"/>
    </sheetView>
  </sheetViews>
  <sheetFormatPr defaultRowHeight="12"/>
  <cols>
    <col min="1" max="1" width="4" style="991" customWidth="1"/>
    <col min="2" max="2" width="3" style="991" customWidth="1"/>
    <col min="3" max="3" width="10.85546875" style="991" customWidth="1"/>
    <col min="4" max="4" width="2.28515625" style="991" customWidth="1"/>
    <col min="5" max="5" width="33.7109375" style="991" customWidth="1"/>
    <col min="6" max="6" width="2.28515625" style="991" customWidth="1"/>
    <col min="7" max="7" width="18" style="991" bestFit="1" customWidth="1"/>
    <col min="8" max="8" width="2.28515625" style="991" customWidth="1"/>
    <col min="9" max="9" width="12.7109375" style="991" customWidth="1"/>
    <col min="10" max="10" width="2.28515625" style="991" customWidth="1"/>
    <col min="11" max="11" width="9.7109375" style="991" customWidth="1"/>
    <col min="12" max="12" width="2.28515625" style="991" customWidth="1"/>
    <col min="13" max="13" width="19.140625" style="991" bestFit="1" customWidth="1"/>
    <col min="14" max="14" width="2.28515625" style="991" customWidth="1"/>
    <col min="15" max="15" width="18" style="991" bestFit="1" customWidth="1"/>
    <col min="16" max="16" width="2.28515625" style="991" customWidth="1"/>
    <col min="17" max="17" width="11.7109375" style="991" customWidth="1"/>
    <col min="18" max="18" width="4.85546875" style="991" customWidth="1"/>
    <col min="19" max="19" width="9.28515625" style="991" bestFit="1" customWidth="1"/>
    <col min="20" max="20" width="2.28515625" style="991" customWidth="1"/>
    <col min="21" max="21" width="5.7109375" style="991" bestFit="1" customWidth="1"/>
    <col min="22" max="22" width="2.28515625" style="991" customWidth="1"/>
    <col min="23" max="23" width="9.85546875" style="991" customWidth="1"/>
    <col min="24" max="16384" width="9.140625" style="991"/>
  </cols>
  <sheetData>
    <row r="1" spans="1:23">
      <c r="A1" s="2079"/>
      <c r="B1" s="2079"/>
      <c r="C1" s="2078"/>
      <c r="D1" s="2079"/>
      <c r="E1" s="2079"/>
      <c r="F1" s="2079"/>
      <c r="G1" s="2110"/>
      <c r="H1" s="2110"/>
      <c r="I1" s="2110"/>
      <c r="J1" s="2110"/>
      <c r="K1" s="2110"/>
      <c r="L1" s="2079"/>
      <c r="M1" s="2079"/>
      <c r="N1" s="2079"/>
      <c r="O1" s="2079"/>
      <c r="P1" s="2079"/>
      <c r="Q1" s="2079"/>
      <c r="R1" s="2079"/>
      <c r="S1" s="2079"/>
      <c r="T1" s="2079"/>
      <c r="U1" s="2079"/>
      <c r="V1" s="2079"/>
      <c r="W1" s="2078" t="s">
        <v>1209</v>
      </c>
    </row>
    <row r="2" spans="1:23">
      <c r="A2" s="2080" t="s">
        <v>2716</v>
      </c>
      <c r="B2" s="2079"/>
      <c r="C2" s="2078"/>
      <c r="D2" s="2079"/>
      <c r="E2" s="2079"/>
      <c r="F2" s="2079"/>
      <c r="G2" s="2110"/>
      <c r="H2" s="2137"/>
      <c r="I2" s="2137" t="s">
        <v>911</v>
      </c>
      <c r="J2" s="2137"/>
      <c r="K2" s="2137"/>
      <c r="L2" s="2138"/>
      <c r="M2" s="2079"/>
      <c r="N2" s="2079"/>
      <c r="O2" s="2079"/>
      <c r="P2" s="2079"/>
      <c r="Q2" s="2079"/>
      <c r="R2" s="2079"/>
      <c r="S2" s="2078"/>
      <c r="T2" s="2079"/>
      <c r="U2" s="2079"/>
      <c r="V2" s="2079"/>
      <c r="W2" s="2078"/>
    </row>
    <row r="3" spans="1:23">
      <c r="A3" s="2080"/>
      <c r="B3" s="2079"/>
      <c r="C3" s="2078"/>
      <c r="D3" s="2079"/>
      <c r="E3" s="2079"/>
      <c r="F3" s="2079"/>
      <c r="G3" s="2110"/>
      <c r="H3" s="2137"/>
      <c r="I3" s="2137"/>
      <c r="J3" s="2137"/>
      <c r="K3" s="2137"/>
      <c r="L3" s="2138"/>
      <c r="M3" s="2079"/>
      <c r="N3" s="2079"/>
      <c r="O3" s="2079"/>
      <c r="P3" s="2079"/>
      <c r="Q3" s="2079"/>
      <c r="R3" s="2079"/>
      <c r="S3" s="2080"/>
      <c r="T3" s="2079"/>
      <c r="U3" s="2079"/>
      <c r="V3" s="2079"/>
      <c r="W3" s="2078" t="s">
        <v>2717</v>
      </c>
    </row>
    <row r="4" spans="1:23">
      <c r="A4" s="2079" t="s">
        <v>2644</v>
      </c>
      <c r="B4" s="2080"/>
      <c r="C4" s="2080"/>
      <c r="D4" s="2079"/>
      <c r="E4" s="2079"/>
      <c r="F4" s="2079"/>
      <c r="G4" s="2110"/>
      <c r="H4" s="2137"/>
      <c r="I4" s="2137"/>
      <c r="J4" s="2137"/>
      <c r="K4" s="2137"/>
      <c r="L4" s="2138"/>
      <c r="M4" s="2079"/>
      <c r="N4" s="2079"/>
      <c r="O4" s="2079"/>
      <c r="P4" s="2079"/>
      <c r="Q4" s="2079"/>
      <c r="R4" s="2079"/>
      <c r="S4" s="2078"/>
      <c r="T4" s="2079"/>
      <c r="U4" s="2079"/>
      <c r="V4" s="2079"/>
      <c r="W4" s="2078" t="s">
        <v>2754</v>
      </c>
    </row>
    <row r="5" spans="1:23">
      <c r="A5" s="2080" t="s">
        <v>2719</v>
      </c>
      <c r="B5" s="2079"/>
      <c r="C5" s="2078"/>
      <c r="D5" s="2079"/>
      <c r="E5" s="2079"/>
      <c r="F5" s="2080"/>
      <c r="G5" s="2110"/>
      <c r="H5" s="2137"/>
      <c r="I5" s="2137"/>
      <c r="J5" s="2137"/>
      <c r="K5" s="2137"/>
      <c r="L5" s="2138"/>
      <c r="M5" s="2079"/>
      <c r="N5" s="2079"/>
      <c r="O5" s="2079"/>
      <c r="P5" s="2079"/>
      <c r="Q5" s="2079"/>
      <c r="R5" s="2079"/>
      <c r="S5" s="2078"/>
      <c r="T5" s="2079"/>
      <c r="U5" s="2079"/>
      <c r="V5" s="2079"/>
      <c r="W5" s="2078"/>
    </row>
    <row r="6" spans="1:23">
      <c r="A6" s="2080" t="s">
        <v>1935</v>
      </c>
      <c r="B6" s="2079"/>
      <c r="C6" s="2078"/>
      <c r="D6" s="2079"/>
      <c r="E6" s="2139"/>
      <c r="F6" s="2080"/>
      <c r="G6" s="2110"/>
      <c r="H6" s="2137"/>
      <c r="I6" s="2137"/>
      <c r="J6" s="2137"/>
      <c r="K6" s="2137"/>
      <c r="L6" s="2138"/>
      <c r="M6" s="2079"/>
      <c r="N6" s="2079"/>
      <c r="O6" s="2079"/>
      <c r="P6" s="2079"/>
      <c r="Q6" s="2079"/>
      <c r="R6" s="2079"/>
      <c r="S6" s="2080"/>
      <c r="T6" s="2079"/>
      <c r="U6" s="2079"/>
      <c r="V6" s="2079"/>
      <c r="W6" s="1011" t="s">
        <v>2950</v>
      </c>
    </row>
    <row r="7" spans="1:23">
      <c r="A7" s="2080" t="s">
        <v>1092</v>
      </c>
      <c r="B7" s="2079"/>
      <c r="C7" s="2078"/>
      <c r="D7" s="2079"/>
      <c r="E7" s="2079"/>
      <c r="F7" s="2080"/>
      <c r="G7" s="2110"/>
      <c r="H7" s="2137"/>
      <c r="I7" s="2137"/>
      <c r="J7" s="2137"/>
      <c r="K7" s="2137"/>
      <c r="L7" s="2138"/>
      <c r="M7" s="2079"/>
      <c r="N7" s="2079"/>
      <c r="O7" s="2079"/>
      <c r="P7" s="2079"/>
      <c r="Q7" s="2079"/>
      <c r="R7" s="2079"/>
      <c r="S7" s="2078"/>
      <c r="T7" s="2079"/>
      <c r="U7" s="2079"/>
      <c r="V7" s="2079"/>
      <c r="W7" s="2078"/>
    </row>
    <row r="8" spans="1:23">
      <c r="A8" s="2080" t="s">
        <v>717</v>
      </c>
      <c r="B8" s="2079"/>
      <c r="C8" s="2078"/>
      <c r="D8" s="2079"/>
      <c r="E8" s="2079"/>
      <c r="F8" s="2080"/>
      <c r="G8" s="2110"/>
      <c r="H8" s="2137"/>
      <c r="I8" s="2137"/>
      <c r="J8" s="2137"/>
      <c r="K8" s="2137"/>
      <c r="L8" s="2138"/>
      <c r="M8" s="2079"/>
      <c r="N8" s="2079"/>
      <c r="O8" s="2079"/>
      <c r="P8" s="2079"/>
      <c r="Q8" s="2079"/>
      <c r="R8" s="2079"/>
      <c r="S8" s="2079"/>
      <c r="T8" s="2079"/>
      <c r="U8" s="2079"/>
      <c r="V8" s="2079"/>
      <c r="W8" s="2079"/>
    </row>
    <row r="9" spans="1:23">
      <c r="A9" s="2079"/>
      <c r="B9" s="2079"/>
      <c r="C9" s="2078"/>
      <c r="D9" s="2079"/>
      <c r="E9" s="2079"/>
      <c r="F9" s="2079"/>
      <c r="G9" s="2110"/>
      <c r="H9" s="2110"/>
      <c r="I9" s="2110"/>
      <c r="J9" s="2110"/>
      <c r="K9" s="2110"/>
      <c r="L9" s="2079"/>
      <c r="M9" s="2079"/>
      <c r="N9" s="2079"/>
      <c r="O9" s="2079"/>
      <c r="P9" s="2079"/>
      <c r="Q9" s="2079"/>
      <c r="R9" s="2079"/>
      <c r="S9" s="2079"/>
      <c r="T9" s="2079"/>
      <c r="U9" s="2079"/>
      <c r="V9" s="2079"/>
      <c r="W9" s="2079"/>
    </row>
    <row r="10" spans="1:23">
      <c r="A10" s="2079" t="s">
        <v>2720</v>
      </c>
      <c r="B10" s="2079"/>
      <c r="C10" s="2078"/>
      <c r="D10" s="2079"/>
      <c r="E10" s="2079"/>
      <c r="F10" s="2079"/>
      <c r="G10" s="2110"/>
      <c r="H10" s="2110"/>
      <c r="I10" s="2110"/>
      <c r="J10" s="2110"/>
      <c r="K10" s="2110"/>
      <c r="L10" s="2079"/>
      <c r="M10" s="2079"/>
      <c r="N10" s="2079"/>
      <c r="O10" s="2079"/>
      <c r="P10" s="2079"/>
      <c r="Q10" s="2079"/>
      <c r="R10" s="2079"/>
      <c r="S10" s="2079"/>
      <c r="T10" s="2079"/>
      <c r="U10" s="2318" t="s">
        <v>2956</v>
      </c>
      <c r="V10" s="2318"/>
      <c r="W10" s="2318"/>
    </row>
    <row r="11" spans="1:23">
      <c r="A11" s="2080" t="s">
        <v>2721</v>
      </c>
      <c r="B11" s="2079"/>
      <c r="C11" s="2078"/>
      <c r="D11" s="2079"/>
      <c r="E11" s="2079"/>
      <c r="F11" s="2079"/>
      <c r="G11" s="2110"/>
      <c r="H11" s="2110"/>
      <c r="I11" s="2110"/>
      <c r="J11" s="2110"/>
      <c r="K11" s="2110"/>
      <c r="L11" s="2079"/>
      <c r="M11" s="2079"/>
      <c r="N11" s="2079"/>
      <c r="O11" s="2079"/>
      <c r="P11" s="2079"/>
      <c r="Q11" s="2079"/>
      <c r="R11" s="2079"/>
      <c r="S11" s="2079"/>
      <c r="T11" s="2079"/>
      <c r="U11" s="2317" t="s">
        <v>2722</v>
      </c>
      <c r="V11" s="2317"/>
      <c r="W11" s="2317"/>
    </row>
    <row r="12" spans="1:23">
      <c r="A12" s="2140"/>
      <c r="B12" s="2140"/>
      <c r="C12" s="2141"/>
      <c r="D12" s="2140"/>
      <c r="E12" s="2140"/>
      <c r="F12" s="2140"/>
      <c r="G12" s="2142"/>
      <c r="H12" s="2142"/>
      <c r="I12" s="2142"/>
      <c r="J12" s="2142"/>
      <c r="K12" s="2142"/>
      <c r="L12" s="2140"/>
      <c r="M12" s="2140"/>
      <c r="N12" s="2140"/>
      <c r="O12" s="2140"/>
      <c r="P12" s="2140"/>
      <c r="Q12" s="2140"/>
      <c r="R12" s="2140"/>
      <c r="S12" s="2140"/>
      <c r="T12" s="2140"/>
      <c r="U12" s="2319"/>
      <c r="V12" s="2319"/>
      <c r="W12" s="2319"/>
    </row>
    <row r="13" spans="1:23">
      <c r="A13" s="2082"/>
      <c r="B13" s="2082"/>
      <c r="C13" s="2083"/>
      <c r="D13" s="2082"/>
      <c r="E13" s="2082"/>
      <c r="F13" s="2082"/>
      <c r="G13" s="2084">
        <v>-1</v>
      </c>
      <c r="H13" s="2084"/>
      <c r="I13" s="2084">
        <v>-2</v>
      </c>
      <c r="J13" s="2084"/>
      <c r="K13" s="2084">
        <v>-3</v>
      </c>
      <c r="L13" s="2082"/>
      <c r="M13" s="2084">
        <v>-4</v>
      </c>
      <c r="N13" s="2082"/>
      <c r="O13" s="2084">
        <v>-5</v>
      </c>
      <c r="P13" s="2082"/>
      <c r="Q13" s="2084">
        <v>-6</v>
      </c>
      <c r="R13" s="2082"/>
      <c r="S13" s="2084">
        <v>-7</v>
      </c>
      <c r="T13" s="2082"/>
      <c r="U13" s="2320">
        <v>-8</v>
      </c>
      <c r="V13" s="2320"/>
      <c r="W13" s="2320"/>
    </row>
    <row r="14" spans="1:23">
      <c r="A14" s="2082"/>
      <c r="B14" s="2082"/>
      <c r="C14" s="2083"/>
      <c r="D14" s="2082"/>
      <c r="E14" s="2082"/>
      <c r="F14" s="2082"/>
      <c r="G14" s="2084"/>
      <c r="H14" s="2084"/>
      <c r="I14" s="2084"/>
      <c r="J14" s="2084"/>
      <c r="K14" s="2084"/>
      <c r="L14" s="2082"/>
      <c r="M14" s="2084"/>
      <c r="N14" s="2082"/>
      <c r="O14" s="2321" t="s">
        <v>2755</v>
      </c>
      <c r="P14" s="2321"/>
      <c r="Q14" s="2321"/>
      <c r="R14" s="2321"/>
      <c r="S14" s="2321"/>
      <c r="T14" s="2321"/>
      <c r="U14" s="2321"/>
      <c r="V14" s="2321"/>
      <c r="W14" s="2321"/>
    </row>
    <row r="15" spans="1:23">
      <c r="A15" s="2079"/>
      <c r="B15" s="2079"/>
      <c r="C15" s="2078"/>
      <c r="D15" s="2079"/>
      <c r="E15" s="2079"/>
      <c r="F15" s="2079"/>
      <c r="G15" s="2317" t="s">
        <v>2724</v>
      </c>
      <c r="H15" s="2317"/>
      <c r="I15" s="2317"/>
      <c r="J15" s="2317"/>
      <c r="K15" s="2317"/>
      <c r="L15" s="2143"/>
      <c r="M15" s="2143"/>
      <c r="N15" s="2143"/>
      <c r="O15" s="2143"/>
      <c r="P15" s="2140"/>
      <c r="Q15" s="2142" t="s">
        <v>2725</v>
      </c>
      <c r="R15" s="2140"/>
      <c r="S15" s="2140"/>
      <c r="T15" s="2079"/>
      <c r="U15" s="2143"/>
      <c r="V15" s="2142"/>
      <c r="W15" s="2142"/>
    </row>
    <row r="16" spans="1:23">
      <c r="A16" s="2079"/>
      <c r="B16" s="2079"/>
      <c r="C16" s="2110" t="s">
        <v>2726</v>
      </c>
      <c r="D16" s="2079"/>
      <c r="E16" s="2079"/>
      <c r="F16" s="2079"/>
      <c r="G16" s="2110"/>
      <c r="H16" s="2110"/>
      <c r="I16" s="2110" t="s">
        <v>1170</v>
      </c>
      <c r="J16" s="2110"/>
      <c r="K16" s="2110"/>
      <c r="L16" s="2079"/>
      <c r="M16" s="2110" t="s">
        <v>731</v>
      </c>
      <c r="N16" s="2079"/>
      <c r="O16" s="2110"/>
      <c r="P16" s="2079"/>
      <c r="Q16" s="2110" t="s">
        <v>1170</v>
      </c>
      <c r="R16" s="2079"/>
      <c r="S16" s="2110"/>
      <c r="T16" s="2079"/>
      <c r="U16" s="2110"/>
      <c r="V16" s="2079"/>
      <c r="W16" s="2110"/>
    </row>
    <row r="17" spans="1:23">
      <c r="A17" s="2110" t="s">
        <v>53</v>
      </c>
      <c r="B17" s="2079"/>
      <c r="C17" s="2110" t="s">
        <v>2727</v>
      </c>
      <c r="D17" s="2079"/>
      <c r="E17" s="2079"/>
      <c r="F17" s="2085"/>
      <c r="G17" s="2086"/>
      <c r="H17" s="2086"/>
      <c r="I17" s="2086" t="s">
        <v>2728</v>
      </c>
      <c r="J17" s="2086"/>
      <c r="K17" s="2086"/>
      <c r="L17" s="2085"/>
      <c r="M17" s="2110" t="s">
        <v>2729</v>
      </c>
      <c r="N17" s="2085"/>
      <c r="O17" s="2086"/>
      <c r="P17" s="2085"/>
      <c r="Q17" s="2086" t="s">
        <v>2728</v>
      </c>
      <c r="R17" s="2085"/>
      <c r="S17" s="2081"/>
      <c r="T17" s="2085"/>
      <c r="U17" s="2087">
        <v>0</v>
      </c>
      <c r="V17" s="2085"/>
      <c r="W17" s="2087">
        <v>1</v>
      </c>
    </row>
    <row r="18" spans="1:23">
      <c r="A18" s="2142" t="s">
        <v>730</v>
      </c>
      <c r="B18" s="2143"/>
      <c r="C18" s="2142" t="s">
        <v>730</v>
      </c>
      <c r="D18" s="2143"/>
      <c r="E18" s="2142" t="s">
        <v>731</v>
      </c>
      <c r="F18" s="2143"/>
      <c r="G18" s="2144" t="s">
        <v>2956</v>
      </c>
      <c r="H18" s="2142"/>
      <c r="I18" s="2142" t="s">
        <v>2730</v>
      </c>
      <c r="J18" s="2142"/>
      <c r="K18" s="2142" t="s">
        <v>81</v>
      </c>
      <c r="L18" s="2143"/>
      <c r="M18" s="2142" t="s">
        <v>2731</v>
      </c>
      <c r="N18" s="2143"/>
      <c r="O18" s="2144" t="s">
        <v>2956</v>
      </c>
      <c r="P18" s="2143"/>
      <c r="Q18" s="2142" t="s">
        <v>2730</v>
      </c>
      <c r="R18" s="2143"/>
      <c r="S18" s="2142" t="s">
        <v>81</v>
      </c>
      <c r="T18" s="2143"/>
      <c r="U18" s="2142" t="s">
        <v>498</v>
      </c>
      <c r="V18" s="2143"/>
      <c r="W18" s="2142" t="s">
        <v>670</v>
      </c>
    </row>
    <row r="19" spans="1:23">
      <c r="A19" s="2079"/>
      <c r="B19" s="2079"/>
      <c r="C19" s="2078"/>
      <c r="D19" s="2079"/>
      <c r="E19" s="2079"/>
      <c r="F19" s="2079"/>
      <c r="G19" s="2110"/>
      <c r="H19" s="2110"/>
      <c r="I19" s="2110"/>
      <c r="J19" s="2110"/>
      <c r="K19" s="2110"/>
      <c r="L19" s="2079"/>
      <c r="M19" s="2079"/>
      <c r="N19" s="2079"/>
      <c r="O19" s="2079"/>
      <c r="P19" s="2079"/>
      <c r="Q19" s="2079"/>
      <c r="R19" s="2079"/>
      <c r="S19" s="2079"/>
      <c r="T19" s="2079"/>
      <c r="U19" s="2079"/>
      <c r="V19" s="2079"/>
      <c r="W19" s="2079"/>
    </row>
    <row r="20" spans="1:23">
      <c r="A20" s="2110">
        <v>1</v>
      </c>
      <c r="B20" s="2088" t="s">
        <v>2732</v>
      </c>
      <c r="C20" s="2078"/>
      <c r="D20" s="2079"/>
      <c r="E20" s="2079"/>
      <c r="F20" s="2079"/>
      <c r="G20" s="2110"/>
      <c r="H20" s="2110"/>
      <c r="I20" s="2110"/>
      <c r="J20" s="2110"/>
      <c r="K20" s="2110"/>
      <c r="L20" s="2079"/>
      <c r="M20" s="2079"/>
      <c r="N20" s="2079"/>
      <c r="O20" s="2089"/>
      <c r="P20" s="2089"/>
      <c r="Q20" s="2089"/>
      <c r="R20" s="2089"/>
      <c r="S20" s="2089"/>
      <c r="T20" s="2089"/>
      <c r="U20" s="2089"/>
      <c r="V20" s="2089"/>
      <c r="W20" s="2089"/>
    </row>
    <row r="21" spans="1:23">
      <c r="A21" s="2110">
        <v>2</v>
      </c>
      <c r="B21" s="2079"/>
      <c r="C21" s="2078">
        <v>403</v>
      </c>
      <c r="D21" s="2079"/>
      <c r="E21" s="2079" t="s">
        <v>379</v>
      </c>
      <c r="F21" s="2079"/>
      <c r="G21" s="2090">
        <v>1.1949957710162112E-2</v>
      </c>
      <c r="H21" s="2110"/>
      <c r="I21" s="2090">
        <v>0.98805004228983795</v>
      </c>
      <c r="J21" s="2090"/>
      <c r="K21" s="2090">
        <v>1</v>
      </c>
      <c r="L21" s="2079"/>
      <c r="M21" s="2091" t="s">
        <v>347</v>
      </c>
      <c r="N21" s="2079"/>
      <c r="O21" s="2092">
        <v>3750.73</v>
      </c>
      <c r="P21" s="2092"/>
      <c r="Q21" s="2089">
        <v>310119</v>
      </c>
      <c r="R21" s="2092"/>
      <c r="S21" s="2092">
        <v>313869.73</v>
      </c>
      <c r="T21" s="2092"/>
      <c r="U21" s="2089">
        <v>0</v>
      </c>
      <c r="V21" s="2089"/>
      <c r="W21" s="2089">
        <v>3750.73</v>
      </c>
    </row>
    <row r="22" spans="1:23">
      <c r="A22" s="2110">
        <v>3</v>
      </c>
      <c r="B22" s="2079"/>
      <c r="C22" s="2078">
        <v>408</v>
      </c>
      <c r="D22" s="2079"/>
      <c r="E22" s="2079" t="s">
        <v>25</v>
      </c>
      <c r="F22" s="2079"/>
      <c r="G22" s="2090">
        <v>1.2291441272440412E-2</v>
      </c>
      <c r="H22" s="2110"/>
      <c r="I22" s="2090">
        <v>0.98770855872755947</v>
      </c>
      <c r="J22" s="2090"/>
      <c r="K22" s="2090">
        <v>1</v>
      </c>
      <c r="L22" s="2079"/>
      <c r="M22" s="2091" t="s">
        <v>347</v>
      </c>
      <c r="N22" s="2079"/>
      <c r="O22" s="2092">
        <v>596.91000000000008</v>
      </c>
      <c r="P22" s="2089"/>
      <c r="Q22" s="2089">
        <v>47966.149999999994</v>
      </c>
      <c r="R22" s="2089"/>
      <c r="S22" s="2092">
        <v>48563.06</v>
      </c>
      <c r="T22" s="2089"/>
      <c r="U22" s="2089">
        <v>0</v>
      </c>
      <c r="V22" s="2089"/>
      <c r="W22" s="2089">
        <v>596.91000000000008</v>
      </c>
    </row>
    <row r="23" spans="1:23">
      <c r="A23" s="2110">
        <v>4</v>
      </c>
      <c r="B23" s="2079"/>
      <c r="C23" s="2078">
        <v>409</v>
      </c>
      <c r="D23" s="2079"/>
      <c r="E23" s="2079" t="s">
        <v>2733</v>
      </c>
      <c r="F23" s="2079"/>
      <c r="G23" s="2090">
        <v>0</v>
      </c>
      <c r="H23" s="2110"/>
      <c r="I23" s="2090">
        <v>0</v>
      </c>
      <c r="J23" s="2090"/>
      <c r="K23" s="2090">
        <v>0</v>
      </c>
      <c r="L23" s="2079"/>
      <c r="M23" s="2091" t="s">
        <v>347</v>
      </c>
      <c r="N23" s="2079"/>
      <c r="O23" s="2092">
        <v>0</v>
      </c>
      <c r="P23" s="2089"/>
      <c r="Q23" s="2089">
        <v>0</v>
      </c>
      <c r="R23" s="2089"/>
      <c r="S23" s="2092">
        <v>0</v>
      </c>
      <c r="T23" s="2089"/>
      <c r="U23" s="2089">
        <v>0</v>
      </c>
      <c r="V23" s="2089"/>
      <c r="W23" s="2089">
        <v>0</v>
      </c>
    </row>
    <row r="24" spans="1:23">
      <c r="A24" s="2110">
        <v>5</v>
      </c>
      <c r="B24" s="2079"/>
      <c r="C24" s="2078">
        <v>410</v>
      </c>
      <c r="D24" s="2079"/>
      <c r="E24" s="2079" t="s">
        <v>2734</v>
      </c>
      <c r="F24" s="2079"/>
      <c r="G24" s="2090">
        <v>0</v>
      </c>
      <c r="H24" s="2110"/>
      <c r="I24" s="2090">
        <v>0</v>
      </c>
      <c r="J24" s="2090"/>
      <c r="K24" s="2090">
        <v>0</v>
      </c>
      <c r="L24" s="2079"/>
      <c r="M24" s="2091" t="s">
        <v>347</v>
      </c>
      <c r="N24" s="2079"/>
      <c r="O24" s="2092">
        <v>0</v>
      </c>
      <c r="P24" s="2089"/>
      <c r="Q24" s="2089">
        <v>0</v>
      </c>
      <c r="R24" s="2089"/>
      <c r="S24" s="2092">
        <v>0</v>
      </c>
      <c r="T24" s="2089"/>
      <c r="U24" s="2089">
        <v>0</v>
      </c>
      <c r="V24" s="2089"/>
      <c r="W24" s="2089">
        <v>0</v>
      </c>
    </row>
    <row r="25" spans="1:23">
      <c r="A25" s="2110">
        <v>6</v>
      </c>
      <c r="B25" s="2079"/>
      <c r="C25" s="2078" t="s">
        <v>2735</v>
      </c>
      <c r="D25" s="2079"/>
      <c r="E25" s="2079" t="s">
        <v>530</v>
      </c>
      <c r="F25" s="2079"/>
      <c r="G25" s="2090">
        <v>0</v>
      </c>
      <c r="H25" s="2110"/>
      <c r="I25" s="2090">
        <v>0</v>
      </c>
      <c r="J25" s="2090"/>
      <c r="K25" s="2090">
        <v>0</v>
      </c>
      <c r="L25" s="2079"/>
      <c r="M25" s="2091" t="s">
        <v>347</v>
      </c>
      <c r="N25" s="2079"/>
      <c r="O25" s="2092">
        <v>0</v>
      </c>
      <c r="P25" s="2089"/>
      <c r="Q25" s="2089">
        <v>0</v>
      </c>
      <c r="R25" s="2089"/>
      <c r="S25" s="2092">
        <v>0</v>
      </c>
      <c r="T25" s="2089"/>
      <c r="U25" s="2089">
        <v>0</v>
      </c>
      <c r="V25" s="2089"/>
      <c r="W25" s="2089">
        <v>0</v>
      </c>
    </row>
    <row r="26" spans="1:23">
      <c r="A26" s="2110">
        <v>7</v>
      </c>
      <c r="B26" s="2079"/>
      <c r="C26" s="2078">
        <v>427</v>
      </c>
      <c r="D26" s="2079"/>
      <c r="E26" s="2079" t="s">
        <v>2619</v>
      </c>
      <c r="F26" s="2079"/>
      <c r="G26" s="2090">
        <v>1.2292800862713723E-2</v>
      </c>
      <c r="H26" s="2110"/>
      <c r="I26" s="2090">
        <v>0.98770719913728633</v>
      </c>
      <c r="J26" s="2090"/>
      <c r="K26" s="2090">
        <v>1</v>
      </c>
      <c r="L26" s="2079"/>
      <c r="M26" s="2091" t="s">
        <v>347</v>
      </c>
      <c r="N26" s="2079"/>
      <c r="O26" s="2092">
        <v>28.27</v>
      </c>
      <c r="P26" s="2089"/>
      <c r="Q26" s="2089">
        <v>2271.4499999999998</v>
      </c>
      <c r="R26" s="2089"/>
      <c r="S26" s="2092">
        <v>2299.7199999999998</v>
      </c>
      <c r="T26" s="2089"/>
      <c r="U26" s="2089">
        <v>0</v>
      </c>
      <c r="V26" s="2089"/>
      <c r="W26" s="2089">
        <v>28.27</v>
      </c>
    </row>
    <row r="27" spans="1:23">
      <c r="A27" s="2110">
        <v>8</v>
      </c>
      <c r="B27" s="2079"/>
      <c r="C27" s="2078" t="s">
        <v>2736</v>
      </c>
      <c r="D27" s="2079"/>
      <c r="E27" s="2079" t="s">
        <v>2737</v>
      </c>
      <c r="F27" s="2079"/>
      <c r="G27" s="2090">
        <v>1.2291218032955143E-2</v>
      </c>
      <c r="H27" s="2110"/>
      <c r="I27" s="2090">
        <v>0.98770878196704481</v>
      </c>
      <c r="J27" s="2090"/>
      <c r="K27" s="2090">
        <v>1</v>
      </c>
      <c r="L27" s="2079"/>
      <c r="M27" s="2091" t="s">
        <v>347</v>
      </c>
      <c r="N27" s="2091"/>
      <c r="O27" s="2092">
        <v>4190.2</v>
      </c>
      <c r="P27" s="2092"/>
      <c r="Q27" s="2089">
        <v>336719.86999999994</v>
      </c>
      <c r="R27" s="2092"/>
      <c r="S27" s="2092">
        <v>340910.06999999995</v>
      </c>
      <c r="T27" s="2092"/>
      <c r="U27" s="2089">
        <v>0</v>
      </c>
      <c r="V27" s="2089"/>
      <c r="W27" s="2089">
        <v>4190.2</v>
      </c>
    </row>
    <row r="28" spans="1:23">
      <c r="A28" s="2110">
        <v>9</v>
      </c>
      <c r="B28" s="2079"/>
      <c r="C28" s="2078" t="s">
        <v>2002</v>
      </c>
      <c r="D28" s="2079"/>
      <c r="E28" s="2079" t="s">
        <v>2738</v>
      </c>
      <c r="F28" s="2079"/>
      <c r="G28" s="2090">
        <v>1.2291234915483604E-2</v>
      </c>
      <c r="H28" s="2110"/>
      <c r="I28" s="2090">
        <v>0.98770876508451644</v>
      </c>
      <c r="J28" s="2090"/>
      <c r="K28" s="2090">
        <v>1</v>
      </c>
      <c r="L28" s="2079"/>
      <c r="M28" s="2091" t="s">
        <v>347</v>
      </c>
      <c r="N28" s="2079"/>
      <c r="O28" s="2092">
        <v>6296.7199999999984</v>
      </c>
      <c r="P28" s="2089"/>
      <c r="Q28" s="2089">
        <v>505996.80000000005</v>
      </c>
      <c r="R28" s="2089"/>
      <c r="S28" s="2092">
        <v>512293.52</v>
      </c>
      <c r="T28" s="2089"/>
      <c r="U28" s="2089">
        <v>0</v>
      </c>
      <c r="V28" s="2089"/>
      <c r="W28" s="2089">
        <v>6296.7199999999984</v>
      </c>
    </row>
    <row r="29" spans="1:23">
      <c r="A29" s="2110">
        <v>10</v>
      </c>
      <c r="B29" s="2079"/>
      <c r="C29" s="2078" t="s">
        <v>1991</v>
      </c>
      <c r="D29" s="2079"/>
      <c r="E29" s="2079" t="s">
        <v>2739</v>
      </c>
      <c r="F29" s="2079"/>
      <c r="G29" s="2090">
        <v>1.2291348650786583E-2</v>
      </c>
      <c r="H29" s="2110"/>
      <c r="I29" s="2090">
        <v>0.98770865134921348</v>
      </c>
      <c r="J29" s="2090"/>
      <c r="K29" s="2090">
        <v>1</v>
      </c>
      <c r="L29" s="2079"/>
      <c r="M29" s="2091" t="s">
        <v>347</v>
      </c>
      <c r="N29" s="2079"/>
      <c r="O29" s="2092">
        <v>734.03000000000009</v>
      </c>
      <c r="P29" s="2089"/>
      <c r="Q29" s="2089">
        <v>58985.21</v>
      </c>
      <c r="R29" s="2089"/>
      <c r="S29" s="2092">
        <v>59719.24</v>
      </c>
      <c r="T29" s="2089"/>
      <c r="U29" s="2089">
        <v>0</v>
      </c>
      <c r="V29" s="2089"/>
      <c r="W29" s="2089">
        <v>734.03000000000009</v>
      </c>
    </row>
    <row r="30" spans="1:23">
      <c r="A30" s="2110">
        <v>11</v>
      </c>
      <c r="B30" s="2079"/>
      <c r="C30" s="2078" t="s">
        <v>2056</v>
      </c>
      <c r="D30" s="2079"/>
      <c r="E30" s="2079" t="s">
        <v>2740</v>
      </c>
      <c r="F30" s="2079"/>
      <c r="G30" s="2090">
        <v>1.2291273152447331E-2</v>
      </c>
      <c r="H30" s="2110"/>
      <c r="I30" s="2090">
        <v>0.98770872684755262</v>
      </c>
      <c r="J30" s="2090"/>
      <c r="K30" s="2090">
        <v>1</v>
      </c>
      <c r="L30" s="2079"/>
      <c r="M30" s="2091" t="s">
        <v>347</v>
      </c>
      <c r="N30" s="2079"/>
      <c r="O30" s="2092">
        <v>676.3599999999999</v>
      </c>
      <c r="P30" s="2089"/>
      <c r="Q30" s="2089">
        <v>54351.3</v>
      </c>
      <c r="R30" s="2089"/>
      <c r="S30" s="2092">
        <v>55027.66</v>
      </c>
      <c r="T30" s="2089"/>
      <c r="U30" s="2089">
        <v>0</v>
      </c>
      <c r="V30" s="2089"/>
      <c r="W30" s="2089">
        <v>676.3599999999999</v>
      </c>
    </row>
    <row r="31" spans="1:23">
      <c r="A31" s="2110">
        <v>12</v>
      </c>
      <c r="B31" s="2079"/>
      <c r="C31" s="2078" t="s">
        <v>2063</v>
      </c>
      <c r="D31" s="2079"/>
      <c r="E31" s="2079" t="s">
        <v>1248</v>
      </c>
      <c r="F31" s="2079"/>
      <c r="G31" s="2090">
        <v>0</v>
      </c>
      <c r="H31" s="2110"/>
      <c r="I31" s="2090">
        <v>0</v>
      </c>
      <c r="J31" s="2090"/>
      <c r="K31" s="2090">
        <v>0</v>
      </c>
      <c r="L31" s="2079"/>
      <c r="M31" s="2091" t="s">
        <v>347</v>
      </c>
      <c r="N31" s="2079"/>
      <c r="O31" s="2092">
        <v>0</v>
      </c>
      <c r="P31" s="2089"/>
      <c r="Q31" s="2089">
        <v>0</v>
      </c>
      <c r="R31" s="2089"/>
      <c r="S31" s="2092">
        <v>0</v>
      </c>
      <c r="T31" s="2089"/>
      <c r="U31" s="2089">
        <v>0</v>
      </c>
      <c r="V31" s="2089"/>
      <c r="W31" s="2089">
        <v>0</v>
      </c>
    </row>
    <row r="32" spans="1:23">
      <c r="A32" s="2110">
        <v>13</v>
      </c>
      <c r="B32" s="2079"/>
      <c r="C32" s="2078" t="s">
        <v>1981</v>
      </c>
      <c r="D32" s="2079"/>
      <c r="E32" s="2079" t="s">
        <v>1250</v>
      </c>
      <c r="F32" s="2079"/>
      <c r="G32" s="2090">
        <v>1.2291271065103264E-2</v>
      </c>
      <c r="H32" s="2110"/>
      <c r="I32" s="2090">
        <v>0.98770872893489681</v>
      </c>
      <c r="J32" s="2090"/>
      <c r="K32" s="2090">
        <v>1</v>
      </c>
      <c r="L32" s="2079"/>
      <c r="M32" s="2091" t="s">
        <v>347</v>
      </c>
      <c r="N32" s="2079"/>
      <c r="O32" s="2092">
        <v>1016.7600000000001</v>
      </c>
      <c r="P32" s="2089"/>
      <c r="Q32" s="2089">
        <v>81705.360000000015</v>
      </c>
      <c r="R32" s="2089"/>
      <c r="S32" s="2092">
        <v>82722.12000000001</v>
      </c>
      <c r="T32" s="2089"/>
      <c r="U32" s="2089">
        <v>0</v>
      </c>
      <c r="V32" s="2089"/>
      <c r="W32" s="2089">
        <v>1016.7600000000001</v>
      </c>
    </row>
    <row r="33" spans="1:23">
      <c r="A33" s="2110">
        <v>14</v>
      </c>
      <c r="B33" s="2079"/>
      <c r="C33" s="2078" t="s">
        <v>2741</v>
      </c>
      <c r="D33" s="2079"/>
      <c r="E33" s="2079" t="s">
        <v>2742</v>
      </c>
      <c r="F33" s="2079"/>
      <c r="G33" s="2090">
        <v>1.2288732394366198E-2</v>
      </c>
      <c r="H33" s="2110"/>
      <c r="I33" s="2090">
        <v>0.98771126760563377</v>
      </c>
      <c r="J33" s="2090"/>
      <c r="K33" s="2090">
        <v>1</v>
      </c>
      <c r="L33" s="2079"/>
      <c r="M33" s="2091" t="s">
        <v>347</v>
      </c>
      <c r="N33" s="2079"/>
      <c r="O33" s="2092">
        <v>20.94</v>
      </c>
      <c r="P33" s="2089"/>
      <c r="Q33" s="2089">
        <v>1683.06</v>
      </c>
      <c r="R33" s="2089"/>
      <c r="S33" s="2092">
        <v>1704</v>
      </c>
      <c r="T33" s="2089"/>
      <c r="U33" s="2089">
        <v>0</v>
      </c>
      <c r="V33" s="2089"/>
      <c r="W33" s="2089">
        <v>20.94</v>
      </c>
    </row>
    <row r="34" spans="1:23">
      <c r="A34" s="2110">
        <v>15</v>
      </c>
      <c r="B34" s="2079"/>
      <c r="C34" s="2078" t="s">
        <v>2076</v>
      </c>
      <c r="D34" s="2079"/>
      <c r="E34" s="2079" t="s">
        <v>2519</v>
      </c>
      <c r="F34" s="2079"/>
      <c r="G34" s="2090">
        <v>1.2300506033476063E-2</v>
      </c>
      <c r="H34" s="2110"/>
      <c r="I34" s="2090">
        <v>0.9876994939665239</v>
      </c>
      <c r="J34" s="2090"/>
      <c r="K34" s="2090">
        <v>1</v>
      </c>
      <c r="L34" s="2079"/>
      <c r="M34" s="2091" t="s">
        <v>347</v>
      </c>
      <c r="N34" s="2079"/>
      <c r="O34" s="2092">
        <v>3.16</v>
      </c>
      <c r="P34" s="2089"/>
      <c r="Q34" s="2089">
        <v>253.73999999999998</v>
      </c>
      <c r="R34" s="2089"/>
      <c r="S34" s="2092">
        <v>256.89999999999998</v>
      </c>
      <c r="T34" s="2089"/>
      <c r="U34" s="2089">
        <v>0</v>
      </c>
      <c r="V34" s="2089"/>
      <c r="W34" s="2089">
        <v>3.16</v>
      </c>
    </row>
    <row r="35" spans="1:23">
      <c r="A35" s="2110">
        <v>16</v>
      </c>
      <c r="B35" s="2079"/>
      <c r="C35" s="2078" t="s">
        <v>2743</v>
      </c>
      <c r="D35" s="2079"/>
      <c r="E35" s="2079" t="s">
        <v>2523</v>
      </c>
      <c r="F35" s="2079"/>
      <c r="G35" s="2090">
        <v>1.2291246985310273E-2</v>
      </c>
      <c r="H35" s="2110"/>
      <c r="I35" s="2090">
        <v>0.98770875301468963</v>
      </c>
      <c r="J35" s="2090"/>
      <c r="K35" s="2090">
        <v>1</v>
      </c>
      <c r="L35" s="2079"/>
      <c r="M35" s="2091" t="s">
        <v>347</v>
      </c>
      <c r="N35" s="2079"/>
      <c r="O35" s="2092">
        <v>2019.04</v>
      </c>
      <c r="P35" s="2089"/>
      <c r="Q35" s="2089">
        <v>162247.44999999998</v>
      </c>
      <c r="R35" s="2089"/>
      <c r="S35" s="2092">
        <v>164266.49</v>
      </c>
      <c r="T35" s="2089"/>
      <c r="U35" s="2089">
        <v>0</v>
      </c>
      <c r="V35" s="2089"/>
      <c r="W35" s="2089">
        <v>2019.04</v>
      </c>
    </row>
    <row r="36" spans="1:23">
      <c r="A36" s="2110">
        <v>17</v>
      </c>
      <c r="B36" s="2079"/>
      <c r="C36" s="2078" t="s">
        <v>2015</v>
      </c>
      <c r="D36" s="2079"/>
      <c r="E36" s="2079" t="s">
        <v>2744</v>
      </c>
      <c r="F36" s="2079"/>
      <c r="G36" s="2090">
        <v>1.2291245211552532E-2</v>
      </c>
      <c r="H36" s="2110"/>
      <c r="I36" s="2090">
        <v>0.98770875478844744</v>
      </c>
      <c r="J36" s="2090"/>
      <c r="K36" s="2090">
        <v>1</v>
      </c>
      <c r="L36" s="2079"/>
      <c r="M36" s="2091" t="s">
        <v>347</v>
      </c>
      <c r="N36" s="2079"/>
      <c r="O36" s="2092">
        <v>137.07</v>
      </c>
      <c r="P36" s="2089"/>
      <c r="Q36" s="2089">
        <v>11014.77</v>
      </c>
      <c r="R36" s="2089"/>
      <c r="S36" s="2092">
        <v>11151.84</v>
      </c>
      <c r="T36" s="2089"/>
      <c r="U36" s="2089">
        <v>0</v>
      </c>
      <c r="V36" s="2089"/>
      <c r="W36" s="2089">
        <v>137.07</v>
      </c>
    </row>
    <row r="37" spans="1:23">
      <c r="A37" s="2110">
        <v>18</v>
      </c>
      <c r="B37" s="2079"/>
      <c r="C37" s="2078" t="s">
        <v>1984</v>
      </c>
      <c r="D37" s="2079"/>
      <c r="E37" s="2079" t="s">
        <v>1253</v>
      </c>
      <c r="F37" s="2079"/>
      <c r="G37" s="2090">
        <v>1.2294985804453415E-2</v>
      </c>
      <c r="H37" s="2110"/>
      <c r="I37" s="2090">
        <v>0.98770501419554657</v>
      </c>
      <c r="J37" s="2090"/>
      <c r="K37" s="2090">
        <v>1</v>
      </c>
      <c r="L37" s="2079"/>
      <c r="M37" s="2091" t="s">
        <v>347</v>
      </c>
      <c r="N37" s="2079"/>
      <c r="O37" s="2092">
        <v>-10.48</v>
      </c>
      <c r="P37" s="2089"/>
      <c r="Q37" s="2089">
        <v>-841.89999999999986</v>
      </c>
      <c r="R37" s="2089"/>
      <c r="S37" s="2092">
        <v>-852.37999999999988</v>
      </c>
      <c r="T37" s="2089"/>
      <c r="U37" s="2089">
        <v>0</v>
      </c>
      <c r="V37" s="2089"/>
      <c r="W37" s="2089">
        <v>-10.48</v>
      </c>
    </row>
    <row r="38" spans="1:23">
      <c r="A38" s="2110">
        <v>19</v>
      </c>
      <c r="B38" s="2079"/>
      <c r="C38" s="2078" t="s">
        <v>1998</v>
      </c>
      <c r="D38" s="2079"/>
      <c r="E38" s="2079" t="s">
        <v>2535</v>
      </c>
      <c r="F38" s="2079"/>
      <c r="G38" s="2090">
        <v>1.2291259769504325E-2</v>
      </c>
      <c r="H38" s="2110"/>
      <c r="I38" s="2090">
        <v>0.9877087402304956</v>
      </c>
      <c r="J38" s="2090"/>
      <c r="K38" s="2090">
        <v>1</v>
      </c>
      <c r="L38" s="2079"/>
      <c r="M38" s="2091" t="s">
        <v>347</v>
      </c>
      <c r="N38" s="2079"/>
      <c r="O38" s="2092">
        <v>1663.0999999999997</v>
      </c>
      <c r="P38" s="2089"/>
      <c r="Q38" s="2089">
        <v>133644.43</v>
      </c>
      <c r="R38" s="2089"/>
      <c r="S38" s="2092">
        <v>135307.53</v>
      </c>
      <c r="T38" s="2089"/>
      <c r="U38" s="2089">
        <v>0</v>
      </c>
      <c r="V38" s="2089"/>
      <c r="W38" s="2089">
        <v>1663.0999999999997</v>
      </c>
    </row>
    <row r="39" spans="1:23" ht="12.75" thickBot="1">
      <c r="A39" s="2110">
        <v>20</v>
      </c>
      <c r="B39" s="2079"/>
      <c r="C39" s="2078"/>
      <c r="D39" s="2079"/>
      <c r="E39" s="2079"/>
      <c r="F39" s="2079"/>
      <c r="G39" s="2090"/>
      <c r="H39" s="2110"/>
      <c r="I39" s="2110"/>
      <c r="J39" s="2110"/>
      <c r="K39" s="2110"/>
      <c r="L39" s="2079"/>
      <c r="M39" s="2079"/>
      <c r="N39" s="2079"/>
      <c r="O39" s="2093">
        <v>21122.809999999998</v>
      </c>
      <c r="P39" s="2089"/>
      <c r="Q39" s="2093">
        <v>1706116.6900000002</v>
      </c>
      <c r="R39" s="2089"/>
      <c r="S39" s="2093">
        <v>1727239.5</v>
      </c>
      <c r="T39" s="2089"/>
      <c r="U39" s="2094">
        <v>0</v>
      </c>
      <c r="V39" s="2089"/>
      <c r="W39" s="2094">
        <v>21122.809999999998</v>
      </c>
    </row>
    <row r="40" spans="1:23" ht="12.75" thickTop="1">
      <c r="A40" s="2110">
        <v>21</v>
      </c>
      <c r="B40" s="2079"/>
      <c r="C40" s="2078"/>
      <c r="D40" s="2079"/>
      <c r="E40" s="2079"/>
      <c r="F40" s="2079"/>
      <c r="G40" s="2090"/>
      <c r="H40" s="2110"/>
      <c r="I40" s="2110"/>
      <c r="J40" s="2110"/>
      <c r="K40" s="2110"/>
      <c r="L40" s="2079"/>
      <c r="M40" s="2079"/>
      <c r="N40" s="2079"/>
      <c r="O40" s="2089"/>
      <c r="P40" s="2089"/>
      <c r="Q40" s="2089"/>
      <c r="R40" s="2089"/>
      <c r="S40" s="2089"/>
      <c r="T40" s="2089"/>
      <c r="U40" s="2089"/>
      <c r="V40" s="2089"/>
      <c r="W40" s="2089"/>
    </row>
    <row r="41" spans="1:23">
      <c r="A41" s="2110">
        <v>22</v>
      </c>
      <c r="B41" s="2088" t="s">
        <v>2745</v>
      </c>
      <c r="C41" s="2078"/>
      <c r="D41" s="2079"/>
      <c r="E41" s="2079"/>
      <c r="F41" s="2079"/>
      <c r="G41" s="2090"/>
      <c r="H41" s="2110"/>
      <c r="I41" s="2090"/>
      <c r="J41" s="2090"/>
      <c r="K41" s="2090"/>
      <c r="L41" s="2079"/>
      <c r="M41" s="2079"/>
      <c r="N41" s="2079"/>
      <c r="O41" s="2089"/>
      <c r="P41" s="2089"/>
      <c r="Q41" s="2089"/>
      <c r="R41" s="2089"/>
      <c r="S41" s="2089"/>
      <c r="T41" s="2089"/>
      <c r="U41" s="2089"/>
      <c r="V41" s="2089"/>
      <c r="W41" s="2089"/>
    </row>
    <row r="42" spans="1:23">
      <c r="A42" s="2110">
        <v>23</v>
      </c>
      <c r="B42" s="2079"/>
      <c r="C42" s="2078"/>
      <c r="D42" s="2079"/>
      <c r="E42" s="2079"/>
      <c r="F42" s="2079"/>
      <c r="G42" s="2090"/>
      <c r="H42" s="2110"/>
      <c r="I42" s="2090"/>
      <c r="J42" s="2090"/>
      <c r="K42" s="2090"/>
      <c r="L42" s="2079"/>
      <c r="M42" s="2079"/>
      <c r="N42" s="2079"/>
      <c r="O42" s="2089"/>
      <c r="P42" s="2089"/>
      <c r="Q42" s="2089"/>
      <c r="R42" s="2089"/>
      <c r="S42" s="2089"/>
      <c r="T42" s="2089"/>
      <c r="U42" s="2089"/>
      <c r="V42" s="2089"/>
      <c r="W42" s="2089"/>
    </row>
    <row r="43" spans="1:23">
      <c r="A43" s="2110">
        <v>24</v>
      </c>
      <c r="B43" s="2079"/>
      <c r="C43" s="2078">
        <v>403</v>
      </c>
      <c r="D43" s="2079"/>
      <c r="E43" s="2079" t="s">
        <v>2746</v>
      </c>
      <c r="F43" s="2079"/>
      <c r="G43" s="2090">
        <v>4.1400188446371354E-2</v>
      </c>
      <c r="H43" s="2110"/>
      <c r="I43" s="2090">
        <v>0.95859981155362861</v>
      </c>
      <c r="J43" s="2090"/>
      <c r="K43" s="2090">
        <v>1</v>
      </c>
      <c r="L43" s="2079"/>
      <c r="M43" s="2091" t="s">
        <v>347</v>
      </c>
      <c r="N43" s="2079"/>
      <c r="O43" s="2092">
        <v>856.36</v>
      </c>
      <c r="P43" s="2092"/>
      <c r="Q43" s="2092">
        <v>19828.569999999996</v>
      </c>
      <c r="R43" s="2092"/>
      <c r="S43" s="2092">
        <v>20684.929999999997</v>
      </c>
      <c r="T43" s="2092"/>
      <c r="U43" s="994">
        <v>0</v>
      </c>
      <c r="V43" s="994"/>
      <c r="W43" s="994">
        <v>856.36</v>
      </c>
    </row>
    <row r="44" spans="1:23">
      <c r="A44" s="2110">
        <v>25</v>
      </c>
      <c r="B44" s="2079"/>
      <c r="C44" s="2078">
        <v>408</v>
      </c>
      <c r="D44" s="2079"/>
      <c r="E44" s="2079" t="s">
        <v>25</v>
      </c>
      <c r="F44" s="2079"/>
      <c r="G44" s="2090">
        <v>5.2608548704175147E-2</v>
      </c>
      <c r="H44" s="2110"/>
      <c r="I44" s="2090">
        <v>0.9473914512958248</v>
      </c>
      <c r="J44" s="2090"/>
      <c r="K44" s="2090">
        <v>1</v>
      </c>
      <c r="L44" s="2079"/>
      <c r="M44" s="2091" t="s">
        <v>347</v>
      </c>
      <c r="N44" s="2079"/>
      <c r="O44" s="2092">
        <v>1315.29</v>
      </c>
      <c r="P44" s="2089"/>
      <c r="Q44" s="2092">
        <v>23686.160000000003</v>
      </c>
      <c r="R44" s="2089"/>
      <c r="S44" s="2092">
        <v>25001.450000000004</v>
      </c>
      <c r="T44" s="2089"/>
      <c r="U44" s="994">
        <v>0</v>
      </c>
      <c r="V44" s="994"/>
      <c r="W44" s="994">
        <v>1315.29</v>
      </c>
    </row>
    <row r="45" spans="1:23">
      <c r="A45" s="2110">
        <v>26</v>
      </c>
      <c r="B45" s="2079"/>
      <c r="C45" s="2078">
        <v>410</v>
      </c>
      <c r="D45" s="2079"/>
      <c r="E45" s="2079" t="s">
        <v>2734</v>
      </c>
      <c r="F45" s="2079"/>
      <c r="G45" s="2090">
        <v>0</v>
      </c>
      <c r="H45" s="2110"/>
      <c r="I45" s="2090">
        <v>0</v>
      </c>
      <c r="J45" s="2090"/>
      <c r="K45" s="2090">
        <v>0</v>
      </c>
      <c r="L45" s="2079"/>
      <c r="M45" s="2091" t="s">
        <v>347</v>
      </c>
      <c r="N45" s="2079"/>
      <c r="O45" s="2092">
        <v>0</v>
      </c>
      <c r="P45" s="2089"/>
      <c r="Q45" s="2092">
        <v>0</v>
      </c>
      <c r="R45" s="2089"/>
      <c r="S45" s="2092">
        <v>0</v>
      </c>
      <c r="T45" s="2089"/>
      <c r="U45" s="994">
        <v>0</v>
      </c>
      <c r="V45" s="994"/>
      <c r="W45" s="994">
        <v>0</v>
      </c>
    </row>
    <row r="46" spans="1:23">
      <c r="A46" s="2110">
        <v>27</v>
      </c>
      <c r="B46" s="2079"/>
      <c r="C46" s="2078" t="s">
        <v>2747</v>
      </c>
      <c r="D46" s="2079"/>
      <c r="E46" s="2079" t="s">
        <v>25</v>
      </c>
      <c r="F46" s="2079"/>
      <c r="G46" s="2090">
        <v>0</v>
      </c>
      <c r="H46" s="2110"/>
      <c r="I46" s="2090">
        <v>0</v>
      </c>
      <c r="J46" s="2090"/>
      <c r="K46" s="2090">
        <v>0</v>
      </c>
      <c r="L46" s="2079"/>
      <c r="M46" s="2091" t="s">
        <v>347</v>
      </c>
      <c r="N46" s="2079"/>
      <c r="O46" s="2092">
        <v>0</v>
      </c>
      <c r="P46" s="2089"/>
      <c r="Q46" s="2092">
        <v>0</v>
      </c>
      <c r="R46" s="2089"/>
      <c r="S46" s="2092">
        <v>0</v>
      </c>
      <c r="T46" s="2089"/>
      <c r="U46" s="994">
        <v>0</v>
      </c>
      <c r="V46" s="994"/>
      <c r="W46" s="994">
        <v>0</v>
      </c>
    </row>
    <row r="47" spans="1:23">
      <c r="A47" s="2110">
        <v>28</v>
      </c>
      <c r="B47" s="2079"/>
      <c r="C47" s="2078">
        <v>427</v>
      </c>
      <c r="D47" s="2079"/>
      <c r="E47" s="2079" t="s">
        <v>2619</v>
      </c>
      <c r="F47" s="2079"/>
      <c r="G47" s="2090">
        <v>5.2060737527114959E-2</v>
      </c>
      <c r="H47" s="2110"/>
      <c r="I47" s="2090">
        <v>0.94793926247288496</v>
      </c>
      <c r="J47" s="2090"/>
      <c r="K47" s="2090">
        <v>1</v>
      </c>
      <c r="L47" s="2079"/>
      <c r="M47" s="2091" t="s">
        <v>347</v>
      </c>
      <c r="N47" s="2079"/>
      <c r="O47" s="2092">
        <v>0.24</v>
      </c>
      <c r="P47" s="2089"/>
      <c r="Q47" s="2092">
        <v>4.37</v>
      </c>
      <c r="R47" s="2089"/>
      <c r="S47" s="2092">
        <v>4.6100000000000003</v>
      </c>
      <c r="T47" s="2089"/>
      <c r="U47" s="994">
        <v>0</v>
      </c>
      <c r="V47" s="994"/>
      <c r="W47" s="994">
        <v>0.24</v>
      </c>
    </row>
    <row r="48" spans="1:23">
      <c r="A48" s="2110">
        <v>29</v>
      </c>
      <c r="B48" s="2079"/>
      <c r="C48" s="2078" t="s">
        <v>2736</v>
      </c>
      <c r="D48" s="2079"/>
      <c r="E48" s="2079" t="s">
        <v>2737</v>
      </c>
      <c r="F48" s="2079"/>
      <c r="G48" s="2090">
        <v>5.3114481374402875E-2</v>
      </c>
      <c r="H48" s="2110"/>
      <c r="I48" s="2090">
        <v>0.94688551862559722</v>
      </c>
      <c r="J48" s="2090"/>
      <c r="K48" s="2090">
        <v>1</v>
      </c>
      <c r="L48" s="2079"/>
      <c r="M48" s="2091" t="s">
        <v>347</v>
      </c>
      <c r="N48" s="2091"/>
      <c r="O48" s="2092">
        <v>2523.52</v>
      </c>
      <c r="P48" s="2089"/>
      <c r="Q48" s="2092">
        <v>44987.44</v>
      </c>
      <c r="R48" s="2089"/>
      <c r="S48" s="2092">
        <v>47510.96</v>
      </c>
      <c r="T48" s="2089"/>
      <c r="U48" s="994">
        <v>0</v>
      </c>
      <c r="V48" s="994"/>
      <c r="W48" s="994">
        <v>2523.52</v>
      </c>
    </row>
    <row r="49" spans="1:23">
      <c r="A49" s="2110">
        <v>30</v>
      </c>
      <c r="B49" s="2079"/>
      <c r="C49" s="2078" t="s">
        <v>2002</v>
      </c>
      <c r="D49" s="2079"/>
      <c r="E49" s="2079" t="s">
        <v>2738</v>
      </c>
      <c r="F49" s="2079"/>
      <c r="G49" s="2090">
        <v>0</v>
      </c>
      <c r="H49" s="2110"/>
      <c r="I49" s="2090">
        <v>0</v>
      </c>
      <c r="J49" s="2090"/>
      <c r="K49" s="2090">
        <v>0</v>
      </c>
      <c r="L49" s="2079"/>
      <c r="M49" s="2091" t="s">
        <v>347</v>
      </c>
      <c r="N49" s="2079"/>
      <c r="O49" s="2092">
        <v>0</v>
      </c>
      <c r="P49" s="2089"/>
      <c r="Q49" s="2092">
        <v>0</v>
      </c>
      <c r="R49" s="2089"/>
      <c r="S49" s="2092">
        <v>0</v>
      </c>
      <c r="T49" s="2089"/>
      <c r="U49" s="994">
        <v>0</v>
      </c>
      <c r="V49" s="994"/>
      <c r="W49" s="994">
        <v>0</v>
      </c>
    </row>
    <row r="50" spans="1:23">
      <c r="A50" s="2110">
        <v>31</v>
      </c>
      <c r="B50" s="2079"/>
      <c r="C50" s="2078" t="s">
        <v>1991</v>
      </c>
      <c r="D50" s="2079"/>
      <c r="E50" s="2079" t="s">
        <v>2739</v>
      </c>
      <c r="F50" s="2079"/>
      <c r="G50" s="2090">
        <v>5.2433684670151734E-2</v>
      </c>
      <c r="H50" s="2110"/>
      <c r="I50" s="2090">
        <v>0.94756631532984825</v>
      </c>
      <c r="J50" s="2090"/>
      <c r="K50" s="2090">
        <v>1</v>
      </c>
      <c r="L50" s="2079"/>
      <c r="M50" s="2091" t="s">
        <v>347</v>
      </c>
      <c r="N50" s="2079"/>
      <c r="O50" s="2092">
        <v>43.230000000000004</v>
      </c>
      <c r="P50" s="2089"/>
      <c r="Q50" s="2092">
        <v>781.24</v>
      </c>
      <c r="R50" s="2089"/>
      <c r="S50" s="2092">
        <v>824.47</v>
      </c>
      <c r="T50" s="2089"/>
      <c r="U50" s="994">
        <v>0</v>
      </c>
      <c r="V50" s="994"/>
      <c r="W50" s="994">
        <v>43.230000000000004</v>
      </c>
    </row>
    <row r="51" spans="1:23">
      <c r="A51" s="2110">
        <v>32</v>
      </c>
      <c r="B51" s="2079"/>
      <c r="C51" s="2078" t="s">
        <v>2052</v>
      </c>
      <c r="D51" s="2079"/>
      <c r="E51" s="2079" t="s">
        <v>2748</v>
      </c>
      <c r="F51" s="2079"/>
      <c r="G51" s="2090">
        <v>0</v>
      </c>
      <c r="H51" s="2110"/>
      <c r="I51" s="2090">
        <v>0</v>
      </c>
      <c r="J51" s="2090"/>
      <c r="K51" s="2090">
        <v>0</v>
      </c>
      <c r="L51" s="2079"/>
      <c r="M51" s="2091" t="s">
        <v>347</v>
      </c>
      <c r="N51" s="2079"/>
      <c r="O51" s="2092">
        <v>0</v>
      </c>
      <c r="P51" s="2089"/>
      <c r="Q51" s="2092">
        <v>0</v>
      </c>
      <c r="R51" s="2089"/>
      <c r="S51" s="2092">
        <v>0</v>
      </c>
      <c r="T51" s="2089"/>
      <c r="U51" s="994">
        <v>0</v>
      </c>
      <c r="V51" s="994"/>
      <c r="W51" s="994">
        <v>0</v>
      </c>
    </row>
    <row r="52" spans="1:23">
      <c r="A52" s="2110">
        <v>33</v>
      </c>
      <c r="B52" s="2079"/>
      <c r="C52" s="2078" t="s">
        <v>2063</v>
      </c>
      <c r="D52" s="2079"/>
      <c r="E52" s="2079" t="s">
        <v>1248</v>
      </c>
      <c r="F52" s="2079"/>
      <c r="G52" s="2090">
        <v>5.3142857142857144E-2</v>
      </c>
      <c r="H52" s="2110"/>
      <c r="I52" s="2090">
        <v>0.94685714285714284</v>
      </c>
      <c r="J52" s="2090"/>
      <c r="K52" s="2090">
        <v>1</v>
      </c>
      <c r="L52" s="2079"/>
      <c r="M52" s="2091" t="s">
        <v>347</v>
      </c>
      <c r="N52" s="2079"/>
      <c r="O52" s="2092">
        <v>7.44</v>
      </c>
      <c r="P52" s="2089"/>
      <c r="Q52" s="2092">
        <v>132.56</v>
      </c>
      <c r="R52" s="2089"/>
      <c r="S52" s="2092">
        <v>140</v>
      </c>
      <c r="T52" s="2089"/>
      <c r="U52" s="994">
        <v>0</v>
      </c>
      <c r="V52" s="994"/>
      <c r="W52" s="994">
        <v>7.44</v>
      </c>
    </row>
    <row r="53" spans="1:23">
      <c r="A53" s="2110">
        <v>34</v>
      </c>
      <c r="B53" s="2079"/>
      <c r="C53" s="2078">
        <v>635</v>
      </c>
      <c r="D53" s="2079"/>
      <c r="E53" s="2079" t="s">
        <v>2749</v>
      </c>
      <c r="F53" s="2079"/>
      <c r="G53" s="2090">
        <v>0.10758666666666666</v>
      </c>
      <c r="H53" s="2110"/>
      <c r="I53" s="2090">
        <v>0.89241333333333328</v>
      </c>
      <c r="J53" s="2090"/>
      <c r="K53" s="2090">
        <v>1</v>
      </c>
      <c r="L53" s="2079"/>
      <c r="M53" s="2091" t="s">
        <v>347</v>
      </c>
      <c r="N53" s="2079"/>
      <c r="O53" s="2092">
        <v>-322.76</v>
      </c>
      <c r="P53" s="2089"/>
      <c r="Q53" s="2092">
        <v>-2677.24</v>
      </c>
      <c r="R53" s="2089"/>
      <c r="S53" s="2092">
        <v>-3000</v>
      </c>
      <c r="T53" s="2089"/>
      <c r="U53" s="994">
        <v>0</v>
      </c>
      <c r="V53" s="994"/>
      <c r="W53" s="994">
        <v>-322.76</v>
      </c>
    </row>
    <row r="54" spans="1:23">
      <c r="A54" s="2110">
        <v>35</v>
      </c>
      <c r="B54" s="2079"/>
      <c r="C54" s="2078" t="s">
        <v>1981</v>
      </c>
      <c r="D54" s="2079"/>
      <c r="E54" s="2079" t="s">
        <v>1250</v>
      </c>
      <c r="F54" s="2079"/>
      <c r="G54" s="2090">
        <v>0.11095577897445422</v>
      </c>
      <c r="H54" s="2110"/>
      <c r="I54" s="2090">
        <v>0.88904422102554581</v>
      </c>
      <c r="J54" s="2090"/>
      <c r="K54" s="2090">
        <v>1</v>
      </c>
      <c r="L54" s="2079"/>
      <c r="M54" s="2091" t="s">
        <v>347</v>
      </c>
      <c r="N54" s="2079"/>
      <c r="O54" s="2092">
        <v>-418.27000000000004</v>
      </c>
      <c r="P54" s="2089"/>
      <c r="Q54" s="2092">
        <v>-3351.43</v>
      </c>
      <c r="R54" s="2089"/>
      <c r="S54" s="2092">
        <v>-3769.7</v>
      </c>
      <c r="T54" s="2089"/>
      <c r="U54" s="994">
        <v>0</v>
      </c>
      <c r="V54" s="994"/>
      <c r="W54" s="994">
        <v>-418.27000000000004</v>
      </c>
    </row>
    <row r="55" spans="1:23">
      <c r="A55" s="2110">
        <v>36</v>
      </c>
      <c r="B55" s="2079"/>
      <c r="C55" s="2078" t="s">
        <v>2074</v>
      </c>
      <c r="D55" s="2079"/>
      <c r="E55" s="2079" t="s">
        <v>2517</v>
      </c>
      <c r="F55" s="2079"/>
      <c r="G55" s="2090">
        <v>0</v>
      </c>
      <c r="H55" s="2110"/>
      <c r="I55" s="2090">
        <v>0</v>
      </c>
      <c r="J55" s="2090"/>
      <c r="K55" s="2090">
        <v>0</v>
      </c>
      <c r="L55" s="2079"/>
      <c r="M55" s="2091" t="s">
        <v>347</v>
      </c>
      <c r="N55" s="2079"/>
      <c r="O55" s="2092">
        <v>0</v>
      </c>
      <c r="P55" s="2089"/>
      <c r="Q55" s="2092">
        <v>0</v>
      </c>
      <c r="R55" s="2089"/>
      <c r="S55" s="2092">
        <v>0</v>
      </c>
      <c r="T55" s="2089"/>
      <c r="U55" s="994">
        <v>0</v>
      </c>
      <c r="V55" s="994"/>
      <c r="W55" s="994">
        <v>0</v>
      </c>
    </row>
    <row r="56" spans="1:23">
      <c r="A56" s="2110">
        <v>37</v>
      </c>
      <c r="B56" s="2079"/>
      <c r="C56" s="2078" t="s">
        <v>2076</v>
      </c>
      <c r="D56" s="2079"/>
      <c r="E56" s="2079" t="s">
        <v>1251</v>
      </c>
      <c r="F56" s="2079"/>
      <c r="G56" s="2090">
        <v>5.2441407277740555E-2</v>
      </c>
      <c r="H56" s="2110"/>
      <c r="I56" s="2090">
        <v>0.9475585927222594</v>
      </c>
      <c r="J56" s="2090"/>
      <c r="K56" s="2090">
        <v>1</v>
      </c>
      <c r="L56" s="2079"/>
      <c r="M56" s="2091" t="s">
        <v>347</v>
      </c>
      <c r="N56" s="2079"/>
      <c r="O56" s="2092">
        <v>1046.43</v>
      </c>
      <c r="P56" s="2089"/>
      <c r="Q56" s="2092">
        <v>18907.84</v>
      </c>
      <c r="R56" s="2089"/>
      <c r="S56" s="2092">
        <v>19954.27</v>
      </c>
      <c r="T56" s="2089"/>
      <c r="U56" s="994">
        <v>0</v>
      </c>
      <c r="V56" s="994"/>
      <c r="W56" s="994">
        <v>1046.43</v>
      </c>
    </row>
    <row r="57" spans="1:23">
      <c r="A57" s="2110">
        <v>38</v>
      </c>
      <c r="B57" s="2079"/>
      <c r="C57" s="2078" t="s">
        <v>2071</v>
      </c>
      <c r="D57" s="2079"/>
      <c r="E57" s="2079" t="s">
        <v>2750</v>
      </c>
      <c r="F57" s="2079"/>
      <c r="G57" s="2090">
        <v>5.2476190476190475E-2</v>
      </c>
      <c r="H57" s="2110"/>
      <c r="I57" s="2090">
        <v>0.94752380952380943</v>
      </c>
      <c r="J57" s="2090"/>
      <c r="K57" s="2090">
        <v>1</v>
      </c>
      <c r="L57" s="2079"/>
      <c r="M57" s="2091" t="s">
        <v>347</v>
      </c>
      <c r="N57" s="2079"/>
      <c r="O57" s="2092">
        <v>-5.51</v>
      </c>
      <c r="P57" s="2089"/>
      <c r="Q57" s="2092">
        <v>-99.49</v>
      </c>
      <c r="R57" s="2089"/>
      <c r="S57" s="2092">
        <v>-105</v>
      </c>
      <c r="T57" s="2089"/>
      <c r="U57" s="994">
        <v>0</v>
      </c>
      <c r="V57" s="994"/>
      <c r="W57" s="994">
        <v>-5.51</v>
      </c>
    </row>
    <row r="58" spans="1:23">
      <c r="A58" s="2110">
        <v>39</v>
      </c>
      <c r="B58" s="2079"/>
      <c r="C58" s="2078" t="s">
        <v>1998</v>
      </c>
      <c r="D58" s="2079"/>
      <c r="E58" s="2079" t="s">
        <v>2535</v>
      </c>
      <c r="F58" s="2079"/>
      <c r="G58" s="2090">
        <v>5.1257400673913461E-2</v>
      </c>
      <c r="H58" s="2110"/>
      <c r="I58" s="2090">
        <v>0.94874259932608651</v>
      </c>
      <c r="J58" s="2090"/>
      <c r="K58" s="2090">
        <v>1</v>
      </c>
      <c r="L58" s="2079"/>
      <c r="M58" s="2091" t="s">
        <v>347</v>
      </c>
      <c r="N58" s="2079"/>
      <c r="O58" s="2092">
        <v>430.8</v>
      </c>
      <c r="P58" s="2089"/>
      <c r="Q58" s="2092">
        <v>7973.8399999999992</v>
      </c>
      <c r="R58" s="2089"/>
      <c r="S58" s="2092">
        <v>8404.64</v>
      </c>
      <c r="T58" s="2089"/>
      <c r="U58" s="994">
        <v>0</v>
      </c>
      <c r="V58" s="994"/>
      <c r="W58" s="994">
        <v>430.8</v>
      </c>
    </row>
    <row r="59" spans="1:23" ht="12.75" thickBot="1">
      <c r="A59" s="2110">
        <v>40</v>
      </c>
      <c r="B59" s="2079"/>
      <c r="C59" s="2078"/>
      <c r="D59" s="2079"/>
      <c r="E59" s="2079"/>
      <c r="F59" s="2079"/>
      <c r="G59" s="2110"/>
      <c r="H59" s="2110"/>
      <c r="I59" s="2110"/>
      <c r="J59" s="2110"/>
      <c r="K59" s="2090"/>
      <c r="L59" s="2079"/>
      <c r="M59" s="2079"/>
      <c r="N59" s="2079"/>
      <c r="O59" s="2145">
        <v>5476.7699999999986</v>
      </c>
      <c r="P59" s="2089"/>
      <c r="Q59" s="2145">
        <v>110173.86</v>
      </c>
      <c r="R59" s="2089"/>
      <c r="S59" s="2146">
        <v>115650.63000000002</v>
      </c>
      <c r="T59" s="2089"/>
      <c r="U59" s="2147">
        <v>0</v>
      </c>
      <c r="V59" s="2089"/>
      <c r="W59" s="2147">
        <v>5476.7699999999986</v>
      </c>
    </row>
    <row r="60" spans="1:23" ht="12.75" thickTop="1">
      <c r="A60" s="2110">
        <v>41</v>
      </c>
      <c r="B60" s="2079"/>
      <c r="C60" s="2078"/>
      <c r="D60" s="2079"/>
      <c r="E60" s="2079"/>
      <c r="F60" s="2079"/>
      <c r="G60" s="2110"/>
      <c r="H60" s="2110"/>
      <c r="I60" s="2110"/>
      <c r="J60" s="2110"/>
      <c r="K60" s="2110"/>
      <c r="L60" s="2079"/>
      <c r="M60" s="2079"/>
      <c r="N60" s="2079"/>
      <c r="O60" s="2079"/>
      <c r="P60" s="2079"/>
      <c r="Q60" s="2079"/>
      <c r="R60" s="2079"/>
      <c r="S60" s="2079"/>
      <c r="T60" s="2079"/>
      <c r="U60" s="2079"/>
      <c r="V60" s="2079"/>
      <c r="W60" s="2079"/>
    </row>
    <row r="61" spans="1:23">
      <c r="A61" s="2110">
        <v>42</v>
      </c>
      <c r="B61" s="2088" t="s">
        <v>2751</v>
      </c>
      <c r="C61" s="2078"/>
      <c r="D61" s="2079"/>
      <c r="E61" s="2079"/>
      <c r="F61" s="2079"/>
      <c r="G61" s="2090"/>
      <c r="H61" s="2110"/>
      <c r="I61" s="2090"/>
      <c r="J61" s="2090"/>
      <c r="K61" s="2090"/>
      <c r="L61" s="2079"/>
      <c r="M61" s="2079"/>
      <c r="N61" s="2079"/>
      <c r="O61" s="2089"/>
      <c r="P61" s="2089"/>
      <c r="Q61" s="2089"/>
      <c r="R61" s="2089"/>
      <c r="S61" s="2089"/>
      <c r="T61" s="2089"/>
      <c r="U61" s="2089"/>
      <c r="V61" s="2089"/>
      <c r="W61" s="2089"/>
    </row>
    <row r="62" spans="1:23">
      <c r="A62" s="2110">
        <v>43</v>
      </c>
      <c r="B62" s="2079"/>
      <c r="C62" s="2078"/>
      <c r="D62" s="2079"/>
      <c r="E62" s="2079"/>
      <c r="F62" s="2079"/>
      <c r="G62" s="2090"/>
      <c r="H62" s="2110"/>
      <c r="I62" s="2090"/>
      <c r="J62" s="2090"/>
      <c r="K62" s="2090"/>
      <c r="L62" s="2079"/>
      <c r="M62" s="2079"/>
      <c r="N62" s="2079"/>
      <c r="O62" s="2089"/>
      <c r="P62" s="2089"/>
      <c r="Q62" s="2089"/>
      <c r="R62" s="2089"/>
      <c r="S62" s="2089"/>
      <c r="T62" s="2089"/>
      <c r="U62" s="2089"/>
      <c r="V62" s="2089"/>
      <c r="W62" s="2089"/>
    </row>
    <row r="63" spans="1:23">
      <c r="A63" s="2110">
        <v>44</v>
      </c>
      <c r="B63" s="2079"/>
      <c r="C63" s="2078">
        <v>427</v>
      </c>
      <c r="D63" s="2079"/>
      <c r="E63" s="2079" t="s">
        <v>2619</v>
      </c>
      <c r="F63" s="2079"/>
      <c r="G63" s="2090">
        <v>0</v>
      </c>
      <c r="H63" s="2110"/>
      <c r="I63" s="2090">
        <v>0</v>
      </c>
      <c r="J63" s="2090"/>
      <c r="K63" s="2090">
        <v>0</v>
      </c>
      <c r="L63" s="2079"/>
      <c r="M63" s="2091" t="s">
        <v>2752</v>
      </c>
      <c r="N63" s="2079"/>
      <c r="O63" s="2092">
        <v>0</v>
      </c>
      <c r="P63" s="2092"/>
      <c r="Q63" s="2092">
        <v>0</v>
      </c>
      <c r="R63" s="2092"/>
      <c r="S63" s="2092">
        <v>0</v>
      </c>
      <c r="T63" s="2092"/>
      <c r="U63" s="994">
        <v>0</v>
      </c>
      <c r="V63" s="994"/>
      <c r="W63" s="994">
        <v>0</v>
      </c>
    </row>
    <row r="64" spans="1:23" ht="12.75" thickBot="1">
      <c r="A64" s="2110">
        <v>45</v>
      </c>
      <c r="B64" s="2079"/>
      <c r="C64" s="2078"/>
      <c r="D64" s="2079"/>
      <c r="E64" s="2079"/>
      <c r="F64" s="2079"/>
      <c r="G64" s="2110"/>
      <c r="H64" s="2110"/>
      <c r="I64" s="2110"/>
      <c r="J64" s="2110"/>
      <c r="K64" s="2090"/>
      <c r="L64" s="2079"/>
      <c r="M64" s="2079"/>
      <c r="N64" s="2079"/>
      <c r="O64" s="2145">
        <v>0</v>
      </c>
      <c r="P64" s="2089"/>
      <c r="Q64" s="2145">
        <v>0</v>
      </c>
      <c r="R64" s="2089"/>
      <c r="S64" s="2146">
        <v>0</v>
      </c>
      <c r="T64" s="2089"/>
      <c r="U64" s="2147">
        <v>0</v>
      </c>
      <c r="V64" s="2089"/>
      <c r="W64" s="2147">
        <v>0</v>
      </c>
    </row>
    <row r="65" spans="1:23" ht="12.75" thickTop="1">
      <c r="A65" s="2110">
        <v>46</v>
      </c>
      <c r="B65" s="2079" t="s">
        <v>2753</v>
      </c>
      <c r="C65" s="2078"/>
      <c r="D65" s="2079"/>
      <c r="E65" s="2079"/>
      <c r="F65" s="2079"/>
      <c r="G65" s="2110"/>
      <c r="H65" s="2110"/>
      <c r="I65" s="2110"/>
      <c r="J65" s="2110"/>
      <c r="K65" s="2110"/>
      <c r="L65" s="2079"/>
      <c r="M65" s="2079"/>
      <c r="N65" s="2079"/>
      <c r="O65" s="2079"/>
      <c r="P65" s="2079"/>
      <c r="Q65" s="2079"/>
      <c r="R65" s="2079"/>
      <c r="S65" s="2079"/>
      <c r="T65" s="2079"/>
      <c r="U65" s="2079"/>
      <c r="V65" s="2079"/>
      <c r="W65" s="2079"/>
    </row>
  </sheetData>
  <mergeCells count="6">
    <mergeCell ref="G15:K15"/>
    <mergeCell ref="U10:W10"/>
    <mergeCell ref="U11:W11"/>
    <mergeCell ref="U12:W12"/>
    <mergeCell ref="U13:W13"/>
    <mergeCell ref="O14:W14"/>
  </mergeCells>
  <pageMargins left="0.75" right="0.5" top="0.75" bottom="0.5" header="0.25" footer="0.25"/>
  <pageSetup scale="66"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W65"/>
  <sheetViews>
    <sheetView view="pageBreakPreview" zoomScale="60" zoomScaleNormal="100" workbookViewId="0">
      <selection sqref="A1:XFD1048576"/>
    </sheetView>
  </sheetViews>
  <sheetFormatPr defaultRowHeight="12"/>
  <cols>
    <col min="1" max="1" width="4" style="991" customWidth="1"/>
    <col min="2" max="2" width="3" style="991" customWidth="1"/>
    <col min="3" max="3" width="10.85546875" style="991" customWidth="1"/>
    <col min="4" max="4" width="2.28515625" style="991" customWidth="1"/>
    <col min="5" max="5" width="33.7109375" style="991" customWidth="1"/>
    <col min="6" max="6" width="2.28515625" style="991" customWidth="1"/>
    <col min="7" max="7" width="18" style="991" bestFit="1" customWidth="1"/>
    <col min="8" max="8" width="2.28515625" style="991" customWidth="1"/>
    <col min="9" max="9" width="12.7109375" style="991" customWidth="1"/>
    <col min="10" max="10" width="2.28515625" style="991" customWidth="1"/>
    <col min="11" max="11" width="9.7109375" style="991" customWidth="1"/>
    <col min="12" max="12" width="2.28515625" style="991" customWidth="1"/>
    <col min="13" max="13" width="19.140625" style="991" bestFit="1" customWidth="1"/>
    <col min="14" max="14" width="2.28515625" style="991" customWidth="1"/>
    <col min="15" max="15" width="18" style="991" bestFit="1" customWidth="1"/>
    <col min="16" max="16" width="2.28515625" style="991" customWidth="1"/>
    <col min="17" max="17" width="11.7109375" style="991" customWidth="1"/>
    <col min="18" max="18" width="4.85546875" style="991" customWidth="1"/>
    <col min="19" max="19" width="9.28515625" style="991" bestFit="1" customWidth="1"/>
    <col min="20" max="20" width="2.28515625" style="991" customWidth="1"/>
    <col min="21" max="21" width="5.7109375" style="991" bestFit="1" customWidth="1"/>
    <col min="22" max="22" width="2.28515625" style="991" customWidth="1"/>
    <col min="23" max="23" width="9.85546875" style="991" customWidth="1"/>
    <col min="24" max="16384" width="9.140625" style="991"/>
  </cols>
  <sheetData>
    <row r="1" spans="1:23">
      <c r="A1" s="2079"/>
      <c r="B1" s="2079"/>
      <c r="C1" s="2078"/>
      <c r="D1" s="2079"/>
      <c r="E1" s="2079"/>
      <c r="F1" s="2079"/>
      <c r="G1" s="2110"/>
      <c r="H1" s="2110"/>
      <c r="I1" s="2110"/>
      <c r="J1" s="2110"/>
      <c r="K1" s="2110"/>
      <c r="L1" s="2079"/>
      <c r="M1" s="2079"/>
      <c r="N1" s="2079"/>
      <c r="O1" s="2079"/>
      <c r="P1" s="2079"/>
      <c r="Q1" s="2079"/>
      <c r="R1" s="2079"/>
      <c r="S1" s="2079"/>
      <c r="T1" s="2079"/>
      <c r="U1" s="2079"/>
      <c r="V1" s="2079"/>
      <c r="W1" s="2078" t="s">
        <v>1209</v>
      </c>
    </row>
    <row r="2" spans="1:23">
      <c r="A2" s="2080" t="s">
        <v>2716</v>
      </c>
      <c r="B2" s="2079"/>
      <c r="C2" s="2078"/>
      <c r="D2" s="2079"/>
      <c r="E2" s="2079"/>
      <c r="F2" s="2079"/>
      <c r="G2" s="2110"/>
      <c r="H2" s="2137"/>
      <c r="I2" s="2137" t="s">
        <v>911</v>
      </c>
      <c r="J2" s="2137"/>
      <c r="K2" s="2137"/>
      <c r="L2" s="2138"/>
      <c r="M2" s="2079"/>
      <c r="N2" s="2079"/>
      <c r="O2" s="2079"/>
      <c r="P2" s="2079"/>
      <c r="Q2" s="2079"/>
      <c r="R2" s="2079"/>
      <c r="S2" s="2078"/>
      <c r="T2" s="2079"/>
      <c r="U2" s="2079"/>
      <c r="V2" s="2079"/>
      <c r="W2" s="2078"/>
    </row>
    <row r="3" spans="1:23">
      <c r="A3" s="2080"/>
      <c r="B3" s="2079"/>
      <c r="C3" s="2078"/>
      <c r="D3" s="2079"/>
      <c r="E3" s="2079"/>
      <c r="F3" s="2079"/>
      <c r="G3" s="2110"/>
      <c r="H3" s="2137"/>
      <c r="I3" s="2137"/>
      <c r="J3" s="2137"/>
      <c r="K3" s="2137"/>
      <c r="L3" s="2138"/>
      <c r="M3" s="2079"/>
      <c r="N3" s="2079"/>
      <c r="O3" s="2079"/>
      <c r="P3" s="2079"/>
      <c r="Q3" s="2079"/>
      <c r="R3" s="2079"/>
      <c r="S3" s="2080"/>
      <c r="T3" s="2079"/>
      <c r="U3" s="2079"/>
      <c r="V3" s="2079"/>
      <c r="W3" s="2078" t="s">
        <v>2717</v>
      </c>
    </row>
    <row r="4" spans="1:23">
      <c r="A4" s="2079" t="s">
        <v>2644</v>
      </c>
      <c r="B4" s="2080"/>
      <c r="C4" s="2080"/>
      <c r="D4" s="2079"/>
      <c r="E4" s="2079"/>
      <c r="F4" s="2079"/>
      <c r="G4" s="2110"/>
      <c r="H4" s="2137"/>
      <c r="I4" s="2137"/>
      <c r="J4" s="2137"/>
      <c r="K4" s="2137"/>
      <c r="L4" s="2138"/>
      <c r="M4" s="2079"/>
      <c r="N4" s="2079"/>
      <c r="O4" s="2079"/>
      <c r="P4" s="2079"/>
      <c r="Q4" s="2079"/>
      <c r="R4" s="2079"/>
      <c r="S4" s="2078"/>
      <c r="T4" s="2079"/>
      <c r="U4" s="2079"/>
      <c r="V4" s="2079"/>
      <c r="W4" s="2078" t="s">
        <v>2756</v>
      </c>
    </row>
    <row r="5" spans="1:23">
      <c r="A5" s="2080" t="s">
        <v>2719</v>
      </c>
      <c r="B5" s="2079"/>
      <c r="C5" s="2078"/>
      <c r="D5" s="2079"/>
      <c r="E5" s="2079"/>
      <c r="F5" s="2080"/>
      <c r="G5" s="2110"/>
      <c r="H5" s="2137"/>
      <c r="I5" s="2137"/>
      <c r="J5" s="2137"/>
      <c r="K5" s="2137"/>
      <c r="L5" s="2138"/>
      <c r="M5" s="2079"/>
      <c r="N5" s="2079"/>
      <c r="O5" s="2079"/>
      <c r="P5" s="2079"/>
      <c r="Q5" s="2079"/>
      <c r="R5" s="2079"/>
      <c r="S5" s="2078"/>
      <c r="T5" s="2079"/>
      <c r="U5" s="2079"/>
      <c r="V5" s="2079"/>
      <c r="W5" s="2078"/>
    </row>
    <row r="6" spans="1:23">
      <c r="A6" s="2080" t="s">
        <v>1935</v>
      </c>
      <c r="B6" s="2079"/>
      <c r="C6" s="2078"/>
      <c r="D6" s="2079"/>
      <c r="E6" s="2139"/>
      <c r="F6" s="2080"/>
      <c r="G6" s="2110"/>
      <c r="H6" s="2137"/>
      <c r="I6" s="2137"/>
      <c r="J6" s="2137"/>
      <c r="K6" s="2137"/>
      <c r="L6" s="2138"/>
      <c r="M6" s="2079"/>
      <c r="N6" s="2079"/>
      <c r="O6" s="2079"/>
      <c r="P6" s="2079"/>
      <c r="Q6" s="2079"/>
      <c r="R6" s="2079"/>
      <c r="S6" s="2080"/>
      <c r="T6" s="2079"/>
      <c r="U6" s="2079"/>
      <c r="V6" s="2079"/>
      <c r="W6" s="1011" t="s">
        <v>2950</v>
      </c>
    </row>
    <row r="7" spans="1:23">
      <c r="A7" s="2080" t="s">
        <v>1092</v>
      </c>
      <c r="B7" s="2079"/>
      <c r="C7" s="2078"/>
      <c r="D7" s="2079"/>
      <c r="E7" s="2079"/>
      <c r="F7" s="2080"/>
      <c r="G7" s="2110"/>
      <c r="H7" s="2137"/>
      <c r="I7" s="2137"/>
      <c r="J7" s="2137"/>
      <c r="K7" s="2137"/>
      <c r="L7" s="2138"/>
      <c r="M7" s="2079"/>
      <c r="N7" s="2079"/>
      <c r="O7" s="2079"/>
      <c r="P7" s="2079"/>
      <c r="Q7" s="2079"/>
      <c r="R7" s="2079"/>
      <c r="S7" s="2078"/>
      <c r="T7" s="2079"/>
      <c r="U7" s="2079"/>
      <c r="V7" s="2079"/>
      <c r="W7" s="2078"/>
    </row>
    <row r="8" spans="1:23">
      <c r="A8" s="2080" t="s">
        <v>717</v>
      </c>
      <c r="B8" s="2079"/>
      <c r="C8" s="2078"/>
      <c r="D8" s="2079"/>
      <c r="E8" s="2079"/>
      <c r="F8" s="2080"/>
      <c r="G8" s="2110"/>
      <c r="H8" s="2137"/>
      <c r="I8" s="2137"/>
      <c r="J8" s="2137"/>
      <c r="K8" s="2137"/>
      <c r="L8" s="2138"/>
      <c r="M8" s="2079"/>
      <c r="N8" s="2079"/>
      <c r="O8" s="2079"/>
      <c r="P8" s="2079"/>
      <c r="Q8" s="2079"/>
      <c r="R8" s="2079"/>
      <c r="S8" s="2079"/>
      <c r="T8" s="2079"/>
      <c r="U8" s="2079"/>
      <c r="V8" s="2079"/>
      <c r="W8" s="2079"/>
    </row>
    <row r="9" spans="1:23">
      <c r="A9" s="2079"/>
      <c r="B9" s="2079"/>
      <c r="C9" s="2078"/>
      <c r="D9" s="2079"/>
      <c r="E9" s="2079"/>
      <c r="F9" s="2079"/>
      <c r="G9" s="2110"/>
      <c r="H9" s="2110"/>
      <c r="I9" s="2110"/>
      <c r="J9" s="2110"/>
      <c r="K9" s="2110"/>
      <c r="L9" s="2079"/>
      <c r="M9" s="2079"/>
      <c r="N9" s="2079"/>
      <c r="O9" s="2079"/>
      <c r="P9" s="2079"/>
      <c r="Q9" s="2079"/>
      <c r="R9" s="2079"/>
      <c r="S9" s="2079"/>
      <c r="T9" s="2079"/>
      <c r="U9" s="2079"/>
      <c r="V9" s="2079"/>
      <c r="W9" s="2079"/>
    </row>
    <row r="10" spans="1:23">
      <c r="A10" s="2079" t="s">
        <v>2720</v>
      </c>
      <c r="B10" s="2079"/>
      <c r="C10" s="2078"/>
      <c r="D10" s="2079"/>
      <c r="E10" s="2079"/>
      <c r="F10" s="2079"/>
      <c r="G10" s="2110"/>
      <c r="H10" s="2110"/>
      <c r="I10" s="2110"/>
      <c r="J10" s="2110"/>
      <c r="K10" s="2110"/>
      <c r="L10" s="2079"/>
      <c r="M10" s="2079"/>
      <c r="N10" s="2079"/>
      <c r="O10" s="2079"/>
      <c r="P10" s="2079"/>
      <c r="Q10" s="2079"/>
      <c r="R10" s="2079"/>
      <c r="S10" s="2079"/>
      <c r="T10" s="2079"/>
      <c r="U10" s="2318" t="s">
        <v>2956</v>
      </c>
      <c r="V10" s="2318"/>
      <c r="W10" s="2318"/>
    </row>
    <row r="11" spans="1:23">
      <c r="A11" s="2080" t="s">
        <v>2721</v>
      </c>
      <c r="B11" s="2079"/>
      <c r="C11" s="2078"/>
      <c r="D11" s="2079"/>
      <c r="E11" s="2079"/>
      <c r="F11" s="2079"/>
      <c r="G11" s="2110"/>
      <c r="H11" s="2110"/>
      <c r="I11" s="2110"/>
      <c r="J11" s="2110"/>
      <c r="K11" s="2110"/>
      <c r="L11" s="2079"/>
      <c r="M11" s="2079"/>
      <c r="N11" s="2079"/>
      <c r="O11" s="2079"/>
      <c r="P11" s="2079"/>
      <c r="Q11" s="2079"/>
      <c r="R11" s="2079"/>
      <c r="S11" s="2079"/>
      <c r="T11" s="2079"/>
      <c r="U11" s="2317" t="s">
        <v>2722</v>
      </c>
      <c r="V11" s="2317"/>
      <c r="W11" s="2317"/>
    </row>
    <row r="12" spans="1:23">
      <c r="A12" s="2140"/>
      <c r="B12" s="2140"/>
      <c r="C12" s="2141"/>
      <c r="D12" s="2140"/>
      <c r="E12" s="2140"/>
      <c r="F12" s="2140"/>
      <c r="G12" s="2142"/>
      <c r="H12" s="2142"/>
      <c r="I12" s="2142"/>
      <c r="J12" s="2142"/>
      <c r="K12" s="2142"/>
      <c r="L12" s="2140"/>
      <c r="M12" s="2140"/>
      <c r="N12" s="2140"/>
      <c r="O12" s="2140"/>
      <c r="P12" s="2140"/>
      <c r="Q12" s="2140"/>
      <c r="R12" s="2140"/>
      <c r="S12" s="2140"/>
      <c r="T12" s="2140"/>
      <c r="U12" s="2319"/>
      <c r="V12" s="2319"/>
      <c r="W12" s="2319"/>
    </row>
    <row r="13" spans="1:23">
      <c r="A13" s="2082"/>
      <c r="B13" s="2082"/>
      <c r="C13" s="2083"/>
      <c r="D13" s="2082"/>
      <c r="E13" s="2082"/>
      <c r="F13" s="2082"/>
      <c r="G13" s="2084">
        <v>-1</v>
      </c>
      <c r="H13" s="2084"/>
      <c r="I13" s="2084">
        <v>-2</v>
      </c>
      <c r="J13" s="2084"/>
      <c r="K13" s="2084">
        <v>-3</v>
      </c>
      <c r="L13" s="2082"/>
      <c r="M13" s="2084">
        <v>-4</v>
      </c>
      <c r="N13" s="2082"/>
      <c r="O13" s="2084">
        <v>-5</v>
      </c>
      <c r="P13" s="2082"/>
      <c r="Q13" s="2084">
        <v>-6</v>
      </c>
      <c r="R13" s="2082"/>
      <c r="S13" s="2084">
        <v>-7</v>
      </c>
      <c r="T13" s="2082"/>
      <c r="U13" s="2320">
        <v>-8</v>
      </c>
      <c r="V13" s="2320"/>
      <c r="W13" s="2320"/>
    </row>
    <row r="14" spans="1:23">
      <c r="A14" s="2082"/>
      <c r="B14" s="2082"/>
      <c r="C14" s="2083"/>
      <c r="D14" s="2082"/>
      <c r="E14" s="2082"/>
      <c r="F14" s="2082"/>
      <c r="G14" s="2084"/>
      <c r="H14" s="2084"/>
      <c r="I14" s="2084"/>
      <c r="J14" s="2084"/>
      <c r="K14" s="2084"/>
      <c r="L14" s="2082"/>
      <c r="M14" s="2084"/>
      <c r="N14" s="2082"/>
      <c r="O14" s="2321" t="s">
        <v>2757</v>
      </c>
      <c r="P14" s="2321"/>
      <c r="Q14" s="2321"/>
      <c r="R14" s="2321"/>
      <c r="S14" s="2321"/>
      <c r="T14" s="2321"/>
      <c r="U14" s="2321"/>
      <c r="V14" s="2321"/>
      <c r="W14" s="2321"/>
    </row>
    <row r="15" spans="1:23">
      <c r="A15" s="2079"/>
      <c r="B15" s="2079"/>
      <c r="C15" s="2078"/>
      <c r="D15" s="2079"/>
      <c r="E15" s="2079"/>
      <c r="F15" s="2079"/>
      <c r="G15" s="2317" t="s">
        <v>2724</v>
      </c>
      <c r="H15" s="2317"/>
      <c r="I15" s="2317"/>
      <c r="J15" s="2317"/>
      <c r="K15" s="2317"/>
      <c r="L15" s="2143"/>
      <c r="M15" s="2143"/>
      <c r="N15" s="2143"/>
      <c r="O15" s="2143"/>
      <c r="P15" s="2140"/>
      <c r="Q15" s="2142" t="s">
        <v>2725</v>
      </c>
      <c r="R15" s="2140"/>
      <c r="S15" s="2140"/>
      <c r="T15" s="2079"/>
      <c r="U15" s="2143"/>
      <c r="V15" s="2142"/>
      <c r="W15" s="2142"/>
    </row>
    <row r="16" spans="1:23">
      <c r="A16" s="2079"/>
      <c r="B16" s="2079"/>
      <c r="C16" s="2110" t="s">
        <v>2726</v>
      </c>
      <c r="D16" s="2079"/>
      <c r="E16" s="2079"/>
      <c r="F16" s="2079"/>
      <c r="G16" s="2110"/>
      <c r="H16" s="2110"/>
      <c r="I16" s="2110" t="s">
        <v>1170</v>
      </c>
      <c r="J16" s="2110"/>
      <c r="K16" s="2110"/>
      <c r="L16" s="2079"/>
      <c r="M16" s="2110" t="s">
        <v>731</v>
      </c>
      <c r="N16" s="2079"/>
      <c r="O16" s="2110"/>
      <c r="P16" s="2079"/>
      <c r="Q16" s="2110" t="s">
        <v>1170</v>
      </c>
      <c r="R16" s="2079"/>
      <c r="S16" s="2110"/>
      <c r="T16" s="2079"/>
      <c r="U16" s="2110"/>
      <c r="V16" s="2079"/>
      <c r="W16" s="2110"/>
    </row>
    <row r="17" spans="1:23">
      <c r="A17" s="2110" t="s">
        <v>53</v>
      </c>
      <c r="B17" s="2079"/>
      <c r="C17" s="2110" t="s">
        <v>2727</v>
      </c>
      <c r="D17" s="2079"/>
      <c r="E17" s="2079"/>
      <c r="F17" s="2085"/>
      <c r="G17" s="2086"/>
      <c r="H17" s="2086"/>
      <c r="I17" s="2086" t="s">
        <v>2728</v>
      </c>
      <c r="J17" s="2086"/>
      <c r="K17" s="2086"/>
      <c r="L17" s="2085"/>
      <c r="M17" s="2110" t="s">
        <v>2729</v>
      </c>
      <c r="N17" s="2085"/>
      <c r="O17" s="2086"/>
      <c r="P17" s="2085"/>
      <c r="Q17" s="2086" t="s">
        <v>2728</v>
      </c>
      <c r="R17" s="2085"/>
      <c r="S17" s="2081"/>
      <c r="T17" s="2085"/>
      <c r="U17" s="2087">
        <v>0</v>
      </c>
      <c r="V17" s="2085"/>
      <c r="W17" s="2087">
        <v>1</v>
      </c>
    </row>
    <row r="18" spans="1:23">
      <c r="A18" s="2142" t="s">
        <v>730</v>
      </c>
      <c r="B18" s="2143"/>
      <c r="C18" s="2142" t="s">
        <v>730</v>
      </c>
      <c r="D18" s="2143"/>
      <c r="E18" s="2142" t="s">
        <v>731</v>
      </c>
      <c r="F18" s="2143"/>
      <c r="G18" s="2144" t="s">
        <v>2956</v>
      </c>
      <c r="H18" s="2142"/>
      <c r="I18" s="2142" t="s">
        <v>2730</v>
      </c>
      <c r="J18" s="2142"/>
      <c r="K18" s="2142" t="s">
        <v>81</v>
      </c>
      <c r="L18" s="2143"/>
      <c r="M18" s="2142" t="s">
        <v>2731</v>
      </c>
      <c r="N18" s="2143"/>
      <c r="O18" s="2144" t="s">
        <v>2956</v>
      </c>
      <c r="P18" s="2143"/>
      <c r="Q18" s="2142" t="s">
        <v>2730</v>
      </c>
      <c r="R18" s="2143"/>
      <c r="S18" s="2142" t="s">
        <v>81</v>
      </c>
      <c r="T18" s="2143"/>
      <c r="U18" s="2142" t="s">
        <v>498</v>
      </c>
      <c r="V18" s="2143"/>
      <c r="W18" s="2142" t="s">
        <v>670</v>
      </c>
    </row>
    <row r="19" spans="1:23">
      <c r="A19" s="2079"/>
      <c r="B19" s="2079"/>
      <c r="C19" s="2078"/>
      <c r="D19" s="2079"/>
      <c r="E19" s="2079"/>
      <c r="F19" s="2079"/>
      <c r="G19" s="2110"/>
      <c r="H19" s="2110"/>
      <c r="I19" s="2110"/>
      <c r="J19" s="2110"/>
      <c r="K19" s="2110"/>
      <c r="L19" s="2079"/>
      <c r="M19" s="2079"/>
      <c r="N19" s="2079"/>
      <c r="O19" s="2079"/>
      <c r="P19" s="2079"/>
      <c r="Q19" s="2079"/>
      <c r="R19" s="2079"/>
      <c r="S19" s="2079"/>
      <c r="T19" s="2079"/>
      <c r="U19" s="2079"/>
      <c r="V19" s="2079"/>
      <c r="W19" s="2079"/>
    </row>
    <row r="20" spans="1:23">
      <c r="A20" s="2110">
        <v>1</v>
      </c>
      <c r="B20" s="2088" t="s">
        <v>2732</v>
      </c>
      <c r="C20" s="2078"/>
      <c r="D20" s="2079"/>
      <c r="E20" s="2079"/>
      <c r="F20" s="2079"/>
      <c r="G20" s="2110"/>
      <c r="H20" s="2110"/>
      <c r="I20" s="2110"/>
      <c r="J20" s="2110"/>
      <c r="K20" s="2110"/>
      <c r="L20" s="2079"/>
      <c r="M20" s="2079"/>
      <c r="N20" s="2079"/>
      <c r="O20" s="2089"/>
      <c r="P20" s="2089"/>
      <c r="Q20" s="2089"/>
      <c r="R20" s="2089"/>
      <c r="S20" s="2089"/>
      <c r="T20" s="2089"/>
      <c r="U20" s="2089"/>
      <c r="V20" s="2089"/>
      <c r="W20" s="2089"/>
    </row>
    <row r="21" spans="1:23">
      <c r="A21" s="2110">
        <v>2</v>
      </c>
      <c r="B21" s="2079"/>
      <c r="C21" s="2078">
        <v>403</v>
      </c>
      <c r="D21" s="2079"/>
      <c r="E21" s="2079" t="s">
        <v>379</v>
      </c>
      <c r="F21" s="2079"/>
      <c r="G21" s="2090">
        <v>1.1930729406709211E-2</v>
      </c>
      <c r="H21" s="2110"/>
      <c r="I21" s="2090">
        <v>0.98806927059329086</v>
      </c>
      <c r="J21" s="2090"/>
      <c r="K21" s="2090">
        <v>1</v>
      </c>
      <c r="L21" s="2079"/>
      <c r="M21" s="2091" t="s">
        <v>347</v>
      </c>
      <c r="N21" s="2079"/>
      <c r="O21" s="2092">
        <v>3767.04</v>
      </c>
      <c r="P21" s="2092"/>
      <c r="Q21" s="2089">
        <v>311975.60000000003</v>
      </c>
      <c r="R21" s="2092"/>
      <c r="S21" s="2092">
        <v>315742.64</v>
      </c>
      <c r="T21" s="2092"/>
      <c r="U21" s="2089">
        <v>0</v>
      </c>
      <c r="V21" s="2089"/>
      <c r="W21" s="2089">
        <v>3767.04</v>
      </c>
    </row>
    <row r="22" spans="1:23">
      <c r="A22" s="2110">
        <v>3</v>
      </c>
      <c r="B22" s="2079"/>
      <c r="C22" s="2078">
        <v>408</v>
      </c>
      <c r="D22" s="2079"/>
      <c r="E22" s="2079" t="s">
        <v>25</v>
      </c>
      <c r="F22" s="2079"/>
      <c r="G22" s="2090">
        <v>1.2269824419709679E-2</v>
      </c>
      <c r="H22" s="2110"/>
      <c r="I22" s="2090">
        <v>0.98773017558029019</v>
      </c>
      <c r="J22" s="2090"/>
      <c r="K22" s="2090">
        <v>1</v>
      </c>
      <c r="L22" s="2079"/>
      <c r="M22" s="2091" t="s">
        <v>347</v>
      </c>
      <c r="N22" s="2079"/>
      <c r="O22" s="2092">
        <v>507.41</v>
      </c>
      <c r="P22" s="2089"/>
      <c r="Q22" s="2089">
        <v>40846.89</v>
      </c>
      <c r="R22" s="2089"/>
      <c r="S22" s="2092">
        <v>41354.300000000003</v>
      </c>
      <c r="T22" s="2089"/>
      <c r="U22" s="2089">
        <v>0</v>
      </c>
      <c r="V22" s="2089"/>
      <c r="W22" s="2089">
        <v>507.41</v>
      </c>
    </row>
    <row r="23" spans="1:23">
      <c r="A23" s="2110">
        <v>4</v>
      </c>
      <c r="B23" s="2079"/>
      <c r="C23" s="2078">
        <v>409</v>
      </c>
      <c r="D23" s="2079"/>
      <c r="E23" s="2079" t="s">
        <v>2733</v>
      </c>
      <c r="F23" s="2079"/>
      <c r="G23" s="2090">
        <v>0</v>
      </c>
      <c r="H23" s="2110"/>
      <c r="I23" s="2090">
        <v>0</v>
      </c>
      <c r="J23" s="2090"/>
      <c r="K23" s="2090">
        <v>0</v>
      </c>
      <c r="L23" s="2079"/>
      <c r="M23" s="2091" t="s">
        <v>347</v>
      </c>
      <c r="N23" s="2079"/>
      <c r="O23" s="2092">
        <v>0</v>
      </c>
      <c r="P23" s="2089"/>
      <c r="Q23" s="2089">
        <v>0</v>
      </c>
      <c r="R23" s="2089"/>
      <c r="S23" s="2092">
        <v>0</v>
      </c>
      <c r="T23" s="2089"/>
      <c r="U23" s="2089">
        <v>0</v>
      </c>
      <c r="V23" s="2089"/>
      <c r="W23" s="2089">
        <v>0</v>
      </c>
    </row>
    <row r="24" spans="1:23">
      <c r="A24" s="2110">
        <v>5</v>
      </c>
      <c r="B24" s="2079"/>
      <c r="C24" s="2078">
        <v>410</v>
      </c>
      <c r="D24" s="2079"/>
      <c r="E24" s="2079" t="s">
        <v>2734</v>
      </c>
      <c r="F24" s="2079"/>
      <c r="G24" s="2090">
        <v>0</v>
      </c>
      <c r="H24" s="2110"/>
      <c r="I24" s="2090">
        <v>0</v>
      </c>
      <c r="J24" s="2090"/>
      <c r="K24" s="2090">
        <v>0</v>
      </c>
      <c r="L24" s="2079"/>
      <c r="M24" s="2091" t="s">
        <v>347</v>
      </c>
      <c r="N24" s="2079"/>
      <c r="O24" s="2092">
        <v>0</v>
      </c>
      <c r="P24" s="2089"/>
      <c r="Q24" s="2089">
        <v>0</v>
      </c>
      <c r="R24" s="2089"/>
      <c r="S24" s="2092">
        <v>0</v>
      </c>
      <c r="T24" s="2089"/>
      <c r="U24" s="2089">
        <v>0</v>
      </c>
      <c r="V24" s="2089"/>
      <c r="W24" s="2089">
        <v>0</v>
      </c>
    </row>
    <row r="25" spans="1:23">
      <c r="A25" s="2110">
        <v>6</v>
      </c>
      <c r="B25" s="2079"/>
      <c r="C25" s="2078" t="s">
        <v>2735</v>
      </c>
      <c r="D25" s="2079"/>
      <c r="E25" s="2079" t="s">
        <v>530</v>
      </c>
      <c r="F25" s="2079"/>
      <c r="G25" s="2090">
        <v>1.4563106796116504E-2</v>
      </c>
      <c r="H25" s="2110"/>
      <c r="I25" s="2090">
        <v>0.98543689320388361</v>
      </c>
      <c r="J25" s="2090"/>
      <c r="K25" s="2090">
        <v>1</v>
      </c>
      <c r="L25" s="2079"/>
      <c r="M25" s="2091" t="s">
        <v>347</v>
      </c>
      <c r="N25" s="2079"/>
      <c r="O25" s="2092">
        <v>-0.03</v>
      </c>
      <c r="P25" s="2089"/>
      <c r="Q25" s="2089">
        <v>-2.0300000000000002</v>
      </c>
      <c r="R25" s="2089"/>
      <c r="S25" s="2092">
        <v>-2.06</v>
      </c>
      <c r="T25" s="2089"/>
      <c r="U25" s="2089">
        <v>0</v>
      </c>
      <c r="V25" s="2089"/>
      <c r="W25" s="2089">
        <v>-0.03</v>
      </c>
    </row>
    <row r="26" spans="1:23">
      <c r="A26" s="2110">
        <v>7</v>
      </c>
      <c r="B26" s="2079"/>
      <c r="C26" s="2078">
        <v>427</v>
      </c>
      <c r="D26" s="2079"/>
      <c r="E26" s="2079" t="s">
        <v>2619</v>
      </c>
      <c r="F26" s="2079"/>
      <c r="G26" s="2090">
        <v>-35.580246913578868</v>
      </c>
      <c r="H26" s="2110"/>
      <c r="I26" s="2090">
        <v>36.580246913578868</v>
      </c>
      <c r="J26" s="2090"/>
      <c r="K26" s="2090">
        <v>1</v>
      </c>
      <c r="L26" s="2079"/>
      <c r="M26" s="2091" t="s">
        <v>347</v>
      </c>
      <c r="N26" s="2079"/>
      <c r="O26" s="2092">
        <v>1066.3400000000001</v>
      </c>
      <c r="P26" s="2089"/>
      <c r="Q26" s="2089">
        <v>-1096.3100000000013</v>
      </c>
      <c r="R26" s="2089"/>
      <c r="S26" s="2092">
        <v>-29.970000000001164</v>
      </c>
      <c r="T26" s="2089"/>
      <c r="U26" s="2089">
        <v>0</v>
      </c>
      <c r="V26" s="2089"/>
      <c r="W26" s="2089">
        <v>1066.3400000000001</v>
      </c>
    </row>
    <row r="27" spans="1:23">
      <c r="A27" s="2110">
        <v>8</v>
      </c>
      <c r="B27" s="2079"/>
      <c r="C27" s="2078" t="s">
        <v>2736</v>
      </c>
      <c r="D27" s="2079"/>
      <c r="E27" s="2079" t="s">
        <v>2737</v>
      </c>
      <c r="F27" s="2079"/>
      <c r="G27" s="2090">
        <v>1.2270026142073993E-2</v>
      </c>
      <c r="H27" s="2110"/>
      <c r="I27" s="2090">
        <v>0.98772997385792605</v>
      </c>
      <c r="J27" s="2090"/>
      <c r="K27" s="2090">
        <v>1</v>
      </c>
      <c r="L27" s="2079"/>
      <c r="M27" s="2091" t="s">
        <v>347</v>
      </c>
      <c r="N27" s="2091"/>
      <c r="O27" s="2092">
        <v>4473.9800000000005</v>
      </c>
      <c r="P27" s="2092"/>
      <c r="Q27" s="2089">
        <v>360152.79</v>
      </c>
      <c r="R27" s="2092"/>
      <c r="S27" s="2092">
        <v>364626.76999999996</v>
      </c>
      <c r="T27" s="2092"/>
      <c r="U27" s="2089">
        <v>0</v>
      </c>
      <c r="V27" s="2089"/>
      <c r="W27" s="2089">
        <v>4473.9800000000005</v>
      </c>
    </row>
    <row r="28" spans="1:23">
      <c r="A28" s="2110">
        <v>9</v>
      </c>
      <c r="B28" s="2079"/>
      <c r="C28" s="2078" t="s">
        <v>2002</v>
      </c>
      <c r="D28" s="2079"/>
      <c r="E28" s="2079" t="s">
        <v>2738</v>
      </c>
      <c r="F28" s="2079"/>
      <c r="G28" s="2090">
        <v>1.2270079949275564E-2</v>
      </c>
      <c r="H28" s="2110"/>
      <c r="I28" s="2090">
        <v>0.98772992005072435</v>
      </c>
      <c r="J28" s="2090"/>
      <c r="K28" s="2090">
        <v>1</v>
      </c>
      <c r="L28" s="2079"/>
      <c r="M28" s="2091" t="s">
        <v>347</v>
      </c>
      <c r="N28" s="2079"/>
      <c r="O28" s="2092">
        <v>5300.8300000000008</v>
      </c>
      <c r="P28" s="2089"/>
      <c r="Q28" s="2089">
        <v>426711.83999999997</v>
      </c>
      <c r="R28" s="2089"/>
      <c r="S28" s="2092">
        <v>432012.67</v>
      </c>
      <c r="T28" s="2089"/>
      <c r="U28" s="2089">
        <v>0</v>
      </c>
      <c r="V28" s="2089"/>
      <c r="W28" s="2089">
        <v>5300.8300000000008</v>
      </c>
    </row>
    <row r="29" spans="1:23">
      <c r="A29" s="2110">
        <v>10</v>
      </c>
      <c r="B29" s="2079"/>
      <c r="C29" s="2078" t="s">
        <v>1991</v>
      </c>
      <c r="D29" s="2079"/>
      <c r="E29" s="2079" t="s">
        <v>2739</v>
      </c>
      <c r="F29" s="2079"/>
      <c r="G29" s="2090">
        <v>1.2269987707677654E-2</v>
      </c>
      <c r="H29" s="2110"/>
      <c r="I29" s="2090">
        <v>0.98773001229232238</v>
      </c>
      <c r="J29" s="2090"/>
      <c r="K29" s="2090">
        <v>1</v>
      </c>
      <c r="L29" s="2079"/>
      <c r="M29" s="2091" t="s">
        <v>347</v>
      </c>
      <c r="N29" s="2079"/>
      <c r="O29" s="2092">
        <v>889.9799999999999</v>
      </c>
      <c r="P29" s="2089"/>
      <c r="Q29" s="2089">
        <v>71643.100000000006</v>
      </c>
      <c r="R29" s="2089"/>
      <c r="S29" s="2092">
        <v>72533.08</v>
      </c>
      <c r="T29" s="2089"/>
      <c r="U29" s="2089">
        <v>0</v>
      </c>
      <c r="V29" s="2089"/>
      <c r="W29" s="2089">
        <v>889.9799999999999</v>
      </c>
    </row>
    <row r="30" spans="1:23">
      <c r="A30" s="2110">
        <v>11</v>
      </c>
      <c r="B30" s="2079"/>
      <c r="C30" s="2078" t="s">
        <v>2056</v>
      </c>
      <c r="D30" s="2079"/>
      <c r="E30" s="2079" t="s">
        <v>2740</v>
      </c>
      <c r="F30" s="2079"/>
      <c r="G30" s="2090">
        <v>1.2270152764421291E-2</v>
      </c>
      <c r="H30" s="2110"/>
      <c r="I30" s="2090">
        <v>0.98772984723557866</v>
      </c>
      <c r="J30" s="2090"/>
      <c r="K30" s="2090">
        <v>1</v>
      </c>
      <c r="L30" s="2079"/>
      <c r="M30" s="2091" t="s">
        <v>347</v>
      </c>
      <c r="N30" s="2079"/>
      <c r="O30" s="2092">
        <v>710.18000000000006</v>
      </c>
      <c r="P30" s="2089"/>
      <c r="Q30" s="2089">
        <v>57168.480000000003</v>
      </c>
      <c r="R30" s="2089"/>
      <c r="S30" s="2092">
        <v>57878.66</v>
      </c>
      <c r="T30" s="2089"/>
      <c r="U30" s="2089">
        <v>0</v>
      </c>
      <c r="V30" s="2089"/>
      <c r="W30" s="2089">
        <v>710.18000000000006</v>
      </c>
    </row>
    <row r="31" spans="1:23">
      <c r="A31" s="2110">
        <v>12</v>
      </c>
      <c r="B31" s="2079"/>
      <c r="C31" s="2078" t="s">
        <v>2063</v>
      </c>
      <c r="D31" s="2079"/>
      <c r="E31" s="2079" t="s">
        <v>1248</v>
      </c>
      <c r="F31" s="2079"/>
      <c r="G31" s="2090">
        <v>0</v>
      </c>
      <c r="H31" s="2110"/>
      <c r="I31" s="2090">
        <v>0</v>
      </c>
      <c r="J31" s="2090"/>
      <c r="K31" s="2090">
        <v>0</v>
      </c>
      <c r="L31" s="2079"/>
      <c r="M31" s="2091" t="s">
        <v>347</v>
      </c>
      <c r="N31" s="2079"/>
      <c r="O31" s="2092">
        <v>0</v>
      </c>
      <c r="P31" s="2089"/>
      <c r="Q31" s="2089">
        <v>0</v>
      </c>
      <c r="R31" s="2089"/>
      <c r="S31" s="2092">
        <v>0</v>
      </c>
      <c r="T31" s="2089"/>
      <c r="U31" s="2089">
        <v>0</v>
      </c>
      <c r="V31" s="2089"/>
      <c r="W31" s="2089">
        <v>0</v>
      </c>
    </row>
    <row r="32" spans="1:23">
      <c r="A32" s="2110">
        <v>13</v>
      </c>
      <c r="B32" s="2079"/>
      <c r="C32" s="2078" t="s">
        <v>1981</v>
      </c>
      <c r="D32" s="2079"/>
      <c r="E32" s="2079" t="s">
        <v>1250</v>
      </c>
      <c r="F32" s="2079"/>
      <c r="G32" s="2090">
        <v>1.2270090716169225E-2</v>
      </c>
      <c r="H32" s="2110"/>
      <c r="I32" s="2090">
        <v>0.98772990928383075</v>
      </c>
      <c r="J32" s="2090"/>
      <c r="K32" s="2090">
        <v>1</v>
      </c>
      <c r="L32" s="2079"/>
      <c r="M32" s="2091" t="s">
        <v>347</v>
      </c>
      <c r="N32" s="2079"/>
      <c r="O32" s="2092">
        <v>1494.98</v>
      </c>
      <c r="P32" s="2089"/>
      <c r="Q32" s="2089">
        <v>120344.38</v>
      </c>
      <c r="R32" s="2089"/>
      <c r="S32" s="2092">
        <v>121839.36</v>
      </c>
      <c r="T32" s="2089"/>
      <c r="U32" s="2089">
        <v>0</v>
      </c>
      <c r="V32" s="2089"/>
      <c r="W32" s="2089">
        <v>1494.98</v>
      </c>
    </row>
    <row r="33" spans="1:23">
      <c r="A33" s="2110">
        <v>14</v>
      </c>
      <c r="B33" s="2079"/>
      <c r="C33" s="2078" t="s">
        <v>2741</v>
      </c>
      <c r="D33" s="2079"/>
      <c r="E33" s="2079" t="s">
        <v>2742</v>
      </c>
      <c r="F33" s="2079"/>
      <c r="G33" s="2090">
        <v>1.2267806267806268E-2</v>
      </c>
      <c r="H33" s="2110"/>
      <c r="I33" s="2090">
        <v>0.98773219373219379</v>
      </c>
      <c r="J33" s="2090"/>
      <c r="K33" s="2090">
        <v>1</v>
      </c>
      <c r="L33" s="2079"/>
      <c r="M33" s="2091" t="s">
        <v>347</v>
      </c>
      <c r="N33" s="2079"/>
      <c r="O33" s="2092">
        <v>21.53</v>
      </c>
      <c r="P33" s="2089"/>
      <c r="Q33" s="2089">
        <v>1733.47</v>
      </c>
      <c r="R33" s="2089"/>
      <c r="S33" s="2092">
        <v>1755</v>
      </c>
      <c r="T33" s="2089"/>
      <c r="U33" s="2089">
        <v>0</v>
      </c>
      <c r="V33" s="2089"/>
      <c r="W33" s="2089">
        <v>21.53</v>
      </c>
    </row>
    <row r="34" spans="1:23">
      <c r="A34" s="2110">
        <v>15</v>
      </c>
      <c r="B34" s="2079"/>
      <c r="C34" s="2078" t="s">
        <v>2076</v>
      </c>
      <c r="D34" s="2079"/>
      <c r="E34" s="2079" t="s">
        <v>2519</v>
      </c>
      <c r="F34" s="2079"/>
      <c r="G34" s="2090">
        <v>1.2239020878329732E-2</v>
      </c>
      <c r="H34" s="2110"/>
      <c r="I34" s="2090">
        <v>0.98776097912167027</v>
      </c>
      <c r="J34" s="2090"/>
      <c r="K34" s="2090">
        <v>1</v>
      </c>
      <c r="L34" s="2079"/>
      <c r="M34" s="2091" t="s">
        <v>347</v>
      </c>
      <c r="N34" s="2079"/>
      <c r="O34" s="2092">
        <v>2.5499999999999998</v>
      </c>
      <c r="P34" s="2089"/>
      <c r="Q34" s="2089">
        <v>205.8</v>
      </c>
      <c r="R34" s="2089"/>
      <c r="S34" s="2092">
        <v>208.35000000000002</v>
      </c>
      <c r="T34" s="2089"/>
      <c r="U34" s="2089">
        <v>0</v>
      </c>
      <c r="V34" s="2089"/>
      <c r="W34" s="2089">
        <v>2.5499999999999998</v>
      </c>
    </row>
    <row r="35" spans="1:23">
      <c r="A35" s="2110">
        <v>16</v>
      </c>
      <c r="B35" s="2079"/>
      <c r="C35" s="2078" t="s">
        <v>2743</v>
      </c>
      <c r="D35" s="2079"/>
      <c r="E35" s="2079" t="s">
        <v>2523</v>
      </c>
      <c r="F35" s="2079"/>
      <c r="G35" s="2090">
        <v>1.2270055011502247E-2</v>
      </c>
      <c r="H35" s="2110"/>
      <c r="I35" s="2090">
        <v>0.98772994498849775</v>
      </c>
      <c r="J35" s="2090"/>
      <c r="K35" s="2090">
        <v>1</v>
      </c>
      <c r="L35" s="2079"/>
      <c r="M35" s="2091" t="s">
        <v>347</v>
      </c>
      <c r="N35" s="2079"/>
      <c r="O35" s="2092">
        <v>2270.69</v>
      </c>
      <c r="P35" s="2089"/>
      <c r="Q35" s="2089">
        <v>182788.79</v>
      </c>
      <c r="R35" s="2089"/>
      <c r="S35" s="2092">
        <v>185059.48</v>
      </c>
      <c r="T35" s="2089"/>
      <c r="U35" s="2089">
        <v>0</v>
      </c>
      <c r="V35" s="2089"/>
      <c r="W35" s="2089">
        <v>2270.69</v>
      </c>
    </row>
    <row r="36" spans="1:23">
      <c r="A36" s="2110">
        <v>17</v>
      </c>
      <c r="B36" s="2079"/>
      <c r="C36" s="2078" t="s">
        <v>2015</v>
      </c>
      <c r="D36" s="2079"/>
      <c r="E36" s="2079" t="s">
        <v>2744</v>
      </c>
      <c r="F36" s="2079"/>
      <c r="G36" s="2090">
        <v>1.2270440776625922E-2</v>
      </c>
      <c r="H36" s="2110"/>
      <c r="I36" s="2090">
        <v>0.98772955922337402</v>
      </c>
      <c r="J36" s="2090"/>
      <c r="K36" s="2090">
        <v>1</v>
      </c>
      <c r="L36" s="2079"/>
      <c r="M36" s="2091" t="s">
        <v>347</v>
      </c>
      <c r="N36" s="2079"/>
      <c r="O36" s="2092">
        <v>74.959999999999994</v>
      </c>
      <c r="P36" s="2089"/>
      <c r="Q36" s="2089">
        <v>6034.03</v>
      </c>
      <c r="R36" s="2089"/>
      <c r="S36" s="2092">
        <v>6108.99</v>
      </c>
      <c r="T36" s="2089"/>
      <c r="U36" s="2089">
        <v>0</v>
      </c>
      <c r="V36" s="2089"/>
      <c r="W36" s="2089">
        <v>74.959999999999994</v>
      </c>
    </row>
    <row r="37" spans="1:23">
      <c r="A37" s="2110">
        <v>18</v>
      </c>
      <c r="B37" s="2079"/>
      <c r="C37" s="2078" t="s">
        <v>1984</v>
      </c>
      <c r="D37" s="2079"/>
      <c r="E37" s="2079" t="s">
        <v>1253</v>
      </c>
      <c r="F37" s="2079"/>
      <c r="G37" s="2090">
        <v>1.2270422239154996E-2</v>
      </c>
      <c r="H37" s="2110"/>
      <c r="I37" s="2090">
        <v>0.98772957776084502</v>
      </c>
      <c r="J37" s="2090"/>
      <c r="K37" s="2090">
        <v>1</v>
      </c>
      <c r="L37" s="2079"/>
      <c r="M37" s="2091" t="s">
        <v>347</v>
      </c>
      <c r="N37" s="2079"/>
      <c r="O37" s="2092">
        <v>28.02</v>
      </c>
      <c r="P37" s="2089"/>
      <c r="Q37" s="2089">
        <v>2255.52</v>
      </c>
      <c r="R37" s="2089"/>
      <c r="S37" s="2092">
        <v>2283.54</v>
      </c>
      <c r="T37" s="2089"/>
      <c r="U37" s="2089">
        <v>0</v>
      </c>
      <c r="V37" s="2089"/>
      <c r="W37" s="2089">
        <v>28.02</v>
      </c>
    </row>
    <row r="38" spans="1:23">
      <c r="A38" s="2110">
        <v>19</v>
      </c>
      <c r="B38" s="2079"/>
      <c r="C38" s="2078" t="s">
        <v>1998</v>
      </c>
      <c r="D38" s="2079"/>
      <c r="E38" s="2079" t="s">
        <v>2535</v>
      </c>
      <c r="F38" s="2079"/>
      <c r="G38" s="2090">
        <v>1.227002085096285E-2</v>
      </c>
      <c r="H38" s="2110"/>
      <c r="I38" s="2090">
        <v>0.98772997914903715</v>
      </c>
      <c r="J38" s="2090"/>
      <c r="K38" s="2090">
        <v>1</v>
      </c>
      <c r="L38" s="2079"/>
      <c r="M38" s="2091" t="s">
        <v>347</v>
      </c>
      <c r="N38" s="2079"/>
      <c r="O38" s="2092">
        <v>2573.2900000000004</v>
      </c>
      <c r="P38" s="2089"/>
      <c r="Q38" s="2089">
        <v>207148.43999999994</v>
      </c>
      <c r="R38" s="2089"/>
      <c r="S38" s="2092">
        <v>209721.72999999995</v>
      </c>
      <c r="T38" s="2089"/>
      <c r="U38" s="2089">
        <v>0</v>
      </c>
      <c r="V38" s="2089"/>
      <c r="W38" s="2089">
        <v>2573.2900000000004</v>
      </c>
    </row>
    <row r="39" spans="1:23" ht="12.75" thickBot="1">
      <c r="A39" s="2110">
        <v>20</v>
      </c>
      <c r="B39" s="2079"/>
      <c r="C39" s="2078"/>
      <c r="D39" s="2079"/>
      <c r="E39" s="2079"/>
      <c r="F39" s="2079"/>
      <c r="G39" s="2090"/>
      <c r="H39" s="2110"/>
      <c r="I39" s="2110"/>
      <c r="J39" s="2110"/>
      <c r="K39" s="2110"/>
      <c r="L39" s="2079"/>
      <c r="M39" s="2079"/>
      <c r="N39" s="2079"/>
      <c r="O39" s="2093">
        <v>23181.75</v>
      </c>
      <c r="P39" s="2089"/>
      <c r="Q39" s="2093">
        <v>1787910.7899999998</v>
      </c>
      <c r="R39" s="2089"/>
      <c r="S39" s="2093">
        <v>1811092.54</v>
      </c>
      <c r="T39" s="2089"/>
      <c r="U39" s="2094">
        <v>0</v>
      </c>
      <c r="V39" s="2089"/>
      <c r="W39" s="2094">
        <v>23181.75</v>
      </c>
    </row>
    <row r="40" spans="1:23" ht="12.75" thickTop="1">
      <c r="A40" s="2110">
        <v>21</v>
      </c>
      <c r="B40" s="2079"/>
      <c r="C40" s="2078"/>
      <c r="D40" s="2079"/>
      <c r="E40" s="2079"/>
      <c r="F40" s="2079"/>
      <c r="G40" s="2090"/>
      <c r="H40" s="2110"/>
      <c r="I40" s="2110"/>
      <c r="J40" s="2110"/>
      <c r="K40" s="2110"/>
      <c r="L40" s="2079"/>
      <c r="M40" s="2079"/>
      <c r="N40" s="2079"/>
      <c r="O40" s="2089"/>
      <c r="P40" s="2089"/>
      <c r="Q40" s="2089"/>
      <c r="R40" s="2089"/>
      <c r="S40" s="2089"/>
      <c r="T40" s="2089"/>
      <c r="U40" s="2089"/>
      <c r="V40" s="2089"/>
      <c r="W40" s="2089"/>
    </row>
    <row r="41" spans="1:23">
      <c r="A41" s="2110">
        <v>22</v>
      </c>
      <c r="B41" s="2088" t="s">
        <v>2745</v>
      </c>
      <c r="C41" s="2078"/>
      <c r="D41" s="2079"/>
      <c r="E41" s="2079"/>
      <c r="F41" s="2079"/>
      <c r="G41" s="2090"/>
      <c r="H41" s="2110"/>
      <c r="I41" s="2090"/>
      <c r="J41" s="2090"/>
      <c r="K41" s="2090"/>
      <c r="L41" s="2079"/>
      <c r="M41" s="2079"/>
      <c r="N41" s="2079"/>
      <c r="O41" s="2089"/>
      <c r="P41" s="2089"/>
      <c r="Q41" s="2089"/>
      <c r="R41" s="2089"/>
      <c r="S41" s="2089"/>
      <c r="T41" s="2089"/>
      <c r="U41" s="2089"/>
      <c r="V41" s="2089"/>
      <c r="W41" s="2089"/>
    </row>
    <row r="42" spans="1:23">
      <c r="A42" s="2110">
        <v>23</v>
      </c>
      <c r="B42" s="2079"/>
      <c r="C42" s="2078"/>
      <c r="D42" s="2079"/>
      <c r="E42" s="2079"/>
      <c r="F42" s="2079"/>
      <c r="G42" s="2090"/>
      <c r="H42" s="2110"/>
      <c r="I42" s="2090"/>
      <c r="J42" s="2090"/>
      <c r="K42" s="2090"/>
      <c r="L42" s="2079"/>
      <c r="M42" s="2079"/>
      <c r="N42" s="2079"/>
      <c r="O42" s="2089"/>
      <c r="P42" s="2089"/>
      <c r="Q42" s="2089"/>
      <c r="R42" s="2089"/>
      <c r="S42" s="2089"/>
      <c r="T42" s="2089"/>
      <c r="U42" s="2089"/>
      <c r="V42" s="2089"/>
      <c r="W42" s="2089"/>
    </row>
    <row r="43" spans="1:23">
      <c r="A43" s="2110">
        <v>24</v>
      </c>
      <c r="B43" s="2079"/>
      <c r="C43" s="2078">
        <v>403</v>
      </c>
      <c r="D43" s="2079"/>
      <c r="E43" s="2079" t="s">
        <v>2746</v>
      </c>
      <c r="F43" s="2079"/>
      <c r="G43" s="2090">
        <v>5.0264043222774779E-2</v>
      </c>
      <c r="H43" s="2110"/>
      <c r="I43" s="2090">
        <v>0.94973595677722511</v>
      </c>
      <c r="J43" s="2090"/>
      <c r="K43" s="2090">
        <v>1</v>
      </c>
      <c r="L43" s="2079"/>
      <c r="M43" s="2091" t="s">
        <v>347</v>
      </c>
      <c r="N43" s="2079"/>
      <c r="O43" s="2092">
        <v>5785.32</v>
      </c>
      <c r="P43" s="2092"/>
      <c r="Q43" s="2092">
        <v>109313.25999999998</v>
      </c>
      <c r="R43" s="2092"/>
      <c r="S43" s="2092">
        <v>115098.57999999999</v>
      </c>
      <c r="T43" s="2092"/>
      <c r="U43" s="994">
        <v>0</v>
      </c>
      <c r="V43" s="994"/>
      <c r="W43" s="994">
        <v>5785.32</v>
      </c>
    </row>
    <row r="44" spans="1:23">
      <c r="A44" s="2110">
        <v>25</v>
      </c>
      <c r="B44" s="2079"/>
      <c r="C44" s="2078">
        <v>408</v>
      </c>
      <c r="D44" s="2079"/>
      <c r="E44" s="2079" t="s">
        <v>25</v>
      </c>
      <c r="F44" s="2079"/>
      <c r="G44" s="2090">
        <v>5.236493429522663E-2</v>
      </c>
      <c r="H44" s="2110"/>
      <c r="I44" s="2090">
        <v>0.9476350657047734</v>
      </c>
      <c r="J44" s="2090"/>
      <c r="K44" s="2090">
        <v>1</v>
      </c>
      <c r="L44" s="2079"/>
      <c r="M44" s="2091" t="s">
        <v>347</v>
      </c>
      <c r="N44" s="2079"/>
      <c r="O44" s="2092">
        <v>1184.82</v>
      </c>
      <c r="P44" s="2089"/>
      <c r="Q44" s="2092">
        <v>21441.390000000003</v>
      </c>
      <c r="R44" s="2089"/>
      <c r="S44" s="2092">
        <v>22626.210000000003</v>
      </c>
      <c r="T44" s="2089"/>
      <c r="U44" s="994">
        <v>0</v>
      </c>
      <c r="V44" s="994"/>
      <c r="W44" s="994">
        <v>1184.82</v>
      </c>
    </row>
    <row r="45" spans="1:23">
      <c r="A45" s="2110">
        <v>26</v>
      </c>
      <c r="B45" s="2079"/>
      <c r="C45" s="2078">
        <v>410</v>
      </c>
      <c r="D45" s="2079"/>
      <c r="E45" s="2079" t="s">
        <v>2734</v>
      </c>
      <c r="F45" s="2079"/>
      <c r="G45" s="2090">
        <v>0</v>
      </c>
      <c r="H45" s="2110"/>
      <c r="I45" s="2090">
        <v>0</v>
      </c>
      <c r="J45" s="2090"/>
      <c r="K45" s="2090">
        <v>0</v>
      </c>
      <c r="L45" s="2079"/>
      <c r="M45" s="2091" t="s">
        <v>347</v>
      </c>
      <c r="N45" s="2079"/>
      <c r="O45" s="2092">
        <v>0</v>
      </c>
      <c r="P45" s="2089"/>
      <c r="Q45" s="2092">
        <v>0</v>
      </c>
      <c r="R45" s="2089"/>
      <c r="S45" s="2092">
        <v>0</v>
      </c>
      <c r="T45" s="2089"/>
      <c r="U45" s="994">
        <v>0</v>
      </c>
      <c r="V45" s="994"/>
      <c r="W45" s="994">
        <v>0</v>
      </c>
    </row>
    <row r="46" spans="1:23">
      <c r="A46" s="2110">
        <v>27</v>
      </c>
      <c r="B46" s="2079"/>
      <c r="C46" s="2078" t="s">
        <v>2747</v>
      </c>
      <c r="D46" s="2079"/>
      <c r="E46" s="2079" t="s">
        <v>25</v>
      </c>
      <c r="F46" s="2079"/>
      <c r="G46" s="2090">
        <v>0</v>
      </c>
      <c r="H46" s="2110"/>
      <c r="I46" s="2090">
        <v>0</v>
      </c>
      <c r="J46" s="2090"/>
      <c r="K46" s="2090">
        <v>0</v>
      </c>
      <c r="L46" s="2079"/>
      <c r="M46" s="2091" t="s">
        <v>347</v>
      </c>
      <c r="N46" s="2079"/>
      <c r="O46" s="2092">
        <v>0</v>
      </c>
      <c r="P46" s="2089"/>
      <c r="Q46" s="2092">
        <v>0</v>
      </c>
      <c r="R46" s="2089"/>
      <c r="S46" s="2092">
        <v>0</v>
      </c>
      <c r="T46" s="2089"/>
      <c r="U46" s="994">
        <v>0</v>
      </c>
      <c r="V46" s="994"/>
      <c r="W46" s="994">
        <v>0</v>
      </c>
    </row>
    <row r="47" spans="1:23">
      <c r="A47" s="2110">
        <v>28</v>
      </c>
      <c r="B47" s="2079"/>
      <c r="C47" s="2078">
        <v>427</v>
      </c>
      <c r="D47" s="2079"/>
      <c r="E47" s="2079" t="s">
        <v>2619</v>
      </c>
      <c r="F47" s="2079"/>
      <c r="G47" s="2090">
        <v>5.2941176470588241E-2</v>
      </c>
      <c r="H47" s="2110"/>
      <c r="I47" s="2090">
        <v>0.94705882352941184</v>
      </c>
      <c r="J47" s="2090"/>
      <c r="K47" s="2090">
        <v>1</v>
      </c>
      <c r="L47" s="2079"/>
      <c r="M47" s="2091" t="s">
        <v>347</v>
      </c>
      <c r="N47" s="2079"/>
      <c r="O47" s="2092">
        <v>0.27</v>
      </c>
      <c r="P47" s="2089"/>
      <c r="Q47" s="2092">
        <v>4.83</v>
      </c>
      <c r="R47" s="2089"/>
      <c r="S47" s="2092">
        <v>5.0999999999999996</v>
      </c>
      <c r="T47" s="2089"/>
      <c r="U47" s="994">
        <v>0</v>
      </c>
      <c r="V47" s="994"/>
      <c r="W47" s="994">
        <v>0.27</v>
      </c>
    </row>
    <row r="48" spans="1:23">
      <c r="A48" s="2110">
        <v>29</v>
      </c>
      <c r="B48" s="2079"/>
      <c r="C48" s="2078" t="s">
        <v>2736</v>
      </c>
      <c r="D48" s="2079"/>
      <c r="E48" s="2079" t="s">
        <v>2737</v>
      </c>
      <c r="F48" s="2079"/>
      <c r="G48" s="2090">
        <v>5.2908684971657842E-2</v>
      </c>
      <c r="H48" s="2110"/>
      <c r="I48" s="2090">
        <v>0.94709131502834221</v>
      </c>
      <c r="J48" s="2090"/>
      <c r="K48" s="2090">
        <v>1</v>
      </c>
      <c r="L48" s="2079"/>
      <c r="M48" s="2091" t="s">
        <v>347</v>
      </c>
      <c r="N48" s="2091"/>
      <c r="O48" s="2092">
        <v>2746.3199999999997</v>
      </c>
      <c r="P48" s="2089"/>
      <c r="Q48" s="2092">
        <v>49160.47</v>
      </c>
      <c r="R48" s="2089"/>
      <c r="S48" s="2092">
        <v>51906.79</v>
      </c>
      <c r="T48" s="2089"/>
      <c r="U48" s="994">
        <v>0</v>
      </c>
      <c r="V48" s="994"/>
      <c r="W48" s="994">
        <v>2746.3199999999997</v>
      </c>
    </row>
    <row r="49" spans="1:23">
      <c r="A49" s="2110">
        <v>30</v>
      </c>
      <c r="B49" s="2079"/>
      <c r="C49" s="2078" t="s">
        <v>2002</v>
      </c>
      <c r="D49" s="2079"/>
      <c r="E49" s="2079" t="s">
        <v>2738</v>
      </c>
      <c r="F49" s="2079"/>
      <c r="G49" s="2090">
        <v>5.2197635647165806E-2</v>
      </c>
      <c r="H49" s="2110"/>
      <c r="I49" s="2090">
        <v>0.94780236435283416</v>
      </c>
      <c r="J49" s="2090"/>
      <c r="K49" s="2090">
        <v>1</v>
      </c>
      <c r="L49" s="2079"/>
      <c r="M49" s="2091" t="s">
        <v>347</v>
      </c>
      <c r="N49" s="2079"/>
      <c r="O49" s="2092">
        <v>8.61</v>
      </c>
      <c r="P49" s="2089"/>
      <c r="Q49" s="2092">
        <v>156.33999999999997</v>
      </c>
      <c r="R49" s="2089"/>
      <c r="S49" s="2092">
        <v>164.95</v>
      </c>
      <c r="T49" s="2089"/>
      <c r="U49" s="994">
        <v>0</v>
      </c>
      <c r="V49" s="994"/>
      <c r="W49" s="994">
        <v>8.61</v>
      </c>
    </row>
    <row r="50" spans="1:23">
      <c r="A50" s="2110">
        <v>31</v>
      </c>
      <c r="B50" s="2079"/>
      <c r="C50" s="2078" t="s">
        <v>1991</v>
      </c>
      <c r="D50" s="2079"/>
      <c r="E50" s="2079" t="s">
        <v>2739</v>
      </c>
      <c r="F50" s="2079"/>
      <c r="G50" s="2090">
        <v>5.223451645351343E-2</v>
      </c>
      <c r="H50" s="2110"/>
      <c r="I50" s="2090">
        <v>0.9477654835464866</v>
      </c>
      <c r="J50" s="2090"/>
      <c r="K50" s="2090">
        <v>1</v>
      </c>
      <c r="L50" s="2079"/>
      <c r="M50" s="2091" t="s">
        <v>347</v>
      </c>
      <c r="N50" s="2079"/>
      <c r="O50" s="2092">
        <v>21.81</v>
      </c>
      <c r="P50" s="2089"/>
      <c r="Q50" s="2092">
        <v>395.73</v>
      </c>
      <c r="R50" s="2089"/>
      <c r="S50" s="2092">
        <v>417.54</v>
      </c>
      <c r="T50" s="2089"/>
      <c r="U50" s="994">
        <v>0</v>
      </c>
      <c r="V50" s="994"/>
      <c r="W50" s="994">
        <v>21.81</v>
      </c>
    </row>
    <row r="51" spans="1:23">
      <c r="A51" s="2110">
        <v>32</v>
      </c>
      <c r="B51" s="2079"/>
      <c r="C51" s="2078" t="s">
        <v>2052</v>
      </c>
      <c r="D51" s="2079"/>
      <c r="E51" s="2079" t="s">
        <v>2748</v>
      </c>
      <c r="F51" s="2079"/>
      <c r="G51" s="2090">
        <v>0</v>
      </c>
      <c r="H51" s="2110"/>
      <c r="I51" s="2090">
        <v>0</v>
      </c>
      <c r="J51" s="2090"/>
      <c r="K51" s="2090">
        <v>0</v>
      </c>
      <c r="L51" s="2079"/>
      <c r="M51" s="2091" t="s">
        <v>347</v>
      </c>
      <c r="N51" s="2079"/>
      <c r="O51" s="2092">
        <v>0</v>
      </c>
      <c r="P51" s="2089"/>
      <c r="Q51" s="2092">
        <v>0</v>
      </c>
      <c r="R51" s="2089"/>
      <c r="S51" s="2092">
        <v>0</v>
      </c>
      <c r="T51" s="2089"/>
      <c r="U51" s="994">
        <v>0</v>
      </c>
      <c r="V51" s="994"/>
      <c r="W51" s="994">
        <v>0</v>
      </c>
    </row>
    <row r="52" spans="1:23">
      <c r="A52" s="2110">
        <v>33</v>
      </c>
      <c r="B52" s="2079"/>
      <c r="C52" s="2078" t="s">
        <v>2063</v>
      </c>
      <c r="D52" s="2079"/>
      <c r="E52" s="2079" t="s">
        <v>1248</v>
      </c>
      <c r="F52" s="2079"/>
      <c r="G52" s="2090">
        <v>0</v>
      </c>
      <c r="H52" s="2110"/>
      <c r="I52" s="2090">
        <v>0</v>
      </c>
      <c r="J52" s="2090"/>
      <c r="K52" s="2090">
        <v>0</v>
      </c>
      <c r="L52" s="2079"/>
      <c r="M52" s="2091" t="s">
        <v>347</v>
      </c>
      <c r="N52" s="2079"/>
      <c r="O52" s="2092">
        <v>0</v>
      </c>
      <c r="P52" s="2089"/>
      <c r="Q52" s="2092">
        <v>0</v>
      </c>
      <c r="R52" s="2089"/>
      <c r="S52" s="2092">
        <v>0</v>
      </c>
      <c r="T52" s="2089"/>
      <c r="U52" s="994">
        <v>0</v>
      </c>
      <c r="V52" s="994"/>
      <c r="W52" s="994">
        <v>0</v>
      </c>
    </row>
    <row r="53" spans="1:23">
      <c r="A53" s="2110">
        <v>34</v>
      </c>
      <c r="B53" s="2079"/>
      <c r="C53" s="2078">
        <v>635</v>
      </c>
      <c r="D53" s="2079"/>
      <c r="E53" s="2079" t="s">
        <v>2749</v>
      </c>
      <c r="F53" s="2079"/>
      <c r="G53" s="2090">
        <v>0</v>
      </c>
      <c r="H53" s="2110"/>
      <c r="I53" s="2090">
        <v>0</v>
      </c>
      <c r="J53" s="2090"/>
      <c r="K53" s="2090">
        <v>0</v>
      </c>
      <c r="L53" s="2079"/>
      <c r="M53" s="2091" t="s">
        <v>347</v>
      </c>
      <c r="N53" s="2079"/>
      <c r="O53" s="2092">
        <v>0</v>
      </c>
      <c r="P53" s="2089"/>
      <c r="Q53" s="2092">
        <v>0</v>
      </c>
      <c r="R53" s="2089"/>
      <c r="S53" s="2092">
        <v>0</v>
      </c>
      <c r="T53" s="2089"/>
      <c r="U53" s="994">
        <v>0</v>
      </c>
      <c r="V53" s="994"/>
      <c r="W53" s="994">
        <v>0</v>
      </c>
    </row>
    <row r="54" spans="1:23">
      <c r="A54" s="2110">
        <v>35</v>
      </c>
      <c r="B54" s="2079"/>
      <c r="C54" s="2078" t="s">
        <v>1981</v>
      </c>
      <c r="D54" s="2079"/>
      <c r="E54" s="2079" t="s">
        <v>1250</v>
      </c>
      <c r="F54" s="2079"/>
      <c r="G54" s="2090">
        <v>5.2242727258251999E-2</v>
      </c>
      <c r="H54" s="2110"/>
      <c r="I54" s="2090">
        <v>0.94775727274174792</v>
      </c>
      <c r="J54" s="2090"/>
      <c r="K54" s="2090">
        <v>1</v>
      </c>
      <c r="L54" s="2079"/>
      <c r="M54" s="2091" t="s">
        <v>347</v>
      </c>
      <c r="N54" s="2079"/>
      <c r="O54" s="2092">
        <v>164.05</v>
      </c>
      <c r="P54" s="2089"/>
      <c r="Q54" s="2092">
        <v>2976.1</v>
      </c>
      <c r="R54" s="2089"/>
      <c r="S54" s="2092">
        <v>3140.15</v>
      </c>
      <c r="T54" s="2089"/>
      <c r="U54" s="994">
        <v>0</v>
      </c>
      <c r="V54" s="994"/>
      <c r="W54" s="994">
        <v>164.05</v>
      </c>
    </row>
    <row r="55" spans="1:23">
      <c r="A55" s="2110">
        <v>36</v>
      </c>
      <c r="B55" s="2079"/>
      <c r="C55" s="2078" t="s">
        <v>2074</v>
      </c>
      <c r="D55" s="2079"/>
      <c r="E55" s="2079" t="s">
        <v>2517</v>
      </c>
      <c r="F55" s="2079"/>
      <c r="G55" s="2090">
        <v>5.2236792401921112E-2</v>
      </c>
      <c r="H55" s="2110"/>
      <c r="I55" s="2090">
        <v>0.94776320759807897</v>
      </c>
      <c r="J55" s="2090"/>
      <c r="K55" s="2090">
        <v>1</v>
      </c>
      <c r="L55" s="2079"/>
      <c r="M55" s="2091" t="s">
        <v>347</v>
      </c>
      <c r="N55" s="2079"/>
      <c r="O55" s="2092">
        <v>29.04</v>
      </c>
      <c r="P55" s="2089"/>
      <c r="Q55" s="2092">
        <v>526.89</v>
      </c>
      <c r="R55" s="2089"/>
      <c r="S55" s="2092">
        <v>555.92999999999995</v>
      </c>
      <c r="T55" s="2089"/>
      <c r="U55" s="994">
        <v>0</v>
      </c>
      <c r="V55" s="994"/>
      <c r="W55" s="994">
        <v>29.04</v>
      </c>
    </row>
    <row r="56" spans="1:23">
      <c r="A56" s="2110">
        <v>37</v>
      </c>
      <c r="B56" s="2079"/>
      <c r="C56" s="2078" t="s">
        <v>2076</v>
      </c>
      <c r="D56" s="2079"/>
      <c r="E56" s="2079" t="s">
        <v>1251</v>
      </c>
      <c r="F56" s="2079"/>
      <c r="G56" s="2090">
        <v>5.2240085331878849E-2</v>
      </c>
      <c r="H56" s="2110"/>
      <c r="I56" s="2090">
        <v>0.94775991466812115</v>
      </c>
      <c r="J56" s="2090"/>
      <c r="K56" s="2090">
        <v>1</v>
      </c>
      <c r="L56" s="2079"/>
      <c r="M56" s="2091" t="s">
        <v>347</v>
      </c>
      <c r="N56" s="2079"/>
      <c r="O56" s="2092">
        <v>1057.3899999999999</v>
      </c>
      <c r="P56" s="2089"/>
      <c r="Q56" s="2092">
        <v>19183.580000000002</v>
      </c>
      <c r="R56" s="2089"/>
      <c r="S56" s="2092">
        <v>20240.97</v>
      </c>
      <c r="T56" s="2089"/>
      <c r="U56" s="994">
        <v>0</v>
      </c>
      <c r="V56" s="994"/>
      <c r="W56" s="994">
        <v>1057.3899999999999</v>
      </c>
    </row>
    <row r="57" spans="1:23">
      <c r="A57" s="2110">
        <v>38</v>
      </c>
      <c r="B57" s="2079"/>
      <c r="C57" s="2078" t="s">
        <v>2071</v>
      </c>
      <c r="D57" s="2079"/>
      <c r="E57" s="2079" t="s">
        <v>2750</v>
      </c>
      <c r="F57" s="2079"/>
      <c r="G57" s="2090">
        <v>5.2254160363086229E-2</v>
      </c>
      <c r="H57" s="2110"/>
      <c r="I57" s="2090">
        <v>0.94774583963691383</v>
      </c>
      <c r="J57" s="2090"/>
      <c r="K57" s="2090">
        <v>1</v>
      </c>
      <c r="L57" s="2079"/>
      <c r="M57" s="2091" t="s">
        <v>347</v>
      </c>
      <c r="N57" s="2079"/>
      <c r="O57" s="2092">
        <v>17.27</v>
      </c>
      <c r="P57" s="2089"/>
      <c r="Q57" s="2092">
        <v>313.23</v>
      </c>
      <c r="R57" s="2089"/>
      <c r="S57" s="2092">
        <v>330.5</v>
      </c>
      <c r="T57" s="2089"/>
      <c r="U57" s="994">
        <v>0</v>
      </c>
      <c r="V57" s="994"/>
      <c r="W57" s="994">
        <v>17.27</v>
      </c>
    </row>
    <row r="58" spans="1:23">
      <c r="A58" s="2110">
        <v>39</v>
      </c>
      <c r="B58" s="2079"/>
      <c r="C58" s="2078" t="s">
        <v>1998</v>
      </c>
      <c r="D58" s="2079"/>
      <c r="E58" s="2079" t="s">
        <v>2535</v>
      </c>
      <c r="F58" s="2079"/>
      <c r="G58" s="2090">
        <v>5.2239725726435919E-2</v>
      </c>
      <c r="H58" s="2110"/>
      <c r="I58" s="2090">
        <v>0.94776027427356402</v>
      </c>
      <c r="J58" s="2090"/>
      <c r="K58" s="2090">
        <v>1</v>
      </c>
      <c r="L58" s="2079"/>
      <c r="M58" s="2091" t="s">
        <v>347</v>
      </c>
      <c r="N58" s="2079"/>
      <c r="O58" s="2092">
        <v>487.44000000000005</v>
      </c>
      <c r="P58" s="2089"/>
      <c r="Q58" s="2092">
        <v>8843.39</v>
      </c>
      <c r="R58" s="2089"/>
      <c r="S58" s="2092">
        <v>9330.83</v>
      </c>
      <c r="T58" s="2089"/>
      <c r="U58" s="994">
        <v>0</v>
      </c>
      <c r="V58" s="994"/>
      <c r="W58" s="994">
        <v>487.44000000000005</v>
      </c>
    </row>
    <row r="59" spans="1:23" ht="12.75" thickBot="1">
      <c r="A59" s="2110">
        <v>40</v>
      </c>
      <c r="B59" s="2079"/>
      <c r="C59" s="2078"/>
      <c r="D59" s="2079"/>
      <c r="E59" s="2079"/>
      <c r="F59" s="2079"/>
      <c r="G59" s="2110"/>
      <c r="H59" s="2110"/>
      <c r="I59" s="2110"/>
      <c r="J59" s="2110"/>
      <c r="K59" s="2090"/>
      <c r="L59" s="2079"/>
      <c r="M59" s="2079"/>
      <c r="N59" s="2079"/>
      <c r="O59" s="2145">
        <v>11502.34</v>
      </c>
      <c r="P59" s="2089"/>
      <c r="Q59" s="2145">
        <v>212315.21000000002</v>
      </c>
      <c r="R59" s="2089"/>
      <c r="S59" s="2146">
        <v>223817.55</v>
      </c>
      <c r="T59" s="2089"/>
      <c r="U59" s="2147">
        <v>0</v>
      </c>
      <c r="V59" s="2089"/>
      <c r="W59" s="2147">
        <v>11502.34</v>
      </c>
    </row>
    <row r="60" spans="1:23" ht="12.75" thickTop="1">
      <c r="A60" s="2110">
        <v>41</v>
      </c>
      <c r="B60" s="2079"/>
      <c r="C60" s="2078"/>
      <c r="D60" s="2079"/>
      <c r="E60" s="2079"/>
      <c r="F60" s="2079"/>
      <c r="G60" s="2110"/>
      <c r="H60" s="2110"/>
      <c r="I60" s="2110"/>
      <c r="J60" s="2110"/>
      <c r="K60" s="2110"/>
      <c r="L60" s="2079"/>
      <c r="M60" s="2079"/>
      <c r="N60" s="2079"/>
      <c r="O60" s="2079"/>
      <c r="P60" s="2079"/>
      <c r="Q60" s="2079"/>
      <c r="R60" s="2079"/>
      <c r="S60" s="2079"/>
      <c r="T60" s="2079"/>
      <c r="U60" s="2079"/>
      <c r="V60" s="2079"/>
      <c r="W60" s="2079"/>
    </row>
    <row r="61" spans="1:23">
      <c r="A61" s="2110">
        <v>42</v>
      </c>
      <c r="B61" s="2088" t="s">
        <v>2751</v>
      </c>
      <c r="C61" s="2078"/>
      <c r="D61" s="2079"/>
      <c r="E61" s="2079"/>
      <c r="F61" s="2079"/>
      <c r="G61" s="2090"/>
      <c r="H61" s="2110"/>
      <c r="I61" s="2090"/>
      <c r="J61" s="2090"/>
      <c r="K61" s="2090"/>
      <c r="L61" s="2079"/>
      <c r="M61" s="2079"/>
      <c r="N61" s="2079"/>
      <c r="O61" s="2089"/>
      <c r="P61" s="2089"/>
      <c r="Q61" s="2089"/>
      <c r="R61" s="2089"/>
      <c r="S61" s="2089"/>
      <c r="T61" s="2089"/>
      <c r="U61" s="2089"/>
      <c r="V61" s="2089"/>
      <c r="W61" s="2089"/>
    </row>
    <row r="62" spans="1:23">
      <c r="A62" s="2110">
        <v>43</v>
      </c>
      <c r="B62" s="2079"/>
      <c r="C62" s="2078"/>
      <c r="D62" s="2079"/>
      <c r="E62" s="2079"/>
      <c r="F62" s="2079"/>
      <c r="G62" s="2090"/>
      <c r="H62" s="2110"/>
      <c r="I62" s="2090"/>
      <c r="J62" s="2090"/>
      <c r="K62" s="2090"/>
      <c r="L62" s="2079"/>
      <c r="M62" s="2079"/>
      <c r="N62" s="2079"/>
      <c r="O62" s="2089"/>
      <c r="P62" s="2089"/>
      <c r="Q62" s="2089"/>
      <c r="R62" s="2089"/>
      <c r="S62" s="2089"/>
      <c r="T62" s="2089"/>
      <c r="U62" s="2089"/>
      <c r="V62" s="2089"/>
      <c r="W62" s="2089"/>
    </row>
    <row r="63" spans="1:23">
      <c r="A63" s="2110">
        <v>44</v>
      </c>
      <c r="B63" s="2079"/>
      <c r="C63" s="2078">
        <v>427</v>
      </c>
      <c r="D63" s="2079"/>
      <c r="E63" s="2079" t="s">
        <v>2619</v>
      </c>
      <c r="F63" s="2079"/>
      <c r="G63" s="2090">
        <v>9.5567264178516749E-3</v>
      </c>
      <c r="H63" s="2110"/>
      <c r="I63" s="2090">
        <v>0.99044327358214834</v>
      </c>
      <c r="J63" s="2090"/>
      <c r="K63" s="2090">
        <v>1</v>
      </c>
      <c r="L63" s="2079"/>
      <c r="M63" s="2091" t="s">
        <v>2752</v>
      </c>
      <c r="N63" s="2079"/>
      <c r="O63" s="2092">
        <v>28095.599999999999</v>
      </c>
      <c r="P63" s="2092"/>
      <c r="Q63" s="2092">
        <v>2911781.38</v>
      </c>
      <c r="R63" s="2092"/>
      <c r="S63" s="2092">
        <v>2939876.98</v>
      </c>
      <c r="T63" s="2092"/>
      <c r="U63" s="994">
        <v>0</v>
      </c>
      <c r="V63" s="994"/>
      <c r="W63" s="994">
        <v>28095.599999999999</v>
      </c>
    </row>
    <row r="64" spans="1:23" ht="12.75" thickBot="1">
      <c r="A64" s="2110">
        <v>45</v>
      </c>
      <c r="B64" s="2079"/>
      <c r="C64" s="2078"/>
      <c r="D64" s="2079"/>
      <c r="E64" s="2079"/>
      <c r="F64" s="2079"/>
      <c r="G64" s="2110"/>
      <c r="H64" s="2110"/>
      <c r="I64" s="2110"/>
      <c r="J64" s="2110"/>
      <c r="K64" s="2090"/>
      <c r="L64" s="2079"/>
      <c r="M64" s="2079"/>
      <c r="N64" s="2079"/>
      <c r="O64" s="2145">
        <v>28095.599999999999</v>
      </c>
      <c r="P64" s="2089"/>
      <c r="Q64" s="2145">
        <v>2911781.38</v>
      </c>
      <c r="R64" s="2089"/>
      <c r="S64" s="2146">
        <v>2939876.98</v>
      </c>
      <c r="T64" s="2089"/>
      <c r="U64" s="2147">
        <v>0</v>
      </c>
      <c r="V64" s="2089"/>
      <c r="W64" s="2147">
        <v>28095.599999999999</v>
      </c>
    </row>
    <row r="65" spans="1:23" ht="12.75" thickTop="1">
      <c r="A65" s="2110">
        <v>46</v>
      </c>
      <c r="B65" s="2079" t="s">
        <v>2753</v>
      </c>
      <c r="C65" s="2078"/>
      <c r="D65" s="2079"/>
      <c r="E65" s="2079"/>
      <c r="F65" s="2079"/>
      <c r="G65" s="2110"/>
      <c r="H65" s="2110"/>
      <c r="I65" s="2110"/>
      <c r="J65" s="2110"/>
      <c r="K65" s="2110"/>
      <c r="L65" s="2079"/>
      <c r="M65" s="2079"/>
      <c r="N65" s="2079"/>
      <c r="O65" s="2079"/>
      <c r="P65" s="2079"/>
      <c r="Q65" s="2079"/>
      <c r="R65" s="2079"/>
      <c r="S65" s="2079"/>
      <c r="T65" s="2079"/>
      <c r="U65" s="2079"/>
      <c r="V65" s="2079"/>
      <c r="W65" s="2079"/>
    </row>
  </sheetData>
  <mergeCells count="6">
    <mergeCell ref="G15:K15"/>
    <mergeCell ref="U10:W10"/>
    <mergeCell ref="U11:W11"/>
    <mergeCell ref="U12:W12"/>
    <mergeCell ref="U13:W13"/>
    <mergeCell ref="O14:W14"/>
  </mergeCells>
  <pageMargins left="0.75" right="0.5" top="0.75" bottom="0.5" header="0.25" footer="0.25"/>
  <pageSetup scale="66"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W65"/>
  <sheetViews>
    <sheetView view="pageBreakPreview" zoomScale="60" zoomScaleNormal="100" workbookViewId="0">
      <selection sqref="A1:XFD1048576"/>
    </sheetView>
  </sheetViews>
  <sheetFormatPr defaultRowHeight="12"/>
  <cols>
    <col min="1" max="1" width="4" style="991" customWidth="1"/>
    <col min="2" max="2" width="3" style="991" customWidth="1"/>
    <col min="3" max="3" width="10.85546875" style="991" customWidth="1"/>
    <col min="4" max="4" width="2.28515625" style="991" customWidth="1"/>
    <col min="5" max="5" width="33.7109375" style="991" customWidth="1"/>
    <col min="6" max="6" width="2.28515625" style="991" customWidth="1"/>
    <col min="7" max="7" width="18" style="991" bestFit="1" customWidth="1"/>
    <col min="8" max="8" width="2.28515625" style="991" customWidth="1"/>
    <col min="9" max="9" width="12.7109375" style="991" customWidth="1"/>
    <col min="10" max="10" width="2.28515625" style="991" customWidth="1"/>
    <col min="11" max="11" width="9.7109375" style="991" customWidth="1"/>
    <col min="12" max="12" width="2.28515625" style="991" customWidth="1"/>
    <col min="13" max="13" width="19.140625" style="991" bestFit="1" customWidth="1"/>
    <col min="14" max="14" width="2.28515625" style="991" customWidth="1"/>
    <col min="15" max="15" width="18" style="991" bestFit="1" customWidth="1"/>
    <col min="16" max="16" width="2.28515625" style="991" customWidth="1"/>
    <col min="17" max="17" width="11.7109375" style="991" customWidth="1"/>
    <col min="18" max="18" width="4.85546875" style="991" customWidth="1"/>
    <col min="19" max="19" width="9.28515625" style="991" bestFit="1" customWidth="1"/>
    <col min="20" max="20" width="2.28515625" style="991" customWidth="1"/>
    <col min="21" max="21" width="5.7109375" style="991" bestFit="1" customWidth="1"/>
    <col min="22" max="22" width="2.28515625" style="991" customWidth="1"/>
    <col min="23" max="23" width="9.85546875" style="991" customWidth="1"/>
    <col min="24" max="16384" width="9.140625" style="991"/>
  </cols>
  <sheetData>
    <row r="1" spans="1:23">
      <c r="A1" s="2079"/>
      <c r="B1" s="2079"/>
      <c r="C1" s="2078"/>
      <c r="D1" s="2079"/>
      <c r="E1" s="2079"/>
      <c r="F1" s="2079"/>
      <c r="G1" s="2110"/>
      <c r="H1" s="2110"/>
      <c r="I1" s="2110"/>
      <c r="J1" s="2110"/>
      <c r="K1" s="2110"/>
      <c r="L1" s="2079"/>
      <c r="M1" s="2079"/>
      <c r="N1" s="2079"/>
      <c r="O1" s="2079"/>
      <c r="P1" s="2079"/>
      <c r="Q1" s="2079"/>
      <c r="R1" s="2079"/>
      <c r="S1" s="2079"/>
      <c r="T1" s="2079"/>
      <c r="U1" s="2079"/>
      <c r="V1" s="2079"/>
      <c r="W1" s="2078" t="s">
        <v>1209</v>
      </c>
    </row>
    <row r="2" spans="1:23">
      <c r="A2" s="2080" t="s">
        <v>2716</v>
      </c>
      <c r="B2" s="2079"/>
      <c r="C2" s="2078"/>
      <c r="D2" s="2079"/>
      <c r="E2" s="2079"/>
      <c r="F2" s="2079"/>
      <c r="G2" s="2110"/>
      <c r="H2" s="2137"/>
      <c r="I2" s="2137" t="s">
        <v>911</v>
      </c>
      <c r="J2" s="2137"/>
      <c r="K2" s="2137"/>
      <c r="L2" s="2138"/>
      <c r="M2" s="2079"/>
      <c r="N2" s="2079"/>
      <c r="O2" s="2079"/>
      <c r="P2" s="2079"/>
      <c r="Q2" s="2079"/>
      <c r="R2" s="2079"/>
      <c r="S2" s="2078"/>
      <c r="T2" s="2079"/>
      <c r="U2" s="2079"/>
      <c r="V2" s="2079"/>
      <c r="W2" s="2078"/>
    </row>
    <row r="3" spans="1:23">
      <c r="A3" s="2080"/>
      <c r="B3" s="2079"/>
      <c r="C3" s="2078"/>
      <c r="D3" s="2079"/>
      <c r="E3" s="2079"/>
      <c r="F3" s="2079"/>
      <c r="G3" s="2110"/>
      <c r="H3" s="2137"/>
      <c r="I3" s="2137"/>
      <c r="J3" s="2137"/>
      <c r="K3" s="2137"/>
      <c r="L3" s="2138"/>
      <c r="M3" s="2079"/>
      <c r="N3" s="2079"/>
      <c r="O3" s="2079"/>
      <c r="P3" s="2079"/>
      <c r="Q3" s="2079"/>
      <c r="R3" s="2079"/>
      <c r="S3" s="2080"/>
      <c r="T3" s="2079"/>
      <c r="U3" s="2079"/>
      <c r="V3" s="2079"/>
      <c r="W3" s="2078" t="s">
        <v>2717</v>
      </c>
    </row>
    <row r="4" spans="1:23">
      <c r="A4" s="2079" t="s">
        <v>2644</v>
      </c>
      <c r="B4" s="2080"/>
      <c r="C4" s="2080"/>
      <c r="D4" s="2079"/>
      <c r="E4" s="2079"/>
      <c r="F4" s="2079"/>
      <c r="G4" s="2110"/>
      <c r="H4" s="2137"/>
      <c r="I4" s="2137"/>
      <c r="J4" s="2137"/>
      <c r="K4" s="2137"/>
      <c r="L4" s="2138"/>
      <c r="M4" s="2079"/>
      <c r="N4" s="2079"/>
      <c r="O4" s="2079"/>
      <c r="P4" s="2079"/>
      <c r="Q4" s="2079"/>
      <c r="R4" s="2079"/>
      <c r="S4" s="2078"/>
      <c r="T4" s="2079"/>
      <c r="U4" s="2079"/>
      <c r="V4" s="2079"/>
      <c r="W4" s="2078" t="s">
        <v>2758</v>
      </c>
    </row>
    <row r="5" spans="1:23">
      <c r="A5" s="2080" t="s">
        <v>2719</v>
      </c>
      <c r="B5" s="2079"/>
      <c r="C5" s="2078"/>
      <c r="D5" s="2079"/>
      <c r="E5" s="2079"/>
      <c r="F5" s="2080"/>
      <c r="G5" s="2110"/>
      <c r="H5" s="2137"/>
      <c r="I5" s="2137"/>
      <c r="J5" s="2137"/>
      <c r="K5" s="2137"/>
      <c r="L5" s="2138"/>
      <c r="M5" s="2079"/>
      <c r="N5" s="2079"/>
      <c r="O5" s="2079"/>
      <c r="P5" s="2079"/>
      <c r="Q5" s="2079"/>
      <c r="R5" s="2079"/>
      <c r="S5" s="2078"/>
      <c r="T5" s="2079"/>
      <c r="U5" s="2079"/>
      <c r="V5" s="2079"/>
      <c r="W5" s="2078"/>
    </row>
    <row r="6" spans="1:23">
      <c r="A6" s="2080" t="s">
        <v>1935</v>
      </c>
      <c r="B6" s="2079"/>
      <c r="C6" s="2078"/>
      <c r="D6" s="2079"/>
      <c r="E6" s="2139"/>
      <c r="F6" s="2080"/>
      <c r="G6" s="2110"/>
      <c r="H6" s="2137"/>
      <c r="I6" s="2137"/>
      <c r="J6" s="2137"/>
      <c r="K6" s="2137"/>
      <c r="L6" s="2138"/>
      <c r="M6" s="2079"/>
      <c r="N6" s="2079"/>
      <c r="O6" s="2079"/>
      <c r="P6" s="2079"/>
      <c r="Q6" s="2079"/>
      <c r="R6" s="2079"/>
      <c r="S6" s="2080"/>
      <c r="T6" s="2079"/>
      <c r="U6" s="2079"/>
      <c r="V6" s="2079"/>
      <c r="W6" s="1011" t="s">
        <v>2950</v>
      </c>
    </row>
    <row r="7" spans="1:23">
      <c r="A7" s="2080" t="s">
        <v>1092</v>
      </c>
      <c r="B7" s="2079"/>
      <c r="C7" s="2078"/>
      <c r="D7" s="2079"/>
      <c r="E7" s="2079"/>
      <c r="F7" s="2080"/>
      <c r="G7" s="2110"/>
      <c r="H7" s="2137"/>
      <c r="I7" s="2137"/>
      <c r="J7" s="2137"/>
      <c r="K7" s="2137"/>
      <c r="L7" s="2138"/>
      <c r="M7" s="2079"/>
      <c r="N7" s="2079"/>
      <c r="O7" s="2079"/>
      <c r="P7" s="2079"/>
      <c r="Q7" s="2079"/>
      <c r="R7" s="2079"/>
      <c r="S7" s="2078"/>
      <c r="T7" s="2079"/>
      <c r="U7" s="2079"/>
      <c r="V7" s="2079"/>
      <c r="W7" s="2078"/>
    </row>
    <row r="8" spans="1:23">
      <c r="A8" s="2080" t="s">
        <v>717</v>
      </c>
      <c r="B8" s="2079"/>
      <c r="C8" s="2078"/>
      <c r="D8" s="2079"/>
      <c r="E8" s="2079"/>
      <c r="F8" s="2080"/>
      <c r="G8" s="2110"/>
      <c r="H8" s="2137"/>
      <c r="I8" s="2137"/>
      <c r="J8" s="2137"/>
      <c r="K8" s="2137"/>
      <c r="L8" s="2138"/>
      <c r="M8" s="2079"/>
      <c r="N8" s="2079"/>
      <c r="O8" s="2079"/>
      <c r="P8" s="2079"/>
      <c r="Q8" s="2079"/>
      <c r="R8" s="2079"/>
      <c r="S8" s="2079"/>
      <c r="T8" s="2079"/>
      <c r="U8" s="2079"/>
      <c r="V8" s="2079"/>
      <c r="W8" s="2079"/>
    </row>
    <row r="9" spans="1:23">
      <c r="A9" s="2079"/>
      <c r="B9" s="2079"/>
      <c r="C9" s="2078"/>
      <c r="D9" s="2079"/>
      <c r="E9" s="2079"/>
      <c r="F9" s="2079"/>
      <c r="G9" s="2110"/>
      <c r="H9" s="2110"/>
      <c r="I9" s="2110"/>
      <c r="J9" s="2110"/>
      <c r="K9" s="2110"/>
      <c r="L9" s="2079"/>
      <c r="M9" s="2079"/>
      <c r="N9" s="2079"/>
      <c r="O9" s="2079"/>
      <c r="P9" s="2079"/>
      <c r="Q9" s="2079"/>
      <c r="R9" s="2079"/>
      <c r="S9" s="2079"/>
      <c r="T9" s="2079"/>
      <c r="U9" s="2079"/>
      <c r="V9" s="2079"/>
      <c r="W9" s="2079"/>
    </row>
    <row r="10" spans="1:23">
      <c r="A10" s="2079" t="s">
        <v>2720</v>
      </c>
      <c r="B10" s="2079"/>
      <c r="C10" s="2078"/>
      <c r="D10" s="2079"/>
      <c r="E10" s="2079"/>
      <c r="F10" s="2079"/>
      <c r="G10" s="2110"/>
      <c r="H10" s="2110"/>
      <c r="I10" s="2110"/>
      <c r="J10" s="2110"/>
      <c r="K10" s="2110"/>
      <c r="L10" s="2079"/>
      <c r="M10" s="2079"/>
      <c r="N10" s="2079"/>
      <c r="O10" s="2079"/>
      <c r="P10" s="2079"/>
      <c r="Q10" s="2079"/>
      <c r="R10" s="2079"/>
      <c r="S10" s="2079"/>
      <c r="T10" s="2079"/>
      <c r="U10" s="2318" t="s">
        <v>2956</v>
      </c>
      <c r="V10" s="2318"/>
      <c r="W10" s="2318"/>
    </row>
    <row r="11" spans="1:23">
      <c r="A11" s="2080" t="s">
        <v>2721</v>
      </c>
      <c r="B11" s="2079"/>
      <c r="C11" s="2078"/>
      <c r="D11" s="2079"/>
      <c r="E11" s="2079"/>
      <c r="F11" s="2079"/>
      <c r="G11" s="2110"/>
      <c r="H11" s="2110"/>
      <c r="I11" s="2110"/>
      <c r="J11" s="2110"/>
      <c r="K11" s="2110"/>
      <c r="L11" s="2079"/>
      <c r="M11" s="2079"/>
      <c r="N11" s="2079"/>
      <c r="O11" s="2079"/>
      <c r="P11" s="2079"/>
      <c r="Q11" s="2079"/>
      <c r="R11" s="2079"/>
      <c r="S11" s="2079"/>
      <c r="T11" s="2079"/>
      <c r="U11" s="2317" t="s">
        <v>2722</v>
      </c>
      <c r="V11" s="2317"/>
      <c r="W11" s="2317"/>
    </row>
    <row r="12" spans="1:23">
      <c r="A12" s="2140"/>
      <c r="B12" s="2140"/>
      <c r="C12" s="2141"/>
      <c r="D12" s="2140"/>
      <c r="E12" s="2140"/>
      <c r="F12" s="2140"/>
      <c r="G12" s="2142"/>
      <c r="H12" s="2142"/>
      <c r="I12" s="2142"/>
      <c r="J12" s="2142"/>
      <c r="K12" s="2142"/>
      <c r="L12" s="2140"/>
      <c r="M12" s="2140"/>
      <c r="N12" s="2140"/>
      <c r="O12" s="2140"/>
      <c r="P12" s="2140"/>
      <c r="Q12" s="2140"/>
      <c r="R12" s="2140"/>
      <c r="S12" s="2140"/>
      <c r="T12" s="2140"/>
      <c r="U12" s="2319"/>
      <c r="V12" s="2319"/>
      <c r="W12" s="2319"/>
    </row>
    <row r="13" spans="1:23">
      <c r="A13" s="2082"/>
      <c r="B13" s="2082"/>
      <c r="C13" s="2083"/>
      <c r="D13" s="2082"/>
      <c r="E13" s="2082"/>
      <c r="F13" s="2082"/>
      <c r="G13" s="2084">
        <v>-1</v>
      </c>
      <c r="H13" s="2084"/>
      <c r="I13" s="2084">
        <v>-2</v>
      </c>
      <c r="J13" s="2084"/>
      <c r="K13" s="2084">
        <v>-3</v>
      </c>
      <c r="L13" s="2082"/>
      <c r="M13" s="2084">
        <v>-4</v>
      </c>
      <c r="N13" s="2082"/>
      <c r="O13" s="2084">
        <v>-5</v>
      </c>
      <c r="P13" s="2082"/>
      <c r="Q13" s="2084">
        <v>-6</v>
      </c>
      <c r="R13" s="2082"/>
      <c r="S13" s="2084">
        <v>-7</v>
      </c>
      <c r="T13" s="2082"/>
      <c r="U13" s="2320">
        <v>-8</v>
      </c>
      <c r="V13" s="2320"/>
      <c r="W13" s="2320"/>
    </row>
    <row r="14" spans="1:23">
      <c r="A14" s="2082"/>
      <c r="B14" s="2082"/>
      <c r="C14" s="2083"/>
      <c r="D14" s="2082"/>
      <c r="E14" s="2082"/>
      <c r="F14" s="2082"/>
      <c r="G14" s="2084"/>
      <c r="H14" s="2084"/>
      <c r="I14" s="2084"/>
      <c r="J14" s="2084"/>
      <c r="K14" s="2084"/>
      <c r="L14" s="2082"/>
      <c r="M14" s="2084"/>
      <c r="N14" s="2082"/>
      <c r="O14" s="2321" t="s">
        <v>2759</v>
      </c>
      <c r="P14" s="2321"/>
      <c r="Q14" s="2321"/>
      <c r="R14" s="2321"/>
      <c r="S14" s="2321"/>
      <c r="T14" s="2321"/>
      <c r="U14" s="2321"/>
      <c r="V14" s="2321"/>
      <c r="W14" s="2321"/>
    </row>
    <row r="15" spans="1:23">
      <c r="A15" s="2079"/>
      <c r="B15" s="2079"/>
      <c r="C15" s="2078"/>
      <c r="D15" s="2079"/>
      <c r="E15" s="2079"/>
      <c r="F15" s="2079"/>
      <c r="G15" s="2317" t="s">
        <v>2724</v>
      </c>
      <c r="H15" s="2317"/>
      <c r="I15" s="2317"/>
      <c r="J15" s="2317"/>
      <c r="K15" s="2317"/>
      <c r="L15" s="2143"/>
      <c r="M15" s="2143"/>
      <c r="N15" s="2143"/>
      <c r="O15" s="2143"/>
      <c r="P15" s="2140"/>
      <c r="Q15" s="2142" t="s">
        <v>2725</v>
      </c>
      <c r="R15" s="2140"/>
      <c r="S15" s="2140"/>
      <c r="T15" s="2079"/>
      <c r="U15" s="2143"/>
      <c r="V15" s="2142"/>
      <c r="W15" s="2142"/>
    </row>
    <row r="16" spans="1:23">
      <c r="A16" s="2079"/>
      <c r="B16" s="2079"/>
      <c r="C16" s="2110" t="s">
        <v>2726</v>
      </c>
      <c r="D16" s="2079"/>
      <c r="E16" s="2079"/>
      <c r="F16" s="2079"/>
      <c r="G16" s="2110"/>
      <c r="H16" s="2110"/>
      <c r="I16" s="2110" t="s">
        <v>1170</v>
      </c>
      <c r="J16" s="2110"/>
      <c r="K16" s="2110"/>
      <c r="L16" s="2079"/>
      <c r="M16" s="2110" t="s">
        <v>731</v>
      </c>
      <c r="N16" s="2079"/>
      <c r="O16" s="2110"/>
      <c r="P16" s="2079"/>
      <c r="Q16" s="2110" t="s">
        <v>1170</v>
      </c>
      <c r="R16" s="2079"/>
      <c r="S16" s="2110"/>
      <c r="T16" s="2079"/>
      <c r="U16" s="2110"/>
      <c r="V16" s="2079"/>
      <c r="W16" s="2110"/>
    </row>
    <row r="17" spans="1:23">
      <c r="A17" s="2110" t="s">
        <v>53</v>
      </c>
      <c r="B17" s="2079"/>
      <c r="C17" s="2110" t="s">
        <v>2727</v>
      </c>
      <c r="D17" s="2079"/>
      <c r="E17" s="2079"/>
      <c r="F17" s="2085"/>
      <c r="G17" s="2086"/>
      <c r="H17" s="2086"/>
      <c r="I17" s="2086" t="s">
        <v>2728</v>
      </c>
      <c r="J17" s="2086"/>
      <c r="K17" s="2086"/>
      <c r="L17" s="2085"/>
      <c r="M17" s="2110" t="s">
        <v>2729</v>
      </c>
      <c r="N17" s="2085"/>
      <c r="O17" s="2086"/>
      <c r="P17" s="2085"/>
      <c r="Q17" s="2086" t="s">
        <v>2728</v>
      </c>
      <c r="R17" s="2085"/>
      <c r="S17" s="2081"/>
      <c r="T17" s="2085"/>
      <c r="U17" s="2087">
        <v>0</v>
      </c>
      <c r="V17" s="2085"/>
      <c r="W17" s="2087">
        <v>1</v>
      </c>
    </row>
    <row r="18" spans="1:23">
      <c r="A18" s="2142" t="s">
        <v>730</v>
      </c>
      <c r="B18" s="2143"/>
      <c r="C18" s="2142" t="s">
        <v>730</v>
      </c>
      <c r="D18" s="2143"/>
      <c r="E18" s="2142" t="s">
        <v>731</v>
      </c>
      <c r="F18" s="2143"/>
      <c r="G18" s="2144" t="s">
        <v>2956</v>
      </c>
      <c r="H18" s="2142"/>
      <c r="I18" s="2142" t="s">
        <v>2730</v>
      </c>
      <c r="J18" s="2142"/>
      <c r="K18" s="2142" t="s">
        <v>81</v>
      </c>
      <c r="L18" s="2143"/>
      <c r="M18" s="2142" t="s">
        <v>2731</v>
      </c>
      <c r="N18" s="2143"/>
      <c r="O18" s="2144" t="s">
        <v>2956</v>
      </c>
      <c r="P18" s="2143"/>
      <c r="Q18" s="2142" t="s">
        <v>2730</v>
      </c>
      <c r="R18" s="2143"/>
      <c r="S18" s="2142" t="s">
        <v>81</v>
      </c>
      <c r="T18" s="2143"/>
      <c r="U18" s="2142" t="s">
        <v>498</v>
      </c>
      <c r="V18" s="2143"/>
      <c r="W18" s="2142" t="s">
        <v>670</v>
      </c>
    </row>
    <row r="19" spans="1:23">
      <c r="A19" s="2079"/>
      <c r="B19" s="2079"/>
      <c r="C19" s="2078"/>
      <c r="D19" s="2079"/>
      <c r="E19" s="2079"/>
      <c r="F19" s="2079"/>
      <c r="G19" s="2110"/>
      <c r="H19" s="2110"/>
      <c r="I19" s="2110"/>
      <c r="J19" s="2110"/>
      <c r="K19" s="2110"/>
      <c r="L19" s="2079"/>
      <c r="M19" s="2079"/>
      <c r="N19" s="2079"/>
      <c r="O19" s="2079"/>
      <c r="P19" s="2079"/>
      <c r="Q19" s="2079"/>
      <c r="R19" s="2079"/>
      <c r="S19" s="2079"/>
      <c r="T19" s="2079"/>
      <c r="U19" s="2079"/>
      <c r="V19" s="2079"/>
      <c r="W19" s="2079"/>
    </row>
    <row r="20" spans="1:23">
      <c r="A20" s="2110">
        <v>1</v>
      </c>
      <c r="B20" s="2088" t="s">
        <v>2732</v>
      </c>
      <c r="C20" s="2078"/>
      <c r="D20" s="2079"/>
      <c r="E20" s="2079"/>
      <c r="F20" s="2079"/>
      <c r="G20" s="2110"/>
      <c r="H20" s="2110"/>
      <c r="I20" s="2110"/>
      <c r="J20" s="2110"/>
      <c r="K20" s="2110"/>
      <c r="L20" s="2079"/>
      <c r="M20" s="2079"/>
      <c r="N20" s="2079"/>
      <c r="O20" s="2089"/>
      <c r="P20" s="2089"/>
      <c r="Q20" s="2089"/>
      <c r="R20" s="2089"/>
      <c r="S20" s="2089"/>
      <c r="T20" s="2089"/>
      <c r="U20" s="2089"/>
      <c r="V20" s="2089"/>
      <c r="W20" s="2089"/>
    </row>
    <row r="21" spans="1:23">
      <c r="A21" s="2110">
        <v>2</v>
      </c>
      <c r="B21" s="2079"/>
      <c r="C21" s="2078">
        <v>403</v>
      </c>
      <c r="D21" s="2079"/>
      <c r="E21" s="2079" t="s">
        <v>379</v>
      </c>
      <c r="F21" s="2079"/>
      <c r="G21" s="2090">
        <v>1.1997011139487927E-2</v>
      </c>
      <c r="H21" s="2110"/>
      <c r="I21" s="2090">
        <v>0.98800298886051208</v>
      </c>
      <c r="J21" s="2090"/>
      <c r="K21" s="2090">
        <v>1</v>
      </c>
      <c r="L21" s="2079"/>
      <c r="M21" s="2091" t="s">
        <v>347</v>
      </c>
      <c r="N21" s="2079"/>
      <c r="O21" s="2092">
        <v>4199.1899999999996</v>
      </c>
      <c r="P21" s="2092"/>
      <c r="Q21" s="2089">
        <v>345820.49</v>
      </c>
      <c r="R21" s="2092"/>
      <c r="S21" s="2092">
        <v>350019.68</v>
      </c>
      <c r="T21" s="2092"/>
      <c r="U21" s="2089">
        <v>0</v>
      </c>
      <c r="V21" s="2089"/>
      <c r="W21" s="2089">
        <v>4199.1899999999996</v>
      </c>
    </row>
    <row r="22" spans="1:23">
      <c r="A22" s="2110">
        <v>3</v>
      </c>
      <c r="B22" s="2079"/>
      <c r="C22" s="2078">
        <v>408</v>
      </c>
      <c r="D22" s="2079"/>
      <c r="E22" s="2079" t="s">
        <v>25</v>
      </c>
      <c r="F22" s="2079"/>
      <c r="G22" s="2090">
        <v>1.2304782267655863E-2</v>
      </c>
      <c r="H22" s="2110"/>
      <c r="I22" s="2090">
        <v>0.98769521773234403</v>
      </c>
      <c r="J22" s="2090"/>
      <c r="K22" s="2090">
        <v>1</v>
      </c>
      <c r="L22" s="2079"/>
      <c r="M22" s="2091" t="s">
        <v>347</v>
      </c>
      <c r="N22" s="2079"/>
      <c r="O22" s="2092">
        <v>449.12</v>
      </c>
      <c r="P22" s="2089"/>
      <c r="Q22" s="2089">
        <v>36050.51</v>
      </c>
      <c r="R22" s="2089"/>
      <c r="S22" s="2092">
        <v>36499.630000000005</v>
      </c>
      <c r="T22" s="2089"/>
      <c r="U22" s="2089">
        <v>0</v>
      </c>
      <c r="V22" s="2089"/>
      <c r="W22" s="2089">
        <v>449.12</v>
      </c>
    </row>
    <row r="23" spans="1:23">
      <c r="A23" s="2110">
        <v>4</v>
      </c>
      <c r="B23" s="2079"/>
      <c r="C23" s="2078">
        <v>409</v>
      </c>
      <c r="D23" s="2079"/>
      <c r="E23" s="2079" t="s">
        <v>2733</v>
      </c>
      <c r="F23" s="2079"/>
      <c r="G23" s="2090">
        <v>0</v>
      </c>
      <c r="H23" s="2110"/>
      <c r="I23" s="2090">
        <v>0</v>
      </c>
      <c r="J23" s="2090"/>
      <c r="K23" s="2090">
        <v>0</v>
      </c>
      <c r="L23" s="2079"/>
      <c r="M23" s="2091" t="s">
        <v>347</v>
      </c>
      <c r="N23" s="2079"/>
      <c r="O23" s="2092">
        <v>0</v>
      </c>
      <c r="P23" s="2089"/>
      <c r="Q23" s="2089">
        <v>0</v>
      </c>
      <c r="R23" s="2089"/>
      <c r="S23" s="2092">
        <v>0</v>
      </c>
      <c r="T23" s="2089"/>
      <c r="U23" s="2089">
        <v>0</v>
      </c>
      <c r="V23" s="2089"/>
      <c r="W23" s="2089">
        <v>0</v>
      </c>
    </row>
    <row r="24" spans="1:23">
      <c r="A24" s="2110">
        <v>5</v>
      </c>
      <c r="B24" s="2079"/>
      <c r="C24" s="2078">
        <v>410</v>
      </c>
      <c r="D24" s="2079"/>
      <c r="E24" s="2079" t="s">
        <v>2734</v>
      </c>
      <c r="F24" s="2079"/>
      <c r="G24" s="2090">
        <v>0</v>
      </c>
      <c r="H24" s="2110"/>
      <c r="I24" s="2090">
        <v>0</v>
      </c>
      <c r="J24" s="2090"/>
      <c r="K24" s="2090">
        <v>0</v>
      </c>
      <c r="L24" s="2079"/>
      <c r="M24" s="2091" t="s">
        <v>347</v>
      </c>
      <c r="N24" s="2079"/>
      <c r="O24" s="2092">
        <v>0</v>
      </c>
      <c r="P24" s="2089"/>
      <c r="Q24" s="2089">
        <v>0</v>
      </c>
      <c r="R24" s="2089"/>
      <c r="S24" s="2092">
        <v>0</v>
      </c>
      <c r="T24" s="2089"/>
      <c r="U24" s="2089">
        <v>0</v>
      </c>
      <c r="V24" s="2089"/>
      <c r="W24" s="2089">
        <v>0</v>
      </c>
    </row>
    <row r="25" spans="1:23">
      <c r="A25" s="2110">
        <v>6</v>
      </c>
      <c r="B25" s="2079"/>
      <c r="C25" s="2078" t="s">
        <v>2735</v>
      </c>
      <c r="D25" s="2079"/>
      <c r="E25" s="2079" t="s">
        <v>530</v>
      </c>
      <c r="F25" s="2079"/>
      <c r="G25" s="2090">
        <v>1.2298552739682739E-2</v>
      </c>
      <c r="H25" s="2110"/>
      <c r="I25" s="2090">
        <v>0.98770144726031728</v>
      </c>
      <c r="J25" s="2090"/>
      <c r="K25" s="2090">
        <v>1</v>
      </c>
      <c r="L25" s="2079"/>
      <c r="M25" s="2091" t="s">
        <v>347</v>
      </c>
      <c r="N25" s="2079"/>
      <c r="O25" s="2092">
        <v>-9.73</v>
      </c>
      <c r="P25" s="2089"/>
      <c r="Q25" s="2089">
        <v>-781.42000000000007</v>
      </c>
      <c r="R25" s="2089"/>
      <c r="S25" s="2092">
        <v>-791.15000000000009</v>
      </c>
      <c r="T25" s="2089"/>
      <c r="U25" s="2089">
        <v>0</v>
      </c>
      <c r="V25" s="2089"/>
      <c r="W25" s="2089">
        <v>-9.73</v>
      </c>
    </row>
    <row r="26" spans="1:23">
      <c r="A26" s="2110">
        <v>7</v>
      </c>
      <c r="B26" s="2079"/>
      <c r="C26" s="2078">
        <v>427</v>
      </c>
      <c r="D26" s="2079"/>
      <c r="E26" s="2079" t="s">
        <v>2619</v>
      </c>
      <c r="F26" s="2079"/>
      <c r="G26" s="2090">
        <v>1.2302898825036761E-2</v>
      </c>
      <c r="H26" s="2110"/>
      <c r="I26" s="2090">
        <v>0.98769710117496312</v>
      </c>
      <c r="J26" s="2090"/>
      <c r="K26" s="2090">
        <v>1</v>
      </c>
      <c r="L26" s="2079"/>
      <c r="M26" s="2091" t="s">
        <v>347</v>
      </c>
      <c r="N26" s="2079"/>
      <c r="O26" s="2092">
        <v>16.899999999999999</v>
      </c>
      <c r="P26" s="2089"/>
      <c r="Q26" s="2089">
        <v>1356.76</v>
      </c>
      <c r="R26" s="2089"/>
      <c r="S26" s="2092">
        <v>1373.66</v>
      </c>
      <c r="T26" s="2089"/>
      <c r="U26" s="2089">
        <v>0</v>
      </c>
      <c r="V26" s="2089"/>
      <c r="W26" s="2089">
        <v>16.899999999999999</v>
      </c>
    </row>
    <row r="27" spans="1:23">
      <c r="A27" s="2110">
        <v>8</v>
      </c>
      <c r="B27" s="2079"/>
      <c r="C27" s="2078" t="s">
        <v>2736</v>
      </c>
      <c r="D27" s="2079"/>
      <c r="E27" s="2079" t="s">
        <v>2737</v>
      </c>
      <c r="F27" s="2079"/>
      <c r="G27" s="2090">
        <v>1.2304914370511198E-2</v>
      </c>
      <c r="H27" s="2110"/>
      <c r="I27" s="2090">
        <v>0.98769508562948882</v>
      </c>
      <c r="J27" s="2090"/>
      <c r="K27" s="2090">
        <v>1</v>
      </c>
      <c r="L27" s="2079"/>
      <c r="M27" s="2091" t="s">
        <v>347</v>
      </c>
      <c r="N27" s="2091"/>
      <c r="O27" s="2092">
        <v>4879.6900000000005</v>
      </c>
      <c r="P27" s="2092"/>
      <c r="Q27" s="2089">
        <v>391684.62999999995</v>
      </c>
      <c r="R27" s="2092"/>
      <c r="S27" s="2092">
        <v>396564.31999999995</v>
      </c>
      <c r="T27" s="2092"/>
      <c r="U27" s="2089">
        <v>0</v>
      </c>
      <c r="V27" s="2089"/>
      <c r="W27" s="2089">
        <v>4879.6900000000005</v>
      </c>
    </row>
    <row r="28" spans="1:23">
      <c r="A28" s="2110">
        <v>9</v>
      </c>
      <c r="B28" s="2079"/>
      <c r="C28" s="2078" t="s">
        <v>2002</v>
      </c>
      <c r="D28" s="2079"/>
      <c r="E28" s="2079" t="s">
        <v>2738</v>
      </c>
      <c r="F28" s="2079"/>
      <c r="G28" s="2090">
        <v>1.230488247018555E-2</v>
      </c>
      <c r="H28" s="2110"/>
      <c r="I28" s="2090">
        <v>0.98769511752981443</v>
      </c>
      <c r="J28" s="2090"/>
      <c r="K28" s="2090">
        <v>1</v>
      </c>
      <c r="L28" s="2079"/>
      <c r="M28" s="2091" t="s">
        <v>347</v>
      </c>
      <c r="N28" s="2079"/>
      <c r="O28" s="2092">
        <v>4788.8399999999992</v>
      </c>
      <c r="P28" s="2089"/>
      <c r="Q28" s="2089">
        <v>384393.25999999995</v>
      </c>
      <c r="R28" s="2089"/>
      <c r="S28" s="2092">
        <v>389182.1</v>
      </c>
      <c r="T28" s="2089"/>
      <c r="U28" s="2089">
        <v>0</v>
      </c>
      <c r="V28" s="2089"/>
      <c r="W28" s="2089">
        <v>4788.8399999999992</v>
      </c>
    </row>
    <row r="29" spans="1:23">
      <c r="A29" s="2110">
        <v>10</v>
      </c>
      <c r="B29" s="2079"/>
      <c r="C29" s="2078" t="s">
        <v>1991</v>
      </c>
      <c r="D29" s="2079"/>
      <c r="E29" s="2079" t="s">
        <v>2739</v>
      </c>
      <c r="F29" s="2079"/>
      <c r="G29" s="2090">
        <v>1.2304806514657105E-2</v>
      </c>
      <c r="H29" s="2110"/>
      <c r="I29" s="2090">
        <v>0.98769519348534296</v>
      </c>
      <c r="J29" s="2090"/>
      <c r="K29" s="2090">
        <v>1</v>
      </c>
      <c r="L29" s="2079"/>
      <c r="M29" s="2091" t="s">
        <v>347</v>
      </c>
      <c r="N29" s="2079"/>
      <c r="O29" s="2092">
        <v>915.76</v>
      </c>
      <c r="P29" s="2089"/>
      <c r="Q29" s="2089">
        <v>73507.19</v>
      </c>
      <c r="R29" s="2089"/>
      <c r="S29" s="2092">
        <v>74422.95</v>
      </c>
      <c r="T29" s="2089"/>
      <c r="U29" s="2089">
        <v>0</v>
      </c>
      <c r="V29" s="2089"/>
      <c r="W29" s="2089">
        <v>915.76</v>
      </c>
    </row>
    <row r="30" spans="1:23">
      <c r="A30" s="2110">
        <v>11</v>
      </c>
      <c r="B30" s="2079"/>
      <c r="C30" s="2078" t="s">
        <v>2056</v>
      </c>
      <c r="D30" s="2079"/>
      <c r="E30" s="2079" t="s">
        <v>2740</v>
      </c>
      <c r="F30" s="2079"/>
      <c r="G30" s="2090">
        <v>1.2304916513745474E-2</v>
      </c>
      <c r="H30" s="2110"/>
      <c r="I30" s="2090">
        <v>0.98769508348625445</v>
      </c>
      <c r="J30" s="2090"/>
      <c r="K30" s="2090">
        <v>1</v>
      </c>
      <c r="L30" s="2079"/>
      <c r="M30" s="2091" t="s">
        <v>347</v>
      </c>
      <c r="N30" s="2079"/>
      <c r="O30" s="2092">
        <v>663.44</v>
      </c>
      <c r="P30" s="2089"/>
      <c r="Q30" s="2089">
        <v>53253.22</v>
      </c>
      <c r="R30" s="2089"/>
      <c r="S30" s="2092">
        <v>53916.66</v>
      </c>
      <c r="T30" s="2089"/>
      <c r="U30" s="2089">
        <v>0</v>
      </c>
      <c r="V30" s="2089"/>
      <c r="W30" s="2089">
        <v>663.44</v>
      </c>
    </row>
    <row r="31" spans="1:23">
      <c r="A31" s="2110">
        <v>12</v>
      </c>
      <c r="B31" s="2079"/>
      <c r="C31" s="2078" t="s">
        <v>2063</v>
      </c>
      <c r="D31" s="2079"/>
      <c r="E31" s="2079" t="s">
        <v>1248</v>
      </c>
      <c r="F31" s="2079"/>
      <c r="G31" s="2090">
        <v>0</v>
      </c>
      <c r="H31" s="2110"/>
      <c r="I31" s="2090">
        <v>0</v>
      </c>
      <c r="J31" s="2090"/>
      <c r="K31" s="2090">
        <v>0</v>
      </c>
      <c r="L31" s="2079"/>
      <c r="M31" s="2091" t="s">
        <v>347</v>
      </c>
      <c r="N31" s="2079"/>
      <c r="O31" s="2092">
        <v>0</v>
      </c>
      <c r="P31" s="2089"/>
      <c r="Q31" s="2089">
        <v>0</v>
      </c>
      <c r="R31" s="2089"/>
      <c r="S31" s="2092">
        <v>0</v>
      </c>
      <c r="T31" s="2089"/>
      <c r="U31" s="2089">
        <v>0</v>
      </c>
      <c r="V31" s="2089"/>
      <c r="W31" s="2089">
        <v>0</v>
      </c>
    </row>
    <row r="32" spans="1:23">
      <c r="A32" s="2110">
        <v>13</v>
      </c>
      <c r="B32" s="2079"/>
      <c r="C32" s="2078" t="s">
        <v>1981</v>
      </c>
      <c r="D32" s="2079"/>
      <c r="E32" s="2079" t="s">
        <v>1250</v>
      </c>
      <c r="F32" s="2079"/>
      <c r="G32" s="2090">
        <v>1.2304855808733643E-2</v>
      </c>
      <c r="H32" s="2110"/>
      <c r="I32" s="2090">
        <v>0.98769514419126636</v>
      </c>
      <c r="J32" s="2090"/>
      <c r="K32" s="2090">
        <v>1</v>
      </c>
      <c r="L32" s="2079"/>
      <c r="M32" s="2091" t="s">
        <v>347</v>
      </c>
      <c r="N32" s="2079"/>
      <c r="O32" s="2092">
        <v>1387.6399999999999</v>
      </c>
      <c r="P32" s="2089"/>
      <c r="Q32" s="2089">
        <v>111384.09999999999</v>
      </c>
      <c r="R32" s="2089"/>
      <c r="S32" s="2092">
        <v>112771.73999999999</v>
      </c>
      <c r="T32" s="2089"/>
      <c r="U32" s="2089">
        <v>0</v>
      </c>
      <c r="V32" s="2089"/>
      <c r="W32" s="2089">
        <v>1387.6399999999999</v>
      </c>
    </row>
    <row r="33" spans="1:23">
      <c r="A33" s="2110">
        <v>14</v>
      </c>
      <c r="B33" s="2079"/>
      <c r="C33" s="2078" t="s">
        <v>2741</v>
      </c>
      <c r="D33" s="2079"/>
      <c r="E33" s="2079" t="s">
        <v>2742</v>
      </c>
      <c r="F33" s="2079"/>
      <c r="G33" s="2090">
        <v>1.2307692307692308E-2</v>
      </c>
      <c r="H33" s="2110"/>
      <c r="I33" s="2090">
        <v>0.98769230769230776</v>
      </c>
      <c r="J33" s="2090"/>
      <c r="K33" s="2090">
        <v>1</v>
      </c>
      <c r="L33" s="2079"/>
      <c r="M33" s="2091" t="s">
        <v>347</v>
      </c>
      <c r="N33" s="2079"/>
      <c r="O33" s="2092">
        <v>21.6</v>
      </c>
      <c r="P33" s="2089"/>
      <c r="Q33" s="2089">
        <v>1733.4</v>
      </c>
      <c r="R33" s="2089"/>
      <c r="S33" s="2092">
        <v>1755</v>
      </c>
      <c r="T33" s="2089"/>
      <c r="U33" s="2089">
        <v>0</v>
      </c>
      <c r="V33" s="2089"/>
      <c r="W33" s="2089">
        <v>21.6</v>
      </c>
    </row>
    <row r="34" spans="1:23">
      <c r="A34" s="2110">
        <v>15</v>
      </c>
      <c r="B34" s="2079"/>
      <c r="C34" s="2078" t="s">
        <v>2076</v>
      </c>
      <c r="D34" s="2079"/>
      <c r="E34" s="2079" t="s">
        <v>2519</v>
      </c>
      <c r="F34" s="2079"/>
      <c r="G34" s="2090">
        <v>1.2300967842647519E-2</v>
      </c>
      <c r="H34" s="2110"/>
      <c r="I34" s="2090">
        <v>0.98769903215735244</v>
      </c>
      <c r="J34" s="2090"/>
      <c r="K34" s="2090">
        <v>1</v>
      </c>
      <c r="L34" s="2079"/>
      <c r="M34" s="2091" t="s">
        <v>347</v>
      </c>
      <c r="N34" s="2079"/>
      <c r="O34" s="2092">
        <v>3.9400000000000004</v>
      </c>
      <c r="P34" s="2089"/>
      <c r="Q34" s="2089">
        <v>316.36</v>
      </c>
      <c r="R34" s="2089"/>
      <c r="S34" s="2092">
        <v>320.3</v>
      </c>
      <c r="T34" s="2089"/>
      <c r="U34" s="2089">
        <v>0</v>
      </c>
      <c r="V34" s="2089"/>
      <c r="W34" s="2089">
        <v>3.9400000000000004</v>
      </c>
    </row>
    <row r="35" spans="1:23">
      <c r="A35" s="2110">
        <v>16</v>
      </c>
      <c r="B35" s="2079"/>
      <c r="C35" s="2078" t="s">
        <v>2743</v>
      </c>
      <c r="D35" s="2079"/>
      <c r="E35" s="2079" t="s">
        <v>2523</v>
      </c>
      <c r="F35" s="2079"/>
      <c r="G35" s="2090">
        <v>1.2304927379793027E-2</v>
      </c>
      <c r="H35" s="2110"/>
      <c r="I35" s="2090">
        <v>0.98769507262020695</v>
      </c>
      <c r="J35" s="2090"/>
      <c r="K35" s="2090">
        <v>1</v>
      </c>
      <c r="L35" s="2079"/>
      <c r="M35" s="2091" t="s">
        <v>347</v>
      </c>
      <c r="N35" s="2079"/>
      <c r="O35" s="2092">
        <v>2313.64</v>
      </c>
      <c r="P35" s="2089"/>
      <c r="Q35" s="2089">
        <v>185711.84999999998</v>
      </c>
      <c r="R35" s="2089"/>
      <c r="S35" s="2092">
        <v>188025.49</v>
      </c>
      <c r="T35" s="2089"/>
      <c r="U35" s="2089">
        <v>0</v>
      </c>
      <c r="V35" s="2089"/>
      <c r="W35" s="2089">
        <v>2313.64</v>
      </c>
    </row>
    <row r="36" spans="1:23">
      <c r="A36" s="2110">
        <v>17</v>
      </c>
      <c r="B36" s="2079"/>
      <c r="C36" s="2078" t="s">
        <v>2015</v>
      </c>
      <c r="D36" s="2079"/>
      <c r="E36" s="2079" t="s">
        <v>2744</v>
      </c>
      <c r="F36" s="2079"/>
      <c r="G36" s="2090">
        <v>1.2304742536070825E-2</v>
      </c>
      <c r="H36" s="2110"/>
      <c r="I36" s="2090">
        <v>0.98769525746392905</v>
      </c>
      <c r="J36" s="2090"/>
      <c r="K36" s="2090">
        <v>1</v>
      </c>
      <c r="L36" s="2079"/>
      <c r="M36" s="2091" t="s">
        <v>347</v>
      </c>
      <c r="N36" s="2079"/>
      <c r="O36" s="2092">
        <v>283.39999999999998</v>
      </c>
      <c r="P36" s="2089"/>
      <c r="Q36" s="2089">
        <v>22748.37</v>
      </c>
      <c r="R36" s="2089"/>
      <c r="S36" s="2092">
        <v>23031.77</v>
      </c>
      <c r="T36" s="2089"/>
      <c r="U36" s="2089">
        <v>0</v>
      </c>
      <c r="V36" s="2089"/>
      <c r="W36" s="2089">
        <v>283.39999999999998</v>
      </c>
    </row>
    <row r="37" spans="1:23">
      <c r="A37" s="2110">
        <v>18</v>
      </c>
      <c r="B37" s="2079"/>
      <c r="C37" s="2078" t="s">
        <v>1984</v>
      </c>
      <c r="D37" s="2079"/>
      <c r="E37" s="2079" t="s">
        <v>1253</v>
      </c>
      <c r="F37" s="2079"/>
      <c r="G37" s="2090">
        <v>1.2306051347485211E-2</v>
      </c>
      <c r="H37" s="2110"/>
      <c r="I37" s="2090">
        <v>0.98769394865251481</v>
      </c>
      <c r="J37" s="2090"/>
      <c r="K37" s="2090">
        <v>1</v>
      </c>
      <c r="L37" s="2079"/>
      <c r="M37" s="2091" t="s">
        <v>347</v>
      </c>
      <c r="N37" s="2079"/>
      <c r="O37" s="2092">
        <v>24.69</v>
      </c>
      <c r="P37" s="2089"/>
      <c r="Q37" s="2089">
        <v>1981.6399999999999</v>
      </c>
      <c r="R37" s="2089"/>
      <c r="S37" s="2092">
        <v>2006.33</v>
      </c>
      <c r="T37" s="2089"/>
      <c r="U37" s="2089">
        <v>0</v>
      </c>
      <c r="V37" s="2089"/>
      <c r="W37" s="2089">
        <v>24.69</v>
      </c>
    </row>
    <row r="38" spans="1:23">
      <c r="A38" s="2110">
        <v>19</v>
      </c>
      <c r="B38" s="2079"/>
      <c r="C38" s="2078" t="s">
        <v>1998</v>
      </c>
      <c r="D38" s="2079"/>
      <c r="E38" s="2079" t="s">
        <v>2535</v>
      </c>
      <c r="F38" s="2079"/>
      <c r="G38" s="2090">
        <v>1.2305172529410624E-2</v>
      </c>
      <c r="H38" s="2110"/>
      <c r="I38" s="2090">
        <v>0.98769482747058945</v>
      </c>
      <c r="J38" s="2090"/>
      <c r="K38" s="2090">
        <v>1</v>
      </c>
      <c r="L38" s="2079"/>
      <c r="M38" s="2091" t="s">
        <v>347</v>
      </c>
      <c r="N38" s="2079"/>
      <c r="O38" s="2092">
        <v>2014.8300000000002</v>
      </c>
      <c r="P38" s="2089"/>
      <c r="Q38" s="2089">
        <v>161723.63</v>
      </c>
      <c r="R38" s="2089"/>
      <c r="S38" s="2092">
        <v>163738.46</v>
      </c>
      <c r="T38" s="2089"/>
      <c r="U38" s="2089">
        <v>0</v>
      </c>
      <c r="V38" s="2089"/>
      <c r="W38" s="2089">
        <v>2014.8300000000002</v>
      </c>
    </row>
    <row r="39" spans="1:23" ht="12.75" thickBot="1">
      <c r="A39" s="2110">
        <v>20</v>
      </c>
      <c r="B39" s="2079"/>
      <c r="C39" s="2078"/>
      <c r="D39" s="2079"/>
      <c r="E39" s="2079"/>
      <c r="F39" s="2079"/>
      <c r="G39" s="2090"/>
      <c r="H39" s="2110"/>
      <c r="I39" s="2110"/>
      <c r="J39" s="2110"/>
      <c r="K39" s="2110"/>
      <c r="L39" s="2079"/>
      <c r="M39" s="2079"/>
      <c r="N39" s="2079"/>
      <c r="O39" s="2093">
        <v>21952.949999999997</v>
      </c>
      <c r="P39" s="2089"/>
      <c r="Q39" s="2093">
        <v>1770883.9900000002</v>
      </c>
      <c r="R39" s="2089"/>
      <c r="S39" s="2093">
        <v>1792836.9399999997</v>
      </c>
      <c r="T39" s="2089"/>
      <c r="U39" s="2094">
        <v>0</v>
      </c>
      <c r="V39" s="2089"/>
      <c r="W39" s="2094">
        <v>21952.949999999997</v>
      </c>
    </row>
    <row r="40" spans="1:23" ht="12.75" thickTop="1">
      <c r="A40" s="2110">
        <v>21</v>
      </c>
      <c r="B40" s="2079"/>
      <c r="C40" s="2078"/>
      <c r="D40" s="2079"/>
      <c r="E40" s="2079"/>
      <c r="F40" s="2079"/>
      <c r="G40" s="2090"/>
      <c r="H40" s="2110"/>
      <c r="I40" s="2110"/>
      <c r="J40" s="2110"/>
      <c r="K40" s="2110"/>
      <c r="L40" s="2079"/>
      <c r="M40" s="2079"/>
      <c r="N40" s="2079"/>
      <c r="O40" s="2089"/>
      <c r="P40" s="2089"/>
      <c r="Q40" s="2089"/>
      <c r="R40" s="2089"/>
      <c r="S40" s="2089"/>
      <c r="T40" s="2089"/>
      <c r="U40" s="2089"/>
      <c r="V40" s="2089"/>
      <c r="W40" s="2089"/>
    </row>
    <row r="41" spans="1:23">
      <c r="A41" s="2110">
        <v>22</v>
      </c>
      <c r="B41" s="2088" t="s">
        <v>2745</v>
      </c>
      <c r="C41" s="2078"/>
      <c r="D41" s="2079"/>
      <c r="E41" s="2079"/>
      <c r="F41" s="2079"/>
      <c r="G41" s="2090"/>
      <c r="H41" s="2110"/>
      <c r="I41" s="2090"/>
      <c r="J41" s="2090"/>
      <c r="K41" s="2090"/>
      <c r="L41" s="2079"/>
      <c r="M41" s="2079"/>
      <c r="N41" s="2079"/>
      <c r="O41" s="2089"/>
      <c r="P41" s="2089"/>
      <c r="Q41" s="2089"/>
      <c r="R41" s="2089"/>
      <c r="S41" s="2089"/>
      <c r="T41" s="2089"/>
      <c r="U41" s="2089"/>
      <c r="V41" s="2089"/>
      <c r="W41" s="2089"/>
    </row>
    <row r="42" spans="1:23">
      <c r="A42" s="2110">
        <v>23</v>
      </c>
      <c r="B42" s="2079"/>
      <c r="C42" s="2078"/>
      <c r="D42" s="2079"/>
      <c r="E42" s="2079"/>
      <c r="F42" s="2079"/>
      <c r="G42" s="2090"/>
      <c r="H42" s="2110"/>
      <c r="I42" s="2090"/>
      <c r="J42" s="2090"/>
      <c r="K42" s="2090"/>
      <c r="L42" s="2079"/>
      <c r="M42" s="2079"/>
      <c r="N42" s="2079"/>
      <c r="O42" s="2089"/>
      <c r="P42" s="2089"/>
      <c r="Q42" s="2089"/>
      <c r="R42" s="2089"/>
      <c r="S42" s="2089"/>
      <c r="T42" s="2089"/>
      <c r="U42" s="2089"/>
      <c r="V42" s="2089"/>
      <c r="W42" s="2089"/>
    </row>
    <row r="43" spans="1:23">
      <c r="A43" s="2110">
        <v>24</v>
      </c>
      <c r="B43" s="2079"/>
      <c r="C43" s="2078">
        <v>403</v>
      </c>
      <c r="D43" s="2079"/>
      <c r="E43" s="2079" t="s">
        <v>2746</v>
      </c>
      <c r="F43" s="2079"/>
      <c r="G43" s="2090">
        <v>4.2906188075012286E-2</v>
      </c>
      <c r="H43" s="2110"/>
      <c r="I43" s="2090">
        <v>0.95709381192498766</v>
      </c>
      <c r="J43" s="2090"/>
      <c r="K43" s="2090">
        <v>1</v>
      </c>
      <c r="L43" s="2079"/>
      <c r="M43" s="2091" t="s">
        <v>347</v>
      </c>
      <c r="N43" s="2079"/>
      <c r="O43" s="2092">
        <v>1049.92</v>
      </c>
      <c r="P43" s="2092"/>
      <c r="Q43" s="2092">
        <v>23420.209999999992</v>
      </c>
      <c r="R43" s="2092"/>
      <c r="S43" s="2092">
        <v>24470.129999999994</v>
      </c>
      <c r="T43" s="2092"/>
      <c r="U43" s="994">
        <v>0</v>
      </c>
      <c r="V43" s="994"/>
      <c r="W43" s="994">
        <v>1049.92</v>
      </c>
    </row>
    <row r="44" spans="1:23">
      <c r="A44" s="2110">
        <v>25</v>
      </c>
      <c r="B44" s="2079"/>
      <c r="C44" s="2078">
        <v>408</v>
      </c>
      <c r="D44" s="2079"/>
      <c r="E44" s="2079" t="s">
        <v>25</v>
      </c>
      <c r="F44" s="2079"/>
      <c r="G44" s="2090">
        <v>5.2321650852891921E-2</v>
      </c>
      <c r="H44" s="2110"/>
      <c r="I44" s="2090">
        <v>0.94767834914710802</v>
      </c>
      <c r="J44" s="2090"/>
      <c r="K44" s="2090">
        <v>1</v>
      </c>
      <c r="L44" s="2079"/>
      <c r="M44" s="2091" t="s">
        <v>347</v>
      </c>
      <c r="N44" s="2079"/>
      <c r="O44" s="2092">
        <v>1223.5800000000002</v>
      </c>
      <c r="P44" s="2089"/>
      <c r="Q44" s="2092">
        <v>22162.149999999998</v>
      </c>
      <c r="R44" s="2089"/>
      <c r="S44" s="2092">
        <v>23385.73</v>
      </c>
      <c r="T44" s="2089"/>
      <c r="U44" s="994">
        <v>0</v>
      </c>
      <c r="V44" s="994"/>
      <c r="W44" s="994">
        <v>1223.5800000000002</v>
      </c>
    </row>
    <row r="45" spans="1:23">
      <c r="A45" s="2110">
        <v>26</v>
      </c>
      <c r="B45" s="2079"/>
      <c r="C45" s="2078">
        <v>410</v>
      </c>
      <c r="D45" s="2079"/>
      <c r="E45" s="2079" t="s">
        <v>2734</v>
      </c>
      <c r="F45" s="2079"/>
      <c r="G45" s="2090">
        <v>0</v>
      </c>
      <c r="H45" s="2110"/>
      <c r="I45" s="2090">
        <v>0</v>
      </c>
      <c r="J45" s="2090"/>
      <c r="K45" s="2090">
        <v>0</v>
      </c>
      <c r="L45" s="2079"/>
      <c r="M45" s="2091" t="s">
        <v>347</v>
      </c>
      <c r="N45" s="2079"/>
      <c r="O45" s="2092">
        <v>0</v>
      </c>
      <c r="P45" s="2089"/>
      <c r="Q45" s="2092">
        <v>0</v>
      </c>
      <c r="R45" s="2089"/>
      <c r="S45" s="2092">
        <v>0</v>
      </c>
      <c r="T45" s="2089"/>
      <c r="U45" s="994">
        <v>0</v>
      </c>
      <c r="V45" s="994"/>
      <c r="W45" s="994">
        <v>0</v>
      </c>
    </row>
    <row r="46" spans="1:23">
      <c r="A46" s="2110">
        <v>27</v>
      </c>
      <c r="B46" s="2079"/>
      <c r="C46" s="2078" t="s">
        <v>2747</v>
      </c>
      <c r="D46" s="2079"/>
      <c r="E46" s="2079" t="s">
        <v>25</v>
      </c>
      <c r="F46" s="2079"/>
      <c r="G46" s="2090">
        <v>5.2195555555555558E-2</v>
      </c>
      <c r="H46" s="2110"/>
      <c r="I46" s="2090">
        <v>0.94780444444444445</v>
      </c>
      <c r="J46" s="2090"/>
      <c r="K46" s="2090">
        <v>1</v>
      </c>
      <c r="L46" s="2079"/>
      <c r="M46" s="2091" t="s">
        <v>347</v>
      </c>
      <c r="N46" s="2079"/>
      <c r="O46" s="2092">
        <v>-234.88</v>
      </c>
      <c r="P46" s="2089"/>
      <c r="Q46" s="2092">
        <v>-4265.12</v>
      </c>
      <c r="R46" s="2089"/>
      <c r="S46" s="2092">
        <v>-4500</v>
      </c>
      <c r="T46" s="2089"/>
      <c r="U46" s="994">
        <v>0</v>
      </c>
      <c r="V46" s="994"/>
      <c r="W46" s="994">
        <v>-234.88</v>
      </c>
    </row>
    <row r="47" spans="1:23">
      <c r="A47" s="2110">
        <v>28</v>
      </c>
      <c r="B47" s="2079"/>
      <c r="C47" s="2078">
        <v>427</v>
      </c>
      <c r="D47" s="2079"/>
      <c r="E47" s="2079" t="s">
        <v>2619</v>
      </c>
      <c r="F47" s="2079"/>
      <c r="G47" s="2090">
        <v>5.3191489361702128E-2</v>
      </c>
      <c r="H47" s="2110"/>
      <c r="I47" s="2090">
        <v>0.94680851063829785</v>
      </c>
      <c r="J47" s="2090"/>
      <c r="K47" s="2090">
        <v>1</v>
      </c>
      <c r="L47" s="2079"/>
      <c r="M47" s="2091" t="s">
        <v>347</v>
      </c>
      <c r="N47" s="2079"/>
      <c r="O47" s="2092">
        <v>0.25</v>
      </c>
      <c r="P47" s="2089"/>
      <c r="Q47" s="2092">
        <v>4.45</v>
      </c>
      <c r="R47" s="2089"/>
      <c r="S47" s="2092">
        <v>4.7</v>
      </c>
      <c r="T47" s="2089"/>
      <c r="U47" s="994">
        <v>0</v>
      </c>
      <c r="V47" s="994"/>
      <c r="W47" s="994">
        <v>0.25</v>
      </c>
    </row>
    <row r="48" spans="1:23">
      <c r="A48" s="2110">
        <v>29</v>
      </c>
      <c r="B48" s="2079"/>
      <c r="C48" s="2078" t="s">
        <v>2736</v>
      </c>
      <c r="D48" s="2079"/>
      <c r="E48" s="2079" t="s">
        <v>2737</v>
      </c>
      <c r="F48" s="2079"/>
      <c r="G48" s="2090">
        <v>5.2861349557195944E-2</v>
      </c>
      <c r="H48" s="2110"/>
      <c r="I48" s="2090">
        <v>0.94713865044280399</v>
      </c>
      <c r="J48" s="2090"/>
      <c r="K48" s="2090">
        <v>1</v>
      </c>
      <c r="L48" s="2079"/>
      <c r="M48" s="2091" t="s">
        <v>347</v>
      </c>
      <c r="N48" s="2091"/>
      <c r="O48" s="2092">
        <v>2545.69</v>
      </c>
      <c r="P48" s="2089"/>
      <c r="Q48" s="2092">
        <v>45612.18</v>
      </c>
      <c r="R48" s="2089"/>
      <c r="S48" s="2092">
        <v>48157.87</v>
      </c>
      <c r="T48" s="2089"/>
      <c r="U48" s="994">
        <v>0</v>
      </c>
      <c r="V48" s="994"/>
      <c r="W48" s="994">
        <v>2545.69</v>
      </c>
    </row>
    <row r="49" spans="1:23">
      <c r="A49" s="2110">
        <v>30</v>
      </c>
      <c r="B49" s="2079"/>
      <c r="C49" s="2078" t="s">
        <v>2002</v>
      </c>
      <c r="D49" s="2079"/>
      <c r="E49" s="2079" t="s">
        <v>2738</v>
      </c>
      <c r="F49" s="2079"/>
      <c r="G49" s="2090">
        <v>5.2196721311475409E-2</v>
      </c>
      <c r="H49" s="2110"/>
      <c r="I49" s="2090">
        <v>0.94780327868852454</v>
      </c>
      <c r="J49" s="2090"/>
      <c r="K49" s="2090">
        <v>1</v>
      </c>
      <c r="L49" s="2079"/>
      <c r="M49" s="2091" t="s">
        <v>347</v>
      </c>
      <c r="N49" s="2079"/>
      <c r="O49" s="2092">
        <v>15.92</v>
      </c>
      <c r="P49" s="2089"/>
      <c r="Q49" s="2092">
        <v>289.08</v>
      </c>
      <c r="R49" s="2089"/>
      <c r="S49" s="2092">
        <v>305</v>
      </c>
      <c r="T49" s="2089"/>
      <c r="U49" s="994">
        <v>0</v>
      </c>
      <c r="V49" s="994"/>
      <c r="W49" s="994">
        <v>15.92</v>
      </c>
    </row>
    <row r="50" spans="1:23">
      <c r="A50" s="2110">
        <v>31</v>
      </c>
      <c r="B50" s="2079"/>
      <c r="C50" s="2078" t="s">
        <v>1991</v>
      </c>
      <c r="D50" s="2079"/>
      <c r="E50" s="2079" t="s">
        <v>2739</v>
      </c>
      <c r="F50" s="2079"/>
      <c r="G50" s="2090">
        <v>4.3574061489672779E-2</v>
      </c>
      <c r="H50" s="2110"/>
      <c r="I50" s="2090">
        <v>0.9564259385103272</v>
      </c>
      <c r="J50" s="2090"/>
      <c r="K50" s="2090">
        <v>1</v>
      </c>
      <c r="L50" s="2079"/>
      <c r="M50" s="2091" t="s">
        <v>347</v>
      </c>
      <c r="N50" s="2079"/>
      <c r="O50" s="2092">
        <v>21.16</v>
      </c>
      <c r="P50" s="2089"/>
      <c r="Q50" s="2092">
        <v>464.45</v>
      </c>
      <c r="R50" s="2089"/>
      <c r="S50" s="2092">
        <v>485.61</v>
      </c>
      <c r="T50" s="2089"/>
      <c r="U50" s="994">
        <v>0</v>
      </c>
      <c r="V50" s="994"/>
      <c r="W50" s="994">
        <v>21.16</v>
      </c>
    </row>
    <row r="51" spans="1:23">
      <c r="A51" s="2110">
        <v>32</v>
      </c>
      <c r="B51" s="2079"/>
      <c r="C51" s="2078" t="s">
        <v>2052</v>
      </c>
      <c r="D51" s="2079"/>
      <c r="E51" s="2079" t="s">
        <v>2748</v>
      </c>
      <c r="F51" s="2079"/>
      <c r="G51" s="2090">
        <v>0</v>
      </c>
      <c r="H51" s="2110"/>
      <c r="I51" s="2090">
        <v>0</v>
      </c>
      <c r="J51" s="2090"/>
      <c r="K51" s="2090">
        <v>0</v>
      </c>
      <c r="L51" s="2079"/>
      <c r="M51" s="2091" t="s">
        <v>347</v>
      </c>
      <c r="N51" s="2079"/>
      <c r="O51" s="2092">
        <v>0</v>
      </c>
      <c r="P51" s="2089"/>
      <c r="Q51" s="2092">
        <v>0</v>
      </c>
      <c r="R51" s="2089"/>
      <c r="S51" s="2092">
        <v>0</v>
      </c>
      <c r="T51" s="2089"/>
      <c r="U51" s="994">
        <v>0</v>
      </c>
      <c r="V51" s="994"/>
      <c r="W51" s="994">
        <v>0</v>
      </c>
    </row>
    <row r="52" spans="1:23">
      <c r="A52" s="2110">
        <v>33</v>
      </c>
      <c r="B52" s="2079"/>
      <c r="C52" s="2078" t="s">
        <v>2063</v>
      </c>
      <c r="D52" s="2079"/>
      <c r="E52" s="2079" t="s">
        <v>1248</v>
      </c>
      <c r="F52" s="2079"/>
      <c r="G52" s="2090">
        <v>0</v>
      </c>
      <c r="H52" s="2110"/>
      <c r="I52" s="2090">
        <v>0</v>
      </c>
      <c r="J52" s="2090"/>
      <c r="K52" s="2090">
        <v>0</v>
      </c>
      <c r="L52" s="2079"/>
      <c r="M52" s="2091" t="s">
        <v>347</v>
      </c>
      <c r="N52" s="2079"/>
      <c r="O52" s="2092">
        <v>0</v>
      </c>
      <c r="P52" s="2089"/>
      <c r="Q52" s="2092">
        <v>0</v>
      </c>
      <c r="R52" s="2089"/>
      <c r="S52" s="2092">
        <v>0</v>
      </c>
      <c r="T52" s="2089"/>
      <c r="U52" s="994">
        <v>0</v>
      </c>
      <c r="V52" s="994"/>
      <c r="W52" s="994">
        <v>0</v>
      </c>
    </row>
    <row r="53" spans="1:23">
      <c r="A53" s="2110">
        <v>34</v>
      </c>
      <c r="B53" s="2079"/>
      <c r="C53" s="2078">
        <v>635</v>
      </c>
      <c r="D53" s="2079"/>
      <c r="E53" s="2079" t="s">
        <v>2749</v>
      </c>
      <c r="F53" s="2079"/>
      <c r="G53" s="2090">
        <v>0</v>
      </c>
      <c r="H53" s="2110"/>
      <c r="I53" s="2090">
        <v>0</v>
      </c>
      <c r="J53" s="2090"/>
      <c r="K53" s="2090">
        <v>0</v>
      </c>
      <c r="L53" s="2079"/>
      <c r="M53" s="2091" t="s">
        <v>347</v>
      </c>
      <c r="N53" s="2079"/>
      <c r="O53" s="2092">
        <v>0</v>
      </c>
      <c r="P53" s="2089"/>
      <c r="Q53" s="2092">
        <v>0</v>
      </c>
      <c r="R53" s="2089"/>
      <c r="S53" s="2092">
        <v>0</v>
      </c>
      <c r="T53" s="2089"/>
      <c r="U53" s="994">
        <v>0</v>
      </c>
      <c r="V53" s="994"/>
      <c r="W53" s="994">
        <v>0</v>
      </c>
    </row>
    <row r="54" spans="1:23">
      <c r="A54" s="2110">
        <v>35</v>
      </c>
      <c r="B54" s="2079"/>
      <c r="C54" s="2078" t="s">
        <v>1981</v>
      </c>
      <c r="D54" s="2079"/>
      <c r="E54" s="2079" t="s">
        <v>1250</v>
      </c>
      <c r="F54" s="2079"/>
      <c r="G54" s="2090">
        <v>5.2197000405350635E-2</v>
      </c>
      <c r="H54" s="2110"/>
      <c r="I54" s="2090">
        <v>0.94780299959464942</v>
      </c>
      <c r="J54" s="2090"/>
      <c r="K54" s="2090">
        <v>1</v>
      </c>
      <c r="L54" s="2079"/>
      <c r="M54" s="2091" t="s">
        <v>347</v>
      </c>
      <c r="N54" s="2079"/>
      <c r="O54" s="2092">
        <v>128.77000000000001</v>
      </c>
      <c r="P54" s="2089"/>
      <c r="Q54" s="2092">
        <v>2338.23</v>
      </c>
      <c r="R54" s="2089"/>
      <c r="S54" s="2092">
        <v>2467</v>
      </c>
      <c r="T54" s="2089"/>
      <c r="U54" s="994">
        <v>0</v>
      </c>
      <c r="V54" s="994"/>
      <c r="W54" s="994">
        <v>128.77000000000001</v>
      </c>
    </row>
    <row r="55" spans="1:23">
      <c r="A55" s="2110">
        <v>36</v>
      </c>
      <c r="B55" s="2079"/>
      <c r="C55" s="2078" t="s">
        <v>2074</v>
      </c>
      <c r="D55" s="2079"/>
      <c r="E55" s="2079" t="s">
        <v>2517</v>
      </c>
      <c r="F55" s="2079"/>
      <c r="G55" s="2090">
        <v>0</v>
      </c>
      <c r="H55" s="2110"/>
      <c r="I55" s="2090">
        <v>0</v>
      </c>
      <c r="J55" s="2090"/>
      <c r="K55" s="2090">
        <v>0</v>
      </c>
      <c r="L55" s="2079"/>
      <c r="M55" s="2091" t="s">
        <v>347</v>
      </c>
      <c r="N55" s="2079"/>
      <c r="O55" s="2092">
        <v>0</v>
      </c>
      <c r="P55" s="2089"/>
      <c r="Q55" s="2092">
        <v>0</v>
      </c>
      <c r="R55" s="2089"/>
      <c r="S55" s="2092">
        <v>0</v>
      </c>
      <c r="T55" s="2089"/>
      <c r="U55" s="994">
        <v>0</v>
      </c>
      <c r="V55" s="994"/>
      <c r="W55" s="994">
        <v>0</v>
      </c>
    </row>
    <row r="56" spans="1:23">
      <c r="A56" s="2110">
        <v>37</v>
      </c>
      <c r="B56" s="2079"/>
      <c r="C56" s="2078" t="s">
        <v>2076</v>
      </c>
      <c r="D56" s="2079"/>
      <c r="E56" s="2079" t="s">
        <v>1251</v>
      </c>
      <c r="F56" s="2079"/>
      <c r="G56" s="2090">
        <v>5.2195161273311065E-2</v>
      </c>
      <c r="H56" s="2110"/>
      <c r="I56" s="2090">
        <v>0.94780483872668886</v>
      </c>
      <c r="J56" s="2090"/>
      <c r="K56" s="2090">
        <v>1</v>
      </c>
      <c r="L56" s="2079"/>
      <c r="M56" s="2091" t="s">
        <v>347</v>
      </c>
      <c r="N56" s="2079"/>
      <c r="O56" s="2092">
        <v>1385.65</v>
      </c>
      <c r="P56" s="2089"/>
      <c r="Q56" s="2092">
        <v>25161.829999999998</v>
      </c>
      <c r="R56" s="2089"/>
      <c r="S56" s="2092">
        <v>26547.48</v>
      </c>
      <c r="T56" s="2089"/>
      <c r="U56" s="994">
        <v>0</v>
      </c>
      <c r="V56" s="994"/>
      <c r="W56" s="994">
        <v>1385.65</v>
      </c>
    </row>
    <row r="57" spans="1:23">
      <c r="A57" s="2110">
        <v>38</v>
      </c>
      <c r="B57" s="2079"/>
      <c r="C57" s="2078" t="s">
        <v>2071</v>
      </c>
      <c r="D57" s="2079"/>
      <c r="E57" s="2079" t="s">
        <v>2750</v>
      </c>
      <c r="F57" s="2079"/>
      <c r="G57" s="2090">
        <v>0</v>
      </c>
      <c r="H57" s="2110"/>
      <c r="I57" s="2090">
        <v>0</v>
      </c>
      <c r="J57" s="2090"/>
      <c r="K57" s="2090">
        <v>0</v>
      </c>
      <c r="L57" s="2079"/>
      <c r="M57" s="2091" t="s">
        <v>347</v>
      </c>
      <c r="N57" s="2079"/>
      <c r="O57" s="2092">
        <v>0</v>
      </c>
      <c r="P57" s="2089"/>
      <c r="Q57" s="2092">
        <v>0</v>
      </c>
      <c r="R57" s="2089"/>
      <c r="S57" s="2092">
        <v>0</v>
      </c>
      <c r="T57" s="2089"/>
      <c r="U57" s="994">
        <v>0</v>
      </c>
      <c r="V57" s="994"/>
      <c r="W57" s="994">
        <v>0</v>
      </c>
    </row>
    <row r="58" spans="1:23">
      <c r="A58" s="2110">
        <v>39</v>
      </c>
      <c r="B58" s="2079"/>
      <c r="C58" s="2078" t="s">
        <v>1998</v>
      </c>
      <c r="D58" s="2079"/>
      <c r="E58" s="2079" t="s">
        <v>2535</v>
      </c>
      <c r="F58" s="2079"/>
      <c r="G58" s="2090">
        <v>5.2427346133842041E-2</v>
      </c>
      <c r="H58" s="2110"/>
      <c r="I58" s="2090">
        <v>0.94757265386615797</v>
      </c>
      <c r="J58" s="2090"/>
      <c r="K58" s="2090">
        <v>1</v>
      </c>
      <c r="L58" s="2079"/>
      <c r="M58" s="2091" t="s">
        <v>347</v>
      </c>
      <c r="N58" s="2079"/>
      <c r="O58" s="2092">
        <v>1504.96</v>
      </c>
      <c r="P58" s="2089"/>
      <c r="Q58" s="2092">
        <v>27200.67</v>
      </c>
      <c r="R58" s="2089"/>
      <c r="S58" s="2092">
        <v>28705.629999999997</v>
      </c>
      <c r="T58" s="2089"/>
      <c r="U58" s="994">
        <v>0</v>
      </c>
      <c r="V58" s="994"/>
      <c r="W58" s="994">
        <v>1504.96</v>
      </c>
    </row>
    <row r="59" spans="1:23" ht="12.75" thickBot="1">
      <c r="A59" s="2110">
        <v>40</v>
      </c>
      <c r="B59" s="2079"/>
      <c r="C59" s="2078"/>
      <c r="D59" s="2079"/>
      <c r="E59" s="2079"/>
      <c r="F59" s="2079"/>
      <c r="G59" s="2110"/>
      <c r="H59" s="2110"/>
      <c r="I59" s="2110"/>
      <c r="J59" s="2110"/>
      <c r="K59" s="2090"/>
      <c r="L59" s="2079"/>
      <c r="M59" s="2079"/>
      <c r="N59" s="2079"/>
      <c r="O59" s="2145">
        <v>7641.0199999999995</v>
      </c>
      <c r="P59" s="2089"/>
      <c r="Q59" s="2145">
        <v>142388.12999999998</v>
      </c>
      <c r="R59" s="2089"/>
      <c r="S59" s="2146">
        <v>150029.15</v>
      </c>
      <c r="T59" s="2089"/>
      <c r="U59" s="2147">
        <v>0</v>
      </c>
      <c r="V59" s="2089"/>
      <c r="W59" s="2147">
        <v>7641.0199999999995</v>
      </c>
    </row>
    <row r="60" spans="1:23" ht="12.75" thickTop="1">
      <c r="A60" s="2110">
        <v>41</v>
      </c>
      <c r="B60" s="2079"/>
      <c r="C60" s="2078"/>
      <c r="D60" s="2079"/>
      <c r="E60" s="2079"/>
      <c r="F60" s="2079"/>
      <c r="G60" s="2110"/>
      <c r="H60" s="2110"/>
      <c r="I60" s="2110"/>
      <c r="J60" s="2110"/>
      <c r="K60" s="2110"/>
      <c r="L60" s="2079"/>
      <c r="M60" s="2079"/>
      <c r="N60" s="2079"/>
      <c r="O60" s="2079"/>
      <c r="P60" s="2079"/>
      <c r="Q60" s="2079"/>
      <c r="R60" s="2079"/>
      <c r="S60" s="2079"/>
      <c r="T60" s="2079"/>
      <c r="U60" s="2079"/>
      <c r="V60" s="2079"/>
      <c r="W60" s="2079"/>
    </row>
    <row r="61" spans="1:23">
      <c r="A61" s="2110">
        <v>42</v>
      </c>
      <c r="B61" s="2088" t="s">
        <v>2751</v>
      </c>
      <c r="C61" s="2078"/>
      <c r="D61" s="2079"/>
      <c r="E61" s="2079"/>
      <c r="F61" s="2079"/>
      <c r="G61" s="2090"/>
      <c r="H61" s="2110"/>
      <c r="I61" s="2090"/>
      <c r="J61" s="2090"/>
      <c r="K61" s="2090"/>
      <c r="L61" s="2079"/>
      <c r="M61" s="2079"/>
      <c r="N61" s="2079"/>
      <c r="O61" s="2089"/>
      <c r="P61" s="2089"/>
      <c r="Q61" s="2089"/>
      <c r="R61" s="2089"/>
      <c r="S61" s="2089"/>
      <c r="T61" s="2089"/>
      <c r="U61" s="2089"/>
      <c r="V61" s="2089"/>
      <c r="W61" s="2089"/>
    </row>
    <row r="62" spans="1:23">
      <c r="A62" s="2110">
        <v>43</v>
      </c>
      <c r="B62" s="2079"/>
      <c r="C62" s="2078"/>
      <c r="D62" s="2079"/>
      <c r="E62" s="2079"/>
      <c r="F62" s="2079"/>
      <c r="G62" s="2090"/>
      <c r="H62" s="2110"/>
      <c r="I62" s="2090"/>
      <c r="J62" s="2090"/>
      <c r="K62" s="2090"/>
      <c r="L62" s="2079"/>
      <c r="M62" s="2079"/>
      <c r="N62" s="2079"/>
      <c r="O62" s="2089"/>
      <c r="P62" s="2089"/>
      <c r="Q62" s="2089"/>
      <c r="R62" s="2089"/>
      <c r="S62" s="2089"/>
      <c r="T62" s="2089"/>
      <c r="U62" s="2089"/>
      <c r="V62" s="2089"/>
      <c r="W62" s="2089"/>
    </row>
    <row r="63" spans="1:23">
      <c r="A63" s="2110">
        <v>44</v>
      </c>
      <c r="B63" s="2079"/>
      <c r="C63" s="2078">
        <v>427</v>
      </c>
      <c r="D63" s="2079"/>
      <c r="E63" s="2079" t="s">
        <v>2619</v>
      </c>
      <c r="F63" s="2079"/>
      <c r="G63" s="2090">
        <v>0</v>
      </c>
      <c r="H63" s="2110"/>
      <c r="I63" s="2090">
        <v>0</v>
      </c>
      <c r="J63" s="2090"/>
      <c r="K63" s="2090">
        <v>0</v>
      </c>
      <c r="L63" s="2079"/>
      <c r="M63" s="2091" t="s">
        <v>2752</v>
      </c>
      <c r="N63" s="2079"/>
      <c r="O63" s="2092">
        <v>0</v>
      </c>
      <c r="P63" s="2092"/>
      <c r="Q63" s="2092">
        <v>0</v>
      </c>
      <c r="R63" s="2092"/>
      <c r="S63" s="2092">
        <v>0</v>
      </c>
      <c r="T63" s="2092"/>
      <c r="U63" s="994">
        <v>0</v>
      </c>
      <c r="V63" s="994"/>
      <c r="W63" s="994">
        <v>0</v>
      </c>
    </row>
    <row r="64" spans="1:23" ht="12.75" thickBot="1">
      <c r="A64" s="2110">
        <v>45</v>
      </c>
      <c r="B64" s="2079"/>
      <c r="C64" s="2078"/>
      <c r="D64" s="2079"/>
      <c r="E64" s="2079"/>
      <c r="F64" s="2079"/>
      <c r="G64" s="2110"/>
      <c r="H64" s="2110"/>
      <c r="I64" s="2110"/>
      <c r="J64" s="2110"/>
      <c r="K64" s="2090"/>
      <c r="L64" s="2079"/>
      <c r="M64" s="2079"/>
      <c r="N64" s="2079"/>
      <c r="O64" s="2145">
        <v>0</v>
      </c>
      <c r="P64" s="2089"/>
      <c r="Q64" s="2145">
        <v>0</v>
      </c>
      <c r="R64" s="2089"/>
      <c r="S64" s="2146">
        <v>0</v>
      </c>
      <c r="T64" s="2089"/>
      <c r="U64" s="2147">
        <v>0</v>
      </c>
      <c r="V64" s="2089"/>
      <c r="W64" s="2147">
        <v>0</v>
      </c>
    </row>
    <row r="65" spans="1:23" ht="12.75" thickTop="1">
      <c r="A65" s="2110">
        <v>46</v>
      </c>
      <c r="B65" s="2079" t="s">
        <v>2753</v>
      </c>
      <c r="C65" s="2078"/>
      <c r="D65" s="2079"/>
      <c r="E65" s="2079"/>
      <c r="F65" s="2079"/>
      <c r="G65" s="2110"/>
      <c r="H65" s="2110"/>
      <c r="I65" s="2110"/>
      <c r="J65" s="2110"/>
      <c r="K65" s="2110"/>
      <c r="L65" s="2079"/>
      <c r="M65" s="2079"/>
      <c r="N65" s="2079"/>
      <c r="O65" s="2079"/>
      <c r="P65" s="2079"/>
      <c r="Q65" s="2079"/>
      <c r="R65" s="2079"/>
      <c r="S65" s="2079"/>
      <c r="T65" s="2079"/>
      <c r="U65" s="2079"/>
      <c r="V65" s="2079"/>
      <c r="W65" s="2079"/>
    </row>
  </sheetData>
  <mergeCells count="6">
    <mergeCell ref="G15:K15"/>
    <mergeCell ref="U10:W10"/>
    <mergeCell ref="U11:W11"/>
    <mergeCell ref="U12:W12"/>
    <mergeCell ref="U13:W13"/>
    <mergeCell ref="O14:W14"/>
  </mergeCells>
  <pageMargins left="0.75" right="0.5" top="0.75" bottom="0.5" header="0.25" footer="0.25"/>
  <pageSetup scale="66"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W65"/>
  <sheetViews>
    <sheetView view="pageBreakPreview" zoomScale="60" zoomScaleNormal="100" workbookViewId="0">
      <selection sqref="A1:XFD1048576"/>
    </sheetView>
  </sheetViews>
  <sheetFormatPr defaultRowHeight="12"/>
  <cols>
    <col min="1" max="1" width="4" style="991" customWidth="1"/>
    <col min="2" max="2" width="3" style="991" customWidth="1"/>
    <col min="3" max="3" width="10.85546875" style="991" customWidth="1"/>
    <col min="4" max="4" width="2.28515625" style="991" customWidth="1"/>
    <col min="5" max="5" width="33.7109375" style="991" customWidth="1"/>
    <col min="6" max="6" width="2.28515625" style="991" customWidth="1"/>
    <col min="7" max="7" width="18" style="991" bestFit="1" customWidth="1"/>
    <col min="8" max="8" width="2.28515625" style="991" customWidth="1"/>
    <col min="9" max="9" width="12.7109375" style="991" customWidth="1"/>
    <col min="10" max="10" width="2.28515625" style="991" customWidth="1"/>
    <col min="11" max="11" width="9.7109375" style="991" customWidth="1"/>
    <col min="12" max="12" width="2.28515625" style="991" customWidth="1"/>
    <col min="13" max="13" width="19.140625" style="991" bestFit="1" customWidth="1"/>
    <col min="14" max="14" width="2.28515625" style="991" customWidth="1"/>
    <col min="15" max="15" width="18" style="991" bestFit="1" customWidth="1"/>
    <col min="16" max="16" width="2.28515625" style="991" customWidth="1"/>
    <col min="17" max="17" width="11.7109375" style="991" customWidth="1"/>
    <col min="18" max="18" width="4.85546875" style="991" customWidth="1"/>
    <col min="19" max="19" width="9.28515625" style="991" bestFit="1" customWidth="1"/>
    <col min="20" max="20" width="2.28515625" style="991" customWidth="1"/>
    <col min="21" max="21" width="5.7109375" style="991" bestFit="1" customWidth="1"/>
    <col min="22" max="22" width="2.28515625" style="991" customWidth="1"/>
    <col min="23" max="23" width="9.85546875" style="991" customWidth="1"/>
    <col min="24" max="16384" width="9.140625" style="991"/>
  </cols>
  <sheetData>
    <row r="1" spans="1:23">
      <c r="A1" s="2079"/>
      <c r="B1" s="2079"/>
      <c r="C1" s="2078"/>
      <c r="D1" s="2079"/>
      <c r="E1" s="2079"/>
      <c r="F1" s="2079"/>
      <c r="G1" s="2110"/>
      <c r="H1" s="2110"/>
      <c r="I1" s="2110"/>
      <c r="J1" s="2110"/>
      <c r="K1" s="2110"/>
      <c r="L1" s="2079"/>
      <c r="M1" s="2079"/>
      <c r="N1" s="2079"/>
      <c r="O1" s="2079"/>
      <c r="P1" s="2079"/>
      <c r="Q1" s="2079"/>
      <c r="R1" s="2079"/>
      <c r="S1" s="2079"/>
      <c r="T1" s="2079"/>
      <c r="U1" s="2079"/>
      <c r="V1" s="2079"/>
      <c r="W1" s="2078" t="s">
        <v>1209</v>
      </c>
    </row>
    <row r="2" spans="1:23">
      <c r="A2" s="2080" t="s">
        <v>2716</v>
      </c>
      <c r="B2" s="2079"/>
      <c r="C2" s="2078"/>
      <c r="D2" s="2079"/>
      <c r="E2" s="2079"/>
      <c r="F2" s="2079"/>
      <c r="G2" s="2110"/>
      <c r="H2" s="2137"/>
      <c r="I2" s="2137" t="s">
        <v>911</v>
      </c>
      <c r="J2" s="2137"/>
      <c r="K2" s="2137"/>
      <c r="L2" s="2138"/>
      <c r="M2" s="2079"/>
      <c r="N2" s="2079"/>
      <c r="O2" s="2079"/>
      <c r="P2" s="2079"/>
      <c r="Q2" s="2079"/>
      <c r="R2" s="2079"/>
      <c r="S2" s="2078"/>
      <c r="T2" s="2079"/>
      <c r="U2" s="2079"/>
      <c r="V2" s="2079"/>
      <c r="W2" s="2078"/>
    </row>
    <row r="3" spans="1:23">
      <c r="A3" s="2080"/>
      <c r="B3" s="2079"/>
      <c r="C3" s="2078"/>
      <c r="D3" s="2079"/>
      <c r="E3" s="2079"/>
      <c r="F3" s="2079"/>
      <c r="G3" s="2110"/>
      <c r="H3" s="2137"/>
      <c r="I3" s="2137"/>
      <c r="J3" s="2137"/>
      <c r="K3" s="2137"/>
      <c r="L3" s="2138"/>
      <c r="M3" s="2079"/>
      <c r="N3" s="2079"/>
      <c r="O3" s="2079"/>
      <c r="P3" s="2079"/>
      <c r="Q3" s="2079"/>
      <c r="R3" s="2079"/>
      <c r="S3" s="2080"/>
      <c r="T3" s="2079"/>
      <c r="U3" s="2079"/>
      <c r="V3" s="2079"/>
      <c r="W3" s="2078" t="s">
        <v>2717</v>
      </c>
    </row>
    <row r="4" spans="1:23">
      <c r="A4" s="2079" t="s">
        <v>2644</v>
      </c>
      <c r="B4" s="2080"/>
      <c r="C4" s="2080"/>
      <c r="D4" s="2079"/>
      <c r="E4" s="2079"/>
      <c r="F4" s="2079"/>
      <c r="G4" s="2110"/>
      <c r="H4" s="2137"/>
      <c r="I4" s="2137"/>
      <c r="J4" s="2137"/>
      <c r="K4" s="2137"/>
      <c r="L4" s="2138"/>
      <c r="M4" s="2079"/>
      <c r="N4" s="2079"/>
      <c r="O4" s="2079"/>
      <c r="P4" s="2079"/>
      <c r="Q4" s="2079"/>
      <c r="R4" s="2079"/>
      <c r="S4" s="2078"/>
      <c r="T4" s="2079"/>
      <c r="U4" s="2079"/>
      <c r="V4" s="2079"/>
      <c r="W4" s="2078" t="s">
        <v>2760</v>
      </c>
    </row>
    <row r="5" spans="1:23">
      <c r="A5" s="2080" t="s">
        <v>2719</v>
      </c>
      <c r="B5" s="2079"/>
      <c r="C5" s="2078"/>
      <c r="D5" s="2079"/>
      <c r="E5" s="2079"/>
      <c r="F5" s="2080"/>
      <c r="G5" s="2110"/>
      <c r="H5" s="2137"/>
      <c r="I5" s="2137"/>
      <c r="J5" s="2137"/>
      <c r="K5" s="2137"/>
      <c r="L5" s="2138"/>
      <c r="M5" s="2079"/>
      <c r="N5" s="2079"/>
      <c r="O5" s="2079"/>
      <c r="P5" s="2079"/>
      <c r="Q5" s="2079"/>
      <c r="R5" s="2079"/>
      <c r="S5" s="2078"/>
      <c r="T5" s="2079"/>
      <c r="U5" s="2079"/>
      <c r="V5" s="2079"/>
      <c r="W5" s="2078"/>
    </row>
    <row r="6" spans="1:23">
      <c r="A6" s="2080" t="s">
        <v>1935</v>
      </c>
      <c r="B6" s="2079"/>
      <c r="C6" s="2078"/>
      <c r="D6" s="2079"/>
      <c r="E6" s="2139"/>
      <c r="F6" s="2080"/>
      <c r="G6" s="2110"/>
      <c r="H6" s="2137"/>
      <c r="I6" s="2137"/>
      <c r="J6" s="2137"/>
      <c r="K6" s="2137"/>
      <c r="L6" s="2138"/>
      <c r="M6" s="2079"/>
      <c r="N6" s="2079"/>
      <c r="O6" s="2079"/>
      <c r="P6" s="2079"/>
      <c r="Q6" s="2079"/>
      <c r="R6" s="2079"/>
      <c r="S6" s="2080"/>
      <c r="T6" s="2079"/>
      <c r="U6" s="2079"/>
      <c r="V6" s="2079"/>
      <c r="W6" s="1011" t="s">
        <v>2950</v>
      </c>
    </row>
    <row r="7" spans="1:23">
      <c r="A7" s="2080" t="s">
        <v>1092</v>
      </c>
      <c r="B7" s="2079"/>
      <c r="C7" s="2078"/>
      <c r="D7" s="2079"/>
      <c r="E7" s="2079"/>
      <c r="F7" s="2080"/>
      <c r="G7" s="2110"/>
      <c r="H7" s="2137"/>
      <c r="I7" s="2137"/>
      <c r="J7" s="2137"/>
      <c r="K7" s="2137"/>
      <c r="L7" s="2138"/>
      <c r="M7" s="2079"/>
      <c r="N7" s="2079"/>
      <c r="O7" s="2079"/>
      <c r="P7" s="2079"/>
      <c r="Q7" s="2079"/>
      <c r="R7" s="2079"/>
      <c r="S7" s="2078"/>
      <c r="T7" s="2079"/>
      <c r="U7" s="2079"/>
      <c r="V7" s="2079"/>
      <c r="W7" s="2078"/>
    </row>
    <row r="8" spans="1:23">
      <c r="A8" s="2080" t="s">
        <v>717</v>
      </c>
      <c r="B8" s="2079"/>
      <c r="C8" s="2078"/>
      <c r="D8" s="2079"/>
      <c r="E8" s="2079"/>
      <c r="F8" s="2080"/>
      <c r="G8" s="2110"/>
      <c r="H8" s="2137"/>
      <c r="I8" s="2137"/>
      <c r="J8" s="2137"/>
      <c r="K8" s="2137"/>
      <c r="L8" s="2138"/>
      <c r="M8" s="2079"/>
      <c r="N8" s="2079"/>
      <c r="O8" s="2079"/>
      <c r="P8" s="2079"/>
      <c r="Q8" s="2079"/>
      <c r="R8" s="2079"/>
      <c r="S8" s="2079"/>
      <c r="T8" s="2079"/>
      <c r="U8" s="2079"/>
      <c r="V8" s="2079"/>
      <c r="W8" s="2079"/>
    </row>
    <row r="9" spans="1:23">
      <c r="A9" s="2079"/>
      <c r="B9" s="2079"/>
      <c r="C9" s="2078"/>
      <c r="D9" s="2079"/>
      <c r="E9" s="2079"/>
      <c r="F9" s="2079"/>
      <c r="G9" s="2110"/>
      <c r="H9" s="2110"/>
      <c r="I9" s="2110"/>
      <c r="J9" s="2110"/>
      <c r="K9" s="2110"/>
      <c r="L9" s="2079"/>
      <c r="M9" s="2079"/>
      <c r="N9" s="2079"/>
      <c r="O9" s="2079"/>
      <c r="P9" s="2079"/>
      <c r="Q9" s="2079"/>
      <c r="R9" s="2079"/>
      <c r="S9" s="2079"/>
      <c r="T9" s="2079"/>
      <c r="U9" s="2079"/>
      <c r="V9" s="2079"/>
      <c r="W9" s="2079"/>
    </row>
    <row r="10" spans="1:23">
      <c r="A10" s="2079" t="s">
        <v>2720</v>
      </c>
      <c r="B10" s="2079"/>
      <c r="C10" s="2078"/>
      <c r="D10" s="2079"/>
      <c r="E10" s="2079"/>
      <c r="F10" s="2079"/>
      <c r="G10" s="2110"/>
      <c r="H10" s="2110"/>
      <c r="I10" s="2110"/>
      <c r="J10" s="2110"/>
      <c r="K10" s="2110"/>
      <c r="L10" s="2079"/>
      <c r="M10" s="2079"/>
      <c r="N10" s="2079"/>
      <c r="O10" s="2079"/>
      <c r="P10" s="2079"/>
      <c r="Q10" s="2079"/>
      <c r="R10" s="2079"/>
      <c r="S10" s="2079"/>
      <c r="T10" s="2079"/>
      <c r="U10" s="2318" t="s">
        <v>2956</v>
      </c>
      <c r="V10" s="2318"/>
      <c r="W10" s="2318"/>
    </row>
    <row r="11" spans="1:23">
      <c r="A11" s="2080" t="s">
        <v>2721</v>
      </c>
      <c r="B11" s="2079"/>
      <c r="C11" s="2078"/>
      <c r="D11" s="2079"/>
      <c r="E11" s="2079"/>
      <c r="F11" s="2079"/>
      <c r="G11" s="2110"/>
      <c r="H11" s="2110"/>
      <c r="I11" s="2110"/>
      <c r="J11" s="2110"/>
      <c r="K11" s="2110"/>
      <c r="L11" s="2079"/>
      <c r="M11" s="2079"/>
      <c r="N11" s="2079"/>
      <c r="O11" s="2079"/>
      <c r="P11" s="2079"/>
      <c r="Q11" s="2079"/>
      <c r="R11" s="2079"/>
      <c r="S11" s="2079"/>
      <c r="T11" s="2079"/>
      <c r="U11" s="2317" t="s">
        <v>2722</v>
      </c>
      <c r="V11" s="2317"/>
      <c r="W11" s="2317"/>
    </row>
    <row r="12" spans="1:23">
      <c r="A12" s="2140"/>
      <c r="B12" s="2140"/>
      <c r="C12" s="2141"/>
      <c r="D12" s="2140"/>
      <c r="E12" s="2140"/>
      <c r="F12" s="2140"/>
      <c r="G12" s="2142"/>
      <c r="H12" s="2142"/>
      <c r="I12" s="2142"/>
      <c r="J12" s="2142"/>
      <c r="K12" s="2142"/>
      <c r="L12" s="2140"/>
      <c r="M12" s="2140"/>
      <c r="N12" s="2140"/>
      <c r="O12" s="2140"/>
      <c r="P12" s="2140"/>
      <c r="Q12" s="2140"/>
      <c r="R12" s="2140"/>
      <c r="S12" s="2140"/>
      <c r="T12" s="2140"/>
      <c r="U12" s="2319"/>
      <c r="V12" s="2319"/>
      <c r="W12" s="2319"/>
    </row>
    <row r="13" spans="1:23">
      <c r="A13" s="2082"/>
      <c r="B13" s="2082"/>
      <c r="C13" s="2083"/>
      <c r="D13" s="2082"/>
      <c r="E13" s="2082"/>
      <c r="F13" s="2082"/>
      <c r="G13" s="2084">
        <v>-1</v>
      </c>
      <c r="H13" s="2084"/>
      <c r="I13" s="2084">
        <v>-2</v>
      </c>
      <c r="J13" s="2084"/>
      <c r="K13" s="2084">
        <v>-3</v>
      </c>
      <c r="L13" s="2082"/>
      <c r="M13" s="2084">
        <v>-4</v>
      </c>
      <c r="N13" s="2082"/>
      <c r="O13" s="2084">
        <v>-5</v>
      </c>
      <c r="P13" s="2082"/>
      <c r="Q13" s="2084">
        <v>-6</v>
      </c>
      <c r="R13" s="2082"/>
      <c r="S13" s="2084">
        <v>-7</v>
      </c>
      <c r="T13" s="2082"/>
      <c r="U13" s="2320">
        <v>-8</v>
      </c>
      <c r="V13" s="2320"/>
      <c r="W13" s="2320"/>
    </row>
    <row r="14" spans="1:23">
      <c r="A14" s="2082"/>
      <c r="B14" s="2082"/>
      <c r="C14" s="2083"/>
      <c r="D14" s="2082"/>
      <c r="E14" s="2082"/>
      <c r="F14" s="2082"/>
      <c r="G14" s="2084"/>
      <c r="H14" s="2084"/>
      <c r="I14" s="2084"/>
      <c r="J14" s="2084"/>
      <c r="K14" s="2084"/>
      <c r="L14" s="2082"/>
      <c r="M14" s="2084"/>
      <c r="N14" s="2082"/>
      <c r="O14" s="2321" t="s">
        <v>2761</v>
      </c>
      <c r="P14" s="2321"/>
      <c r="Q14" s="2321"/>
      <c r="R14" s="2321"/>
      <c r="S14" s="2321"/>
      <c r="T14" s="2321"/>
      <c r="U14" s="2321"/>
      <c r="V14" s="2321"/>
      <c r="W14" s="2321"/>
    </row>
    <row r="15" spans="1:23">
      <c r="A15" s="2079"/>
      <c r="B15" s="2079"/>
      <c r="C15" s="2078"/>
      <c r="D15" s="2079"/>
      <c r="E15" s="2079"/>
      <c r="F15" s="2079"/>
      <c r="G15" s="2317" t="s">
        <v>2724</v>
      </c>
      <c r="H15" s="2317"/>
      <c r="I15" s="2317"/>
      <c r="J15" s="2317"/>
      <c r="K15" s="2317"/>
      <c r="L15" s="2143"/>
      <c r="M15" s="2143"/>
      <c r="N15" s="2143"/>
      <c r="O15" s="2143"/>
      <c r="P15" s="2140"/>
      <c r="Q15" s="2142" t="s">
        <v>2725</v>
      </c>
      <c r="R15" s="2140"/>
      <c r="S15" s="2140"/>
      <c r="T15" s="2079"/>
      <c r="U15" s="2143"/>
      <c r="V15" s="2142"/>
      <c r="W15" s="2142"/>
    </row>
    <row r="16" spans="1:23">
      <c r="A16" s="2079"/>
      <c r="B16" s="2079"/>
      <c r="C16" s="2110" t="s">
        <v>2726</v>
      </c>
      <c r="D16" s="2079"/>
      <c r="E16" s="2079"/>
      <c r="F16" s="2079"/>
      <c r="G16" s="2110"/>
      <c r="H16" s="2110"/>
      <c r="I16" s="2110" t="s">
        <v>1170</v>
      </c>
      <c r="J16" s="2110"/>
      <c r="K16" s="2110"/>
      <c r="L16" s="2079"/>
      <c r="M16" s="2110" t="s">
        <v>731</v>
      </c>
      <c r="N16" s="2079"/>
      <c r="O16" s="2110"/>
      <c r="P16" s="2079"/>
      <c r="Q16" s="2110" t="s">
        <v>1170</v>
      </c>
      <c r="R16" s="2079"/>
      <c r="S16" s="2110"/>
      <c r="T16" s="2079"/>
      <c r="U16" s="2110"/>
      <c r="V16" s="2079"/>
      <c r="W16" s="2110"/>
    </row>
    <row r="17" spans="1:23">
      <c r="A17" s="2110" t="s">
        <v>53</v>
      </c>
      <c r="B17" s="2079"/>
      <c r="C17" s="2110" t="s">
        <v>2727</v>
      </c>
      <c r="D17" s="2079"/>
      <c r="E17" s="2079"/>
      <c r="F17" s="2085"/>
      <c r="G17" s="2086"/>
      <c r="H17" s="2086"/>
      <c r="I17" s="2086" t="s">
        <v>2728</v>
      </c>
      <c r="J17" s="2086"/>
      <c r="K17" s="2086"/>
      <c r="L17" s="2085"/>
      <c r="M17" s="2110" t="s">
        <v>2729</v>
      </c>
      <c r="N17" s="2085"/>
      <c r="O17" s="2086"/>
      <c r="P17" s="2085"/>
      <c r="Q17" s="2086" t="s">
        <v>2728</v>
      </c>
      <c r="R17" s="2085"/>
      <c r="S17" s="2081"/>
      <c r="T17" s="2085"/>
      <c r="U17" s="2087">
        <v>0</v>
      </c>
      <c r="V17" s="2085"/>
      <c r="W17" s="2087">
        <v>1</v>
      </c>
    </row>
    <row r="18" spans="1:23">
      <c r="A18" s="2142" t="s">
        <v>730</v>
      </c>
      <c r="B18" s="2143"/>
      <c r="C18" s="2142" t="s">
        <v>730</v>
      </c>
      <c r="D18" s="2143"/>
      <c r="E18" s="2142" t="s">
        <v>731</v>
      </c>
      <c r="F18" s="2143"/>
      <c r="G18" s="2144" t="s">
        <v>2956</v>
      </c>
      <c r="H18" s="2142"/>
      <c r="I18" s="2142" t="s">
        <v>2730</v>
      </c>
      <c r="J18" s="2142"/>
      <c r="K18" s="2142" t="s">
        <v>81</v>
      </c>
      <c r="L18" s="2143"/>
      <c r="M18" s="2142" t="s">
        <v>2731</v>
      </c>
      <c r="N18" s="2143"/>
      <c r="O18" s="2144" t="s">
        <v>2956</v>
      </c>
      <c r="P18" s="2143"/>
      <c r="Q18" s="2142" t="s">
        <v>2730</v>
      </c>
      <c r="R18" s="2143"/>
      <c r="S18" s="2142" t="s">
        <v>81</v>
      </c>
      <c r="T18" s="2143"/>
      <c r="U18" s="2142" t="s">
        <v>498</v>
      </c>
      <c r="V18" s="2143"/>
      <c r="W18" s="2142" t="s">
        <v>670</v>
      </c>
    </row>
    <row r="19" spans="1:23">
      <c r="A19" s="2079"/>
      <c r="B19" s="2079"/>
      <c r="C19" s="2078"/>
      <c r="D19" s="2079"/>
      <c r="E19" s="2079"/>
      <c r="F19" s="2079"/>
      <c r="G19" s="2110"/>
      <c r="H19" s="2110"/>
      <c r="I19" s="2110"/>
      <c r="J19" s="2110"/>
      <c r="K19" s="2110"/>
      <c r="L19" s="2079"/>
      <c r="M19" s="2079"/>
      <c r="N19" s="2079"/>
      <c r="O19" s="2079"/>
      <c r="P19" s="2079"/>
      <c r="Q19" s="2079"/>
      <c r="R19" s="2079"/>
      <c r="S19" s="2079"/>
      <c r="T19" s="2079"/>
      <c r="U19" s="2079"/>
      <c r="V19" s="2079"/>
      <c r="W19" s="2079"/>
    </row>
    <row r="20" spans="1:23">
      <c r="A20" s="2110">
        <v>1</v>
      </c>
      <c r="B20" s="2088" t="s">
        <v>2732</v>
      </c>
      <c r="C20" s="2078"/>
      <c r="D20" s="2079"/>
      <c r="E20" s="2079"/>
      <c r="F20" s="2079"/>
      <c r="G20" s="2110"/>
      <c r="H20" s="2110"/>
      <c r="I20" s="2110"/>
      <c r="J20" s="2110"/>
      <c r="K20" s="2110"/>
      <c r="L20" s="2079"/>
      <c r="M20" s="2079"/>
      <c r="N20" s="2079"/>
      <c r="O20" s="2089"/>
      <c r="P20" s="2089"/>
      <c r="Q20" s="2089"/>
      <c r="R20" s="2089"/>
      <c r="S20" s="2089"/>
      <c r="T20" s="2089"/>
      <c r="U20" s="2089"/>
      <c r="V20" s="2089"/>
      <c r="W20" s="2089"/>
    </row>
    <row r="21" spans="1:23">
      <c r="A21" s="2110">
        <v>2</v>
      </c>
      <c r="B21" s="2079"/>
      <c r="C21" s="2078">
        <v>403</v>
      </c>
      <c r="D21" s="2079"/>
      <c r="E21" s="2079" t="s">
        <v>379</v>
      </c>
      <c r="F21" s="2079"/>
      <c r="G21" s="2090">
        <v>1.1951579219588651E-2</v>
      </c>
      <c r="H21" s="2110"/>
      <c r="I21" s="2090">
        <v>0.98804842078041133</v>
      </c>
      <c r="J21" s="2090"/>
      <c r="K21" s="2090">
        <v>1</v>
      </c>
      <c r="L21" s="2079"/>
      <c r="M21" s="2091" t="s">
        <v>347</v>
      </c>
      <c r="N21" s="2079"/>
      <c r="O21" s="2092">
        <v>3809.95</v>
      </c>
      <c r="P21" s="2092"/>
      <c r="Q21" s="2089">
        <v>314972.18999999994</v>
      </c>
      <c r="R21" s="2092"/>
      <c r="S21" s="2092">
        <v>318782.13999999996</v>
      </c>
      <c r="T21" s="2092"/>
      <c r="U21" s="2089">
        <v>0</v>
      </c>
      <c r="V21" s="2089"/>
      <c r="W21" s="2089">
        <v>3809.95</v>
      </c>
    </row>
    <row r="22" spans="1:23">
      <c r="A22" s="2110">
        <v>3</v>
      </c>
      <c r="B22" s="2079"/>
      <c r="C22" s="2078">
        <v>408</v>
      </c>
      <c r="D22" s="2079"/>
      <c r="E22" s="2079" t="s">
        <v>25</v>
      </c>
      <c r="F22" s="2079"/>
      <c r="G22" s="2090">
        <v>1.2289313852795873E-2</v>
      </c>
      <c r="H22" s="2110"/>
      <c r="I22" s="2090">
        <v>0.98771068614720414</v>
      </c>
      <c r="J22" s="2090"/>
      <c r="K22" s="2090">
        <v>1</v>
      </c>
      <c r="L22" s="2079"/>
      <c r="M22" s="2091" t="s">
        <v>347</v>
      </c>
      <c r="N22" s="2079"/>
      <c r="O22" s="2092">
        <v>399.47999999999996</v>
      </c>
      <c r="P22" s="2089"/>
      <c r="Q22" s="2089">
        <v>32106.81</v>
      </c>
      <c r="R22" s="2089"/>
      <c r="S22" s="2092">
        <v>32506.29</v>
      </c>
      <c r="T22" s="2089"/>
      <c r="U22" s="2089">
        <v>0</v>
      </c>
      <c r="V22" s="2089"/>
      <c r="W22" s="2089">
        <v>399.47999999999996</v>
      </c>
    </row>
    <row r="23" spans="1:23">
      <c r="A23" s="2110">
        <v>4</v>
      </c>
      <c r="B23" s="2079"/>
      <c r="C23" s="2078">
        <v>409</v>
      </c>
      <c r="D23" s="2079"/>
      <c r="E23" s="2079" t="s">
        <v>2733</v>
      </c>
      <c r="F23" s="2079"/>
      <c r="G23" s="2090">
        <v>0</v>
      </c>
      <c r="H23" s="2110"/>
      <c r="I23" s="2090">
        <v>0</v>
      </c>
      <c r="J23" s="2090"/>
      <c r="K23" s="2090">
        <v>0</v>
      </c>
      <c r="L23" s="2079"/>
      <c r="M23" s="2091" t="s">
        <v>347</v>
      </c>
      <c r="N23" s="2079"/>
      <c r="O23" s="2092">
        <v>0</v>
      </c>
      <c r="P23" s="2089"/>
      <c r="Q23" s="2089">
        <v>0</v>
      </c>
      <c r="R23" s="2089"/>
      <c r="S23" s="2092">
        <v>0</v>
      </c>
      <c r="T23" s="2089"/>
      <c r="U23" s="2089">
        <v>0</v>
      </c>
      <c r="V23" s="2089"/>
      <c r="W23" s="2089">
        <v>0</v>
      </c>
    </row>
    <row r="24" spans="1:23">
      <c r="A24" s="2110">
        <v>5</v>
      </c>
      <c r="B24" s="2079"/>
      <c r="C24" s="2078">
        <v>410</v>
      </c>
      <c r="D24" s="2079"/>
      <c r="E24" s="2079" t="s">
        <v>2734</v>
      </c>
      <c r="F24" s="2079"/>
      <c r="G24" s="2090">
        <v>0</v>
      </c>
      <c r="H24" s="2110"/>
      <c r="I24" s="2090">
        <v>0</v>
      </c>
      <c r="J24" s="2090"/>
      <c r="K24" s="2090">
        <v>0</v>
      </c>
      <c r="L24" s="2079"/>
      <c r="M24" s="2091" t="s">
        <v>347</v>
      </c>
      <c r="N24" s="2079"/>
      <c r="O24" s="2092">
        <v>0</v>
      </c>
      <c r="P24" s="2089"/>
      <c r="Q24" s="2089">
        <v>0</v>
      </c>
      <c r="R24" s="2089"/>
      <c r="S24" s="2092">
        <v>0</v>
      </c>
      <c r="T24" s="2089"/>
      <c r="U24" s="2089">
        <v>0</v>
      </c>
      <c r="V24" s="2089"/>
      <c r="W24" s="2089">
        <v>0</v>
      </c>
    </row>
    <row r="25" spans="1:23">
      <c r="A25" s="2110">
        <v>6</v>
      </c>
      <c r="B25" s="2079"/>
      <c r="C25" s="2078" t="s">
        <v>2735</v>
      </c>
      <c r="D25" s="2079"/>
      <c r="E25" s="2079" t="s">
        <v>530</v>
      </c>
      <c r="F25" s="2079"/>
      <c r="G25" s="2090">
        <v>1.2281336109621835E-2</v>
      </c>
      <c r="H25" s="2110"/>
      <c r="I25" s="2090">
        <v>0.9877186638903781</v>
      </c>
      <c r="J25" s="2090"/>
      <c r="K25" s="2090">
        <v>1</v>
      </c>
      <c r="L25" s="2079"/>
      <c r="M25" s="2091" t="s">
        <v>347</v>
      </c>
      <c r="N25" s="2079"/>
      <c r="O25" s="2092">
        <v>-9.85</v>
      </c>
      <c r="P25" s="2089"/>
      <c r="Q25" s="2089">
        <v>-792.18</v>
      </c>
      <c r="R25" s="2089"/>
      <c r="S25" s="2092">
        <v>-802.03</v>
      </c>
      <c r="T25" s="2089"/>
      <c r="U25" s="2089">
        <v>0</v>
      </c>
      <c r="V25" s="2089"/>
      <c r="W25" s="2089">
        <v>-9.85</v>
      </c>
    </row>
    <row r="26" spans="1:23">
      <c r="A26" s="2110">
        <v>7</v>
      </c>
      <c r="B26" s="2079"/>
      <c r="C26" s="2078">
        <v>427</v>
      </c>
      <c r="D26" s="2079"/>
      <c r="E26" s="2079" t="s">
        <v>2619</v>
      </c>
      <c r="F26" s="2079"/>
      <c r="G26" s="2090">
        <v>1.2290773833589392E-2</v>
      </c>
      <c r="H26" s="2110"/>
      <c r="I26" s="2090">
        <v>0.98770922616641066</v>
      </c>
      <c r="J26" s="2090"/>
      <c r="K26" s="2090">
        <v>1</v>
      </c>
      <c r="L26" s="2079"/>
      <c r="M26" s="2091" t="s">
        <v>347</v>
      </c>
      <c r="N26" s="2079"/>
      <c r="O26" s="2092">
        <v>-1.52</v>
      </c>
      <c r="P26" s="2089"/>
      <c r="Q26" s="2089">
        <v>-122.15</v>
      </c>
      <c r="R26" s="2089"/>
      <c r="S26" s="2092">
        <v>-123.67</v>
      </c>
      <c r="T26" s="2089"/>
      <c r="U26" s="2089">
        <v>0</v>
      </c>
      <c r="V26" s="2089"/>
      <c r="W26" s="2089">
        <v>-1.52</v>
      </c>
    </row>
    <row r="27" spans="1:23">
      <c r="A27" s="2110">
        <v>8</v>
      </c>
      <c r="B27" s="2079"/>
      <c r="C27" s="2078" t="s">
        <v>2736</v>
      </c>
      <c r="D27" s="2079"/>
      <c r="E27" s="2079" t="s">
        <v>2737</v>
      </c>
      <c r="F27" s="2079"/>
      <c r="G27" s="2090">
        <v>1.2289428706403616E-2</v>
      </c>
      <c r="H27" s="2110"/>
      <c r="I27" s="2090">
        <v>0.98771057129359641</v>
      </c>
      <c r="J27" s="2090"/>
      <c r="K27" s="2090">
        <v>1</v>
      </c>
      <c r="L27" s="2079"/>
      <c r="M27" s="2091" t="s">
        <v>347</v>
      </c>
      <c r="N27" s="2091"/>
      <c r="O27" s="2092">
        <v>4384.1699999999992</v>
      </c>
      <c r="P27" s="2092"/>
      <c r="Q27" s="2089">
        <v>352359.02</v>
      </c>
      <c r="R27" s="2092"/>
      <c r="S27" s="2092">
        <v>356743.19</v>
      </c>
      <c r="T27" s="2092"/>
      <c r="U27" s="2089">
        <v>0</v>
      </c>
      <c r="V27" s="2089"/>
      <c r="W27" s="2089">
        <v>4384.1699999999992</v>
      </c>
    </row>
    <row r="28" spans="1:23">
      <c r="A28" s="2110">
        <v>9</v>
      </c>
      <c r="B28" s="2079"/>
      <c r="C28" s="2078" t="s">
        <v>2002</v>
      </c>
      <c r="D28" s="2079"/>
      <c r="E28" s="2079" t="s">
        <v>2738</v>
      </c>
      <c r="F28" s="2079"/>
      <c r="G28" s="2090">
        <v>1.2289458441918026E-2</v>
      </c>
      <c r="H28" s="2110"/>
      <c r="I28" s="2090">
        <v>0.98771054155808202</v>
      </c>
      <c r="J28" s="2090"/>
      <c r="K28" s="2090">
        <v>1</v>
      </c>
      <c r="L28" s="2079"/>
      <c r="M28" s="2091" t="s">
        <v>347</v>
      </c>
      <c r="N28" s="2079"/>
      <c r="O28" s="2092">
        <v>5386.119999999999</v>
      </c>
      <c r="P28" s="2089"/>
      <c r="Q28" s="2089">
        <v>432885.43000000005</v>
      </c>
      <c r="R28" s="2089"/>
      <c r="S28" s="2092">
        <v>438271.55000000005</v>
      </c>
      <c r="T28" s="2089"/>
      <c r="U28" s="2089">
        <v>0</v>
      </c>
      <c r="V28" s="2089"/>
      <c r="W28" s="2089">
        <v>5386.119999999999</v>
      </c>
    </row>
    <row r="29" spans="1:23">
      <c r="A29" s="2110">
        <v>10</v>
      </c>
      <c r="B29" s="2079"/>
      <c r="C29" s="2078" t="s">
        <v>1991</v>
      </c>
      <c r="D29" s="2079"/>
      <c r="E29" s="2079" t="s">
        <v>2739</v>
      </c>
      <c r="F29" s="2079"/>
      <c r="G29" s="2090">
        <v>1.2289488167308753E-2</v>
      </c>
      <c r="H29" s="2110"/>
      <c r="I29" s="2090">
        <v>0.98771051183269132</v>
      </c>
      <c r="J29" s="2090"/>
      <c r="K29" s="2090">
        <v>1</v>
      </c>
      <c r="L29" s="2079"/>
      <c r="M29" s="2091" t="s">
        <v>347</v>
      </c>
      <c r="N29" s="2079"/>
      <c r="O29" s="2092">
        <v>803.88000000000011</v>
      </c>
      <c r="P29" s="2089"/>
      <c r="Q29" s="2089">
        <v>64608.12</v>
      </c>
      <c r="R29" s="2089"/>
      <c r="S29" s="2092">
        <v>65412</v>
      </c>
      <c r="T29" s="2089"/>
      <c r="U29" s="2089">
        <v>0</v>
      </c>
      <c r="V29" s="2089"/>
      <c r="W29" s="2089">
        <v>803.88000000000011</v>
      </c>
    </row>
    <row r="30" spans="1:23">
      <c r="A30" s="2110">
        <v>11</v>
      </c>
      <c r="B30" s="2079"/>
      <c r="C30" s="2078" t="s">
        <v>2056</v>
      </c>
      <c r="D30" s="2079"/>
      <c r="E30" s="2079" t="s">
        <v>2740</v>
      </c>
      <c r="F30" s="2079"/>
      <c r="G30" s="2090">
        <v>1.2289336913673805E-2</v>
      </c>
      <c r="H30" s="2110"/>
      <c r="I30" s="2090">
        <v>0.98771066308632627</v>
      </c>
      <c r="J30" s="2090"/>
      <c r="K30" s="2090">
        <v>1</v>
      </c>
      <c r="L30" s="2079"/>
      <c r="M30" s="2091" t="s">
        <v>347</v>
      </c>
      <c r="N30" s="2079"/>
      <c r="O30" s="2092">
        <v>662.59999999999991</v>
      </c>
      <c r="P30" s="2089"/>
      <c r="Q30" s="2089">
        <v>53254.060000000005</v>
      </c>
      <c r="R30" s="2089"/>
      <c r="S30" s="2092">
        <v>53916.66</v>
      </c>
      <c r="T30" s="2089"/>
      <c r="U30" s="2089">
        <v>0</v>
      </c>
      <c r="V30" s="2089"/>
      <c r="W30" s="2089">
        <v>662.59999999999991</v>
      </c>
    </row>
    <row r="31" spans="1:23">
      <c r="A31" s="2110">
        <v>12</v>
      </c>
      <c r="B31" s="2079"/>
      <c r="C31" s="2078" t="s">
        <v>2063</v>
      </c>
      <c r="D31" s="2079"/>
      <c r="E31" s="2079" t="s">
        <v>1248</v>
      </c>
      <c r="F31" s="2079"/>
      <c r="G31" s="2090">
        <v>0</v>
      </c>
      <c r="H31" s="2110"/>
      <c r="I31" s="2090">
        <v>0</v>
      </c>
      <c r="J31" s="2090"/>
      <c r="K31" s="2090">
        <v>0</v>
      </c>
      <c r="L31" s="2079"/>
      <c r="M31" s="2091" t="s">
        <v>347</v>
      </c>
      <c r="N31" s="2079"/>
      <c r="O31" s="2092">
        <v>0</v>
      </c>
      <c r="P31" s="2089"/>
      <c r="Q31" s="2089">
        <v>0</v>
      </c>
      <c r="R31" s="2089"/>
      <c r="S31" s="2092">
        <v>0</v>
      </c>
      <c r="T31" s="2089"/>
      <c r="U31" s="2089">
        <v>0</v>
      </c>
      <c r="V31" s="2089"/>
      <c r="W31" s="2089">
        <v>0</v>
      </c>
    </row>
    <row r="32" spans="1:23">
      <c r="A32" s="2110">
        <v>13</v>
      </c>
      <c r="B32" s="2079"/>
      <c r="C32" s="2078" t="s">
        <v>1981</v>
      </c>
      <c r="D32" s="2079"/>
      <c r="E32" s="2079" t="s">
        <v>1250</v>
      </c>
      <c r="F32" s="2079"/>
      <c r="G32" s="2090">
        <v>1.228944977864658E-2</v>
      </c>
      <c r="H32" s="2110"/>
      <c r="I32" s="2090">
        <v>0.98771055022135335</v>
      </c>
      <c r="J32" s="2090"/>
      <c r="K32" s="2090">
        <v>1</v>
      </c>
      <c r="L32" s="2079"/>
      <c r="M32" s="2091" t="s">
        <v>347</v>
      </c>
      <c r="N32" s="2079"/>
      <c r="O32" s="2092">
        <v>1335.9399999999998</v>
      </c>
      <c r="P32" s="2089"/>
      <c r="Q32" s="2089">
        <v>107370.31</v>
      </c>
      <c r="R32" s="2089"/>
      <c r="S32" s="2092">
        <v>108706.25</v>
      </c>
      <c r="T32" s="2089"/>
      <c r="U32" s="2089">
        <v>0</v>
      </c>
      <c r="V32" s="2089"/>
      <c r="W32" s="2089">
        <v>1335.9399999999998</v>
      </c>
    </row>
    <row r="33" spans="1:23">
      <c r="A33" s="2110">
        <v>14</v>
      </c>
      <c r="B33" s="2079"/>
      <c r="C33" s="2078" t="s">
        <v>2741</v>
      </c>
      <c r="D33" s="2079"/>
      <c r="E33" s="2079" t="s">
        <v>2742</v>
      </c>
      <c r="F33" s="2079"/>
      <c r="G33" s="2090">
        <v>1.228948816730875E-2</v>
      </c>
      <c r="H33" s="2110"/>
      <c r="I33" s="2090">
        <v>0.98771051183269132</v>
      </c>
      <c r="J33" s="2090"/>
      <c r="K33" s="2090">
        <v>1</v>
      </c>
      <c r="L33" s="2079"/>
      <c r="M33" s="2091" t="s">
        <v>347</v>
      </c>
      <c r="N33" s="2079"/>
      <c r="O33" s="2092">
        <v>22.33</v>
      </c>
      <c r="P33" s="2089"/>
      <c r="Q33" s="2089">
        <v>1794.67</v>
      </c>
      <c r="R33" s="2089"/>
      <c r="S33" s="2092">
        <v>1817</v>
      </c>
      <c r="T33" s="2089"/>
      <c r="U33" s="2089">
        <v>0</v>
      </c>
      <c r="V33" s="2089"/>
      <c r="W33" s="2089">
        <v>22.33</v>
      </c>
    </row>
    <row r="34" spans="1:23">
      <c r="A34" s="2110">
        <v>15</v>
      </c>
      <c r="B34" s="2079"/>
      <c r="C34" s="2078" t="s">
        <v>2076</v>
      </c>
      <c r="D34" s="2079"/>
      <c r="E34" s="2079" t="s">
        <v>2519</v>
      </c>
      <c r="F34" s="2079"/>
      <c r="G34" s="2090">
        <v>1.2289850349004591E-2</v>
      </c>
      <c r="H34" s="2110"/>
      <c r="I34" s="2090">
        <v>0.98771014965099546</v>
      </c>
      <c r="J34" s="2090"/>
      <c r="K34" s="2090">
        <v>1</v>
      </c>
      <c r="L34" s="2079"/>
      <c r="M34" s="2091" t="s">
        <v>347</v>
      </c>
      <c r="N34" s="2079"/>
      <c r="O34" s="2092">
        <v>9.0500000000000007</v>
      </c>
      <c r="P34" s="2089"/>
      <c r="Q34" s="2089">
        <v>727.33</v>
      </c>
      <c r="R34" s="2089"/>
      <c r="S34" s="2092">
        <v>736.38</v>
      </c>
      <c r="T34" s="2089"/>
      <c r="U34" s="2089">
        <v>0</v>
      </c>
      <c r="V34" s="2089"/>
      <c r="W34" s="2089">
        <v>9.0500000000000007</v>
      </c>
    </row>
    <row r="35" spans="1:23">
      <c r="A35" s="2110">
        <v>16</v>
      </c>
      <c r="B35" s="2079"/>
      <c r="C35" s="2078" t="s">
        <v>2743</v>
      </c>
      <c r="D35" s="2079"/>
      <c r="E35" s="2079" t="s">
        <v>2523</v>
      </c>
      <c r="F35" s="2079"/>
      <c r="G35" s="2090">
        <v>1.2289447813680717E-2</v>
      </c>
      <c r="H35" s="2110"/>
      <c r="I35" s="2090">
        <v>0.98771055218631931</v>
      </c>
      <c r="J35" s="2090"/>
      <c r="K35" s="2090">
        <v>1</v>
      </c>
      <c r="L35" s="2079"/>
      <c r="M35" s="2091" t="s">
        <v>347</v>
      </c>
      <c r="N35" s="2079"/>
      <c r="O35" s="2092">
        <v>2273.0500000000002</v>
      </c>
      <c r="P35" s="2089"/>
      <c r="Q35" s="2089">
        <v>182686.44</v>
      </c>
      <c r="R35" s="2089"/>
      <c r="S35" s="2092">
        <v>184959.49</v>
      </c>
      <c r="T35" s="2089"/>
      <c r="U35" s="2089">
        <v>0</v>
      </c>
      <c r="V35" s="2089"/>
      <c r="W35" s="2089">
        <v>2273.0500000000002</v>
      </c>
    </row>
    <row r="36" spans="1:23">
      <c r="A36" s="2110">
        <v>17</v>
      </c>
      <c r="B36" s="2079"/>
      <c r="C36" s="2078" t="s">
        <v>2015</v>
      </c>
      <c r="D36" s="2079"/>
      <c r="E36" s="2079" t="s">
        <v>2744</v>
      </c>
      <c r="F36" s="2079"/>
      <c r="G36" s="2090">
        <v>1.2289490714890699E-2</v>
      </c>
      <c r="H36" s="2110"/>
      <c r="I36" s="2090">
        <v>0.98771050928510928</v>
      </c>
      <c r="J36" s="2090"/>
      <c r="K36" s="2090">
        <v>1</v>
      </c>
      <c r="L36" s="2079"/>
      <c r="M36" s="2091" t="s">
        <v>347</v>
      </c>
      <c r="N36" s="2079"/>
      <c r="O36" s="2092">
        <v>332.13</v>
      </c>
      <c r="P36" s="2089"/>
      <c r="Q36" s="2089">
        <v>26693.399999999998</v>
      </c>
      <c r="R36" s="2089"/>
      <c r="S36" s="2092">
        <v>27025.53</v>
      </c>
      <c r="T36" s="2089"/>
      <c r="U36" s="2089">
        <v>0</v>
      </c>
      <c r="V36" s="2089"/>
      <c r="W36" s="2089">
        <v>332.13</v>
      </c>
    </row>
    <row r="37" spans="1:23">
      <c r="A37" s="2110">
        <v>18</v>
      </c>
      <c r="B37" s="2079"/>
      <c r="C37" s="2078" t="s">
        <v>1984</v>
      </c>
      <c r="D37" s="2079"/>
      <c r="E37" s="2079" t="s">
        <v>1253</v>
      </c>
      <c r="F37" s="2079"/>
      <c r="G37" s="2090">
        <v>1.2285892356957109E-2</v>
      </c>
      <c r="H37" s="2110"/>
      <c r="I37" s="2090">
        <v>0.98771410764304279</v>
      </c>
      <c r="J37" s="2090"/>
      <c r="K37" s="2090">
        <v>1</v>
      </c>
      <c r="L37" s="2079"/>
      <c r="M37" s="2091" t="s">
        <v>347</v>
      </c>
      <c r="N37" s="2079"/>
      <c r="O37" s="2092">
        <v>17.149999999999999</v>
      </c>
      <c r="P37" s="2089"/>
      <c r="Q37" s="2089">
        <v>1378.76</v>
      </c>
      <c r="R37" s="2089"/>
      <c r="S37" s="2092">
        <v>1395.91</v>
      </c>
      <c r="T37" s="2089"/>
      <c r="U37" s="2089">
        <v>0</v>
      </c>
      <c r="V37" s="2089"/>
      <c r="W37" s="2089">
        <v>17.149999999999999</v>
      </c>
    </row>
    <row r="38" spans="1:23">
      <c r="A38" s="2110">
        <v>19</v>
      </c>
      <c r="B38" s="2079"/>
      <c r="C38" s="2078" t="s">
        <v>1998</v>
      </c>
      <c r="D38" s="2079"/>
      <c r="E38" s="2079" t="s">
        <v>2535</v>
      </c>
      <c r="F38" s="2079"/>
      <c r="G38" s="2090">
        <v>1.2289256732628711E-2</v>
      </c>
      <c r="H38" s="2110"/>
      <c r="I38" s="2090">
        <v>0.98771074326737129</v>
      </c>
      <c r="J38" s="2090"/>
      <c r="K38" s="2090">
        <v>1</v>
      </c>
      <c r="L38" s="2079"/>
      <c r="M38" s="2091" t="s">
        <v>347</v>
      </c>
      <c r="N38" s="2079"/>
      <c r="O38" s="2092">
        <v>1364.8799999999997</v>
      </c>
      <c r="P38" s="2089"/>
      <c r="Q38" s="2089">
        <v>109697.97999999997</v>
      </c>
      <c r="R38" s="2089"/>
      <c r="S38" s="2092">
        <v>111062.85999999997</v>
      </c>
      <c r="T38" s="2089"/>
      <c r="U38" s="2089">
        <v>0</v>
      </c>
      <c r="V38" s="2089"/>
      <c r="W38" s="2089">
        <v>1364.8799999999997</v>
      </c>
    </row>
    <row r="39" spans="1:23" ht="12.75" thickBot="1">
      <c r="A39" s="2110">
        <v>20</v>
      </c>
      <c r="B39" s="2079"/>
      <c r="C39" s="2078"/>
      <c r="D39" s="2079"/>
      <c r="E39" s="2079"/>
      <c r="F39" s="2079"/>
      <c r="G39" s="2090"/>
      <c r="H39" s="2110"/>
      <c r="I39" s="2110"/>
      <c r="J39" s="2110"/>
      <c r="K39" s="2110"/>
      <c r="L39" s="2079"/>
      <c r="M39" s="2079"/>
      <c r="N39" s="2079"/>
      <c r="O39" s="2093">
        <v>20789.36</v>
      </c>
      <c r="P39" s="2089"/>
      <c r="Q39" s="2093">
        <v>1679620.1900000002</v>
      </c>
      <c r="R39" s="2089"/>
      <c r="S39" s="2093">
        <v>1700409.5499999996</v>
      </c>
      <c r="T39" s="2089"/>
      <c r="U39" s="2094">
        <v>0</v>
      </c>
      <c r="V39" s="2089"/>
      <c r="W39" s="2094">
        <v>20789.36</v>
      </c>
    </row>
    <row r="40" spans="1:23" ht="12.75" thickTop="1">
      <c r="A40" s="2110">
        <v>21</v>
      </c>
      <c r="B40" s="2079"/>
      <c r="C40" s="2078"/>
      <c r="D40" s="2079"/>
      <c r="E40" s="2079"/>
      <c r="F40" s="2079"/>
      <c r="G40" s="2090"/>
      <c r="H40" s="2110"/>
      <c r="I40" s="2110"/>
      <c r="J40" s="2110"/>
      <c r="K40" s="2110"/>
      <c r="L40" s="2079"/>
      <c r="M40" s="2079"/>
      <c r="N40" s="2079"/>
      <c r="O40" s="2089"/>
      <c r="P40" s="2089"/>
      <c r="Q40" s="2089"/>
      <c r="R40" s="2089"/>
      <c r="S40" s="2089"/>
      <c r="T40" s="2089"/>
      <c r="U40" s="2089"/>
      <c r="V40" s="2089"/>
      <c r="W40" s="2089"/>
    </row>
    <row r="41" spans="1:23">
      <c r="A41" s="2110">
        <v>22</v>
      </c>
      <c r="B41" s="2088" t="s">
        <v>2745</v>
      </c>
      <c r="C41" s="2078"/>
      <c r="D41" s="2079"/>
      <c r="E41" s="2079"/>
      <c r="F41" s="2079"/>
      <c r="G41" s="2090"/>
      <c r="H41" s="2110"/>
      <c r="I41" s="2090"/>
      <c r="J41" s="2090"/>
      <c r="K41" s="2090"/>
      <c r="L41" s="2079"/>
      <c r="M41" s="2079"/>
      <c r="N41" s="2079"/>
      <c r="O41" s="2089"/>
      <c r="P41" s="2089"/>
      <c r="Q41" s="2089"/>
      <c r="R41" s="2089"/>
      <c r="S41" s="2089"/>
      <c r="T41" s="2089"/>
      <c r="U41" s="2089"/>
      <c r="V41" s="2089"/>
      <c r="W41" s="2089"/>
    </row>
    <row r="42" spans="1:23">
      <c r="A42" s="2110">
        <v>23</v>
      </c>
      <c r="B42" s="2079"/>
      <c r="C42" s="2078"/>
      <c r="D42" s="2079"/>
      <c r="E42" s="2079"/>
      <c r="F42" s="2079"/>
      <c r="G42" s="2090"/>
      <c r="H42" s="2110"/>
      <c r="I42" s="2090"/>
      <c r="J42" s="2090"/>
      <c r="K42" s="2090"/>
      <c r="L42" s="2079"/>
      <c r="M42" s="2079"/>
      <c r="N42" s="2079"/>
      <c r="O42" s="2089"/>
      <c r="P42" s="2089"/>
      <c r="Q42" s="2089"/>
      <c r="R42" s="2089"/>
      <c r="S42" s="2089"/>
      <c r="T42" s="2089"/>
      <c r="U42" s="2089"/>
      <c r="V42" s="2089"/>
      <c r="W42" s="2089"/>
    </row>
    <row r="43" spans="1:23">
      <c r="A43" s="2110">
        <v>24</v>
      </c>
      <c r="B43" s="2079"/>
      <c r="C43" s="2078">
        <v>403</v>
      </c>
      <c r="D43" s="2079"/>
      <c r="E43" s="2079" t="s">
        <v>2746</v>
      </c>
      <c r="F43" s="2079"/>
      <c r="G43" s="2090">
        <v>4.2854122019755123E-2</v>
      </c>
      <c r="H43" s="2110"/>
      <c r="I43" s="2090">
        <v>0.95714587798024486</v>
      </c>
      <c r="J43" s="2090"/>
      <c r="K43" s="2090">
        <v>1</v>
      </c>
      <c r="L43" s="2079"/>
      <c r="M43" s="2091" t="s">
        <v>347</v>
      </c>
      <c r="N43" s="2079"/>
      <c r="O43" s="2092">
        <v>1053.8300000000002</v>
      </c>
      <c r="P43" s="2092"/>
      <c r="Q43" s="2092">
        <v>23537.269999999997</v>
      </c>
      <c r="R43" s="2092"/>
      <c r="S43" s="2092">
        <v>24591.1</v>
      </c>
      <c r="T43" s="2092"/>
      <c r="U43" s="994">
        <v>0</v>
      </c>
      <c r="V43" s="994"/>
      <c r="W43" s="994">
        <v>1053.8300000000002</v>
      </c>
    </row>
    <row r="44" spans="1:23">
      <c r="A44" s="2110">
        <v>25</v>
      </c>
      <c r="B44" s="2079"/>
      <c r="C44" s="2078">
        <v>408</v>
      </c>
      <c r="D44" s="2079"/>
      <c r="E44" s="2079" t="s">
        <v>25</v>
      </c>
      <c r="F44" s="2079"/>
      <c r="G44" s="2090">
        <v>5.2186609116790204E-2</v>
      </c>
      <c r="H44" s="2110"/>
      <c r="I44" s="2090">
        <v>0.94781339088320971</v>
      </c>
      <c r="J44" s="2090"/>
      <c r="K44" s="2090">
        <v>1</v>
      </c>
      <c r="L44" s="2079"/>
      <c r="M44" s="2091" t="s">
        <v>347</v>
      </c>
      <c r="N44" s="2079"/>
      <c r="O44" s="2092">
        <v>1069.79</v>
      </c>
      <c r="P44" s="2089"/>
      <c r="Q44" s="2092">
        <v>19429.530000000002</v>
      </c>
      <c r="R44" s="2089"/>
      <c r="S44" s="2092">
        <v>20499.320000000003</v>
      </c>
      <c r="T44" s="2089"/>
      <c r="U44" s="994">
        <v>0</v>
      </c>
      <c r="V44" s="994"/>
      <c r="W44" s="994">
        <v>1069.79</v>
      </c>
    </row>
    <row r="45" spans="1:23">
      <c r="A45" s="2110">
        <v>26</v>
      </c>
      <c r="B45" s="2079"/>
      <c r="C45" s="2078">
        <v>410</v>
      </c>
      <c r="D45" s="2079"/>
      <c r="E45" s="2079" t="s">
        <v>2734</v>
      </c>
      <c r="F45" s="2079"/>
      <c r="G45" s="2090">
        <v>0</v>
      </c>
      <c r="H45" s="2110"/>
      <c r="I45" s="2090">
        <v>0</v>
      </c>
      <c r="J45" s="2090"/>
      <c r="K45" s="2090">
        <v>0</v>
      </c>
      <c r="L45" s="2079"/>
      <c r="M45" s="2091" t="s">
        <v>347</v>
      </c>
      <c r="N45" s="2079"/>
      <c r="O45" s="2092">
        <v>0</v>
      </c>
      <c r="P45" s="2089"/>
      <c r="Q45" s="2092">
        <v>0</v>
      </c>
      <c r="R45" s="2089"/>
      <c r="S45" s="2092">
        <v>0</v>
      </c>
      <c r="T45" s="2089"/>
      <c r="U45" s="994">
        <v>0</v>
      </c>
      <c r="V45" s="994"/>
      <c r="W45" s="994">
        <v>0</v>
      </c>
    </row>
    <row r="46" spans="1:23">
      <c r="A46" s="2110">
        <v>27</v>
      </c>
      <c r="B46" s="2079"/>
      <c r="C46" s="2078" t="s">
        <v>2747</v>
      </c>
      <c r="D46" s="2079"/>
      <c r="E46" s="2079" t="s">
        <v>25</v>
      </c>
      <c r="F46" s="2079"/>
      <c r="G46" s="2090">
        <v>0</v>
      </c>
      <c r="H46" s="2110"/>
      <c r="I46" s="2090">
        <v>0</v>
      </c>
      <c r="J46" s="2090"/>
      <c r="K46" s="2090">
        <v>0</v>
      </c>
      <c r="L46" s="2079"/>
      <c r="M46" s="2091" t="s">
        <v>347</v>
      </c>
      <c r="N46" s="2079"/>
      <c r="O46" s="2092">
        <v>0</v>
      </c>
      <c r="P46" s="2089"/>
      <c r="Q46" s="2092">
        <v>0</v>
      </c>
      <c r="R46" s="2089"/>
      <c r="S46" s="2092">
        <v>0</v>
      </c>
      <c r="T46" s="2089"/>
      <c r="U46" s="994">
        <v>0</v>
      </c>
      <c r="V46" s="994"/>
      <c r="W46" s="994">
        <v>0</v>
      </c>
    </row>
    <row r="47" spans="1:23">
      <c r="A47" s="2110">
        <v>28</v>
      </c>
      <c r="B47" s="2079"/>
      <c r="C47" s="2078">
        <v>427</v>
      </c>
      <c r="D47" s="2079"/>
      <c r="E47" s="2079" t="s">
        <v>2619</v>
      </c>
      <c r="F47" s="2079"/>
      <c r="G47" s="2090">
        <v>5.2941176470588241E-2</v>
      </c>
      <c r="H47" s="2110"/>
      <c r="I47" s="2090">
        <v>0.94705882352941184</v>
      </c>
      <c r="J47" s="2090"/>
      <c r="K47" s="2090">
        <v>1</v>
      </c>
      <c r="L47" s="2079"/>
      <c r="M47" s="2091" t="s">
        <v>347</v>
      </c>
      <c r="N47" s="2079"/>
      <c r="O47" s="2092">
        <v>0.27</v>
      </c>
      <c r="P47" s="2089"/>
      <c r="Q47" s="2092">
        <v>4.83</v>
      </c>
      <c r="R47" s="2089"/>
      <c r="S47" s="2092">
        <v>5.0999999999999996</v>
      </c>
      <c r="T47" s="2089"/>
      <c r="U47" s="994">
        <v>0</v>
      </c>
      <c r="V47" s="994"/>
      <c r="W47" s="994">
        <v>0.27</v>
      </c>
    </row>
    <row r="48" spans="1:23">
      <c r="A48" s="2110">
        <v>29</v>
      </c>
      <c r="B48" s="2079"/>
      <c r="C48" s="2078" t="s">
        <v>2736</v>
      </c>
      <c r="D48" s="2079"/>
      <c r="E48" s="2079" t="s">
        <v>2737</v>
      </c>
      <c r="F48" s="2079"/>
      <c r="G48" s="2090">
        <v>5.2780323611199331E-2</v>
      </c>
      <c r="H48" s="2110"/>
      <c r="I48" s="2090">
        <v>0.94721967638880067</v>
      </c>
      <c r="J48" s="2090"/>
      <c r="K48" s="2090">
        <v>1</v>
      </c>
      <c r="L48" s="2079"/>
      <c r="M48" s="2091" t="s">
        <v>347</v>
      </c>
      <c r="N48" s="2091"/>
      <c r="O48" s="2092">
        <v>2733.75</v>
      </c>
      <c r="P48" s="2089"/>
      <c r="Q48" s="2092">
        <v>49061.120000000003</v>
      </c>
      <c r="R48" s="2089"/>
      <c r="S48" s="2092">
        <v>51794.87</v>
      </c>
      <c r="T48" s="2089"/>
      <c r="U48" s="994">
        <v>0</v>
      </c>
      <c r="V48" s="994"/>
      <c r="W48" s="994">
        <v>2733.75</v>
      </c>
    </row>
    <row r="49" spans="1:23">
      <c r="A49" s="2110">
        <v>30</v>
      </c>
      <c r="B49" s="2079"/>
      <c r="C49" s="2078" t="s">
        <v>2002</v>
      </c>
      <c r="D49" s="2079"/>
      <c r="E49" s="2079" t="s">
        <v>2738</v>
      </c>
      <c r="F49" s="2079"/>
      <c r="G49" s="2090">
        <v>5.2113207547169811E-2</v>
      </c>
      <c r="H49" s="2110"/>
      <c r="I49" s="2090">
        <v>0.94788679245283014</v>
      </c>
      <c r="J49" s="2090"/>
      <c r="K49" s="2090">
        <v>1</v>
      </c>
      <c r="L49" s="2079"/>
      <c r="M49" s="2091" t="s">
        <v>347</v>
      </c>
      <c r="N49" s="2079"/>
      <c r="O49" s="2092">
        <v>27.62</v>
      </c>
      <c r="P49" s="2089"/>
      <c r="Q49" s="2092">
        <v>502.38</v>
      </c>
      <c r="R49" s="2089"/>
      <c r="S49" s="2092">
        <v>530</v>
      </c>
      <c r="T49" s="2089"/>
      <c r="U49" s="994">
        <v>0</v>
      </c>
      <c r="V49" s="994"/>
      <c r="W49" s="994">
        <v>27.62</v>
      </c>
    </row>
    <row r="50" spans="1:23">
      <c r="A50" s="2110">
        <v>31</v>
      </c>
      <c r="B50" s="2079"/>
      <c r="C50" s="2078" t="s">
        <v>1991</v>
      </c>
      <c r="D50" s="2079"/>
      <c r="E50" s="2079" t="s">
        <v>2739</v>
      </c>
      <c r="F50" s="2079"/>
      <c r="G50" s="2090">
        <v>4.2767351868834853E-2</v>
      </c>
      <c r="H50" s="2110"/>
      <c r="I50" s="2090">
        <v>0.95723264813116515</v>
      </c>
      <c r="J50" s="2090"/>
      <c r="K50" s="2090">
        <v>1</v>
      </c>
      <c r="L50" s="2079"/>
      <c r="M50" s="2091" t="s">
        <v>347</v>
      </c>
      <c r="N50" s="2079"/>
      <c r="O50" s="2092">
        <v>19.119999999999997</v>
      </c>
      <c r="P50" s="2089"/>
      <c r="Q50" s="2092">
        <v>427.95</v>
      </c>
      <c r="R50" s="2089"/>
      <c r="S50" s="2092">
        <v>447.07</v>
      </c>
      <c r="T50" s="2089"/>
      <c r="U50" s="994">
        <v>0</v>
      </c>
      <c r="V50" s="994"/>
      <c r="W50" s="994">
        <v>19.119999999999997</v>
      </c>
    </row>
    <row r="51" spans="1:23">
      <c r="A51" s="2110">
        <v>32</v>
      </c>
      <c r="B51" s="2079"/>
      <c r="C51" s="2078" t="s">
        <v>2052</v>
      </c>
      <c r="D51" s="2079"/>
      <c r="E51" s="2079" t="s">
        <v>2748</v>
      </c>
      <c r="F51" s="2079"/>
      <c r="G51" s="2090">
        <v>0</v>
      </c>
      <c r="H51" s="2110"/>
      <c r="I51" s="2090">
        <v>0</v>
      </c>
      <c r="J51" s="2090"/>
      <c r="K51" s="2090">
        <v>0</v>
      </c>
      <c r="L51" s="2079"/>
      <c r="M51" s="2091" t="s">
        <v>347</v>
      </c>
      <c r="N51" s="2079"/>
      <c r="O51" s="2092">
        <v>0</v>
      </c>
      <c r="P51" s="2089"/>
      <c r="Q51" s="2092">
        <v>0</v>
      </c>
      <c r="R51" s="2089"/>
      <c r="S51" s="2092">
        <v>0</v>
      </c>
      <c r="T51" s="2089"/>
      <c r="U51" s="994">
        <v>0</v>
      </c>
      <c r="V51" s="994"/>
      <c r="W51" s="994">
        <v>0</v>
      </c>
    </row>
    <row r="52" spans="1:23">
      <c r="A52" s="2110">
        <v>33</v>
      </c>
      <c r="B52" s="2079"/>
      <c r="C52" s="2078" t="s">
        <v>2063</v>
      </c>
      <c r="D52" s="2079"/>
      <c r="E52" s="2079" t="s">
        <v>1248</v>
      </c>
      <c r="F52" s="2079"/>
      <c r="G52" s="2090">
        <v>0</v>
      </c>
      <c r="H52" s="2110"/>
      <c r="I52" s="2090">
        <v>0</v>
      </c>
      <c r="J52" s="2090"/>
      <c r="K52" s="2090">
        <v>0</v>
      </c>
      <c r="L52" s="2079"/>
      <c r="M52" s="2091" t="s">
        <v>347</v>
      </c>
      <c r="N52" s="2079"/>
      <c r="O52" s="2092">
        <v>0</v>
      </c>
      <c r="P52" s="2089"/>
      <c r="Q52" s="2092">
        <v>0</v>
      </c>
      <c r="R52" s="2089"/>
      <c r="S52" s="2092">
        <v>0</v>
      </c>
      <c r="T52" s="2089"/>
      <c r="U52" s="994">
        <v>0</v>
      </c>
      <c r="V52" s="994"/>
      <c r="W52" s="994">
        <v>0</v>
      </c>
    </row>
    <row r="53" spans="1:23">
      <c r="A53" s="2110">
        <v>34</v>
      </c>
      <c r="B53" s="2079"/>
      <c r="C53" s="2078">
        <v>635</v>
      </c>
      <c r="D53" s="2079"/>
      <c r="E53" s="2079" t="s">
        <v>2749</v>
      </c>
      <c r="F53" s="2079"/>
      <c r="G53" s="2090">
        <v>0</v>
      </c>
      <c r="H53" s="2110"/>
      <c r="I53" s="2090">
        <v>0</v>
      </c>
      <c r="J53" s="2090"/>
      <c r="K53" s="2090">
        <v>0</v>
      </c>
      <c r="L53" s="2079"/>
      <c r="M53" s="2091" t="s">
        <v>347</v>
      </c>
      <c r="N53" s="2079"/>
      <c r="O53" s="2092">
        <v>0</v>
      </c>
      <c r="P53" s="2089"/>
      <c r="Q53" s="2092">
        <v>0</v>
      </c>
      <c r="R53" s="2089"/>
      <c r="S53" s="2092">
        <v>0</v>
      </c>
      <c r="T53" s="2089"/>
      <c r="U53" s="994">
        <v>0</v>
      </c>
      <c r="V53" s="994"/>
      <c r="W53" s="994">
        <v>0</v>
      </c>
    </row>
    <row r="54" spans="1:23">
      <c r="A54" s="2110">
        <v>35</v>
      </c>
      <c r="B54" s="2079"/>
      <c r="C54" s="2078" t="s">
        <v>1981</v>
      </c>
      <c r="D54" s="2079"/>
      <c r="E54" s="2079" t="s">
        <v>1250</v>
      </c>
      <c r="F54" s="2079"/>
      <c r="G54" s="2090">
        <v>5.2105948762483714E-2</v>
      </c>
      <c r="H54" s="2110"/>
      <c r="I54" s="2090">
        <v>0.94789405123751624</v>
      </c>
      <c r="J54" s="2090"/>
      <c r="K54" s="2090">
        <v>1</v>
      </c>
      <c r="L54" s="2079"/>
      <c r="M54" s="2091" t="s">
        <v>347</v>
      </c>
      <c r="N54" s="2079"/>
      <c r="O54" s="2092">
        <v>12</v>
      </c>
      <c r="P54" s="2089"/>
      <c r="Q54" s="2092">
        <v>218.3</v>
      </c>
      <c r="R54" s="2089"/>
      <c r="S54" s="2092">
        <v>230.3</v>
      </c>
      <c r="T54" s="2089"/>
      <c r="U54" s="994">
        <v>0</v>
      </c>
      <c r="V54" s="994"/>
      <c r="W54" s="994">
        <v>12</v>
      </c>
    </row>
    <row r="55" spans="1:23">
      <c r="A55" s="2110">
        <v>36</v>
      </c>
      <c r="B55" s="2079"/>
      <c r="C55" s="2078" t="s">
        <v>2074</v>
      </c>
      <c r="D55" s="2079"/>
      <c r="E55" s="2079" t="s">
        <v>2517</v>
      </c>
      <c r="F55" s="2079"/>
      <c r="G55" s="2090">
        <v>0</v>
      </c>
      <c r="H55" s="2110"/>
      <c r="I55" s="2090">
        <v>0</v>
      </c>
      <c r="J55" s="2090"/>
      <c r="K55" s="2090">
        <v>0</v>
      </c>
      <c r="L55" s="2079"/>
      <c r="M55" s="2091" t="s">
        <v>347</v>
      </c>
      <c r="N55" s="2079"/>
      <c r="O55" s="2092">
        <v>0</v>
      </c>
      <c r="P55" s="2089"/>
      <c r="Q55" s="2092">
        <v>0</v>
      </c>
      <c r="R55" s="2089"/>
      <c r="S55" s="2092">
        <v>0</v>
      </c>
      <c r="T55" s="2089"/>
      <c r="U55" s="994">
        <v>0</v>
      </c>
      <c r="V55" s="994"/>
      <c r="W55" s="994">
        <v>0</v>
      </c>
    </row>
    <row r="56" spans="1:23">
      <c r="A56" s="2110">
        <v>37</v>
      </c>
      <c r="B56" s="2079"/>
      <c r="C56" s="2078" t="s">
        <v>2076</v>
      </c>
      <c r="D56" s="2079"/>
      <c r="E56" s="2079" t="s">
        <v>1251</v>
      </c>
      <c r="F56" s="2079"/>
      <c r="G56" s="2090">
        <v>5.2114208246992873E-2</v>
      </c>
      <c r="H56" s="2110"/>
      <c r="I56" s="2090">
        <v>0.94788579175300713</v>
      </c>
      <c r="J56" s="2090"/>
      <c r="K56" s="2090">
        <v>1</v>
      </c>
      <c r="L56" s="2079"/>
      <c r="M56" s="2091" t="s">
        <v>347</v>
      </c>
      <c r="N56" s="2079"/>
      <c r="O56" s="2092">
        <v>1509.98</v>
      </c>
      <c r="P56" s="2089"/>
      <c r="Q56" s="2092">
        <v>27464.46</v>
      </c>
      <c r="R56" s="2089"/>
      <c r="S56" s="2092">
        <v>28974.44</v>
      </c>
      <c r="T56" s="2089"/>
      <c r="U56" s="994">
        <v>0</v>
      </c>
      <c r="V56" s="994"/>
      <c r="W56" s="994">
        <v>1509.98</v>
      </c>
    </row>
    <row r="57" spans="1:23">
      <c r="A57" s="2110">
        <v>38</v>
      </c>
      <c r="B57" s="2079"/>
      <c r="C57" s="2078" t="s">
        <v>2071</v>
      </c>
      <c r="D57" s="2079"/>
      <c r="E57" s="2079" t="s">
        <v>2750</v>
      </c>
      <c r="F57" s="2079"/>
      <c r="G57" s="2090">
        <v>5.2109053497942384E-2</v>
      </c>
      <c r="H57" s="2110"/>
      <c r="I57" s="2090">
        <v>0.94789094650205763</v>
      </c>
      <c r="J57" s="2090"/>
      <c r="K57" s="2090">
        <v>1</v>
      </c>
      <c r="L57" s="2079"/>
      <c r="M57" s="2091" t="s">
        <v>347</v>
      </c>
      <c r="N57" s="2079"/>
      <c r="O57" s="2092">
        <v>50.65</v>
      </c>
      <c r="P57" s="2089"/>
      <c r="Q57" s="2092">
        <v>921.35</v>
      </c>
      <c r="R57" s="2089"/>
      <c r="S57" s="2092">
        <v>972</v>
      </c>
      <c r="T57" s="2089"/>
      <c r="U57" s="994">
        <v>0</v>
      </c>
      <c r="V57" s="994"/>
      <c r="W57" s="994">
        <v>50.65</v>
      </c>
    </row>
    <row r="58" spans="1:23">
      <c r="A58" s="2110">
        <v>39</v>
      </c>
      <c r="B58" s="2079"/>
      <c r="C58" s="2078" t="s">
        <v>1998</v>
      </c>
      <c r="D58" s="2079"/>
      <c r="E58" s="2079" t="s">
        <v>2535</v>
      </c>
      <c r="F58" s="2079"/>
      <c r="G58" s="2090">
        <v>5.2355368503273415E-2</v>
      </c>
      <c r="H58" s="2110"/>
      <c r="I58" s="2090">
        <v>0.94764463149672662</v>
      </c>
      <c r="J58" s="2090"/>
      <c r="K58" s="2090">
        <v>1</v>
      </c>
      <c r="L58" s="2079"/>
      <c r="M58" s="2091" t="s">
        <v>347</v>
      </c>
      <c r="N58" s="2079"/>
      <c r="O58" s="2092">
        <v>407.53000000000003</v>
      </c>
      <c r="P58" s="2089"/>
      <c r="Q58" s="2092">
        <v>7376.39</v>
      </c>
      <c r="R58" s="2089"/>
      <c r="S58" s="2092">
        <v>7783.92</v>
      </c>
      <c r="T58" s="2089"/>
      <c r="U58" s="994">
        <v>0</v>
      </c>
      <c r="V58" s="994"/>
      <c r="W58" s="994">
        <v>407.53000000000003</v>
      </c>
    </row>
    <row r="59" spans="1:23" ht="12.75" thickBot="1">
      <c r="A59" s="2110">
        <v>40</v>
      </c>
      <c r="B59" s="2079"/>
      <c r="C59" s="2078"/>
      <c r="D59" s="2079"/>
      <c r="E59" s="2079"/>
      <c r="F59" s="2079"/>
      <c r="G59" s="2110"/>
      <c r="H59" s="2110"/>
      <c r="I59" s="2110"/>
      <c r="J59" s="2110"/>
      <c r="K59" s="2090"/>
      <c r="L59" s="2079"/>
      <c r="M59" s="2079"/>
      <c r="N59" s="2079"/>
      <c r="O59" s="2145">
        <v>6884.5399999999981</v>
      </c>
      <c r="P59" s="2089"/>
      <c r="Q59" s="2145">
        <v>128943.58</v>
      </c>
      <c r="R59" s="2089"/>
      <c r="S59" s="2146">
        <v>135828.12000000002</v>
      </c>
      <c r="T59" s="2089"/>
      <c r="U59" s="2147">
        <v>0</v>
      </c>
      <c r="V59" s="2089"/>
      <c r="W59" s="2147">
        <v>6884.5399999999981</v>
      </c>
    </row>
    <row r="60" spans="1:23" ht="12.75" thickTop="1">
      <c r="A60" s="2110">
        <v>41</v>
      </c>
      <c r="B60" s="2079"/>
      <c r="C60" s="2078"/>
      <c r="D60" s="2079"/>
      <c r="E60" s="2079"/>
      <c r="F60" s="2079"/>
      <c r="G60" s="2110"/>
      <c r="H60" s="2110"/>
      <c r="I60" s="2110"/>
      <c r="J60" s="2110"/>
      <c r="K60" s="2110"/>
      <c r="L60" s="2079"/>
      <c r="M60" s="2079"/>
      <c r="N60" s="2079"/>
      <c r="O60" s="2079"/>
      <c r="P60" s="2079"/>
      <c r="Q60" s="2079"/>
      <c r="R60" s="2079"/>
      <c r="S60" s="2079"/>
      <c r="T60" s="2079"/>
      <c r="U60" s="2079"/>
      <c r="V60" s="2079"/>
      <c r="W60" s="2079"/>
    </row>
    <row r="61" spans="1:23">
      <c r="A61" s="2110">
        <v>42</v>
      </c>
      <c r="B61" s="2088" t="s">
        <v>2751</v>
      </c>
      <c r="C61" s="2078"/>
      <c r="D61" s="2079"/>
      <c r="E61" s="2079"/>
      <c r="F61" s="2079"/>
      <c r="G61" s="2090"/>
      <c r="H61" s="2110"/>
      <c r="I61" s="2090"/>
      <c r="J61" s="2090"/>
      <c r="K61" s="2090"/>
      <c r="L61" s="2079"/>
      <c r="M61" s="2079"/>
      <c r="N61" s="2079"/>
      <c r="O61" s="2089"/>
      <c r="P61" s="2089"/>
      <c r="Q61" s="2089"/>
      <c r="R61" s="2089"/>
      <c r="S61" s="2089"/>
      <c r="T61" s="2089"/>
      <c r="U61" s="2089"/>
      <c r="V61" s="2089"/>
      <c r="W61" s="2089"/>
    </row>
    <row r="62" spans="1:23">
      <c r="A62" s="2110">
        <v>43</v>
      </c>
      <c r="B62" s="2079"/>
      <c r="C62" s="2078"/>
      <c r="D62" s="2079"/>
      <c r="E62" s="2079"/>
      <c r="F62" s="2079"/>
      <c r="G62" s="2090"/>
      <c r="H62" s="2110"/>
      <c r="I62" s="2090"/>
      <c r="J62" s="2090"/>
      <c r="K62" s="2090"/>
      <c r="L62" s="2079"/>
      <c r="M62" s="2079"/>
      <c r="N62" s="2079"/>
      <c r="O62" s="2089"/>
      <c r="P62" s="2089"/>
      <c r="Q62" s="2089"/>
      <c r="R62" s="2089"/>
      <c r="S62" s="2089"/>
      <c r="T62" s="2089"/>
      <c r="U62" s="2089"/>
      <c r="V62" s="2089"/>
      <c r="W62" s="2089"/>
    </row>
    <row r="63" spans="1:23">
      <c r="A63" s="2110">
        <v>44</v>
      </c>
      <c r="B63" s="2079"/>
      <c r="C63" s="2078">
        <v>427</v>
      </c>
      <c r="D63" s="2079"/>
      <c r="E63" s="2079" t="s">
        <v>2619</v>
      </c>
      <c r="F63" s="2079"/>
      <c r="G63" s="2090">
        <v>0</v>
      </c>
      <c r="H63" s="2110"/>
      <c r="I63" s="2090">
        <v>0</v>
      </c>
      <c r="J63" s="2090"/>
      <c r="K63" s="2090">
        <v>0</v>
      </c>
      <c r="L63" s="2079"/>
      <c r="M63" s="2091" t="s">
        <v>2752</v>
      </c>
      <c r="N63" s="2079"/>
      <c r="O63" s="2092">
        <v>0</v>
      </c>
      <c r="P63" s="2092"/>
      <c r="Q63" s="2092">
        <v>0</v>
      </c>
      <c r="R63" s="2092"/>
      <c r="S63" s="2092">
        <v>0</v>
      </c>
      <c r="T63" s="2092"/>
      <c r="U63" s="994">
        <v>0</v>
      </c>
      <c r="V63" s="994"/>
      <c r="W63" s="994">
        <v>0</v>
      </c>
    </row>
    <row r="64" spans="1:23" ht="12.75" thickBot="1">
      <c r="A64" s="2110">
        <v>45</v>
      </c>
      <c r="B64" s="2079"/>
      <c r="C64" s="2078"/>
      <c r="D64" s="2079"/>
      <c r="E64" s="2079"/>
      <c r="F64" s="2079"/>
      <c r="G64" s="2110"/>
      <c r="H64" s="2110"/>
      <c r="I64" s="2110"/>
      <c r="J64" s="2110"/>
      <c r="K64" s="2090"/>
      <c r="L64" s="2079"/>
      <c r="M64" s="2079"/>
      <c r="N64" s="2079"/>
      <c r="O64" s="2145">
        <v>0</v>
      </c>
      <c r="P64" s="2089"/>
      <c r="Q64" s="2145">
        <v>0</v>
      </c>
      <c r="R64" s="2089"/>
      <c r="S64" s="2146">
        <v>0</v>
      </c>
      <c r="T64" s="2089"/>
      <c r="U64" s="2147">
        <v>0</v>
      </c>
      <c r="V64" s="2089"/>
      <c r="W64" s="2147">
        <v>0</v>
      </c>
    </row>
    <row r="65" spans="1:23" ht="12.75" thickTop="1">
      <c r="A65" s="2110">
        <v>46</v>
      </c>
      <c r="B65" s="2079" t="s">
        <v>2753</v>
      </c>
      <c r="C65" s="2078"/>
      <c r="D65" s="2079"/>
      <c r="E65" s="2079"/>
      <c r="F65" s="2079"/>
      <c r="G65" s="2110"/>
      <c r="H65" s="2110"/>
      <c r="I65" s="2110"/>
      <c r="J65" s="2110"/>
      <c r="K65" s="2110"/>
      <c r="L65" s="2079"/>
      <c r="M65" s="2079"/>
      <c r="N65" s="2079"/>
      <c r="O65" s="2079"/>
      <c r="P65" s="2079"/>
      <c r="Q65" s="2079"/>
      <c r="R65" s="2079"/>
      <c r="S65" s="2079"/>
      <c r="T65" s="2079"/>
      <c r="U65" s="2079"/>
      <c r="V65" s="2079"/>
      <c r="W65" s="2079"/>
    </row>
  </sheetData>
  <mergeCells count="6">
    <mergeCell ref="G15:K15"/>
    <mergeCell ref="U10:W10"/>
    <mergeCell ref="U11:W11"/>
    <mergeCell ref="U12:W12"/>
    <mergeCell ref="U13:W13"/>
    <mergeCell ref="O14:W14"/>
  </mergeCells>
  <pageMargins left="0.75" right="0.5" top="0.75" bottom="0.5" header="0.25" footer="0.25"/>
  <pageSetup scale="66"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A1:W65"/>
  <sheetViews>
    <sheetView view="pageBreakPreview" zoomScale="60" zoomScaleNormal="100" workbookViewId="0">
      <selection sqref="A1:XFD1048576"/>
    </sheetView>
  </sheetViews>
  <sheetFormatPr defaultRowHeight="12"/>
  <cols>
    <col min="1" max="1" width="4" style="991" customWidth="1"/>
    <col min="2" max="2" width="3" style="991" customWidth="1"/>
    <col min="3" max="3" width="10.85546875" style="991" customWidth="1"/>
    <col min="4" max="4" width="2.28515625" style="991" customWidth="1"/>
    <col min="5" max="5" width="33.7109375" style="991" customWidth="1"/>
    <col min="6" max="6" width="2.28515625" style="991" customWidth="1"/>
    <col min="7" max="7" width="18" style="991" bestFit="1" customWidth="1"/>
    <col min="8" max="8" width="2.28515625" style="991" customWidth="1"/>
    <col min="9" max="9" width="12.7109375" style="991" customWidth="1"/>
    <col min="10" max="10" width="2.28515625" style="991" customWidth="1"/>
    <col min="11" max="11" width="9.7109375" style="991" customWidth="1"/>
    <col min="12" max="12" width="2.28515625" style="991" customWidth="1"/>
    <col min="13" max="13" width="19.140625" style="991" bestFit="1" customWidth="1"/>
    <col min="14" max="14" width="2.28515625" style="991" customWidth="1"/>
    <col min="15" max="15" width="18" style="991" bestFit="1" customWidth="1"/>
    <col min="16" max="16" width="2.28515625" style="991" customWidth="1"/>
    <col min="17" max="17" width="11.7109375" style="991" customWidth="1"/>
    <col min="18" max="18" width="4.85546875" style="991" customWidth="1"/>
    <col min="19" max="19" width="9.28515625" style="991" bestFit="1" customWidth="1"/>
    <col min="20" max="20" width="2.28515625" style="991" customWidth="1"/>
    <col min="21" max="21" width="5.7109375" style="991" bestFit="1" customWidth="1"/>
    <col min="22" max="22" width="2.28515625" style="991" customWidth="1"/>
    <col min="23" max="23" width="9.85546875" style="991" customWidth="1"/>
    <col min="24" max="16384" width="9.140625" style="991"/>
  </cols>
  <sheetData>
    <row r="1" spans="1:23">
      <c r="A1" s="2079"/>
      <c r="B1" s="2079"/>
      <c r="C1" s="2078"/>
      <c r="D1" s="2079"/>
      <c r="E1" s="2079"/>
      <c r="F1" s="2079"/>
      <c r="G1" s="2110"/>
      <c r="H1" s="2110"/>
      <c r="I1" s="2110"/>
      <c r="J1" s="2110"/>
      <c r="K1" s="2110"/>
      <c r="L1" s="2079"/>
      <c r="M1" s="2079"/>
      <c r="N1" s="2079"/>
      <c r="O1" s="2079"/>
      <c r="P1" s="2079"/>
      <c r="Q1" s="2079"/>
      <c r="R1" s="2079"/>
      <c r="S1" s="2079"/>
      <c r="T1" s="2079"/>
      <c r="U1" s="2079"/>
      <c r="V1" s="2079"/>
      <c r="W1" s="2078" t="s">
        <v>1209</v>
      </c>
    </row>
    <row r="2" spans="1:23">
      <c r="A2" s="2080" t="s">
        <v>2716</v>
      </c>
      <c r="B2" s="2079"/>
      <c r="C2" s="2078"/>
      <c r="D2" s="2079"/>
      <c r="E2" s="2079"/>
      <c r="F2" s="2079"/>
      <c r="G2" s="2110"/>
      <c r="H2" s="2137"/>
      <c r="I2" s="2137" t="s">
        <v>911</v>
      </c>
      <c r="J2" s="2137"/>
      <c r="K2" s="2137"/>
      <c r="L2" s="2138"/>
      <c r="M2" s="2079"/>
      <c r="N2" s="2079"/>
      <c r="O2" s="2079"/>
      <c r="P2" s="2079"/>
      <c r="Q2" s="2079"/>
      <c r="R2" s="2079"/>
      <c r="S2" s="2078"/>
      <c r="T2" s="2079"/>
      <c r="U2" s="2079"/>
      <c r="V2" s="2079"/>
      <c r="W2" s="2078"/>
    </row>
    <row r="3" spans="1:23">
      <c r="A3" s="2080"/>
      <c r="B3" s="2079"/>
      <c r="C3" s="2078"/>
      <c r="D3" s="2079"/>
      <c r="E3" s="2079"/>
      <c r="F3" s="2079"/>
      <c r="G3" s="2110"/>
      <c r="H3" s="2137"/>
      <c r="I3" s="2137"/>
      <c r="J3" s="2137"/>
      <c r="K3" s="2137"/>
      <c r="L3" s="2138"/>
      <c r="M3" s="2079"/>
      <c r="N3" s="2079"/>
      <c r="O3" s="2079"/>
      <c r="P3" s="2079"/>
      <c r="Q3" s="2079"/>
      <c r="R3" s="2079"/>
      <c r="S3" s="2080"/>
      <c r="T3" s="2079"/>
      <c r="U3" s="2079"/>
      <c r="V3" s="2079"/>
      <c r="W3" s="2078" t="s">
        <v>2717</v>
      </c>
    </row>
    <row r="4" spans="1:23">
      <c r="A4" s="2079" t="s">
        <v>2644</v>
      </c>
      <c r="B4" s="2080"/>
      <c r="C4" s="2080"/>
      <c r="D4" s="2079"/>
      <c r="E4" s="2079"/>
      <c r="F4" s="2079"/>
      <c r="G4" s="2110"/>
      <c r="H4" s="2137"/>
      <c r="I4" s="2137"/>
      <c r="J4" s="2137"/>
      <c r="K4" s="2137"/>
      <c r="L4" s="2138"/>
      <c r="M4" s="2079"/>
      <c r="N4" s="2079"/>
      <c r="O4" s="2079"/>
      <c r="P4" s="2079"/>
      <c r="Q4" s="2079"/>
      <c r="R4" s="2079"/>
      <c r="S4" s="2078"/>
      <c r="T4" s="2079"/>
      <c r="U4" s="2079"/>
      <c r="V4" s="2079"/>
      <c r="W4" s="2078" t="s">
        <v>2762</v>
      </c>
    </row>
    <row r="5" spans="1:23">
      <c r="A5" s="2080" t="s">
        <v>2719</v>
      </c>
      <c r="B5" s="2079"/>
      <c r="C5" s="2078"/>
      <c r="D5" s="2079"/>
      <c r="E5" s="2079"/>
      <c r="F5" s="2080"/>
      <c r="G5" s="2110"/>
      <c r="H5" s="2137"/>
      <c r="I5" s="2137"/>
      <c r="J5" s="2137"/>
      <c r="K5" s="2137"/>
      <c r="L5" s="2138"/>
      <c r="M5" s="2079"/>
      <c r="N5" s="2079"/>
      <c r="O5" s="2079"/>
      <c r="P5" s="2079"/>
      <c r="Q5" s="2079"/>
      <c r="R5" s="2079"/>
      <c r="S5" s="2078"/>
      <c r="T5" s="2079"/>
      <c r="U5" s="2079"/>
      <c r="V5" s="2079"/>
      <c r="W5" s="2078"/>
    </row>
    <row r="6" spans="1:23">
      <c r="A6" s="2080" t="s">
        <v>1935</v>
      </c>
      <c r="B6" s="2079"/>
      <c r="C6" s="2078"/>
      <c r="D6" s="2079"/>
      <c r="E6" s="2139"/>
      <c r="F6" s="2080"/>
      <c r="G6" s="2110"/>
      <c r="H6" s="2137"/>
      <c r="I6" s="2137"/>
      <c r="J6" s="2137"/>
      <c r="K6" s="2137"/>
      <c r="L6" s="2138"/>
      <c r="M6" s="2079"/>
      <c r="N6" s="2079"/>
      <c r="O6" s="2079"/>
      <c r="P6" s="2079"/>
      <c r="Q6" s="2079"/>
      <c r="R6" s="2079"/>
      <c r="S6" s="2080"/>
      <c r="T6" s="2079"/>
      <c r="U6" s="2079"/>
      <c r="V6" s="2079"/>
      <c r="W6" s="1011" t="s">
        <v>2950</v>
      </c>
    </row>
    <row r="7" spans="1:23">
      <c r="A7" s="2080" t="s">
        <v>1092</v>
      </c>
      <c r="B7" s="2079"/>
      <c r="C7" s="2078"/>
      <c r="D7" s="2079"/>
      <c r="E7" s="2079"/>
      <c r="F7" s="2080"/>
      <c r="G7" s="2110"/>
      <c r="H7" s="2137"/>
      <c r="I7" s="2137"/>
      <c r="J7" s="2137"/>
      <c r="K7" s="2137"/>
      <c r="L7" s="2138"/>
      <c r="M7" s="2079"/>
      <c r="N7" s="2079"/>
      <c r="O7" s="2079"/>
      <c r="P7" s="2079"/>
      <c r="Q7" s="2079"/>
      <c r="R7" s="2079"/>
      <c r="S7" s="2078"/>
      <c r="T7" s="2079"/>
      <c r="U7" s="2079"/>
      <c r="V7" s="2079"/>
      <c r="W7" s="2078"/>
    </row>
    <row r="8" spans="1:23">
      <c r="A8" s="2080" t="s">
        <v>717</v>
      </c>
      <c r="B8" s="2079"/>
      <c r="C8" s="2078"/>
      <c r="D8" s="2079"/>
      <c r="E8" s="2079"/>
      <c r="F8" s="2080"/>
      <c r="G8" s="2110"/>
      <c r="H8" s="2137"/>
      <c r="I8" s="2137"/>
      <c r="J8" s="2137"/>
      <c r="K8" s="2137"/>
      <c r="L8" s="2138"/>
      <c r="M8" s="2079"/>
      <c r="N8" s="2079"/>
      <c r="O8" s="2079"/>
      <c r="P8" s="2079"/>
      <c r="Q8" s="2079"/>
      <c r="R8" s="2079"/>
      <c r="S8" s="2079"/>
      <c r="T8" s="2079"/>
      <c r="U8" s="2079"/>
      <c r="V8" s="2079"/>
      <c r="W8" s="2079"/>
    </row>
    <row r="9" spans="1:23">
      <c r="A9" s="2079"/>
      <c r="B9" s="2079"/>
      <c r="C9" s="2078"/>
      <c r="D9" s="2079"/>
      <c r="E9" s="2079"/>
      <c r="F9" s="2079"/>
      <c r="G9" s="2110"/>
      <c r="H9" s="2110"/>
      <c r="I9" s="2110"/>
      <c r="J9" s="2110"/>
      <c r="K9" s="2110"/>
      <c r="L9" s="2079"/>
      <c r="M9" s="2079"/>
      <c r="N9" s="2079"/>
      <c r="O9" s="2079"/>
      <c r="P9" s="2079"/>
      <c r="Q9" s="2079"/>
      <c r="R9" s="2079"/>
      <c r="S9" s="2079"/>
      <c r="T9" s="2079"/>
      <c r="U9" s="2079"/>
      <c r="V9" s="2079"/>
      <c r="W9" s="2079"/>
    </row>
    <row r="10" spans="1:23">
      <c r="A10" s="2079" t="s">
        <v>2720</v>
      </c>
      <c r="B10" s="2079"/>
      <c r="C10" s="2078"/>
      <c r="D10" s="2079"/>
      <c r="E10" s="2079"/>
      <c r="F10" s="2079"/>
      <c r="G10" s="2110"/>
      <c r="H10" s="2110"/>
      <c r="I10" s="2110"/>
      <c r="J10" s="2110"/>
      <c r="K10" s="2110"/>
      <c r="L10" s="2079"/>
      <c r="M10" s="2079"/>
      <c r="N10" s="2079"/>
      <c r="O10" s="2079"/>
      <c r="P10" s="2079"/>
      <c r="Q10" s="2079"/>
      <c r="R10" s="2079"/>
      <c r="S10" s="2079"/>
      <c r="T10" s="2079"/>
      <c r="U10" s="2318" t="s">
        <v>2956</v>
      </c>
      <c r="V10" s="2318"/>
      <c r="W10" s="2318"/>
    </row>
    <row r="11" spans="1:23">
      <c r="A11" s="2080" t="s">
        <v>2721</v>
      </c>
      <c r="B11" s="2079"/>
      <c r="C11" s="2078"/>
      <c r="D11" s="2079"/>
      <c r="E11" s="2079"/>
      <c r="F11" s="2079"/>
      <c r="G11" s="2110"/>
      <c r="H11" s="2110"/>
      <c r="I11" s="2110"/>
      <c r="J11" s="2110"/>
      <c r="K11" s="2110"/>
      <c r="L11" s="2079"/>
      <c r="M11" s="2079"/>
      <c r="N11" s="2079"/>
      <c r="O11" s="2079"/>
      <c r="P11" s="2079"/>
      <c r="Q11" s="2079"/>
      <c r="R11" s="2079"/>
      <c r="S11" s="2079"/>
      <c r="T11" s="2079"/>
      <c r="U11" s="2317" t="s">
        <v>2722</v>
      </c>
      <c r="V11" s="2317"/>
      <c r="W11" s="2317"/>
    </row>
    <row r="12" spans="1:23">
      <c r="A12" s="2140"/>
      <c r="B12" s="2140"/>
      <c r="C12" s="2141"/>
      <c r="D12" s="2140"/>
      <c r="E12" s="2140"/>
      <c r="F12" s="2140"/>
      <c r="G12" s="2142"/>
      <c r="H12" s="2142"/>
      <c r="I12" s="2142"/>
      <c r="J12" s="2142"/>
      <c r="K12" s="2142"/>
      <c r="L12" s="2140"/>
      <c r="M12" s="2140"/>
      <c r="N12" s="2140"/>
      <c r="O12" s="2140"/>
      <c r="P12" s="2140"/>
      <c r="Q12" s="2140"/>
      <c r="R12" s="2140"/>
      <c r="S12" s="2140"/>
      <c r="T12" s="2140"/>
      <c r="U12" s="2319"/>
      <c r="V12" s="2319"/>
      <c r="W12" s="2319"/>
    </row>
    <row r="13" spans="1:23">
      <c r="A13" s="2082"/>
      <c r="B13" s="2082"/>
      <c r="C13" s="2083"/>
      <c r="D13" s="2082"/>
      <c r="E13" s="2082"/>
      <c r="F13" s="2082"/>
      <c r="G13" s="2084">
        <v>-1</v>
      </c>
      <c r="H13" s="2084"/>
      <c r="I13" s="2084">
        <v>-2</v>
      </c>
      <c r="J13" s="2084"/>
      <c r="K13" s="2084">
        <v>-3</v>
      </c>
      <c r="L13" s="2082"/>
      <c r="M13" s="2084">
        <v>-4</v>
      </c>
      <c r="N13" s="2082"/>
      <c r="O13" s="2084">
        <v>-5</v>
      </c>
      <c r="P13" s="2082"/>
      <c r="Q13" s="2084">
        <v>-6</v>
      </c>
      <c r="R13" s="2082"/>
      <c r="S13" s="2084">
        <v>-7</v>
      </c>
      <c r="T13" s="2082"/>
      <c r="U13" s="2320">
        <v>-8</v>
      </c>
      <c r="V13" s="2320"/>
      <c r="W13" s="2320"/>
    </row>
    <row r="14" spans="1:23">
      <c r="A14" s="2082"/>
      <c r="B14" s="2082"/>
      <c r="C14" s="2083"/>
      <c r="D14" s="2082"/>
      <c r="E14" s="2082"/>
      <c r="F14" s="2082"/>
      <c r="G14" s="2084"/>
      <c r="H14" s="2084"/>
      <c r="I14" s="2084"/>
      <c r="J14" s="2084"/>
      <c r="K14" s="2084"/>
      <c r="L14" s="2082"/>
      <c r="M14" s="2084"/>
      <c r="N14" s="2082"/>
      <c r="O14" s="2321" t="s">
        <v>2763</v>
      </c>
      <c r="P14" s="2321"/>
      <c r="Q14" s="2321"/>
      <c r="R14" s="2321"/>
      <c r="S14" s="2321"/>
      <c r="T14" s="2321"/>
      <c r="U14" s="2321"/>
      <c r="V14" s="2321"/>
      <c r="W14" s="2321"/>
    </row>
    <row r="15" spans="1:23">
      <c r="A15" s="2079"/>
      <c r="B15" s="2079"/>
      <c r="C15" s="2078"/>
      <c r="D15" s="2079"/>
      <c r="E15" s="2079"/>
      <c r="F15" s="2079"/>
      <c r="G15" s="2317" t="s">
        <v>2724</v>
      </c>
      <c r="H15" s="2317"/>
      <c r="I15" s="2317"/>
      <c r="J15" s="2317"/>
      <c r="K15" s="2317"/>
      <c r="L15" s="2143"/>
      <c r="M15" s="2143"/>
      <c r="N15" s="2143"/>
      <c r="O15" s="2143"/>
      <c r="P15" s="2140"/>
      <c r="Q15" s="2142" t="s">
        <v>2725</v>
      </c>
      <c r="R15" s="2140"/>
      <c r="S15" s="2140"/>
      <c r="T15" s="2079"/>
      <c r="U15" s="2143"/>
      <c r="V15" s="2142"/>
      <c r="W15" s="2142"/>
    </row>
    <row r="16" spans="1:23">
      <c r="A16" s="2079"/>
      <c r="B16" s="2079"/>
      <c r="C16" s="2110" t="s">
        <v>2726</v>
      </c>
      <c r="D16" s="2079"/>
      <c r="E16" s="2079"/>
      <c r="F16" s="2079"/>
      <c r="G16" s="2110"/>
      <c r="H16" s="2110"/>
      <c r="I16" s="2110" t="s">
        <v>1170</v>
      </c>
      <c r="J16" s="2110"/>
      <c r="K16" s="2110"/>
      <c r="L16" s="2079"/>
      <c r="M16" s="2110" t="s">
        <v>731</v>
      </c>
      <c r="N16" s="2079"/>
      <c r="O16" s="2110"/>
      <c r="P16" s="2079"/>
      <c r="Q16" s="2110" t="s">
        <v>1170</v>
      </c>
      <c r="R16" s="2079"/>
      <c r="S16" s="2110"/>
      <c r="T16" s="2079"/>
      <c r="U16" s="2110"/>
      <c r="V16" s="2079"/>
      <c r="W16" s="2110"/>
    </row>
    <row r="17" spans="1:23">
      <c r="A17" s="2110" t="s">
        <v>53</v>
      </c>
      <c r="B17" s="2079"/>
      <c r="C17" s="2110" t="s">
        <v>2727</v>
      </c>
      <c r="D17" s="2079"/>
      <c r="E17" s="2079"/>
      <c r="F17" s="2085"/>
      <c r="G17" s="2086"/>
      <c r="H17" s="2086"/>
      <c r="I17" s="2086" t="s">
        <v>2728</v>
      </c>
      <c r="J17" s="2086"/>
      <c r="K17" s="2086"/>
      <c r="L17" s="2085"/>
      <c r="M17" s="2110" t="s">
        <v>2729</v>
      </c>
      <c r="N17" s="2085"/>
      <c r="O17" s="2086"/>
      <c r="P17" s="2085"/>
      <c r="Q17" s="2086" t="s">
        <v>2728</v>
      </c>
      <c r="R17" s="2085"/>
      <c r="S17" s="2081"/>
      <c r="T17" s="2085"/>
      <c r="U17" s="2087">
        <v>0</v>
      </c>
      <c r="V17" s="2085"/>
      <c r="W17" s="2087">
        <v>1</v>
      </c>
    </row>
    <row r="18" spans="1:23">
      <c r="A18" s="2142" t="s">
        <v>730</v>
      </c>
      <c r="B18" s="2143"/>
      <c r="C18" s="2142" t="s">
        <v>730</v>
      </c>
      <c r="D18" s="2143"/>
      <c r="E18" s="2142" t="s">
        <v>731</v>
      </c>
      <c r="F18" s="2143"/>
      <c r="G18" s="2144" t="s">
        <v>2956</v>
      </c>
      <c r="H18" s="2142"/>
      <c r="I18" s="2142" t="s">
        <v>2730</v>
      </c>
      <c r="J18" s="2142"/>
      <c r="K18" s="2142" t="s">
        <v>81</v>
      </c>
      <c r="L18" s="2143"/>
      <c r="M18" s="2142" t="s">
        <v>2731</v>
      </c>
      <c r="N18" s="2143"/>
      <c r="O18" s="2144" t="s">
        <v>2956</v>
      </c>
      <c r="P18" s="2143"/>
      <c r="Q18" s="2142" t="s">
        <v>2730</v>
      </c>
      <c r="R18" s="2143"/>
      <c r="S18" s="2142" t="s">
        <v>81</v>
      </c>
      <c r="T18" s="2143"/>
      <c r="U18" s="2142" t="s">
        <v>498</v>
      </c>
      <c r="V18" s="2143"/>
      <c r="W18" s="2142" t="s">
        <v>670</v>
      </c>
    </row>
    <row r="19" spans="1:23">
      <c r="A19" s="2079"/>
      <c r="B19" s="2079"/>
      <c r="C19" s="2078"/>
      <c r="D19" s="2079"/>
      <c r="E19" s="2079"/>
      <c r="F19" s="2079"/>
      <c r="G19" s="2110"/>
      <c r="H19" s="2110"/>
      <c r="I19" s="2110"/>
      <c r="J19" s="2110"/>
      <c r="K19" s="2110"/>
      <c r="L19" s="2079"/>
      <c r="M19" s="2079"/>
      <c r="N19" s="2079"/>
      <c r="O19" s="2079"/>
      <c r="P19" s="2079"/>
      <c r="Q19" s="2079"/>
      <c r="R19" s="2079"/>
      <c r="S19" s="2079"/>
      <c r="T19" s="2079"/>
      <c r="U19" s="2079"/>
      <c r="V19" s="2079"/>
      <c r="W19" s="2079"/>
    </row>
    <row r="20" spans="1:23">
      <c r="A20" s="2110">
        <v>1</v>
      </c>
      <c r="B20" s="2088" t="s">
        <v>2732</v>
      </c>
      <c r="C20" s="2078"/>
      <c r="D20" s="2079"/>
      <c r="E20" s="2079"/>
      <c r="F20" s="2079"/>
      <c r="G20" s="2110"/>
      <c r="H20" s="2110"/>
      <c r="I20" s="2110"/>
      <c r="J20" s="2110"/>
      <c r="K20" s="2110"/>
      <c r="L20" s="2079"/>
      <c r="M20" s="2079"/>
      <c r="N20" s="2079"/>
      <c r="O20" s="2089"/>
      <c r="P20" s="2089"/>
      <c r="Q20" s="2089"/>
      <c r="R20" s="2089"/>
      <c r="S20" s="2089"/>
      <c r="T20" s="2089"/>
      <c r="U20" s="2089"/>
      <c r="V20" s="2089"/>
      <c r="W20" s="2089"/>
    </row>
    <row r="21" spans="1:23">
      <c r="A21" s="2110">
        <v>2</v>
      </c>
      <c r="B21" s="2079"/>
      <c r="C21" s="2078">
        <v>403</v>
      </c>
      <c r="D21" s="2079"/>
      <c r="E21" s="2079" t="s">
        <v>379</v>
      </c>
      <c r="F21" s="2079"/>
      <c r="G21" s="2090">
        <v>1.1930512146373303E-2</v>
      </c>
      <c r="H21" s="2110"/>
      <c r="I21" s="2090">
        <v>0.98806948785362669</v>
      </c>
      <c r="J21" s="2090"/>
      <c r="K21" s="2090">
        <v>1</v>
      </c>
      <c r="L21" s="2079"/>
      <c r="M21" s="2091" t="s">
        <v>347</v>
      </c>
      <c r="N21" s="2079"/>
      <c r="O21" s="2092">
        <v>3572.06</v>
      </c>
      <c r="P21" s="2092"/>
      <c r="Q21" s="2089">
        <v>295833.36</v>
      </c>
      <c r="R21" s="2092"/>
      <c r="S21" s="2092">
        <v>299405.42</v>
      </c>
      <c r="T21" s="2092"/>
      <c r="U21" s="2089">
        <v>0</v>
      </c>
      <c r="V21" s="2089"/>
      <c r="W21" s="2089">
        <v>3572.06</v>
      </c>
    </row>
    <row r="22" spans="1:23">
      <c r="A22" s="2110">
        <v>3</v>
      </c>
      <c r="B22" s="2079"/>
      <c r="C22" s="2078">
        <v>408</v>
      </c>
      <c r="D22" s="2079"/>
      <c r="E22" s="2079" t="s">
        <v>25</v>
      </c>
      <c r="F22" s="2079"/>
      <c r="G22" s="2090">
        <v>1.2291346978178335E-2</v>
      </c>
      <c r="H22" s="2110"/>
      <c r="I22" s="2090">
        <v>0.98770865302182165</v>
      </c>
      <c r="J22" s="2090"/>
      <c r="K22" s="2090">
        <v>1</v>
      </c>
      <c r="L22" s="2079"/>
      <c r="M22" s="2091" t="s">
        <v>347</v>
      </c>
      <c r="N22" s="2079"/>
      <c r="O22" s="2092">
        <v>409.47</v>
      </c>
      <c r="P22" s="2089"/>
      <c r="Q22" s="2089">
        <v>32904.21</v>
      </c>
      <c r="R22" s="2089"/>
      <c r="S22" s="2092">
        <v>33313.68</v>
      </c>
      <c r="T22" s="2089"/>
      <c r="U22" s="2089">
        <v>0</v>
      </c>
      <c r="V22" s="2089"/>
      <c r="W22" s="2089">
        <v>409.47</v>
      </c>
    </row>
    <row r="23" spans="1:23">
      <c r="A23" s="2110">
        <v>4</v>
      </c>
      <c r="B23" s="2079"/>
      <c r="C23" s="2078">
        <v>409</v>
      </c>
      <c r="D23" s="2079"/>
      <c r="E23" s="2079" t="s">
        <v>2733</v>
      </c>
      <c r="F23" s="2079"/>
      <c r="G23" s="2090">
        <v>0</v>
      </c>
      <c r="H23" s="2110"/>
      <c r="I23" s="2090">
        <v>0</v>
      </c>
      <c r="J23" s="2090"/>
      <c r="K23" s="2090">
        <v>0</v>
      </c>
      <c r="L23" s="2079"/>
      <c r="M23" s="2091" t="s">
        <v>347</v>
      </c>
      <c r="N23" s="2079"/>
      <c r="O23" s="2092">
        <v>0</v>
      </c>
      <c r="P23" s="2089"/>
      <c r="Q23" s="2089">
        <v>0</v>
      </c>
      <c r="R23" s="2089"/>
      <c r="S23" s="2092">
        <v>0</v>
      </c>
      <c r="T23" s="2089"/>
      <c r="U23" s="2089">
        <v>0</v>
      </c>
      <c r="V23" s="2089"/>
      <c r="W23" s="2089">
        <v>0</v>
      </c>
    </row>
    <row r="24" spans="1:23">
      <c r="A24" s="2110">
        <v>5</v>
      </c>
      <c r="B24" s="2079"/>
      <c r="C24" s="2078">
        <v>410</v>
      </c>
      <c r="D24" s="2079"/>
      <c r="E24" s="2079" t="s">
        <v>2734</v>
      </c>
      <c r="F24" s="2079"/>
      <c r="G24" s="2090">
        <v>0</v>
      </c>
      <c r="H24" s="2110"/>
      <c r="I24" s="2090">
        <v>0</v>
      </c>
      <c r="J24" s="2090"/>
      <c r="K24" s="2090">
        <v>0</v>
      </c>
      <c r="L24" s="2079"/>
      <c r="M24" s="2091" t="s">
        <v>347</v>
      </c>
      <c r="N24" s="2079"/>
      <c r="O24" s="2092">
        <v>0</v>
      </c>
      <c r="P24" s="2089"/>
      <c r="Q24" s="2089">
        <v>0</v>
      </c>
      <c r="R24" s="2089"/>
      <c r="S24" s="2092">
        <v>0</v>
      </c>
      <c r="T24" s="2089"/>
      <c r="U24" s="2089">
        <v>0</v>
      </c>
      <c r="V24" s="2089"/>
      <c r="W24" s="2089">
        <v>0</v>
      </c>
    </row>
    <row r="25" spans="1:23">
      <c r="A25" s="2110">
        <v>6</v>
      </c>
      <c r="B25" s="2079"/>
      <c r="C25" s="2078" t="s">
        <v>2735</v>
      </c>
      <c r="D25" s="2079"/>
      <c r="E25" s="2079" t="s">
        <v>530</v>
      </c>
      <c r="F25" s="2079"/>
      <c r="G25" s="2090">
        <v>1.2291213669955043E-2</v>
      </c>
      <c r="H25" s="2110"/>
      <c r="I25" s="2090">
        <v>0.987708786330045</v>
      </c>
      <c r="J25" s="2090"/>
      <c r="K25" s="2090">
        <v>1</v>
      </c>
      <c r="L25" s="2079"/>
      <c r="M25" s="2091" t="s">
        <v>347</v>
      </c>
      <c r="N25" s="2079"/>
      <c r="O25" s="2092">
        <v>-17.579999999999998</v>
      </c>
      <c r="P25" s="2089"/>
      <c r="Q25" s="2089">
        <v>-1412.71</v>
      </c>
      <c r="R25" s="2089"/>
      <c r="S25" s="2092">
        <v>-1430.29</v>
      </c>
      <c r="T25" s="2089"/>
      <c r="U25" s="2089">
        <v>0</v>
      </c>
      <c r="V25" s="2089"/>
      <c r="W25" s="2089">
        <v>-17.579999999999998</v>
      </c>
    </row>
    <row r="26" spans="1:23">
      <c r="A26" s="2110">
        <v>7</v>
      </c>
      <c r="B26" s="2079"/>
      <c r="C26" s="2078">
        <v>427</v>
      </c>
      <c r="D26" s="2079"/>
      <c r="E26" s="2079" t="s">
        <v>2619</v>
      </c>
      <c r="F26" s="2079"/>
      <c r="G26" s="2090">
        <v>-7.4571768160526366</v>
      </c>
      <c r="H26" s="2110"/>
      <c r="I26" s="2090">
        <v>8.4571768160526357</v>
      </c>
      <c r="J26" s="2090"/>
      <c r="K26" s="2090">
        <v>1</v>
      </c>
      <c r="L26" s="2079"/>
      <c r="M26" s="2091" t="s">
        <v>347</v>
      </c>
      <c r="N26" s="2079"/>
      <c r="O26" s="2092">
        <v>1066.5999999999999</v>
      </c>
      <c r="P26" s="2089"/>
      <c r="Q26" s="2089">
        <v>-1209.6299999999987</v>
      </c>
      <c r="R26" s="2089"/>
      <c r="S26" s="2092">
        <v>-143.02999999999884</v>
      </c>
      <c r="T26" s="2089"/>
      <c r="U26" s="2089">
        <v>0</v>
      </c>
      <c r="V26" s="2089"/>
      <c r="W26" s="2089">
        <v>1066.5999999999999</v>
      </c>
    </row>
    <row r="27" spans="1:23">
      <c r="A27" s="2110">
        <v>8</v>
      </c>
      <c r="B27" s="2079"/>
      <c r="C27" s="2078" t="s">
        <v>2736</v>
      </c>
      <c r="D27" s="2079"/>
      <c r="E27" s="2079" t="s">
        <v>2737</v>
      </c>
      <c r="F27" s="2079"/>
      <c r="G27" s="2090">
        <v>1.2291011667871787E-2</v>
      </c>
      <c r="H27" s="2110"/>
      <c r="I27" s="2090">
        <v>0.98770898833212828</v>
      </c>
      <c r="J27" s="2090"/>
      <c r="K27" s="2090">
        <v>1</v>
      </c>
      <c r="L27" s="2079"/>
      <c r="M27" s="2091" t="s">
        <v>347</v>
      </c>
      <c r="N27" s="2091"/>
      <c r="O27" s="2092">
        <v>4508.9800000000005</v>
      </c>
      <c r="P27" s="2092"/>
      <c r="Q27" s="2089">
        <v>362342.84</v>
      </c>
      <c r="R27" s="2092"/>
      <c r="S27" s="2092">
        <v>366851.82</v>
      </c>
      <c r="T27" s="2092"/>
      <c r="U27" s="2089">
        <v>0</v>
      </c>
      <c r="V27" s="2089"/>
      <c r="W27" s="2089">
        <v>4508.9800000000005</v>
      </c>
    </row>
    <row r="28" spans="1:23">
      <c r="A28" s="2110">
        <v>9</v>
      </c>
      <c r="B28" s="2079"/>
      <c r="C28" s="2078" t="s">
        <v>2002</v>
      </c>
      <c r="D28" s="2079"/>
      <c r="E28" s="2079" t="s">
        <v>2738</v>
      </c>
      <c r="F28" s="2079"/>
      <c r="G28" s="2090">
        <v>1.2291036760942202E-2</v>
      </c>
      <c r="H28" s="2110"/>
      <c r="I28" s="2090">
        <v>0.98770896323905766</v>
      </c>
      <c r="J28" s="2090"/>
      <c r="K28" s="2090">
        <v>1</v>
      </c>
      <c r="L28" s="2079"/>
      <c r="M28" s="2091" t="s">
        <v>347</v>
      </c>
      <c r="N28" s="2079"/>
      <c r="O28" s="2092">
        <v>7560.81</v>
      </c>
      <c r="P28" s="2089"/>
      <c r="Q28" s="2089">
        <v>607587.46000000008</v>
      </c>
      <c r="R28" s="2089"/>
      <c r="S28" s="2092">
        <v>615148.27000000014</v>
      </c>
      <c r="T28" s="2089"/>
      <c r="U28" s="2089">
        <v>0</v>
      </c>
      <c r="V28" s="2089"/>
      <c r="W28" s="2089">
        <v>7560.81</v>
      </c>
    </row>
    <row r="29" spans="1:23">
      <c r="A29" s="2110">
        <v>10</v>
      </c>
      <c r="B29" s="2079"/>
      <c r="C29" s="2078" t="s">
        <v>1991</v>
      </c>
      <c r="D29" s="2079"/>
      <c r="E29" s="2079" t="s">
        <v>2739</v>
      </c>
      <c r="F29" s="2079"/>
      <c r="G29" s="2090">
        <v>1.2290828278803541E-2</v>
      </c>
      <c r="H29" s="2110"/>
      <c r="I29" s="2090">
        <v>0.98770917172119643</v>
      </c>
      <c r="J29" s="2090"/>
      <c r="K29" s="2090">
        <v>1</v>
      </c>
      <c r="L29" s="2079"/>
      <c r="M29" s="2091" t="s">
        <v>347</v>
      </c>
      <c r="N29" s="2079"/>
      <c r="O29" s="2092">
        <v>979.68999999999994</v>
      </c>
      <c r="P29" s="2089"/>
      <c r="Q29" s="2089">
        <v>78729.340000000011</v>
      </c>
      <c r="R29" s="2089"/>
      <c r="S29" s="2092">
        <v>79709.030000000013</v>
      </c>
      <c r="T29" s="2089"/>
      <c r="U29" s="2089">
        <v>0</v>
      </c>
      <c r="V29" s="2089"/>
      <c r="W29" s="2089">
        <v>979.68999999999994</v>
      </c>
    </row>
    <row r="30" spans="1:23">
      <c r="A30" s="2110">
        <v>11</v>
      </c>
      <c r="B30" s="2079"/>
      <c r="C30" s="2078" t="s">
        <v>2056</v>
      </c>
      <c r="D30" s="2079"/>
      <c r="E30" s="2079" t="s">
        <v>2740</v>
      </c>
      <c r="F30" s="2079"/>
      <c r="G30" s="2090">
        <v>1.2291006156538628E-2</v>
      </c>
      <c r="H30" s="2110"/>
      <c r="I30" s="2090">
        <v>0.98770899384346134</v>
      </c>
      <c r="J30" s="2090"/>
      <c r="K30" s="2090">
        <v>1</v>
      </c>
      <c r="L30" s="2079"/>
      <c r="M30" s="2091" t="s">
        <v>347</v>
      </c>
      <c r="N30" s="2079"/>
      <c r="O30" s="2092">
        <v>662.69</v>
      </c>
      <c r="P30" s="2089"/>
      <c r="Q30" s="2089">
        <v>53253.97</v>
      </c>
      <c r="R30" s="2089"/>
      <c r="S30" s="2092">
        <v>53916.66</v>
      </c>
      <c r="T30" s="2089"/>
      <c r="U30" s="2089">
        <v>0</v>
      </c>
      <c r="V30" s="2089"/>
      <c r="W30" s="2089">
        <v>662.69</v>
      </c>
    </row>
    <row r="31" spans="1:23">
      <c r="A31" s="2110">
        <v>12</v>
      </c>
      <c r="B31" s="2079"/>
      <c r="C31" s="2078" t="s">
        <v>2063</v>
      </c>
      <c r="D31" s="2079"/>
      <c r="E31" s="2079" t="s">
        <v>1248</v>
      </c>
      <c r="F31" s="2079"/>
      <c r="G31" s="2090">
        <v>0</v>
      </c>
      <c r="H31" s="2110"/>
      <c r="I31" s="2090">
        <v>0</v>
      </c>
      <c r="J31" s="2090"/>
      <c r="K31" s="2090">
        <v>0</v>
      </c>
      <c r="L31" s="2079"/>
      <c r="M31" s="2091" t="s">
        <v>347</v>
      </c>
      <c r="N31" s="2079"/>
      <c r="O31" s="2092">
        <v>0</v>
      </c>
      <c r="P31" s="2089"/>
      <c r="Q31" s="2089">
        <v>0</v>
      </c>
      <c r="R31" s="2089"/>
      <c r="S31" s="2092">
        <v>0</v>
      </c>
      <c r="T31" s="2089"/>
      <c r="U31" s="2089">
        <v>0</v>
      </c>
      <c r="V31" s="2089"/>
      <c r="W31" s="2089">
        <v>0</v>
      </c>
    </row>
    <row r="32" spans="1:23">
      <c r="A32" s="2110">
        <v>13</v>
      </c>
      <c r="B32" s="2079"/>
      <c r="C32" s="2078" t="s">
        <v>1981</v>
      </c>
      <c r="D32" s="2079"/>
      <c r="E32" s="2079" t="s">
        <v>1250</v>
      </c>
      <c r="F32" s="2079"/>
      <c r="G32" s="2090">
        <v>1.2290976572668434E-2</v>
      </c>
      <c r="H32" s="2110"/>
      <c r="I32" s="2090">
        <v>0.98770902342733158</v>
      </c>
      <c r="J32" s="2090"/>
      <c r="K32" s="2090">
        <v>1</v>
      </c>
      <c r="L32" s="2079"/>
      <c r="M32" s="2091" t="s">
        <v>347</v>
      </c>
      <c r="N32" s="2079"/>
      <c r="O32" s="2092">
        <v>1318.28</v>
      </c>
      <c r="P32" s="2089"/>
      <c r="Q32" s="2089">
        <v>105937.64000000001</v>
      </c>
      <c r="R32" s="2089"/>
      <c r="S32" s="2092">
        <v>107255.92000000001</v>
      </c>
      <c r="T32" s="2089"/>
      <c r="U32" s="2089">
        <v>0</v>
      </c>
      <c r="V32" s="2089"/>
      <c r="W32" s="2089">
        <v>1318.28</v>
      </c>
    </row>
    <row r="33" spans="1:23">
      <c r="A33" s="2110">
        <v>14</v>
      </c>
      <c r="B33" s="2079"/>
      <c r="C33" s="2078" t="s">
        <v>2741</v>
      </c>
      <c r="D33" s="2079"/>
      <c r="E33" s="2079" t="s">
        <v>2742</v>
      </c>
      <c r="F33" s="2079"/>
      <c r="G33" s="2090">
        <v>1.228948816730875E-2</v>
      </c>
      <c r="H33" s="2110"/>
      <c r="I33" s="2090">
        <v>0.98771051183269132</v>
      </c>
      <c r="J33" s="2090"/>
      <c r="K33" s="2090">
        <v>1</v>
      </c>
      <c r="L33" s="2079"/>
      <c r="M33" s="2091" t="s">
        <v>347</v>
      </c>
      <c r="N33" s="2079"/>
      <c r="O33" s="2092">
        <v>22.33</v>
      </c>
      <c r="P33" s="2089"/>
      <c r="Q33" s="2089">
        <v>1794.67</v>
      </c>
      <c r="R33" s="2089"/>
      <c r="S33" s="2092">
        <v>1817</v>
      </c>
      <c r="T33" s="2089"/>
      <c r="U33" s="2089">
        <v>0</v>
      </c>
      <c r="V33" s="2089"/>
      <c r="W33" s="2089">
        <v>22.33</v>
      </c>
    </row>
    <row r="34" spans="1:23">
      <c r="A34" s="2110">
        <v>15</v>
      </c>
      <c r="B34" s="2079"/>
      <c r="C34" s="2078" t="s">
        <v>2076</v>
      </c>
      <c r="D34" s="2079"/>
      <c r="E34" s="2079" t="s">
        <v>2519</v>
      </c>
      <c r="F34" s="2079"/>
      <c r="G34" s="2090">
        <v>1.2289752037454481E-2</v>
      </c>
      <c r="H34" s="2110"/>
      <c r="I34" s="2090">
        <v>0.98771024796254547</v>
      </c>
      <c r="J34" s="2090"/>
      <c r="K34" s="2090">
        <v>1</v>
      </c>
      <c r="L34" s="2079"/>
      <c r="M34" s="2091" t="s">
        <v>347</v>
      </c>
      <c r="N34" s="2079"/>
      <c r="O34" s="2092">
        <v>11.34</v>
      </c>
      <c r="P34" s="2089"/>
      <c r="Q34" s="2089">
        <v>911.38</v>
      </c>
      <c r="R34" s="2089"/>
      <c r="S34" s="2092">
        <v>922.72</v>
      </c>
      <c r="T34" s="2089"/>
      <c r="U34" s="2089">
        <v>0</v>
      </c>
      <c r="V34" s="2089"/>
      <c r="W34" s="2089">
        <v>11.34</v>
      </c>
    </row>
    <row r="35" spans="1:23">
      <c r="A35" s="2110">
        <v>16</v>
      </c>
      <c r="B35" s="2079"/>
      <c r="C35" s="2078" t="s">
        <v>2743</v>
      </c>
      <c r="D35" s="2079"/>
      <c r="E35" s="2079" t="s">
        <v>2523</v>
      </c>
      <c r="F35" s="2079"/>
      <c r="G35" s="2090">
        <v>1.2290996527864683E-2</v>
      </c>
      <c r="H35" s="2110"/>
      <c r="I35" s="2090">
        <v>0.98770900347213531</v>
      </c>
      <c r="J35" s="2090"/>
      <c r="K35" s="2090">
        <v>1</v>
      </c>
      <c r="L35" s="2079"/>
      <c r="M35" s="2091" t="s">
        <v>347</v>
      </c>
      <c r="N35" s="2079"/>
      <c r="O35" s="2092">
        <v>2278.56</v>
      </c>
      <c r="P35" s="2089"/>
      <c r="Q35" s="2089">
        <v>183105.92000000001</v>
      </c>
      <c r="R35" s="2089"/>
      <c r="S35" s="2092">
        <v>185384.48</v>
      </c>
      <c r="T35" s="2089"/>
      <c r="U35" s="2089">
        <v>0</v>
      </c>
      <c r="V35" s="2089"/>
      <c r="W35" s="2089">
        <v>2278.56</v>
      </c>
    </row>
    <row r="36" spans="1:23">
      <c r="A36" s="2110">
        <v>17</v>
      </c>
      <c r="B36" s="2079"/>
      <c r="C36" s="2078" t="s">
        <v>2015</v>
      </c>
      <c r="D36" s="2079"/>
      <c r="E36" s="2079" t="s">
        <v>2744</v>
      </c>
      <c r="F36" s="2079"/>
      <c r="G36" s="2090">
        <v>1.2290968530127587E-2</v>
      </c>
      <c r="H36" s="2110"/>
      <c r="I36" s="2090">
        <v>0.98770903146987243</v>
      </c>
      <c r="J36" s="2090"/>
      <c r="K36" s="2090">
        <v>1</v>
      </c>
      <c r="L36" s="2079"/>
      <c r="M36" s="2091" t="s">
        <v>347</v>
      </c>
      <c r="N36" s="2079"/>
      <c r="O36" s="2092">
        <v>652.83000000000004</v>
      </c>
      <c r="P36" s="2089"/>
      <c r="Q36" s="2089">
        <v>52461.78</v>
      </c>
      <c r="R36" s="2089"/>
      <c r="S36" s="2092">
        <v>53114.61</v>
      </c>
      <c r="T36" s="2089"/>
      <c r="U36" s="2089">
        <v>0</v>
      </c>
      <c r="V36" s="2089"/>
      <c r="W36" s="2089">
        <v>652.83000000000004</v>
      </c>
    </row>
    <row r="37" spans="1:23">
      <c r="A37" s="2110">
        <v>18</v>
      </c>
      <c r="B37" s="2079"/>
      <c r="C37" s="2078" t="s">
        <v>1984</v>
      </c>
      <c r="D37" s="2079"/>
      <c r="E37" s="2079" t="s">
        <v>1253</v>
      </c>
      <c r="F37" s="2079"/>
      <c r="G37" s="2090">
        <v>1.2291048242954891E-2</v>
      </c>
      <c r="H37" s="2110"/>
      <c r="I37" s="2090">
        <v>0.98770895175704521</v>
      </c>
      <c r="J37" s="2090"/>
      <c r="K37" s="2090">
        <v>1</v>
      </c>
      <c r="L37" s="2079"/>
      <c r="M37" s="2091" t="s">
        <v>347</v>
      </c>
      <c r="N37" s="2079"/>
      <c r="O37" s="2092">
        <v>15.61</v>
      </c>
      <c r="P37" s="2089"/>
      <c r="Q37" s="2089">
        <v>1254.42</v>
      </c>
      <c r="R37" s="2089"/>
      <c r="S37" s="2092">
        <v>1270.03</v>
      </c>
      <c r="T37" s="2089"/>
      <c r="U37" s="2089">
        <v>0</v>
      </c>
      <c r="V37" s="2089"/>
      <c r="W37" s="2089">
        <v>15.61</v>
      </c>
    </row>
    <row r="38" spans="1:23">
      <c r="A38" s="2110">
        <v>19</v>
      </c>
      <c r="B38" s="2079"/>
      <c r="C38" s="2078" t="s">
        <v>1998</v>
      </c>
      <c r="D38" s="2079"/>
      <c r="E38" s="2079" t="s">
        <v>2535</v>
      </c>
      <c r="F38" s="2079"/>
      <c r="G38" s="2090">
        <v>1.2291048582832876E-2</v>
      </c>
      <c r="H38" s="2110"/>
      <c r="I38" s="2090">
        <v>0.98770895141716708</v>
      </c>
      <c r="J38" s="2090"/>
      <c r="K38" s="2090">
        <v>1</v>
      </c>
      <c r="L38" s="2079"/>
      <c r="M38" s="2091" t="s">
        <v>347</v>
      </c>
      <c r="N38" s="2079"/>
      <c r="O38" s="2092">
        <v>1745.4699999999996</v>
      </c>
      <c r="P38" s="2089"/>
      <c r="Q38" s="2089">
        <v>140266.01</v>
      </c>
      <c r="R38" s="2089"/>
      <c r="S38" s="2092">
        <v>142011.48000000001</v>
      </c>
      <c r="T38" s="2089"/>
      <c r="U38" s="2089">
        <v>0</v>
      </c>
      <c r="V38" s="2089"/>
      <c r="W38" s="2089">
        <v>1745.4699999999996</v>
      </c>
    </row>
    <row r="39" spans="1:23" ht="12.75" thickBot="1">
      <c r="A39" s="2110">
        <v>20</v>
      </c>
      <c r="B39" s="2079"/>
      <c r="C39" s="2078"/>
      <c r="D39" s="2079"/>
      <c r="E39" s="2079"/>
      <c r="F39" s="2079"/>
      <c r="G39" s="2090"/>
      <c r="H39" s="2110"/>
      <c r="I39" s="2110"/>
      <c r="J39" s="2110"/>
      <c r="K39" s="2110"/>
      <c r="L39" s="2079"/>
      <c r="M39" s="2079"/>
      <c r="N39" s="2079"/>
      <c r="O39" s="2093">
        <v>24787.140000000003</v>
      </c>
      <c r="P39" s="2089"/>
      <c r="Q39" s="2093">
        <v>1913760.6600000001</v>
      </c>
      <c r="R39" s="2089"/>
      <c r="S39" s="2093">
        <v>1938547.8</v>
      </c>
      <c r="T39" s="2089"/>
      <c r="U39" s="2094">
        <v>0</v>
      </c>
      <c r="V39" s="2089"/>
      <c r="W39" s="2094">
        <v>24787.140000000003</v>
      </c>
    </row>
    <row r="40" spans="1:23" ht="12.75" thickTop="1">
      <c r="A40" s="2110">
        <v>21</v>
      </c>
      <c r="B40" s="2079"/>
      <c r="C40" s="2078"/>
      <c r="D40" s="2079"/>
      <c r="E40" s="2079"/>
      <c r="F40" s="2079"/>
      <c r="G40" s="2090"/>
      <c r="H40" s="2110"/>
      <c r="I40" s="2110"/>
      <c r="J40" s="2110"/>
      <c r="K40" s="2110"/>
      <c r="L40" s="2079"/>
      <c r="M40" s="2079"/>
      <c r="N40" s="2079"/>
      <c r="O40" s="2089"/>
      <c r="P40" s="2089"/>
      <c r="Q40" s="2089"/>
      <c r="R40" s="2089"/>
      <c r="S40" s="2089"/>
      <c r="T40" s="2089"/>
      <c r="U40" s="2089"/>
      <c r="V40" s="2089"/>
      <c r="W40" s="2089"/>
    </row>
    <row r="41" spans="1:23">
      <c r="A41" s="2110">
        <v>22</v>
      </c>
      <c r="B41" s="2088" t="s">
        <v>2745</v>
      </c>
      <c r="C41" s="2078"/>
      <c r="D41" s="2079"/>
      <c r="E41" s="2079"/>
      <c r="F41" s="2079"/>
      <c r="G41" s="2090"/>
      <c r="H41" s="2110"/>
      <c r="I41" s="2090"/>
      <c r="J41" s="2090"/>
      <c r="K41" s="2090"/>
      <c r="L41" s="2079"/>
      <c r="M41" s="2079"/>
      <c r="N41" s="2079"/>
      <c r="O41" s="2089"/>
      <c r="P41" s="2089"/>
      <c r="Q41" s="2089"/>
      <c r="R41" s="2089"/>
      <c r="S41" s="2089"/>
      <c r="T41" s="2089"/>
      <c r="U41" s="2089"/>
      <c r="V41" s="2089"/>
      <c r="W41" s="2089"/>
    </row>
    <row r="42" spans="1:23">
      <c r="A42" s="2110">
        <v>23</v>
      </c>
      <c r="B42" s="2079"/>
      <c r="C42" s="2078"/>
      <c r="D42" s="2079"/>
      <c r="E42" s="2079"/>
      <c r="F42" s="2079"/>
      <c r="G42" s="2090"/>
      <c r="H42" s="2110"/>
      <c r="I42" s="2090"/>
      <c r="J42" s="2090"/>
      <c r="K42" s="2090"/>
      <c r="L42" s="2079"/>
      <c r="M42" s="2079"/>
      <c r="N42" s="2079"/>
      <c r="O42" s="2089"/>
      <c r="P42" s="2089"/>
      <c r="Q42" s="2089"/>
      <c r="R42" s="2089"/>
      <c r="S42" s="2089"/>
      <c r="T42" s="2089"/>
      <c r="U42" s="2089"/>
      <c r="V42" s="2089"/>
      <c r="W42" s="2089"/>
    </row>
    <row r="43" spans="1:23">
      <c r="A43" s="2110">
        <v>24</v>
      </c>
      <c r="B43" s="2079"/>
      <c r="C43" s="2078">
        <v>403</v>
      </c>
      <c r="D43" s="2079"/>
      <c r="E43" s="2079" t="s">
        <v>2746</v>
      </c>
      <c r="F43" s="2079"/>
      <c r="G43" s="2090">
        <v>4.2781367946840135E-2</v>
      </c>
      <c r="H43" s="2110"/>
      <c r="I43" s="2090">
        <v>0.95721863205315982</v>
      </c>
      <c r="J43" s="2090"/>
      <c r="K43" s="2090">
        <v>1</v>
      </c>
      <c r="L43" s="2079"/>
      <c r="M43" s="2091" t="s">
        <v>347</v>
      </c>
      <c r="N43" s="2079"/>
      <c r="O43" s="2092">
        <v>1049.1600000000001</v>
      </c>
      <c r="P43" s="2092"/>
      <c r="Q43" s="2092">
        <v>23474.599999999995</v>
      </c>
      <c r="R43" s="2092"/>
      <c r="S43" s="2092">
        <v>24523.759999999995</v>
      </c>
      <c r="T43" s="2092"/>
      <c r="U43" s="994">
        <v>0</v>
      </c>
      <c r="V43" s="994"/>
      <c r="W43" s="994">
        <v>1049.1600000000001</v>
      </c>
    </row>
    <row r="44" spans="1:23">
      <c r="A44" s="2110">
        <v>25</v>
      </c>
      <c r="B44" s="2079"/>
      <c r="C44" s="2078">
        <v>408</v>
      </c>
      <c r="D44" s="2079"/>
      <c r="E44" s="2079" t="s">
        <v>25</v>
      </c>
      <c r="F44" s="2079"/>
      <c r="G44" s="2090">
        <v>5.2161267365945729E-2</v>
      </c>
      <c r="H44" s="2110"/>
      <c r="I44" s="2090">
        <v>0.94783873263405416</v>
      </c>
      <c r="J44" s="2090"/>
      <c r="K44" s="2090">
        <v>1</v>
      </c>
      <c r="L44" s="2079"/>
      <c r="M44" s="2091" t="s">
        <v>347</v>
      </c>
      <c r="N44" s="2079"/>
      <c r="O44" s="2092">
        <v>1180.06</v>
      </c>
      <c r="P44" s="2089"/>
      <c r="Q44" s="2092">
        <v>21443.239999999998</v>
      </c>
      <c r="R44" s="2089"/>
      <c r="S44" s="2092">
        <v>22623.3</v>
      </c>
      <c r="T44" s="2089"/>
      <c r="U44" s="994">
        <v>0</v>
      </c>
      <c r="V44" s="994"/>
      <c r="W44" s="994">
        <v>1180.06</v>
      </c>
    </row>
    <row r="45" spans="1:23">
      <c r="A45" s="2110">
        <v>26</v>
      </c>
      <c r="B45" s="2079"/>
      <c r="C45" s="2078">
        <v>410</v>
      </c>
      <c r="D45" s="2079"/>
      <c r="E45" s="2079" t="s">
        <v>2734</v>
      </c>
      <c r="F45" s="2079"/>
      <c r="G45" s="2090">
        <v>0</v>
      </c>
      <c r="H45" s="2110"/>
      <c r="I45" s="2090">
        <v>0</v>
      </c>
      <c r="J45" s="2090"/>
      <c r="K45" s="2090">
        <v>0</v>
      </c>
      <c r="L45" s="2079"/>
      <c r="M45" s="2091" t="s">
        <v>347</v>
      </c>
      <c r="N45" s="2079"/>
      <c r="O45" s="2092">
        <v>0</v>
      </c>
      <c r="P45" s="2089"/>
      <c r="Q45" s="2092">
        <v>0</v>
      </c>
      <c r="R45" s="2089"/>
      <c r="S45" s="2092">
        <v>0</v>
      </c>
      <c r="T45" s="2089"/>
      <c r="U45" s="994">
        <v>0</v>
      </c>
      <c r="V45" s="994"/>
      <c r="W45" s="994">
        <v>0</v>
      </c>
    </row>
    <row r="46" spans="1:23">
      <c r="A46" s="2110">
        <v>27</v>
      </c>
      <c r="B46" s="2079"/>
      <c r="C46" s="2078" t="s">
        <v>2747</v>
      </c>
      <c r="D46" s="2079"/>
      <c r="E46" s="2079" t="s">
        <v>25</v>
      </c>
      <c r="F46" s="2079"/>
      <c r="G46" s="2090">
        <v>0</v>
      </c>
      <c r="H46" s="2110"/>
      <c r="I46" s="2090">
        <v>0</v>
      </c>
      <c r="J46" s="2090"/>
      <c r="K46" s="2090">
        <v>0</v>
      </c>
      <c r="L46" s="2079"/>
      <c r="M46" s="2091" t="s">
        <v>347</v>
      </c>
      <c r="N46" s="2079"/>
      <c r="O46" s="2092">
        <v>0</v>
      </c>
      <c r="P46" s="2089"/>
      <c r="Q46" s="2092">
        <v>0</v>
      </c>
      <c r="R46" s="2089"/>
      <c r="S46" s="2092">
        <v>0</v>
      </c>
      <c r="T46" s="2089"/>
      <c r="U46" s="994">
        <v>0</v>
      </c>
      <c r="V46" s="994"/>
      <c r="W46" s="994">
        <v>0</v>
      </c>
    </row>
    <row r="47" spans="1:23">
      <c r="A47" s="2110">
        <v>28</v>
      </c>
      <c r="B47" s="2079"/>
      <c r="C47" s="2078">
        <v>427</v>
      </c>
      <c r="D47" s="2079"/>
      <c r="E47" s="2079" t="s">
        <v>2619</v>
      </c>
      <c r="F47" s="2079"/>
      <c r="G47" s="2090">
        <v>5.2631578947368418E-2</v>
      </c>
      <c r="H47" s="2110"/>
      <c r="I47" s="2090">
        <v>0.94736842105263164</v>
      </c>
      <c r="J47" s="2090"/>
      <c r="K47" s="2090">
        <v>1</v>
      </c>
      <c r="L47" s="2079"/>
      <c r="M47" s="2091" t="s">
        <v>347</v>
      </c>
      <c r="N47" s="2079"/>
      <c r="O47" s="2092">
        <v>0.26</v>
      </c>
      <c r="P47" s="2089"/>
      <c r="Q47" s="2092">
        <v>4.6800000000000006</v>
      </c>
      <c r="R47" s="2089"/>
      <c r="S47" s="2092">
        <v>4.9400000000000004</v>
      </c>
      <c r="T47" s="2089"/>
      <c r="U47" s="994">
        <v>0</v>
      </c>
      <c r="V47" s="994"/>
      <c r="W47" s="994">
        <v>0.26</v>
      </c>
    </row>
    <row r="48" spans="1:23">
      <c r="A48" s="2110">
        <v>29</v>
      </c>
      <c r="B48" s="2079"/>
      <c r="C48" s="2078" t="s">
        <v>2736</v>
      </c>
      <c r="D48" s="2079"/>
      <c r="E48" s="2079" t="s">
        <v>2737</v>
      </c>
      <c r="F48" s="2079"/>
      <c r="G48" s="2090">
        <v>5.2755147081956409E-2</v>
      </c>
      <c r="H48" s="2110"/>
      <c r="I48" s="2090">
        <v>0.94724485291804361</v>
      </c>
      <c r="J48" s="2090"/>
      <c r="K48" s="2090">
        <v>1</v>
      </c>
      <c r="L48" s="2079"/>
      <c r="M48" s="2091" t="s">
        <v>347</v>
      </c>
      <c r="N48" s="2091"/>
      <c r="O48" s="2092">
        <v>3320.1800000000003</v>
      </c>
      <c r="P48" s="2089"/>
      <c r="Q48" s="2092">
        <v>59615.479999999996</v>
      </c>
      <c r="R48" s="2089"/>
      <c r="S48" s="2092">
        <v>62935.659999999996</v>
      </c>
      <c r="T48" s="2089"/>
      <c r="U48" s="994">
        <v>0</v>
      </c>
      <c r="V48" s="994"/>
      <c r="W48" s="994">
        <v>3320.1800000000003</v>
      </c>
    </row>
    <row r="49" spans="1:23">
      <c r="A49" s="2110">
        <v>30</v>
      </c>
      <c r="B49" s="2079"/>
      <c r="C49" s="2078" t="s">
        <v>2002</v>
      </c>
      <c r="D49" s="2079"/>
      <c r="E49" s="2079" t="s">
        <v>2738</v>
      </c>
      <c r="F49" s="2079"/>
      <c r="G49" s="2090">
        <v>0</v>
      </c>
      <c r="H49" s="2110"/>
      <c r="I49" s="2090">
        <v>0</v>
      </c>
      <c r="J49" s="2090"/>
      <c r="K49" s="2090">
        <v>0</v>
      </c>
      <c r="L49" s="2079"/>
      <c r="M49" s="2091" t="s">
        <v>347</v>
      </c>
      <c r="N49" s="2079"/>
      <c r="O49" s="2092">
        <v>0</v>
      </c>
      <c r="P49" s="2089"/>
      <c r="Q49" s="2092">
        <v>0</v>
      </c>
      <c r="R49" s="2089"/>
      <c r="S49" s="2092">
        <v>0</v>
      </c>
      <c r="T49" s="2089"/>
      <c r="U49" s="994">
        <v>0</v>
      </c>
      <c r="V49" s="994"/>
      <c r="W49" s="994">
        <v>0</v>
      </c>
    </row>
    <row r="50" spans="1:23">
      <c r="A50" s="2110">
        <v>31</v>
      </c>
      <c r="B50" s="2079"/>
      <c r="C50" s="2078" t="s">
        <v>1991</v>
      </c>
      <c r="D50" s="2079"/>
      <c r="E50" s="2079" t="s">
        <v>2739</v>
      </c>
      <c r="F50" s="2079"/>
      <c r="G50" s="2090">
        <v>5.2485526735652099E-2</v>
      </c>
      <c r="H50" s="2110"/>
      <c r="I50" s="2090">
        <v>0.94751447326434779</v>
      </c>
      <c r="J50" s="2090"/>
      <c r="K50" s="2090">
        <v>1</v>
      </c>
      <c r="L50" s="2079"/>
      <c r="M50" s="2091" t="s">
        <v>347</v>
      </c>
      <c r="N50" s="2079"/>
      <c r="O50" s="2092">
        <v>92.110000000000014</v>
      </c>
      <c r="P50" s="2089"/>
      <c r="Q50" s="2092">
        <v>1662.85</v>
      </c>
      <c r="R50" s="2089"/>
      <c r="S50" s="2092">
        <v>1754.96</v>
      </c>
      <c r="T50" s="2089"/>
      <c r="U50" s="994">
        <v>0</v>
      </c>
      <c r="V50" s="994"/>
      <c r="W50" s="994">
        <v>92.110000000000014</v>
      </c>
    </row>
    <row r="51" spans="1:23">
      <c r="A51" s="2110">
        <v>32</v>
      </c>
      <c r="B51" s="2079"/>
      <c r="C51" s="2078" t="s">
        <v>2052</v>
      </c>
      <c r="D51" s="2079"/>
      <c r="E51" s="2079" t="s">
        <v>2748</v>
      </c>
      <c r="F51" s="2079"/>
      <c r="G51" s="2090">
        <v>0</v>
      </c>
      <c r="H51" s="2110"/>
      <c r="I51" s="2090">
        <v>0</v>
      </c>
      <c r="J51" s="2090"/>
      <c r="K51" s="2090">
        <v>0</v>
      </c>
      <c r="L51" s="2079"/>
      <c r="M51" s="2091" t="s">
        <v>347</v>
      </c>
      <c r="N51" s="2079"/>
      <c r="O51" s="2092">
        <v>0</v>
      </c>
      <c r="P51" s="2089"/>
      <c r="Q51" s="2092">
        <v>0</v>
      </c>
      <c r="R51" s="2089"/>
      <c r="S51" s="2092">
        <v>0</v>
      </c>
      <c r="T51" s="2089"/>
      <c r="U51" s="994">
        <v>0</v>
      </c>
      <c r="V51" s="994"/>
      <c r="W51" s="994">
        <v>0</v>
      </c>
    </row>
    <row r="52" spans="1:23">
      <c r="A52" s="2110">
        <v>33</v>
      </c>
      <c r="B52" s="2079"/>
      <c r="C52" s="2078" t="s">
        <v>2063</v>
      </c>
      <c r="D52" s="2079"/>
      <c r="E52" s="2079" t="s">
        <v>1248</v>
      </c>
      <c r="F52" s="2079"/>
      <c r="G52" s="2090">
        <v>0</v>
      </c>
      <c r="H52" s="2110"/>
      <c r="I52" s="2090">
        <v>0</v>
      </c>
      <c r="J52" s="2090"/>
      <c r="K52" s="2090">
        <v>0</v>
      </c>
      <c r="L52" s="2079"/>
      <c r="M52" s="2091" t="s">
        <v>347</v>
      </c>
      <c r="N52" s="2079"/>
      <c r="O52" s="2092">
        <v>0</v>
      </c>
      <c r="P52" s="2089"/>
      <c r="Q52" s="2092">
        <v>0</v>
      </c>
      <c r="R52" s="2089"/>
      <c r="S52" s="2092">
        <v>0</v>
      </c>
      <c r="T52" s="2089"/>
      <c r="U52" s="994">
        <v>0</v>
      </c>
      <c r="V52" s="994"/>
      <c r="W52" s="994">
        <v>0</v>
      </c>
    </row>
    <row r="53" spans="1:23">
      <c r="A53" s="2110">
        <v>34</v>
      </c>
      <c r="B53" s="2079"/>
      <c r="C53" s="2078">
        <v>635</v>
      </c>
      <c r="D53" s="2079"/>
      <c r="E53" s="2079" t="s">
        <v>2749</v>
      </c>
      <c r="F53" s="2079"/>
      <c r="G53" s="2090">
        <v>0</v>
      </c>
      <c r="H53" s="2110"/>
      <c r="I53" s="2090">
        <v>0</v>
      </c>
      <c r="J53" s="2090"/>
      <c r="K53" s="2090">
        <v>0</v>
      </c>
      <c r="L53" s="2079"/>
      <c r="M53" s="2091" t="s">
        <v>347</v>
      </c>
      <c r="N53" s="2079"/>
      <c r="O53" s="2092">
        <v>0</v>
      </c>
      <c r="P53" s="2089"/>
      <c r="Q53" s="2092">
        <v>0</v>
      </c>
      <c r="R53" s="2089"/>
      <c r="S53" s="2092">
        <v>0</v>
      </c>
      <c r="T53" s="2089"/>
      <c r="U53" s="994">
        <v>0</v>
      </c>
      <c r="V53" s="994"/>
      <c r="W53" s="994">
        <v>0</v>
      </c>
    </row>
    <row r="54" spans="1:23">
      <c r="A54" s="2110">
        <v>35</v>
      </c>
      <c r="B54" s="2079"/>
      <c r="C54" s="2078" t="s">
        <v>1981</v>
      </c>
      <c r="D54" s="2079"/>
      <c r="E54" s="2079" t="s">
        <v>1250</v>
      </c>
      <c r="F54" s="2079"/>
      <c r="G54" s="2090">
        <v>5.2066666666666664E-2</v>
      </c>
      <c r="H54" s="2110"/>
      <c r="I54" s="2090">
        <v>0.94793333333333329</v>
      </c>
      <c r="J54" s="2090"/>
      <c r="K54" s="2090">
        <v>1</v>
      </c>
      <c r="L54" s="2079"/>
      <c r="M54" s="2091" t="s">
        <v>347</v>
      </c>
      <c r="N54" s="2079"/>
      <c r="O54" s="2092">
        <v>15.62</v>
      </c>
      <c r="P54" s="2089"/>
      <c r="Q54" s="2092">
        <v>284.38</v>
      </c>
      <c r="R54" s="2089"/>
      <c r="S54" s="2092">
        <v>300</v>
      </c>
      <c r="T54" s="2089"/>
      <c r="U54" s="994">
        <v>0</v>
      </c>
      <c r="V54" s="994"/>
      <c r="W54" s="994">
        <v>15.62</v>
      </c>
    </row>
    <row r="55" spans="1:23">
      <c r="A55" s="2110">
        <v>36</v>
      </c>
      <c r="B55" s="2079"/>
      <c r="C55" s="2078" t="s">
        <v>2074</v>
      </c>
      <c r="D55" s="2079"/>
      <c r="E55" s="2079" t="s">
        <v>2517</v>
      </c>
      <c r="F55" s="2079"/>
      <c r="G55" s="2090">
        <v>0</v>
      </c>
      <c r="H55" s="2110"/>
      <c r="I55" s="2090">
        <v>0</v>
      </c>
      <c r="J55" s="2090"/>
      <c r="K55" s="2090">
        <v>0</v>
      </c>
      <c r="L55" s="2079"/>
      <c r="M55" s="2091" t="s">
        <v>347</v>
      </c>
      <c r="N55" s="2079"/>
      <c r="O55" s="2092">
        <v>0</v>
      </c>
      <c r="P55" s="2089"/>
      <c r="Q55" s="2092">
        <v>0</v>
      </c>
      <c r="R55" s="2089"/>
      <c r="S55" s="2092">
        <v>0</v>
      </c>
      <c r="T55" s="2089"/>
      <c r="U55" s="994">
        <v>0</v>
      </c>
      <c r="V55" s="994"/>
      <c r="W55" s="994">
        <v>0</v>
      </c>
    </row>
    <row r="56" spans="1:23">
      <c r="A56" s="2110">
        <v>37</v>
      </c>
      <c r="B56" s="2079"/>
      <c r="C56" s="2078" t="s">
        <v>2076</v>
      </c>
      <c r="D56" s="2079"/>
      <c r="E56" s="2079" t="s">
        <v>1251</v>
      </c>
      <c r="F56" s="2079"/>
      <c r="G56" s="2090">
        <v>5.2073668848903847E-2</v>
      </c>
      <c r="H56" s="2110"/>
      <c r="I56" s="2090">
        <v>0.94792633115109626</v>
      </c>
      <c r="J56" s="2090"/>
      <c r="K56" s="2090">
        <v>1</v>
      </c>
      <c r="L56" s="2079"/>
      <c r="M56" s="2091" t="s">
        <v>347</v>
      </c>
      <c r="N56" s="2079"/>
      <c r="O56" s="2092">
        <v>1277.44</v>
      </c>
      <c r="P56" s="2089"/>
      <c r="Q56" s="2092">
        <v>23253.960000000006</v>
      </c>
      <c r="R56" s="2089"/>
      <c r="S56" s="2092">
        <v>24531.400000000005</v>
      </c>
      <c r="T56" s="2089"/>
      <c r="U56" s="994">
        <v>0</v>
      </c>
      <c r="V56" s="994"/>
      <c r="W56" s="994">
        <v>1277.44</v>
      </c>
    </row>
    <row r="57" spans="1:23">
      <c r="A57" s="2110">
        <v>38</v>
      </c>
      <c r="B57" s="2079"/>
      <c r="C57" s="2078" t="s">
        <v>2071</v>
      </c>
      <c r="D57" s="2079"/>
      <c r="E57" s="2079" t="s">
        <v>2750</v>
      </c>
      <c r="F57" s="2079"/>
      <c r="G57" s="2090">
        <v>5.2073412698412702E-2</v>
      </c>
      <c r="H57" s="2110"/>
      <c r="I57" s="2090">
        <v>0.9479265873015873</v>
      </c>
      <c r="J57" s="2090"/>
      <c r="K57" s="2090">
        <v>1</v>
      </c>
      <c r="L57" s="2079"/>
      <c r="M57" s="2091" t="s">
        <v>347</v>
      </c>
      <c r="N57" s="2079"/>
      <c r="O57" s="2092">
        <v>52.49</v>
      </c>
      <c r="P57" s="2089"/>
      <c r="Q57" s="2092">
        <v>955.51</v>
      </c>
      <c r="R57" s="2089"/>
      <c r="S57" s="2092">
        <v>1008</v>
      </c>
      <c r="T57" s="2089"/>
      <c r="U57" s="994">
        <v>0</v>
      </c>
      <c r="V57" s="994"/>
      <c r="W57" s="994">
        <v>52.49</v>
      </c>
    </row>
    <row r="58" spans="1:23">
      <c r="A58" s="2110">
        <v>39</v>
      </c>
      <c r="B58" s="2079"/>
      <c r="C58" s="2078" t="s">
        <v>1998</v>
      </c>
      <c r="D58" s="2079"/>
      <c r="E58" s="2079" t="s">
        <v>2535</v>
      </c>
      <c r="F58" s="2079"/>
      <c r="G58" s="2090">
        <v>5.2071152182386893E-2</v>
      </c>
      <c r="H58" s="2110"/>
      <c r="I58" s="2090">
        <v>0.94792884781761311</v>
      </c>
      <c r="J58" s="2090"/>
      <c r="K58" s="2090">
        <v>1</v>
      </c>
      <c r="L58" s="2079"/>
      <c r="M58" s="2091" t="s">
        <v>347</v>
      </c>
      <c r="N58" s="2079"/>
      <c r="O58" s="2092">
        <v>328.62</v>
      </c>
      <c r="P58" s="2089"/>
      <c r="Q58" s="2092">
        <v>5982.36</v>
      </c>
      <c r="R58" s="2089"/>
      <c r="S58" s="2092">
        <v>6310.98</v>
      </c>
      <c r="T58" s="2089"/>
      <c r="U58" s="994">
        <v>0</v>
      </c>
      <c r="V58" s="994"/>
      <c r="W58" s="994">
        <v>328.62</v>
      </c>
    </row>
    <row r="59" spans="1:23" ht="12.75" thickBot="1">
      <c r="A59" s="2110">
        <v>40</v>
      </c>
      <c r="B59" s="2079"/>
      <c r="C59" s="2078"/>
      <c r="D59" s="2079"/>
      <c r="E59" s="2079"/>
      <c r="F59" s="2079"/>
      <c r="G59" s="2110"/>
      <c r="H59" s="2110"/>
      <c r="I59" s="2110"/>
      <c r="J59" s="2110"/>
      <c r="K59" s="2090"/>
      <c r="L59" s="2079"/>
      <c r="M59" s="2079"/>
      <c r="N59" s="2079"/>
      <c r="O59" s="2145">
        <v>7315.94</v>
      </c>
      <c r="P59" s="2089"/>
      <c r="Q59" s="2145">
        <v>136677.06</v>
      </c>
      <c r="R59" s="2089"/>
      <c r="S59" s="2146">
        <v>143993.00000000003</v>
      </c>
      <c r="T59" s="2089"/>
      <c r="U59" s="2147">
        <v>0</v>
      </c>
      <c r="V59" s="2089"/>
      <c r="W59" s="2147">
        <v>7315.94</v>
      </c>
    </row>
    <row r="60" spans="1:23" ht="12.75" thickTop="1">
      <c r="A60" s="2110">
        <v>41</v>
      </c>
      <c r="B60" s="2079"/>
      <c r="C60" s="2078"/>
      <c r="D60" s="2079"/>
      <c r="E60" s="2079"/>
      <c r="F60" s="2079"/>
      <c r="G60" s="2110"/>
      <c r="H60" s="2110"/>
      <c r="I60" s="2110"/>
      <c r="J60" s="2110"/>
      <c r="K60" s="2110"/>
      <c r="L60" s="2079"/>
      <c r="M60" s="2079"/>
      <c r="N60" s="2079"/>
      <c r="O60" s="2079"/>
      <c r="P60" s="2079"/>
      <c r="Q60" s="2079"/>
      <c r="R60" s="2079"/>
      <c r="S60" s="2079"/>
      <c r="T60" s="2079"/>
      <c r="U60" s="2079"/>
      <c r="V60" s="2079"/>
      <c r="W60" s="2079"/>
    </row>
    <row r="61" spans="1:23">
      <c r="A61" s="2110">
        <v>42</v>
      </c>
      <c r="B61" s="2088" t="s">
        <v>2751</v>
      </c>
      <c r="C61" s="2078"/>
      <c r="D61" s="2079"/>
      <c r="E61" s="2079"/>
      <c r="F61" s="2079"/>
      <c r="G61" s="2090"/>
      <c r="H61" s="2110"/>
      <c r="I61" s="2090"/>
      <c r="J61" s="2090"/>
      <c r="K61" s="2090"/>
      <c r="L61" s="2079"/>
      <c r="M61" s="2079"/>
      <c r="N61" s="2079"/>
      <c r="O61" s="2089"/>
      <c r="P61" s="2089"/>
      <c r="Q61" s="2089"/>
      <c r="R61" s="2089"/>
      <c r="S61" s="2089"/>
      <c r="T61" s="2089"/>
      <c r="U61" s="2089"/>
      <c r="V61" s="2089"/>
      <c r="W61" s="2089"/>
    </row>
    <row r="62" spans="1:23">
      <c r="A62" s="2110">
        <v>43</v>
      </c>
      <c r="B62" s="2079"/>
      <c r="C62" s="2078"/>
      <c r="D62" s="2079"/>
      <c r="E62" s="2079"/>
      <c r="F62" s="2079"/>
      <c r="G62" s="2090"/>
      <c r="H62" s="2110"/>
      <c r="I62" s="2090"/>
      <c r="J62" s="2090"/>
      <c r="K62" s="2090"/>
      <c r="L62" s="2079"/>
      <c r="M62" s="2079"/>
      <c r="N62" s="2079"/>
      <c r="O62" s="2089"/>
      <c r="P62" s="2089"/>
      <c r="Q62" s="2089"/>
      <c r="R62" s="2089"/>
      <c r="S62" s="2089"/>
      <c r="T62" s="2089"/>
      <c r="U62" s="2089"/>
      <c r="V62" s="2089"/>
      <c r="W62" s="2089"/>
    </row>
    <row r="63" spans="1:23">
      <c r="A63" s="2110">
        <v>44</v>
      </c>
      <c r="B63" s="2079"/>
      <c r="C63" s="2078">
        <v>427</v>
      </c>
      <c r="D63" s="2079"/>
      <c r="E63" s="2079" t="s">
        <v>2619</v>
      </c>
      <c r="F63" s="2079"/>
      <c r="G63" s="2090">
        <v>9.5398437113411224E-3</v>
      </c>
      <c r="H63" s="2110"/>
      <c r="I63" s="2090">
        <v>0.9904601562886588</v>
      </c>
      <c r="J63" s="2090"/>
      <c r="K63" s="2090">
        <v>1</v>
      </c>
      <c r="L63" s="2079"/>
      <c r="M63" s="2091" t="s">
        <v>2752</v>
      </c>
      <c r="N63" s="2079"/>
      <c r="O63" s="2092">
        <v>28486.49</v>
      </c>
      <c r="P63" s="2092"/>
      <c r="Q63" s="2092">
        <v>2957567.67</v>
      </c>
      <c r="R63" s="2092"/>
      <c r="S63" s="2092">
        <v>2986054.16</v>
      </c>
      <c r="T63" s="2092"/>
      <c r="U63" s="994">
        <v>0</v>
      </c>
      <c r="V63" s="994"/>
      <c r="W63" s="994">
        <v>28486.49</v>
      </c>
    </row>
    <row r="64" spans="1:23" ht="12.75" thickBot="1">
      <c r="A64" s="2110">
        <v>45</v>
      </c>
      <c r="B64" s="2079"/>
      <c r="C64" s="2078"/>
      <c r="D64" s="2079"/>
      <c r="E64" s="2079"/>
      <c r="F64" s="2079"/>
      <c r="G64" s="2110"/>
      <c r="H64" s="2110"/>
      <c r="I64" s="2110"/>
      <c r="J64" s="2110"/>
      <c r="K64" s="2090"/>
      <c r="L64" s="2079"/>
      <c r="M64" s="2079"/>
      <c r="N64" s="2079"/>
      <c r="O64" s="2145">
        <v>28486.49</v>
      </c>
      <c r="P64" s="2089"/>
      <c r="Q64" s="2145">
        <v>2957567.67</v>
      </c>
      <c r="R64" s="2089"/>
      <c r="S64" s="2146">
        <v>2986054.16</v>
      </c>
      <c r="T64" s="2089"/>
      <c r="U64" s="2147">
        <v>0</v>
      </c>
      <c r="V64" s="2089"/>
      <c r="W64" s="2147">
        <v>28486.49</v>
      </c>
    </row>
    <row r="65" spans="1:23" ht="12.75" thickTop="1">
      <c r="A65" s="2110">
        <v>46</v>
      </c>
      <c r="B65" s="2079" t="s">
        <v>2753</v>
      </c>
      <c r="C65" s="2078"/>
      <c r="D65" s="2079"/>
      <c r="E65" s="2079"/>
      <c r="F65" s="2079"/>
      <c r="G65" s="2110"/>
      <c r="H65" s="2110"/>
      <c r="I65" s="2110"/>
      <c r="J65" s="2110"/>
      <c r="K65" s="2110"/>
      <c r="L65" s="2079"/>
      <c r="M65" s="2079"/>
      <c r="N65" s="2079"/>
      <c r="O65" s="2079"/>
      <c r="P65" s="2079"/>
      <c r="Q65" s="2079"/>
      <c r="R65" s="2079"/>
      <c r="S65" s="2079"/>
      <c r="T65" s="2079"/>
      <c r="U65" s="2079"/>
      <c r="V65" s="2079"/>
      <c r="W65" s="2079"/>
    </row>
  </sheetData>
  <mergeCells count="6">
    <mergeCell ref="G15:K15"/>
    <mergeCell ref="U10:W10"/>
    <mergeCell ref="U11:W11"/>
    <mergeCell ref="U12:W12"/>
    <mergeCell ref="U13:W13"/>
    <mergeCell ref="O14:W14"/>
  </mergeCells>
  <pageMargins left="0.75" right="0.5" top="0.75" bottom="0.5" header="0.25" footer="0.25"/>
  <pageSetup scale="66"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W65"/>
  <sheetViews>
    <sheetView view="pageBreakPreview" zoomScale="60" zoomScaleNormal="100" workbookViewId="0">
      <selection sqref="A1:XFD1048576"/>
    </sheetView>
  </sheetViews>
  <sheetFormatPr defaultRowHeight="12"/>
  <cols>
    <col min="1" max="1" width="4" style="991" customWidth="1"/>
    <col min="2" max="2" width="3" style="991" customWidth="1"/>
    <col min="3" max="3" width="10.85546875" style="991" customWidth="1"/>
    <col min="4" max="4" width="2.28515625" style="991" customWidth="1"/>
    <col min="5" max="5" width="33.7109375" style="991" customWidth="1"/>
    <col min="6" max="6" width="2.28515625" style="991" customWidth="1"/>
    <col min="7" max="7" width="18" style="991" bestFit="1" customWidth="1"/>
    <col min="8" max="8" width="2.28515625" style="991" customWidth="1"/>
    <col min="9" max="9" width="12.7109375" style="991" customWidth="1"/>
    <col min="10" max="10" width="2.28515625" style="991" customWidth="1"/>
    <col min="11" max="11" width="9.7109375" style="991" customWidth="1"/>
    <col min="12" max="12" width="2.28515625" style="991" customWidth="1"/>
    <col min="13" max="13" width="19.140625" style="991" bestFit="1" customWidth="1"/>
    <col min="14" max="14" width="2.28515625" style="991" customWidth="1"/>
    <col min="15" max="15" width="18" style="991" bestFit="1" customWidth="1"/>
    <col min="16" max="16" width="2.28515625" style="991" customWidth="1"/>
    <col min="17" max="17" width="11.7109375" style="991" customWidth="1"/>
    <col min="18" max="18" width="4.85546875" style="991" customWidth="1"/>
    <col min="19" max="19" width="9.28515625" style="991" bestFit="1" customWidth="1"/>
    <col min="20" max="20" width="2.28515625" style="991" customWidth="1"/>
    <col min="21" max="21" width="5.7109375" style="991" bestFit="1" customWidth="1"/>
    <col min="22" max="22" width="2.28515625" style="991" customWidth="1"/>
    <col min="23" max="23" width="9.85546875" style="991" customWidth="1"/>
    <col min="24" max="16384" width="9.140625" style="991"/>
  </cols>
  <sheetData>
    <row r="1" spans="1:23">
      <c r="A1" s="2079"/>
      <c r="B1" s="2079"/>
      <c r="C1" s="2078"/>
      <c r="D1" s="2079"/>
      <c r="E1" s="2079"/>
      <c r="F1" s="2079"/>
      <c r="G1" s="2110"/>
      <c r="H1" s="2110"/>
      <c r="I1" s="2110"/>
      <c r="J1" s="2110"/>
      <c r="K1" s="2110"/>
      <c r="L1" s="2079"/>
      <c r="M1" s="2079"/>
      <c r="N1" s="2079"/>
      <c r="O1" s="2079"/>
      <c r="P1" s="2079"/>
      <c r="Q1" s="2079"/>
      <c r="R1" s="2079"/>
      <c r="S1" s="2079"/>
      <c r="T1" s="2079"/>
      <c r="U1" s="2079"/>
      <c r="V1" s="2079"/>
      <c r="W1" s="2078" t="s">
        <v>1209</v>
      </c>
    </row>
    <row r="2" spans="1:23">
      <c r="A2" s="2080" t="s">
        <v>2716</v>
      </c>
      <c r="B2" s="2079"/>
      <c r="C2" s="2078"/>
      <c r="D2" s="2079"/>
      <c r="E2" s="2079"/>
      <c r="F2" s="2079"/>
      <c r="G2" s="2110"/>
      <c r="H2" s="2137"/>
      <c r="I2" s="2137" t="s">
        <v>911</v>
      </c>
      <c r="J2" s="2137"/>
      <c r="K2" s="2137"/>
      <c r="L2" s="2138"/>
      <c r="M2" s="2079"/>
      <c r="N2" s="2079"/>
      <c r="O2" s="2079"/>
      <c r="P2" s="2079"/>
      <c r="Q2" s="2079"/>
      <c r="R2" s="2079"/>
      <c r="S2" s="2078"/>
      <c r="T2" s="2079"/>
      <c r="U2" s="2079"/>
      <c r="V2" s="2079"/>
      <c r="W2" s="2078"/>
    </row>
    <row r="3" spans="1:23">
      <c r="A3" s="2080"/>
      <c r="B3" s="2079"/>
      <c r="C3" s="2078"/>
      <c r="D3" s="2079"/>
      <c r="E3" s="2079"/>
      <c r="F3" s="2079"/>
      <c r="G3" s="2110"/>
      <c r="H3" s="2137"/>
      <c r="I3" s="2137"/>
      <c r="J3" s="2137"/>
      <c r="K3" s="2137"/>
      <c r="L3" s="2138"/>
      <c r="M3" s="2079"/>
      <c r="N3" s="2079"/>
      <c r="O3" s="2079"/>
      <c r="P3" s="2079"/>
      <c r="Q3" s="2079"/>
      <c r="R3" s="2079"/>
      <c r="S3" s="2080"/>
      <c r="T3" s="2079"/>
      <c r="U3" s="2079"/>
      <c r="V3" s="2079"/>
      <c r="W3" s="2078" t="s">
        <v>2717</v>
      </c>
    </row>
    <row r="4" spans="1:23">
      <c r="A4" s="2079" t="s">
        <v>2644</v>
      </c>
      <c r="B4" s="2080"/>
      <c r="C4" s="2080"/>
      <c r="D4" s="2079"/>
      <c r="E4" s="2079"/>
      <c r="F4" s="2079"/>
      <c r="G4" s="2110"/>
      <c r="H4" s="2137"/>
      <c r="I4" s="2137"/>
      <c r="J4" s="2137"/>
      <c r="K4" s="2137"/>
      <c r="L4" s="2138"/>
      <c r="M4" s="2079"/>
      <c r="N4" s="2079"/>
      <c r="O4" s="2079"/>
      <c r="P4" s="2079"/>
      <c r="Q4" s="2079"/>
      <c r="R4" s="2079"/>
      <c r="S4" s="2078"/>
      <c r="T4" s="2079"/>
      <c r="U4" s="2079"/>
      <c r="V4" s="2079"/>
      <c r="W4" s="2078" t="s">
        <v>2764</v>
      </c>
    </row>
    <row r="5" spans="1:23">
      <c r="A5" s="2080" t="s">
        <v>2719</v>
      </c>
      <c r="B5" s="2079"/>
      <c r="C5" s="2078"/>
      <c r="D5" s="2079"/>
      <c r="E5" s="2079"/>
      <c r="F5" s="2080"/>
      <c r="G5" s="2110"/>
      <c r="H5" s="2137"/>
      <c r="I5" s="2137"/>
      <c r="J5" s="2137"/>
      <c r="K5" s="2137"/>
      <c r="L5" s="2138"/>
      <c r="M5" s="2079"/>
      <c r="N5" s="2079"/>
      <c r="O5" s="2079"/>
      <c r="P5" s="2079"/>
      <c r="Q5" s="2079"/>
      <c r="R5" s="2079"/>
      <c r="S5" s="2078"/>
      <c r="T5" s="2079"/>
      <c r="U5" s="2079"/>
      <c r="V5" s="2079"/>
      <c r="W5" s="2078"/>
    </row>
    <row r="6" spans="1:23">
      <c r="A6" s="2080" t="s">
        <v>1935</v>
      </c>
      <c r="B6" s="2079"/>
      <c r="C6" s="2078"/>
      <c r="D6" s="2079"/>
      <c r="E6" s="2139"/>
      <c r="F6" s="2080"/>
      <c r="G6" s="2110"/>
      <c r="H6" s="2137"/>
      <c r="I6" s="2137"/>
      <c r="J6" s="2137"/>
      <c r="K6" s="2137"/>
      <c r="L6" s="2138"/>
      <c r="M6" s="2079"/>
      <c r="N6" s="2079"/>
      <c r="O6" s="2079"/>
      <c r="P6" s="2079"/>
      <c r="Q6" s="2079"/>
      <c r="R6" s="2079"/>
      <c r="S6" s="2080"/>
      <c r="T6" s="2079"/>
      <c r="U6" s="2079"/>
      <c r="V6" s="2079"/>
      <c r="W6" s="1011" t="s">
        <v>2950</v>
      </c>
    </row>
    <row r="7" spans="1:23">
      <c r="A7" s="2080" t="s">
        <v>1092</v>
      </c>
      <c r="B7" s="2079"/>
      <c r="C7" s="2078"/>
      <c r="D7" s="2079"/>
      <c r="E7" s="2079"/>
      <c r="F7" s="2080"/>
      <c r="G7" s="2110"/>
      <c r="H7" s="2137"/>
      <c r="I7" s="2137"/>
      <c r="J7" s="2137"/>
      <c r="K7" s="2137"/>
      <c r="L7" s="2138"/>
      <c r="M7" s="2079"/>
      <c r="N7" s="2079"/>
      <c r="O7" s="2079"/>
      <c r="P7" s="2079"/>
      <c r="Q7" s="2079"/>
      <c r="R7" s="2079"/>
      <c r="S7" s="2078"/>
      <c r="T7" s="2079"/>
      <c r="U7" s="2079"/>
      <c r="V7" s="2079"/>
      <c r="W7" s="2078"/>
    </row>
    <row r="8" spans="1:23">
      <c r="A8" s="2080" t="s">
        <v>717</v>
      </c>
      <c r="B8" s="2079"/>
      <c r="C8" s="2078"/>
      <c r="D8" s="2079"/>
      <c r="E8" s="2079"/>
      <c r="F8" s="2080"/>
      <c r="G8" s="2110"/>
      <c r="H8" s="2137"/>
      <c r="I8" s="2137"/>
      <c r="J8" s="2137"/>
      <c r="K8" s="2137"/>
      <c r="L8" s="2138"/>
      <c r="M8" s="2079"/>
      <c r="N8" s="2079"/>
      <c r="O8" s="2079"/>
      <c r="P8" s="2079"/>
      <c r="Q8" s="2079"/>
      <c r="R8" s="2079"/>
      <c r="S8" s="2079"/>
      <c r="T8" s="2079"/>
      <c r="U8" s="2079"/>
      <c r="V8" s="2079"/>
      <c r="W8" s="2079"/>
    </row>
    <row r="9" spans="1:23">
      <c r="A9" s="2079"/>
      <c r="B9" s="2079"/>
      <c r="C9" s="2078"/>
      <c r="D9" s="2079"/>
      <c r="E9" s="2079"/>
      <c r="F9" s="2079"/>
      <c r="G9" s="2110"/>
      <c r="H9" s="2110"/>
      <c r="I9" s="2110"/>
      <c r="J9" s="2110"/>
      <c r="K9" s="2110"/>
      <c r="L9" s="2079"/>
      <c r="M9" s="2079"/>
      <c r="N9" s="2079"/>
      <c r="O9" s="2079"/>
      <c r="P9" s="2079"/>
      <c r="Q9" s="2079"/>
      <c r="R9" s="2079"/>
      <c r="S9" s="2079"/>
      <c r="T9" s="2079"/>
      <c r="U9" s="2079"/>
      <c r="V9" s="2079"/>
      <c r="W9" s="2079"/>
    </row>
    <row r="10" spans="1:23">
      <c r="A10" s="2079" t="s">
        <v>2720</v>
      </c>
      <c r="B10" s="2079"/>
      <c r="C10" s="2078"/>
      <c r="D10" s="2079"/>
      <c r="E10" s="2079"/>
      <c r="F10" s="2079"/>
      <c r="G10" s="2110"/>
      <c r="H10" s="2110"/>
      <c r="I10" s="2110"/>
      <c r="J10" s="2110"/>
      <c r="K10" s="2110"/>
      <c r="L10" s="2079"/>
      <c r="M10" s="2079"/>
      <c r="N10" s="2079"/>
      <c r="O10" s="2079"/>
      <c r="P10" s="2079"/>
      <c r="Q10" s="2079"/>
      <c r="R10" s="2079"/>
      <c r="S10" s="2079"/>
      <c r="T10" s="2079"/>
      <c r="U10" s="2318" t="s">
        <v>2956</v>
      </c>
      <c r="V10" s="2318"/>
      <c r="W10" s="2318"/>
    </row>
    <row r="11" spans="1:23">
      <c r="A11" s="2080" t="s">
        <v>2721</v>
      </c>
      <c r="B11" s="2079"/>
      <c r="C11" s="2078"/>
      <c r="D11" s="2079"/>
      <c r="E11" s="2079"/>
      <c r="F11" s="2079"/>
      <c r="G11" s="2110"/>
      <c r="H11" s="2110"/>
      <c r="I11" s="2110"/>
      <c r="J11" s="2110"/>
      <c r="K11" s="2110"/>
      <c r="L11" s="2079"/>
      <c r="M11" s="2079"/>
      <c r="N11" s="2079"/>
      <c r="O11" s="2079"/>
      <c r="P11" s="2079"/>
      <c r="Q11" s="2079"/>
      <c r="R11" s="2079"/>
      <c r="S11" s="2079"/>
      <c r="T11" s="2079"/>
      <c r="U11" s="2317" t="s">
        <v>2722</v>
      </c>
      <c r="V11" s="2317"/>
      <c r="W11" s="2317"/>
    </row>
    <row r="12" spans="1:23">
      <c r="A12" s="2140"/>
      <c r="B12" s="2140"/>
      <c r="C12" s="2141"/>
      <c r="D12" s="2140"/>
      <c r="E12" s="2140"/>
      <c r="F12" s="2140"/>
      <c r="G12" s="2142"/>
      <c r="H12" s="2142"/>
      <c r="I12" s="2142"/>
      <c r="J12" s="2142"/>
      <c r="K12" s="2142"/>
      <c r="L12" s="2140"/>
      <c r="M12" s="2140"/>
      <c r="N12" s="2140"/>
      <c r="O12" s="2140"/>
      <c r="P12" s="2140"/>
      <c r="Q12" s="2140"/>
      <c r="R12" s="2140"/>
      <c r="S12" s="2140"/>
      <c r="T12" s="2140"/>
      <c r="U12" s="2319"/>
      <c r="V12" s="2319"/>
      <c r="W12" s="2319"/>
    </row>
    <row r="13" spans="1:23">
      <c r="A13" s="2082"/>
      <c r="B13" s="2082"/>
      <c r="C13" s="2083"/>
      <c r="D13" s="2082"/>
      <c r="E13" s="2082"/>
      <c r="F13" s="2082"/>
      <c r="G13" s="2084">
        <v>-1</v>
      </c>
      <c r="H13" s="2084"/>
      <c r="I13" s="2084">
        <v>-2</v>
      </c>
      <c r="J13" s="2084"/>
      <c r="K13" s="2084">
        <v>-3</v>
      </c>
      <c r="L13" s="2082"/>
      <c r="M13" s="2084">
        <v>-4</v>
      </c>
      <c r="N13" s="2082"/>
      <c r="O13" s="2084">
        <v>-5</v>
      </c>
      <c r="P13" s="2082"/>
      <c r="Q13" s="2084">
        <v>-6</v>
      </c>
      <c r="R13" s="2082"/>
      <c r="S13" s="2084">
        <v>-7</v>
      </c>
      <c r="T13" s="2082"/>
      <c r="U13" s="2320">
        <v>-8</v>
      </c>
      <c r="V13" s="2320"/>
      <c r="W13" s="2320"/>
    </row>
    <row r="14" spans="1:23">
      <c r="A14" s="2082"/>
      <c r="B14" s="2082"/>
      <c r="C14" s="2083"/>
      <c r="D14" s="2082"/>
      <c r="E14" s="2082"/>
      <c r="F14" s="2082"/>
      <c r="G14" s="2084"/>
      <c r="H14" s="2084"/>
      <c r="I14" s="2084"/>
      <c r="J14" s="2084"/>
      <c r="K14" s="2084"/>
      <c r="L14" s="2082"/>
      <c r="M14" s="2084"/>
      <c r="N14" s="2082"/>
      <c r="O14" s="2321" t="s">
        <v>2765</v>
      </c>
      <c r="P14" s="2321"/>
      <c r="Q14" s="2321"/>
      <c r="R14" s="2321"/>
      <c r="S14" s="2321"/>
      <c r="T14" s="2321"/>
      <c r="U14" s="2321"/>
      <c r="V14" s="2321"/>
      <c r="W14" s="2321"/>
    </row>
    <row r="15" spans="1:23">
      <c r="A15" s="2079"/>
      <c r="B15" s="2079"/>
      <c r="C15" s="2078"/>
      <c r="D15" s="2079"/>
      <c r="E15" s="2079"/>
      <c r="F15" s="2079"/>
      <c r="G15" s="2317" t="s">
        <v>2724</v>
      </c>
      <c r="H15" s="2317"/>
      <c r="I15" s="2317"/>
      <c r="J15" s="2317"/>
      <c r="K15" s="2317"/>
      <c r="L15" s="2143"/>
      <c r="M15" s="2143"/>
      <c r="N15" s="2143"/>
      <c r="O15" s="2143"/>
      <c r="P15" s="2140"/>
      <c r="Q15" s="2142" t="s">
        <v>2725</v>
      </c>
      <c r="R15" s="2140"/>
      <c r="S15" s="2140"/>
      <c r="T15" s="2079"/>
      <c r="U15" s="2143"/>
      <c r="V15" s="2142"/>
      <c r="W15" s="2142"/>
    </row>
    <row r="16" spans="1:23">
      <c r="A16" s="2079"/>
      <c r="B16" s="2079"/>
      <c r="C16" s="2110" t="s">
        <v>2726</v>
      </c>
      <c r="D16" s="2079"/>
      <c r="E16" s="2079"/>
      <c r="F16" s="2079"/>
      <c r="G16" s="2110"/>
      <c r="H16" s="2110"/>
      <c r="I16" s="2110" t="s">
        <v>1170</v>
      </c>
      <c r="J16" s="2110"/>
      <c r="K16" s="2110"/>
      <c r="L16" s="2079"/>
      <c r="M16" s="2110" t="s">
        <v>731</v>
      </c>
      <c r="N16" s="2079"/>
      <c r="O16" s="2110"/>
      <c r="P16" s="2079"/>
      <c r="Q16" s="2110" t="s">
        <v>1170</v>
      </c>
      <c r="R16" s="2079"/>
      <c r="S16" s="2110"/>
      <c r="T16" s="2079"/>
      <c r="U16" s="2110"/>
      <c r="V16" s="2079"/>
      <c r="W16" s="2110"/>
    </row>
    <row r="17" spans="1:23">
      <c r="A17" s="2110" t="s">
        <v>53</v>
      </c>
      <c r="B17" s="2079"/>
      <c r="C17" s="2110" t="s">
        <v>2727</v>
      </c>
      <c r="D17" s="2079"/>
      <c r="E17" s="2079"/>
      <c r="F17" s="2085"/>
      <c r="G17" s="2086"/>
      <c r="H17" s="2086"/>
      <c r="I17" s="2086" t="s">
        <v>2728</v>
      </c>
      <c r="J17" s="2086"/>
      <c r="K17" s="2086"/>
      <c r="L17" s="2085"/>
      <c r="M17" s="2110" t="s">
        <v>2729</v>
      </c>
      <c r="N17" s="2085"/>
      <c r="O17" s="2086"/>
      <c r="P17" s="2085"/>
      <c r="Q17" s="2086" t="s">
        <v>2728</v>
      </c>
      <c r="R17" s="2085"/>
      <c r="S17" s="2081"/>
      <c r="T17" s="2085"/>
      <c r="U17" s="2087">
        <v>0</v>
      </c>
      <c r="V17" s="2085"/>
      <c r="W17" s="2087">
        <v>1</v>
      </c>
    </row>
    <row r="18" spans="1:23">
      <c r="A18" s="2142" t="s">
        <v>730</v>
      </c>
      <c r="B18" s="2143"/>
      <c r="C18" s="2142" t="s">
        <v>730</v>
      </c>
      <c r="D18" s="2143"/>
      <c r="E18" s="2142" t="s">
        <v>731</v>
      </c>
      <c r="F18" s="2143"/>
      <c r="G18" s="2144" t="s">
        <v>2956</v>
      </c>
      <c r="H18" s="2142"/>
      <c r="I18" s="2142" t="s">
        <v>2730</v>
      </c>
      <c r="J18" s="2142"/>
      <c r="K18" s="2142" t="s">
        <v>81</v>
      </c>
      <c r="L18" s="2143"/>
      <c r="M18" s="2142" t="s">
        <v>2731</v>
      </c>
      <c r="N18" s="2143"/>
      <c r="O18" s="2144" t="s">
        <v>2956</v>
      </c>
      <c r="P18" s="2143"/>
      <c r="Q18" s="2142" t="s">
        <v>2730</v>
      </c>
      <c r="R18" s="2143"/>
      <c r="S18" s="2142" t="s">
        <v>81</v>
      </c>
      <c r="T18" s="2143"/>
      <c r="U18" s="2142" t="s">
        <v>498</v>
      </c>
      <c r="V18" s="2143"/>
      <c r="W18" s="2142" t="s">
        <v>670</v>
      </c>
    </row>
    <row r="19" spans="1:23">
      <c r="A19" s="2079"/>
      <c r="B19" s="2079"/>
      <c r="C19" s="2078"/>
      <c r="D19" s="2079"/>
      <c r="E19" s="2079"/>
      <c r="F19" s="2079"/>
      <c r="G19" s="2110"/>
      <c r="H19" s="2110"/>
      <c r="I19" s="2110"/>
      <c r="J19" s="2110"/>
      <c r="K19" s="2110"/>
      <c r="L19" s="2079"/>
      <c r="M19" s="2079"/>
      <c r="N19" s="2079"/>
      <c r="O19" s="2079"/>
      <c r="P19" s="2079"/>
      <c r="Q19" s="2079"/>
      <c r="R19" s="2079"/>
      <c r="S19" s="2079"/>
      <c r="T19" s="2079"/>
      <c r="U19" s="2079"/>
      <c r="V19" s="2079"/>
      <c r="W19" s="2079"/>
    </row>
    <row r="20" spans="1:23">
      <c r="A20" s="2110">
        <v>1</v>
      </c>
      <c r="B20" s="2088" t="s">
        <v>2732</v>
      </c>
      <c r="C20" s="2078"/>
      <c r="D20" s="2079"/>
      <c r="E20" s="2079"/>
      <c r="F20" s="2079"/>
      <c r="G20" s="2110"/>
      <c r="H20" s="2110"/>
      <c r="I20" s="2110"/>
      <c r="J20" s="2110"/>
      <c r="K20" s="2110"/>
      <c r="L20" s="2079"/>
      <c r="M20" s="2079"/>
      <c r="N20" s="2079"/>
      <c r="O20" s="2089"/>
      <c r="P20" s="2089"/>
      <c r="Q20" s="2089"/>
      <c r="R20" s="2089"/>
      <c r="S20" s="2089"/>
      <c r="T20" s="2089"/>
      <c r="U20" s="2089"/>
      <c r="V20" s="2089"/>
      <c r="W20" s="2089"/>
    </row>
    <row r="21" spans="1:23">
      <c r="A21" s="2110">
        <v>2</v>
      </c>
      <c r="B21" s="2079"/>
      <c r="C21" s="2078">
        <v>403</v>
      </c>
      <c r="D21" s="2079"/>
      <c r="E21" s="2079" t="s">
        <v>379</v>
      </c>
      <c r="F21" s="2079"/>
      <c r="G21" s="2090">
        <v>1.1942900920385104E-2</v>
      </c>
      <c r="H21" s="2110"/>
      <c r="I21" s="2090">
        <v>0.98805709907961492</v>
      </c>
      <c r="J21" s="2090"/>
      <c r="K21" s="2090">
        <v>1</v>
      </c>
      <c r="L21" s="2079"/>
      <c r="M21" s="2091" t="s">
        <v>347</v>
      </c>
      <c r="N21" s="2079"/>
      <c r="O21" s="2092">
        <v>3898.05</v>
      </c>
      <c r="P21" s="2092"/>
      <c r="Q21" s="2089">
        <v>322492.5</v>
      </c>
      <c r="R21" s="2092"/>
      <c r="S21" s="2092">
        <v>326390.55</v>
      </c>
      <c r="T21" s="2092"/>
      <c r="U21" s="2089">
        <v>0</v>
      </c>
      <c r="V21" s="2089"/>
      <c r="W21" s="2089">
        <v>3898.05</v>
      </c>
    </row>
    <row r="22" spans="1:23">
      <c r="A22" s="2110">
        <v>3</v>
      </c>
      <c r="B22" s="2079"/>
      <c r="C22" s="2078">
        <v>408</v>
      </c>
      <c r="D22" s="2079"/>
      <c r="E22" s="2079" t="s">
        <v>25</v>
      </c>
      <c r="F22" s="2079"/>
      <c r="G22" s="2090">
        <v>1.2274613976280508E-2</v>
      </c>
      <c r="H22" s="2110"/>
      <c r="I22" s="2090">
        <v>0.98772538602371951</v>
      </c>
      <c r="J22" s="2090"/>
      <c r="K22" s="2090">
        <v>1</v>
      </c>
      <c r="L22" s="2079"/>
      <c r="M22" s="2091" t="s">
        <v>347</v>
      </c>
      <c r="N22" s="2079"/>
      <c r="O22" s="2092">
        <v>411.85000000000008</v>
      </c>
      <c r="P22" s="2089"/>
      <c r="Q22" s="2089">
        <v>33141.14</v>
      </c>
      <c r="R22" s="2089"/>
      <c r="S22" s="2092">
        <v>33552.99</v>
      </c>
      <c r="T22" s="2089"/>
      <c r="U22" s="2089">
        <v>0</v>
      </c>
      <c r="V22" s="2089"/>
      <c r="W22" s="2089">
        <v>411.85000000000008</v>
      </c>
    </row>
    <row r="23" spans="1:23">
      <c r="A23" s="2110">
        <v>4</v>
      </c>
      <c r="B23" s="2079"/>
      <c r="C23" s="2078">
        <v>409</v>
      </c>
      <c r="D23" s="2079"/>
      <c r="E23" s="2079" t="s">
        <v>2733</v>
      </c>
      <c r="F23" s="2079"/>
      <c r="G23" s="2090">
        <v>0</v>
      </c>
      <c r="H23" s="2110"/>
      <c r="I23" s="2090">
        <v>0</v>
      </c>
      <c r="J23" s="2090"/>
      <c r="K23" s="2090">
        <v>0</v>
      </c>
      <c r="L23" s="2079"/>
      <c r="M23" s="2091" t="s">
        <v>347</v>
      </c>
      <c r="N23" s="2079"/>
      <c r="O23" s="2092">
        <v>0</v>
      </c>
      <c r="P23" s="2089"/>
      <c r="Q23" s="2089">
        <v>0</v>
      </c>
      <c r="R23" s="2089"/>
      <c r="S23" s="2092">
        <v>0</v>
      </c>
      <c r="T23" s="2089"/>
      <c r="U23" s="2089">
        <v>0</v>
      </c>
      <c r="V23" s="2089"/>
      <c r="W23" s="2089">
        <v>0</v>
      </c>
    </row>
    <row r="24" spans="1:23">
      <c r="A24" s="2110">
        <v>5</v>
      </c>
      <c r="B24" s="2079"/>
      <c r="C24" s="2078">
        <v>410</v>
      </c>
      <c r="D24" s="2079"/>
      <c r="E24" s="2079" t="s">
        <v>2734</v>
      </c>
      <c r="F24" s="2079"/>
      <c r="G24" s="2090">
        <v>0</v>
      </c>
      <c r="H24" s="2110"/>
      <c r="I24" s="2090">
        <v>0</v>
      </c>
      <c r="J24" s="2090"/>
      <c r="K24" s="2090">
        <v>0</v>
      </c>
      <c r="L24" s="2079"/>
      <c r="M24" s="2091" t="s">
        <v>347</v>
      </c>
      <c r="N24" s="2079"/>
      <c r="O24" s="2092">
        <v>0</v>
      </c>
      <c r="P24" s="2089"/>
      <c r="Q24" s="2089">
        <v>0</v>
      </c>
      <c r="R24" s="2089"/>
      <c r="S24" s="2092">
        <v>0</v>
      </c>
      <c r="T24" s="2089"/>
      <c r="U24" s="2089">
        <v>0</v>
      </c>
      <c r="V24" s="2089"/>
      <c r="W24" s="2089">
        <v>0</v>
      </c>
    </row>
    <row r="25" spans="1:23">
      <c r="A25" s="2110">
        <v>6</v>
      </c>
      <c r="B25" s="2079"/>
      <c r="C25" s="2078" t="s">
        <v>2735</v>
      </c>
      <c r="D25" s="2079"/>
      <c r="E25" s="2079" t="s">
        <v>530</v>
      </c>
      <c r="F25" s="2079"/>
      <c r="G25" s="2090">
        <v>1.227216209736324E-2</v>
      </c>
      <c r="H25" s="2110"/>
      <c r="I25" s="2090">
        <v>0.98772783790263674</v>
      </c>
      <c r="J25" s="2090"/>
      <c r="K25" s="2090">
        <v>1</v>
      </c>
      <c r="L25" s="2079"/>
      <c r="M25" s="2091" t="s">
        <v>347</v>
      </c>
      <c r="N25" s="2079"/>
      <c r="O25" s="2092">
        <v>-22.009999999999998</v>
      </c>
      <c r="P25" s="2089"/>
      <c r="Q25" s="2089">
        <v>-1771.48</v>
      </c>
      <c r="R25" s="2089"/>
      <c r="S25" s="2092">
        <v>-1793.49</v>
      </c>
      <c r="T25" s="2089"/>
      <c r="U25" s="2089">
        <v>0</v>
      </c>
      <c r="V25" s="2089"/>
      <c r="W25" s="2089">
        <v>-22.009999999999998</v>
      </c>
    </row>
    <row r="26" spans="1:23">
      <c r="A26" s="2110">
        <v>7</v>
      </c>
      <c r="B26" s="2079"/>
      <c r="C26" s="2078">
        <v>427</v>
      </c>
      <c r="D26" s="2079"/>
      <c r="E26" s="2079" t="s">
        <v>2619</v>
      </c>
      <c r="F26" s="2079"/>
      <c r="G26" s="2090">
        <v>1.2286689419795223E-2</v>
      </c>
      <c r="H26" s="2110"/>
      <c r="I26" s="2090">
        <v>0.98771331058020484</v>
      </c>
      <c r="J26" s="2090"/>
      <c r="K26" s="2090">
        <v>1</v>
      </c>
      <c r="L26" s="2079"/>
      <c r="M26" s="2091" t="s">
        <v>347</v>
      </c>
      <c r="N26" s="2079"/>
      <c r="O26" s="2092">
        <v>-3.78</v>
      </c>
      <c r="P26" s="2089"/>
      <c r="Q26" s="2089">
        <v>-303.87</v>
      </c>
      <c r="R26" s="2089"/>
      <c r="S26" s="2092">
        <v>-307.64999999999998</v>
      </c>
      <c r="T26" s="2089"/>
      <c r="U26" s="2089">
        <v>0</v>
      </c>
      <c r="V26" s="2089"/>
      <c r="W26" s="2089">
        <v>-3.78</v>
      </c>
    </row>
    <row r="27" spans="1:23">
      <c r="A27" s="2110">
        <v>8</v>
      </c>
      <c r="B27" s="2079"/>
      <c r="C27" s="2078" t="s">
        <v>2736</v>
      </c>
      <c r="D27" s="2079"/>
      <c r="E27" s="2079" t="s">
        <v>2737</v>
      </c>
      <c r="F27" s="2079"/>
      <c r="G27" s="2090">
        <v>1.2274358717539045E-2</v>
      </c>
      <c r="H27" s="2110"/>
      <c r="I27" s="2090">
        <v>0.98772564128246099</v>
      </c>
      <c r="J27" s="2090"/>
      <c r="K27" s="2090">
        <v>1</v>
      </c>
      <c r="L27" s="2079"/>
      <c r="M27" s="2091" t="s">
        <v>347</v>
      </c>
      <c r="N27" s="2091"/>
      <c r="O27" s="2092">
        <v>4769.5599999999995</v>
      </c>
      <c r="P27" s="2092"/>
      <c r="Q27" s="2089">
        <v>383809.60000000003</v>
      </c>
      <c r="R27" s="2092"/>
      <c r="S27" s="2092">
        <v>388579.16000000003</v>
      </c>
      <c r="T27" s="2092"/>
      <c r="U27" s="2089">
        <v>0</v>
      </c>
      <c r="V27" s="2089"/>
      <c r="W27" s="2089">
        <v>4769.5599999999995</v>
      </c>
    </row>
    <row r="28" spans="1:23">
      <c r="A28" s="2110">
        <v>9</v>
      </c>
      <c r="B28" s="2079"/>
      <c r="C28" s="2078" t="s">
        <v>2002</v>
      </c>
      <c r="D28" s="2079"/>
      <c r="E28" s="2079" t="s">
        <v>2738</v>
      </c>
      <c r="F28" s="2079"/>
      <c r="G28" s="2090">
        <v>1.2274348362925186E-2</v>
      </c>
      <c r="H28" s="2110"/>
      <c r="I28" s="2090">
        <v>0.98772565163707482</v>
      </c>
      <c r="J28" s="2090"/>
      <c r="K28" s="2090">
        <v>1</v>
      </c>
      <c r="L28" s="2079"/>
      <c r="M28" s="2091" t="s">
        <v>347</v>
      </c>
      <c r="N28" s="2079"/>
      <c r="O28" s="2092">
        <v>5562.35</v>
      </c>
      <c r="P28" s="2089"/>
      <c r="Q28" s="2089">
        <v>447606.31000000006</v>
      </c>
      <c r="R28" s="2089"/>
      <c r="S28" s="2092">
        <v>453168.66000000003</v>
      </c>
      <c r="T28" s="2089"/>
      <c r="U28" s="2089">
        <v>0</v>
      </c>
      <c r="V28" s="2089"/>
      <c r="W28" s="2089">
        <v>5562.35</v>
      </c>
    </row>
    <row r="29" spans="1:23">
      <c r="A29" s="2110">
        <v>10</v>
      </c>
      <c r="B29" s="2079"/>
      <c r="C29" s="2078" t="s">
        <v>1991</v>
      </c>
      <c r="D29" s="2079"/>
      <c r="E29" s="2079" t="s">
        <v>2739</v>
      </c>
      <c r="F29" s="2079"/>
      <c r="G29" s="2090">
        <v>1.227423736969931E-2</v>
      </c>
      <c r="H29" s="2110"/>
      <c r="I29" s="2090">
        <v>0.98772576263030065</v>
      </c>
      <c r="J29" s="2090"/>
      <c r="K29" s="2090">
        <v>1</v>
      </c>
      <c r="L29" s="2079"/>
      <c r="M29" s="2091" t="s">
        <v>347</v>
      </c>
      <c r="N29" s="2079"/>
      <c r="O29" s="2092">
        <v>783.55000000000007</v>
      </c>
      <c r="P29" s="2089"/>
      <c r="Q29" s="2089">
        <v>63053.409999999996</v>
      </c>
      <c r="R29" s="2089"/>
      <c r="S29" s="2092">
        <v>63836.959999999999</v>
      </c>
      <c r="T29" s="2089"/>
      <c r="U29" s="2089">
        <v>0</v>
      </c>
      <c r="V29" s="2089"/>
      <c r="W29" s="2089">
        <v>783.55000000000007</v>
      </c>
    </row>
    <row r="30" spans="1:23">
      <c r="A30" s="2110">
        <v>11</v>
      </c>
      <c r="B30" s="2079"/>
      <c r="C30" s="2078" t="s">
        <v>2056</v>
      </c>
      <c r="D30" s="2079"/>
      <c r="E30" s="2079" t="s">
        <v>2740</v>
      </c>
      <c r="F30" s="2079"/>
      <c r="G30" s="2090">
        <v>1.2274264643991097E-2</v>
      </c>
      <c r="H30" s="2110"/>
      <c r="I30" s="2090">
        <v>0.98772573535600894</v>
      </c>
      <c r="J30" s="2090"/>
      <c r="K30" s="2090">
        <v>1</v>
      </c>
      <c r="L30" s="2079"/>
      <c r="M30" s="2091" t="s">
        <v>347</v>
      </c>
      <c r="N30" s="2079"/>
      <c r="O30" s="2092">
        <v>784.53</v>
      </c>
      <c r="P30" s="2089"/>
      <c r="Q30" s="2089">
        <v>63132.130000000005</v>
      </c>
      <c r="R30" s="2089"/>
      <c r="S30" s="2092">
        <v>63916.66</v>
      </c>
      <c r="T30" s="2089"/>
      <c r="U30" s="2089">
        <v>0</v>
      </c>
      <c r="V30" s="2089"/>
      <c r="W30" s="2089">
        <v>784.53</v>
      </c>
    </row>
    <row r="31" spans="1:23">
      <c r="A31" s="2110">
        <v>12</v>
      </c>
      <c r="B31" s="2079"/>
      <c r="C31" s="2078" t="s">
        <v>2063</v>
      </c>
      <c r="D31" s="2079"/>
      <c r="E31" s="2079" t="s">
        <v>1248</v>
      </c>
      <c r="F31" s="2079"/>
      <c r="G31" s="2090">
        <v>0</v>
      </c>
      <c r="H31" s="2110"/>
      <c r="I31" s="2090">
        <v>0</v>
      </c>
      <c r="J31" s="2090"/>
      <c r="K31" s="2090">
        <v>0</v>
      </c>
      <c r="L31" s="2079"/>
      <c r="M31" s="2091" t="s">
        <v>347</v>
      </c>
      <c r="N31" s="2079"/>
      <c r="O31" s="2092">
        <v>0</v>
      </c>
      <c r="P31" s="2089"/>
      <c r="Q31" s="2089">
        <v>0</v>
      </c>
      <c r="R31" s="2089"/>
      <c r="S31" s="2092">
        <v>0</v>
      </c>
      <c r="T31" s="2089"/>
      <c r="U31" s="2089">
        <v>0</v>
      </c>
      <c r="V31" s="2089"/>
      <c r="W31" s="2089">
        <v>0</v>
      </c>
    </row>
    <row r="32" spans="1:23">
      <c r="A32" s="2110">
        <v>13</v>
      </c>
      <c r="B32" s="2079"/>
      <c r="C32" s="2078" t="s">
        <v>1981</v>
      </c>
      <c r="D32" s="2079"/>
      <c r="E32" s="2079" t="s">
        <v>1250</v>
      </c>
      <c r="F32" s="2079"/>
      <c r="G32" s="2090">
        <v>1.2274412885956513E-2</v>
      </c>
      <c r="H32" s="2110"/>
      <c r="I32" s="2090">
        <v>0.98772558711404357</v>
      </c>
      <c r="J32" s="2090"/>
      <c r="K32" s="2090">
        <v>1</v>
      </c>
      <c r="L32" s="2079"/>
      <c r="M32" s="2091" t="s">
        <v>347</v>
      </c>
      <c r="N32" s="2079"/>
      <c r="O32" s="2092">
        <v>1240.3999999999999</v>
      </c>
      <c r="P32" s="2089"/>
      <c r="Q32" s="2089">
        <v>99815.35</v>
      </c>
      <c r="R32" s="2089"/>
      <c r="S32" s="2092">
        <v>101055.75</v>
      </c>
      <c r="T32" s="2089"/>
      <c r="U32" s="2089">
        <v>0</v>
      </c>
      <c r="V32" s="2089"/>
      <c r="W32" s="2089">
        <v>1240.3999999999999</v>
      </c>
    </row>
    <row r="33" spans="1:23">
      <c r="A33" s="2110">
        <v>14</v>
      </c>
      <c r="B33" s="2079"/>
      <c r="C33" s="2078" t="s">
        <v>2741</v>
      </c>
      <c r="D33" s="2079"/>
      <c r="E33" s="2079" t="s">
        <v>2742</v>
      </c>
      <c r="F33" s="2079"/>
      <c r="G33" s="2090">
        <v>1.2273212379935965E-2</v>
      </c>
      <c r="H33" s="2110"/>
      <c r="I33" s="2090">
        <v>0.98772678762006405</v>
      </c>
      <c r="J33" s="2090"/>
      <c r="K33" s="2090">
        <v>1</v>
      </c>
      <c r="L33" s="2079"/>
      <c r="M33" s="2091" t="s">
        <v>347</v>
      </c>
      <c r="N33" s="2079"/>
      <c r="O33" s="2092">
        <v>23</v>
      </c>
      <c r="P33" s="2089"/>
      <c r="Q33" s="2089">
        <v>1851</v>
      </c>
      <c r="R33" s="2089"/>
      <c r="S33" s="2092">
        <v>1874</v>
      </c>
      <c r="T33" s="2089"/>
      <c r="U33" s="2089">
        <v>0</v>
      </c>
      <c r="V33" s="2089"/>
      <c r="W33" s="2089">
        <v>23</v>
      </c>
    </row>
    <row r="34" spans="1:23">
      <c r="A34" s="2110">
        <v>15</v>
      </c>
      <c r="B34" s="2079"/>
      <c r="C34" s="2078" t="s">
        <v>2076</v>
      </c>
      <c r="D34" s="2079"/>
      <c r="E34" s="2079" t="s">
        <v>2519</v>
      </c>
      <c r="F34" s="2079"/>
      <c r="G34" s="2090">
        <v>1.2263466736994792E-2</v>
      </c>
      <c r="H34" s="2110"/>
      <c r="I34" s="2090">
        <v>0.98773653326300515</v>
      </c>
      <c r="J34" s="2090"/>
      <c r="K34" s="2090">
        <v>1</v>
      </c>
      <c r="L34" s="2079"/>
      <c r="M34" s="2091" t="s">
        <v>347</v>
      </c>
      <c r="N34" s="2079"/>
      <c r="O34" s="2092">
        <v>3.72</v>
      </c>
      <c r="P34" s="2089"/>
      <c r="Q34" s="2089">
        <v>299.61999999999995</v>
      </c>
      <c r="R34" s="2089"/>
      <c r="S34" s="2092">
        <v>303.33999999999997</v>
      </c>
      <c r="T34" s="2089"/>
      <c r="U34" s="2089">
        <v>0</v>
      </c>
      <c r="V34" s="2089"/>
      <c r="W34" s="2089">
        <v>3.72</v>
      </c>
    </row>
    <row r="35" spans="1:23">
      <c r="A35" s="2110">
        <v>16</v>
      </c>
      <c r="B35" s="2079"/>
      <c r="C35" s="2078" t="s">
        <v>2743</v>
      </c>
      <c r="D35" s="2079"/>
      <c r="E35" s="2079" t="s">
        <v>2523</v>
      </c>
      <c r="F35" s="2079"/>
      <c r="G35" s="2090">
        <v>1.2274406877391907E-2</v>
      </c>
      <c r="H35" s="2110"/>
      <c r="I35" s="2090">
        <v>0.9877255931226081</v>
      </c>
      <c r="J35" s="2090"/>
      <c r="K35" s="2090">
        <v>1</v>
      </c>
      <c r="L35" s="2079"/>
      <c r="M35" s="2091" t="s">
        <v>347</v>
      </c>
      <c r="N35" s="2079"/>
      <c r="O35" s="2092">
        <v>2270.27</v>
      </c>
      <c r="P35" s="2089"/>
      <c r="Q35" s="2089">
        <v>182689.38</v>
      </c>
      <c r="R35" s="2089"/>
      <c r="S35" s="2092">
        <v>184959.65</v>
      </c>
      <c r="T35" s="2089"/>
      <c r="U35" s="2089">
        <v>0</v>
      </c>
      <c r="V35" s="2089"/>
      <c r="W35" s="2089">
        <v>2270.27</v>
      </c>
    </row>
    <row r="36" spans="1:23">
      <c r="A36" s="2110">
        <v>17</v>
      </c>
      <c r="B36" s="2079"/>
      <c r="C36" s="2078" t="s">
        <v>2015</v>
      </c>
      <c r="D36" s="2079"/>
      <c r="E36" s="2079" t="s">
        <v>2744</v>
      </c>
      <c r="F36" s="2079"/>
      <c r="G36" s="2090">
        <v>1.2274406532287683E-2</v>
      </c>
      <c r="H36" s="2110"/>
      <c r="I36" s="2090">
        <v>0.98772559346771227</v>
      </c>
      <c r="J36" s="2090"/>
      <c r="K36" s="2090">
        <v>1</v>
      </c>
      <c r="L36" s="2079"/>
      <c r="M36" s="2091" t="s">
        <v>347</v>
      </c>
      <c r="N36" s="2079"/>
      <c r="O36" s="2092">
        <v>784.4</v>
      </c>
      <c r="P36" s="2089"/>
      <c r="Q36" s="2089">
        <v>63120.93</v>
      </c>
      <c r="R36" s="2089"/>
      <c r="S36" s="2092">
        <v>63905.33</v>
      </c>
      <c r="T36" s="2089"/>
      <c r="U36" s="2089">
        <v>0</v>
      </c>
      <c r="V36" s="2089"/>
      <c r="W36" s="2089">
        <v>784.4</v>
      </c>
    </row>
    <row r="37" spans="1:23">
      <c r="A37" s="2110">
        <v>18</v>
      </c>
      <c r="B37" s="2079"/>
      <c r="C37" s="2078" t="s">
        <v>1984</v>
      </c>
      <c r="D37" s="2079"/>
      <c r="E37" s="2079" t="s">
        <v>1253</v>
      </c>
      <c r="F37" s="2079"/>
      <c r="G37" s="2090">
        <v>1.2273361227336124E-2</v>
      </c>
      <c r="H37" s="2110"/>
      <c r="I37" s="2090">
        <v>0.98772663877266376</v>
      </c>
      <c r="J37" s="2090"/>
      <c r="K37" s="2090">
        <v>1</v>
      </c>
      <c r="L37" s="2079"/>
      <c r="M37" s="2091" t="s">
        <v>347</v>
      </c>
      <c r="N37" s="2079"/>
      <c r="O37" s="2092">
        <v>13.64</v>
      </c>
      <c r="P37" s="2089"/>
      <c r="Q37" s="2089">
        <v>1097.7099999999998</v>
      </c>
      <c r="R37" s="2089"/>
      <c r="S37" s="2092">
        <v>1111.3499999999999</v>
      </c>
      <c r="T37" s="2089"/>
      <c r="U37" s="2089">
        <v>0</v>
      </c>
      <c r="V37" s="2089"/>
      <c r="W37" s="2089">
        <v>13.64</v>
      </c>
    </row>
    <row r="38" spans="1:23">
      <c r="A38" s="2110">
        <v>19</v>
      </c>
      <c r="B38" s="2079"/>
      <c r="C38" s="2078" t="s">
        <v>1998</v>
      </c>
      <c r="D38" s="2079"/>
      <c r="E38" s="2079" t="s">
        <v>2535</v>
      </c>
      <c r="F38" s="2079"/>
      <c r="G38" s="2090">
        <v>1.2274502427301463E-2</v>
      </c>
      <c r="H38" s="2110"/>
      <c r="I38" s="2090">
        <v>0.98772549757269856</v>
      </c>
      <c r="J38" s="2090"/>
      <c r="K38" s="2090">
        <v>1</v>
      </c>
      <c r="L38" s="2079"/>
      <c r="M38" s="2091" t="s">
        <v>347</v>
      </c>
      <c r="N38" s="2079"/>
      <c r="O38" s="2092">
        <v>1642.4399999999998</v>
      </c>
      <c r="P38" s="2089"/>
      <c r="Q38" s="2089">
        <v>132166.65</v>
      </c>
      <c r="R38" s="2089"/>
      <c r="S38" s="2092">
        <v>133809.09</v>
      </c>
      <c r="T38" s="2089"/>
      <c r="U38" s="2089">
        <v>0</v>
      </c>
      <c r="V38" s="2089"/>
      <c r="W38" s="2089">
        <v>1642.4399999999998</v>
      </c>
    </row>
    <row r="39" spans="1:23" ht="12.75" thickBot="1">
      <c r="A39" s="2110">
        <v>20</v>
      </c>
      <c r="B39" s="2079"/>
      <c r="C39" s="2078"/>
      <c r="D39" s="2079"/>
      <c r="E39" s="2079"/>
      <c r="F39" s="2079"/>
      <c r="G39" s="2090"/>
      <c r="H39" s="2110"/>
      <c r="I39" s="2110"/>
      <c r="J39" s="2110"/>
      <c r="K39" s="2110"/>
      <c r="L39" s="2079"/>
      <c r="M39" s="2079"/>
      <c r="N39" s="2079"/>
      <c r="O39" s="2093">
        <v>22161.97</v>
      </c>
      <c r="P39" s="2089"/>
      <c r="Q39" s="2093">
        <v>1792200.3800000001</v>
      </c>
      <c r="R39" s="2089"/>
      <c r="S39" s="2093">
        <v>1814362.3500000003</v>
      </c>
      <c r="T39" s="2089"/>
      <c r="U39" s="2094">
        <v>0</v>
      </c>
      <c r="V39" s="2089"/>
      <c r="W39" s="2094">
        <v>22161.97</v>
      </c>
    </row>
    <row r="40" spans="1:23" ht="12.75" thickTop="1">
      <c r="A40" s="2110">
        <v>21</v>
      </c>
      <c r="B40" s="2079"/>
      <c r="C40" s="2078"/>
      <c r="D40" s="2079"/>
      <c r="E40" s="2079"/>
      <c r="F40" s="2079"/>
      <c r="G40" s="2090"/>
      <c r="H40" s="2110"/>
      <c r="I40" s="2110"/>
      <c r="J40" s="2110"/>
      <c r="K40" s="2110"/>
      <c r="L40" s="2079"/>
      <c r="M40" s="2079"/>
      <c r="N40" s="2079"/>
      <c r="O40" s="2089"/>
      <c r="P40" s="2089"/>
      <c r="Q40" s="2089"/>
      <c r="R40" s="2089"/>
      <c r="S40" s="2089"/>
      <c r="T40" s="2089"/>
      <c r="U40" s="2089"/>
      <c r="V40" s="2089"/>
      <c r="W40" s="2089"/>
    </row>
    <row r="41" spans="1:23">
      <c r="A41" s="2110">
        <v>22</v>
      </c>
      <c r="B41" s="2088" t="s">
        <v>2745</v>
      </c>
      <c r="C41" s="2078"/>
      <c r="D41" s="2079"/>
      <c r="E41" s="2079"/>
      <c r="F41" s="2079"/>
      <c r="G41" s="2090"/>
      <c r="H41" s="2110"/>
      <c r="I41" s="2090"/>
      <c r="J41" s="2090"/>
      <c r="K41" s="2090"/>
      <c r="L41" s="2079"/>
      <c r="M41" s="2079"/>
      <c r="N41" s="2079"/>
      <c r="O41" s="2089"/>
      <c r="P41" s="2089"/>
      <c r="Q41" s="2089"/>
      <c r="R41" s="2089"/>
      <c r="S41" s="2089"/>
      <c r="T41" s="2089"/>
      <c r="U41" s="2089"/>
      <c r="V41" s="2089"/>
      <c r="W41" s="2089"/>
    </row>
    <row r="42" spans="1:23">
      <c r="A42" s="2110">
        <v>23</v>
      </c>
      <c r="B42" s="2079"/>
      <c r="C42" s="2078"/>
      <c r="D42" s="2079"/>
      <c r="E42" s="2079"/>
      <c r="F42" s="2079"/>
      <c r="G42" s="2090"/>
      <c r="H42" s="2110"/>
      <c r="I42" s="2090"/>
      <c r="J42" s="2090"/>
      <c r="K42" s="2090"/>
      <c r="L42" s="2079"/>
      <c r="M42" s="2079"/>
      <c r="N42" s="2079"/>
      <c r="O42" s="2089"/>
      <c r="P42" s="2089"/>
      <c r="Q42" s="2089"/>
      <c r="R42" s="2089"/>
      <c r="S42" s="2089"/>
      <c r="T42" s="2089"/>
      <c r="U42" s="2089"/>
      <c r="V42" s="2089"/>
      <c r="W42" s="2089"/>
    </row>
    <row r="43" spans="1:23">
      <c r="A43" s="2110">
        <v>24</v>
      </c>
      <c r="B43" s="2079"/>
      <c r="C43" s="2078">
        <v>403</v>
      </c>
      <c r="D43" s="2079"/>
      <c r="E43" s="2079" t="s">
        <v>2746</v>
      </c>
      <c r="F43" s="2079"/>
      <c r="G43" s="2090">
        <v>4.3366955467458605E-2</v>
      </c>
      <c r="H43" s="2110"/>
      <c r="I43" s="2090">
        <v>0.95663304453254139</v>
      </c>
      <c r="J43" s="2090"/>
      <c r="K43" s="2090">
        <v>1</v>
      </c>
      <c r="L43" s="2079"/>
      <c r="M43" s="2091" t="s">
        <v>347</v>
      </c>
      <c r="N43" s="2079"/>
      <c r="O43" s="2092">
        <v>1138.8800000000001</v>
      </c>
      <c r="P43" s="2092"/>
      <c r="Q43" s="2092">
        <v>25122.589999999997</v>
      </c>
      <c r="R43" s="2092"/>
      <c r="S43" s="2092">
        <v>26261.469999999998</v>
      </c>
      <c r="T43" s="2092"/>
      <c r="U43" s="994">
        <v>0</v>
      </c>
      <c r="V43" s="994"/>
      <c r="W43" s="994">
        <v>1138.8800000000001</v>
      </c>
    </row>
    <row r="44" spans="1:23">
      <c r="A44" s="2110">
        <v>25</v>
      </c>
      <c r="B44" s="2079"/>
      <c r="C44" s="2078">
        <v>408</v>
      </c>
      <c r="D44" s="2079"/>
      <c r="E44" s="2079" t="s">
        <v>25</v>
      </c>
      <c r="F44" s="2079"/>
      <c r="G44" s="2090">
        <v>5.2181743432437901E-2</v>
      </c>
      <c r="H44" s="2110"/>
      <c r="I44" s="2090">
        <v>0.94781825656756213</v>
      </c>
      <c r="J44" s="2090"/>
      <c r="K44" s="2090">
        <v>1</v>
      </c>
      <c r="L44" s="2079"/>
      <c r="M44" s="2091" t="s">
        <v>347</v>
      </c>
      <c r="N44" s="2079"/>
      <c r="O44" s="2092">
        <v>866.9</v>
      </c>
      <c r="P44" s="2089"/>
      <c r="Q44" s="2092">
        <v>15746.190000000004</v>
      </c>
      <c r="R44" s="2089"/>
      <c r="S44" s="2092">
        <v>16613.090000000004</v>
      </c>
      <c r="T44" s="2089"/>
      <c r="U44" s="994">
        <v>0</v>
      </c>
      <c r="V44" s="994"/>
      <c r="W44" s="994">
        <v>866.9</v>
      </c>
    </row>
    <row r="45" spans="1:23">
      <c r="A45" s="2110">
        <v>26</v>
      </c>
      <c r="B45" s="2079"/>
      <c r="C45" s="2078">
        <v>410</v>
      </c>
      <c r="D45" s="2079"/>
      <c r="E45" s="2079" t="s">
        <v>2734</v>
      </c>
      <c r="F45" s="2079"/>
      <c r="G45" s="2090">
        <v>0</v>
      </c>
      <c r="H45" s="2110"/>
      <c r="I45" s="2090">
        <v>0</v>
      </c>
      <c r="J45" s="2090"/>
      <c r="K45" s="2090">
        <v>0</v>
      </c>
      <c r="L45" s="2079"/>
      <c r="M45" s="2091" t="s">
        <v>347</v>
      </c>
      <c r="N45" s="2079"/>
      <c r="O45" s="2092">
        <v>0</v>
      </c>
      <c r="P45" s="2089"/>
      <c r="Q45" s="2092">
        <v>0</v>
      </c>
      <c r="R45" s="2089"/>
      <c r="S45" s="2092">
        <v>0</v>
      </c>
      <c r="T45" s="2089"/>
      <c r="U45" s="994">
        <v>0</v>
      </c>
      <c r="V45" s="994"/>
      <c r="W45" s="994">
        <v>0</v>
      </c>
    </row>
    <row r="46" spans="1:23">
      <c r="A46" s="2110">
        <v>27</v>
      </c>
      <c r="B46" s="2079"/>
      <c r="C46" s="2078" t="s">
        <v>2747</v>
      </c>
      <c r="D46" s="2079"/>
      <c r="E46" s="2079" t="s">
        <v>25</v>
      </c>
      <c r="F46" s="2079"/>
      <c r="G46" s="2090">
        <v>0</v>
      </c>
      <c r="H46" s="2110"/>
      <c r="I46" s="2090">
        <v>0</v>
      </c>
      <c r="J46" s="2090"/>
      <c r="K46" s="2090">
        <v>0</v>
      </c>
      <c r="L46" s="2079"/>
      <c r="M46" s="2091" t="s">
        <v>347</v>
      </c>
      <c r="N46" s="2079"/>
      <c r="O46" s="2092">
        <v>0</v>
      </c>
      <c r="P46" s="2089"/>
      <c r="Q46" s="2092">
        <v>0</v>
      </c>
      <c r="R46" s="2089"/>
      <c r="S46" s="2092">
        <v>0</v>
      </c>
      <c r="T46" s="2089"/>
      <c r="U46" s="994">
        <v>0</v>
      </c>
      <c r="V46" s="994"/>
      <c r="W46" s="994">
        <v>0</v>
      </c>
    </row>
    <row r="47" spans="1:23">
      <c r="A47" s="2110">
        <v>28</v>
      </c>
      <c r="B47" s="2079"/>
      <c r="C47" s="2078">
        <v>427</v>
      </c>
      <c r="D47" s="2079"/>
      <c r="E47" s="2079" t="s">
        <v>2619</v>
      </c>
      <c r="F47" s="2079"/>
      <c r="G47" s="2090">
        <v>5.3140096618357495E-2</v>
      </c>
      <c r="H47" s="2110"/>
      <c r="I47" s="2090">
        <v>0.9468599033816425</v>
      </c>
      <c r="J47" s="2090"/>
      <c r="K47" s="2090">
        <v>1</v>
      </c>
      <c r="L47" s="2079"/>
      <c r="M47" s="2091" t="s">
        <v>347</v>
      </c>
      <c r="N47" s="2079"/>
      <c r="O47" s="2092">
        <v>0.22</v>
      </c>
      <c r="P47" s="2089"/>
      <c r="Q47" s="2092">
        <v>3.9199999999999995</v>
      </c>
      <c r="R47" s="2089"/>
      <c r="S47" s="2092">
        <v>4.1399999999999997</v>
      </c>
      <c r="T47" s="2089"/>
      <c r="U47" s="994">
        <v>0</v>
      </c>
      <c r="V47" s="994"/>
      <c r="W47" s="994">
        <v>0.22</v>
      </c>
    </row>
    <row r="48" spans="1:23">
      <c r="A48" s="2110">
        <v>29</v>
      </c>
      <c r="B48" s="2079"/>
      <c r="C48" s="2078" t="s">
        <v>2736</v>
      </c>
      <c r="D48" s="2079"/>
      <c r="E48" s="2079" t="s">
        <v>2737</v>
      </c>
      <c r="F48" s="2079"/>
      <c r="G48" s="2090">
        <v>5.2727027592652222E-2</v>
      </c>
      <c r="H48" s="2110"/>
      <c r="I48" s="2090">
        <v>0.94727297240734776</v>
      </c>
      <c r="J48" s="2090"/>
      <c r="K48" s="2090">
        <v>1</v>
      </c>
      <c r="L48" s="2079"/>
      <c r="M48" s="2091" t="s">
        <v>347</v>
      </c>
      <c r="N48" s="2091"/>
      <c r="O48" s="2092">
        <v>3554.92</v>
      </c>
      <c r="P48" s="2089"/>
      <c r="Q48" s="2092">
        <v>63866.290000000008</v>
      </c>
      <c r="R48" s="2089"/>
      <c r="S48" s="2092">
        <v>67421.210000000006</v>
      </c>
      <c r="T48" s="2089"/>
      <c r="U48" s="994">
        <v>0</v>
      </c>
      <c r="V48" s="994"/>
      <c r="W48" s="994">
        <v>3554.92</v>
      </c>
    </row>
    <row r="49" spans="1:23">
      <c r="A49" s="2110">
        <v>30</v>
      </c>
      <c r="B49" s="2079"/>
      <c r="C49" s="2078" t="s">
        <v>2002</v>
      </c>
      <c r="D49" s="2079"/>
      <c r="E49" s="2079" t="s">
        <v>2738</v>
      </c>
      <c r="F49" s="2079"/>
      <c r="G49" s="2090">
        <v>5.2181759587495977E-2</v>
      </c>
      <c r="H49" s="2110"/>
      <c r="I49" s="2090">
        <v>0.94781824041250395</v>
      </c>
      <c r="J49" s="2090"/>
      <c r="K49" s="2090">
        <v>1</v>
      </c>
      <c r="L49" s="2079"/>
      <c r="M49" s="2091" t="s">
        <v>347</v>
      </c>
      <c r="N49" s="2079"/>
      <c r="O49" s="2092">
        <v>161.92000000000002</v>
      </c>
      <c r="P49" s="2089"/>
      <c r="Q49" s="2092">
        <v>2941.08</v>
      </c>
      <c r="R49" s="2089"/>
      <c r="S49" s="2092">
        <v>3103</v>
      </c>
      <c r="T49" s="2089"/>
      <c r="U49" s="994">
        <v>0</v>
      </c>
      <c r="V49" s="994"/>
      <c r="W49" s="994">
        <v>161.92000000000002</v>
      </c>
    </row>
    <row r="50" spans="1:23">
      <c r="A50" s="2110">
        <v>31</v>
      </c>
      <c r="B50" s="2079"/>
      <c r="C50" s="2078" t="s">
        <v>1991</v>
      </c>
      <c r="D50" s="2079"/>
      <c r="E50" s="2079" t="s">
        <v>2739</v>
      </c>
      <c r="F50" s="2079"/>
      <c r="G50" s="2090">
        <v>5.204589350353666E-2</v>
      </c>
      <c r="H50" s="2110"/>
      <c r="I50" s="2090">
        <v>0.94795410649646339</v>
      </c>
      <c r="J50" s="2090"/>
      <c r="K50" s="2090">
        <v>1</v>
      </c>
      <c r="L50" s="2079"/>
      <c r="M50" s="2091" t="s">
        <v>347</v>
      </c>
      <c r="N50" s="2079"/>
      <c r="O50" s="2092">
        <v>40.69</v>
      </c>
      <c r="P50" s="2089"/>
      <c r="Q50" s="2092">
        <v>741.12000000000012</v>
      </c>
      <c r="R50" s="2089"/>
      <c r="S50" s="2092">
        <v>781.81000000000006</v>
      </c>
      <c r="T50" s="2089"/>
      <c r="U50" s="994">
        <v>0</v>
      </c>
      <c r="V50" s="994"/>
      <c r="W50" s="994">
        <v>40.69</v>
      </c>
    </row>
    <row r="51" spans="1:23">
      <c r="A51" s="2110">
        <v>32</v>
      </c>
      <c r="B51" s="2079"/>
      <c r="C51" s="2078" t="s">
        <v>2052</v>
      </c>
      <c r="D51" s="2079"/>
      <c r="E51" s="2079" t="s">
        <v>2748</v>
      </c>
      <c r="F51" s="2079"/>
      <c r="G51" s="2090">
        <v>0</v>
      </c>
      <c r="H51" s="2110"/>
      <c r="I51" s="2090">
        <v>0</v>
      </c>
      <c r="J51" s="2090"/>
      <c r="K51" s="2090">
        <v>0</v>
      </c>
      <c r="L51" s="2079"/>
      <c r="M51" s="2091" t="s">
        <v>347</v>
      </c>
      <c r="N51" s="2079"/>
      <c r="O51" s="2092">
        <v>0</v>
      </c>
      <c r="P51" s="2089"/>
      <c r="Q51" s="2092">
        <v>0</v>
      </c>
      <c r="R51" s="2089"/>
      <c r="S51" s="2092">
        <v>0</v>
      </c>
      <c r="T51" s="2089"/>
      <c r="U51" s="994">
        <v>0</v>
      </c>
      <c r="V51" s="994"/>
      <c r="W51" s="994">
        <v>0</v>
      </c>
    </row>
    <row r="52" spans="1:23">
      <c r="A52" s="2110">
        <v>33</v>
      </c>
      <c r="B52" s="2079"/>
      <c r="C52" s="2078" t="s">
        <v>2063</v>
      </c>
      <c r="D52" s="2079"/>
      <c r="E52" s="2079" t="s">
        <v>1248</v>
      </c>
      <c r="F52" s="2079"/>
      <c r="G52" s="2090">
        <v>0</v>
      </c>
      <c r="H52" s="2110"/>
      <c r="I52" s="2090">
        <v>0</v>
      </c>
      <c r="J52" s="2090"/>
      <c r="K52" s="2090">
        <v>0</v>
      </c>
      <c r="L52" s="2079"/>
      <c r="M52" s="2091" t="s">
        <v>347</v>
      </c>
      <c r="N52" s="2079"/>
      <c r="O52" s="2092">
        <v>0</v>
      </c>
      <c r="P52" s="2089"/>
      <c r="Q52" s="2092">
        <v>0</v>
      </c>
      <c r="R52" s="2089"/>
      <c r="S52" s="2092">
        <v>0</v>
      </c>
      <c r="T52" s="2089"/>
      <c r="U52" s="994">
        <v>0</v>
      </c>
      <c r="V52" s="994"/>
      <c r="W52" s="994">
        <v>0</v>
      </c>
    </row>
    <row r="53" spans="1:23">
      <c r="A53" s="2110">
        <v>34</v>
      </c>
      <c r="B53" s="2079"/>
      <c r="C53" s="2078">
        <v>635</v>
      </c>
      <c r="D53" s="2079"/>
      <c r="E53" s="2079" t="s">
        <v>2749</v>
      </c>
      <c r="F53" s="2079"/>
      <c r="G53" s="2090">
        <v>0</v>
      </c>
      <c r="H53" s="2110"/>
      <c r="I53" s="2090">
        <v>0</v>
      </c>
      <c r="J53" s="2090"/>
      <c r="K53" s="2090">
        <v>0</v>
      </c>
      <c r="L53" s="2079"/>
      <c r="M53" s="2091" t="s">
        <v>347</v>
      </c>
      <c r="N53" s="2079"/>
      <c r="O53" s="2092">
        <v>0</v>
      </c>
      <c r="P53" s="2089"/>
      <c r="Q53" s="2092">
        <v>0</v>
      </c>
      <c r="R53" s="2089"/>
      <c r="S53" s="2092">
        <v>0</v>
      </c>
      <c r="T53" s="2089"/>
      <c r="U53" s="994">
        <v>0</v>
      </c>
      <c r="V53" s="994"/>
      <c r="W53" s="994">
        <v>0</v>
      </c>
    </row>
    <row r="54" spans="1:23">
      <c r="A54" s="2110">
        <v>35</v>
      </c>
      <c r="B54" s="2079"/>
      <c r="C54" s="2078" t="s">
        <v>1981</v>
      </c>
      <c r="D54" s="2079"/>
      <c r="E54" s="2079" t="s">
        <v>1250</v>
      </c>
      <c r="F54" s="2079"/>
      <c r="G54" s="2090">
        <v>5.2045490443847743E-2</v>
      </c>
      <c r="H54" s="2110"/>
      <c r="I54" s="2090">
        <v>0.94795450955615224</v>
      </c>
      <c r="J54" s="2090"/>
      <c r="K54" s="2090">
        <v>1</v>
      </c>
      <c r="L54" s="2079"/>
      <c r="M54" s="2091" t="s">
        <v>347</v>
      </c>
      <c r="N54" s="2079"/>
      <c r="O54" s="2092">
        <v>428.35</v>
      </c>
      <c r="P54" s="2089"/>
      <c r="Q54" s="2092">
        <v>7801.9499999999989</v>
      </c>
      <c r="R54" s="2089"/>
      <c r="S54" s="2092">
        <v>8230.2999999999993</v>
      </c>
      <c r="T54" s="2089"/>
      <c r="U54" s="994">
        <v>0</v>
      </c>
      <c r="V54" s="994"/>
      <c r="W54" s="994">
        <v>428.35</v>
      </c>
    </row>
    <row r="55" spans="1:23">
      <c r="A55" s="2110">
        <v>36</v>
      </c>
      <c r="B55" s="2079"/>
      <c r="C55" s="2078" t="s">
        <v>2074</v>
      </c>
      <c r="D55" s="2079"/>
      <c r="E55" s="2079" t="s">
        <v>2517</v>
      </c>
      <c r="F55" s="2079"/>
      <c r="G55" s="2090">
        <v>0</v>
      </c>
      <c r="H55" s="2110"/>
      <c r="I55" s="2090">
        <v>0</v>
      </c>
      <c r="J55" s="2090"/>
      <c r="K55" s="2090">
        <v>0</v>
      </c>
      <c r="L55" s="2079"/>
      <c r="M55" s="2091" t="s">
        <v>347</v>
      </c>
      <c r="N55" s="2079"/>
      <c r="O55" s="2092">
        <v>0</v>
      </c>
      <c r="P55" s="2089"/>
      <c r="Q55" s="2092">
        <v>0</v>
      </c>
      <c r="R55" s="2089"/>
      <c r="S55" s="2092">
        <v>0</v>
      </c>
      <c r="T55" s="2089"/>
      <c r="U55" s="994">
        <v>0</v>
      </c>
      <c r="V55" s="994"/>
      <c r="W55" s="994">
        <v>0</v>
      </c>
    </row>
    <row r="56" spans="1:23">
      <c r="A56" s="2110">
        <v>37</v>
      </c>
      <c r="B56" s="2079"/>
      <c r="C56" s="2078" t="s">
        <v>2076</v>
      </c>
      <c r="D56" s="2079"/>
      <c r="E56" s="2079" t="s">
        <v>1251</v>
      </c>
      <c r="F56" s="2079"/>
      <c r="G56" s="2090">
        <v>5.2045051596088014E-2</v>
      </c>
      <c r="H56" s="2110"/>
      <c r="I56" s="2090">
        <v>0.94795494840391192</v>
      </c>
      <c r="J56" s="2090"/>
      <c r="K56" s="2090">
        <v>1</v>
      </c>
      <c r="L56" s="2079"/>
      <c r="M56" s="2091" t="s">
        <v>347</v>
      </c>
      <c r="N56" s="2079"/>
      <c r="O56" s="2092">
        <v>1273.99</v>
      </c>
      <c r="P56" s="2089"/>
      <c r="Q56" s="2092">
        <v>23204.609999999997</v>
      </c>
      <c r="R56" s="2089"/>
      <c r="S56" s="2092">
        <v>24478.6</v>
      </c>
      <c r="T56" s="2089"/>
      <c r="U56" s="994">
        <v>0</v>
      </c>
      <c r="V56" s="994"/>
      <c r="W56" s="994">
        <v>1273.99</v>
      </c>
    </row>
    <row r="57" spans="1:23">
      <c r="A57" s="2110">
        <v>38</v>
      </c>
      <c r="B57" s="2079"/>
      <c r="C57" s="2078" t="s">
        <v>2071</v>
      </c>
      <c r="D57" s="2079"/>
      <c r="E57" s="2079" t="s">
        <v>2750</v>
      </c>
      <c r="F57" s="2079"/>
      <c r="G57" s="2090">
        <v>5.2057613168724287E-2</v>
      </c>
      <c r="H57" s="2110"/>
      <c r="I57" s="2090">
        <v>0.94794238683127574</v>
      </c>
      <c r="J57" s="2090"/>
      <c r="K57" s="2090">
        <v>1</v>
      </c>
      <c r="L57" s="2079"/>
      <c r="M57" s="2091" t="s">
        <v>347</v>
      </c>
      <c r="N57" s="2079"/>
      <c r="O57" s="2092">
        <v>17.71</v>
      </c>
      <c r="P57" s="2089"/>
      <c r="Q57" s="2092">
        <v>322.49</v>
      </c>
      <c r="R57" s="2089"/>
      <c r="S57" s="2092">
        <v>340.2</v>
      </c>
      <c r="T57" s="2089"/>
      <c r="U57" s="994">
        <v>0</v>
      </c>
      <c r="V57" s="994"/>
      <c r="W57" s="994">
        <v>17.71</v>
      </c>
    </row>
    <row r="58" spans="1:23">
      <c r="A58" s="2110">
        <v>39</v>
      </c>
      <c r="B58" s="2079"/>
      <c r="C58" s="2078" t="s">
        <v>1998</v>
      </c>
      <c r="D58" s="2079"/>
      <c r="E58" s="2079" t="s">
        <v>2535</v>
      </c>
      <c r="F58" s="2079"/>
      <c r="G58" s="2090">
        <v>5.2229185922170768E-2</v>
      </c>
      <c r="H58" s="2110"/>
      <c r="I58" s="2090">
        <v>0.94777081407782915</v>
      </c>
      <c r="J58" s="2090"/>
      <c r="K58" s="2090">
        <v>1</v>
      </c>
      <c r="L58" s="2079"/>
      <c r="M58" s="2091" t="s">
        <v>347</v>
      </c>
      <c r="N58" s="2079"/>
      <c r="O58" s="2092">
        <v>727.26999999999987</v>
      </c>
      <c r="P58" s="2089"/>
      <c r="Q58" s="2092">
        <v>13197.32</v>
      </c>
      <c r="R58" s="2089"/>
      <c r="S58" s="2092">
        <v>13924.59</v>
      </c>
      <c r="T58" s="2089"/>
      <c r="U58" s="994">
        <v>0</v>
      </c>
      <c r="V58" s="994"/>
      <c r="W58" s="994">
        <v>727.26999999999987</v>
      </c>
    </row>
    <row r="59" spans="1:23" ht="12.75" thickBot="1">
      <c r="A59" s="2110">
        <v>40</v>
      </c>
      <c r="B59" s="2079"/>
      <c r="C59" s="2078"/>
      <c r="D59" s="2079"/>
      <c r="E59" s="2079"/>
      <c r="F59" s="2079"/>
      <c r="G59" s="2110"/>
      <c r="H59" s="2110"/>
      <c r="I59" s="2110"/>
      <c r="J59" s="2110"/>
      <c r="K59" s="2090"/>
      <c r="L59" s="2079"/>
      <c r="M59" s="2079"/>
      <c r="N59" s="2079"/>
      <c r="O59" s="2145">
        <v>8210.85</v>
      </c>
      <c r="P59" s="2089"/>
      <c r="Q59" s="2145">
        <v>152947.56</v>
      </c>
      <c r="R59" s="2089"/>
      <c r="S59" s="2146">
        <v>161158.41</v>
      </c>
      <c r="T59" s="2089"/>
      <c r="U59" s="2147">
        <v>0</v>
      </c>
      <c r="V59" s="2089"/>
      <c r="W59" s="2147">
        <v>8210.85</v>
      </c>
    </row>
    <row r="60" spans="1:23" ht="12.75" thickTop="1">
      <c r="A60" s="2110">
        <v>41</v>
      </c>
      <c r="B60" s="2079"/>
      <c r="C60" s="2078"/>
      <c r="D60" s="2079"/>
      <c r="E60" s="2079"/>
      <c r="F60" s="2079"/>
      <c r="G60" s="2110"/>
      <c r="H60" s="2110"/>
      <c r="I60" s="2110"/>
      <c r="J60" s="2110"/>
      <c r="K60" s="2110"/>
      <c r="L60" s="2079"/>
      <c r="M60" s="2079"/>
      <c r="N60" s="2079"/>
      <c r="O60" s="2079"/>
      <c r="P60" s="2079"/>
      <c r="Q60" s="2079"/>
      <c r="R60" s="2079"/>
      <c r="S60" s="2079"/>
      <c r="T60" s="2079"/>
      <c r="U60" s="2079"/>
      <c r="V60" s="2079"/>
      <c r="W60" s="2079"/>
    </row>
    <row r="61" spans="1:23">
      <c r="A61" s="2110">
        <v>42</v>
      </c>
      <c r="B61" s="2088" t="s">
        <v>2751</v>
      </c>
      <c r="C61" s="2078"/>
      <c r="D61" s="2079"/>
      <c r="E61" s="2079"/>
      <c r="F61" s="2079"/>
      <c r="G61" s="2090"/>
      <c r="H61" s="2110"/>
      <c r="I61" s="2090"/>
      <c r="J61" s="2090"/>
      <c r="K61" s="2090"/>
      <c r="L61" s="2079"/>
      <c r="M61" s="2079"/>
      <c r="N61" s="2079"/>
      <c r="O61" s="2089"/>
      <c r="P61" s="2089"/>
      <c r="Q61" s="2089"/>
      <c r="R61" s="2089"/>
      <c r="S61" s="2089"/>
      <c r="T61" s="2089"/>
      <c r="U61" s="2089"/>
      <c r="V61" s="2089"/>
      <c r="W61" s="2089"/>
    </row>
    <row r="62" spans="1:23">
      <c r="A62" s="2110">
        <v>43</v>
      </c>
      <c r="B62" s="2079"/>
      <c r="C62" s="2078"/>
      <c r="D62" s="2079"/>
      <c r="E62" s="2079"/>
      <c r="F62" s="2079"/>
      <c r="G62" s="2090"/>
      <c r="H62" s="2110"/>
      <c r="I62" s="2090"/>
      <c r="J62" s="2090"/>
      <c r="K62" s="2090"/>
      <c r="L62" s="2079"/>
      <c r="M62" s="2079"/>
      <c r="N62" s="2079"/>
      <c r="O62" s="2089"/>
      <c r="P62" s="2089"/>
      <c r="Q62" s="2089"/>
      <c r="R62" s="2089"/>
      <c r="S62" s="2089"/>
      <c r="T62" s="2089"/>
      <c r="U62" s="2089"/>
      <c r="V62" s="2089"/>
      <c r="W62" s="2089"/>
    </row>
    <row r="63" spans="1:23">
      <c r="A63" s="2110">
        <v>44</v>
      </c>
      <c r="B63" s="2079"/>
      <c r="C63" s="2078">
        <v>427</v>
      </c>
      <c r="D63" s="2079"/>
      <c r="E63" s="2079" t="s">
        <v>2619</v>
      </c>
      <c r="F63" s="2079"/>
      <c r="G63" s="2090">
        <v>0</v>
      </c>
      <c r="H63" s="2110"/>
      <c r="I63" s="2090">
        <v>0</v>
      </c>
      <c r="J63" s="2090"/>
      <c r="K63" s="2090">
        <v>0</v>
      </c>
      <c r="L63" s="2079"/>
      <c r="M63" s="2091" t="s">
        <v>2752</v>
      </c>
      <c r="N63" s="2079"/>
      <c r="O63" s="2092">
        <v>0</v>
      </c>
      <c r="P63" s="2092"/>
      <c r="Q63" s="2092">
        <v>0</v>
      </c>
      <c r="R63" s="2092"/>
      <c r="S63" s="2092">
        <v>0</v>
      </c>
      <c r="T63" s="2092"/>
      <c r="U63" s="994">
        <v>0</v>
      </c>
      <c r="V63" s="994"/>
      <c r="W63" s="994">
        <v>0</v>
      </c>
    </row>
    <row r="64" spans="1:23" ht="12.75" thickBot="1">
      <c r="A64" s="2110">
        <v>45</v>
      </c>
      <c r="B64" s="2079"/>
      <c r="C64" s="2078"/>
      <c r="D64" s="2079"/>
      <c r="E64" s="2079"/>
      <c r="F64" s="2079"/>
      <c r="G64" s="2110"/>
      <c r="H64" s="2110"/>
      <c r="I64" s="2110"/>
      <c r="J64" s="2110"/>
      <c r="K64" s="2090"/>
      <c r="L64" s="2079"/>
      <c r="M64" s="2079"/>
      <c r="N64" s="2079"/>
      <c r="O64" s="2145">
        <v>0</v>
      </c>
      <c r="P64" s="2089"/>
      <c r="Q64" s="2145">
        <v>0</v>
      </c>
      <c r="R64" s="2089"/>
      <c r="S64" s="2146">
        <v>0</v>
      </c>
      <c r="T64" s="2089"/>
      <c r="U64" s="2147">
        <v>0</v>
      </c>
      <c r="V64" s="2089"/>
      <c r="W64" s="2147">
        <v>0</v>
      </c>
    </row>
    <row r="65" spans="1:23" ht="12.75" thickTop="1">
      <c r="A65" s="2110">
        <v>46</v>
      </c>
      <c r="B65" s="2079" t="s">
        <v>2753</v>
      </c>
      <c r="C65" s="2078"/>
      <c r="D65" s="2079"/>
      <c r="E65" s="2079"/>
      <c r="F65" s="2079"/>
      <c r="G65" s="2110"/>
      <c r="H65" s="2110"/>
      <c r="I65" s="2110"/>
      <c r="J65" s="2110"/>
      <c r="K65" s="2110"/>
      <c r="L65" s="2079"/>
      <c r="M65" s="2079"/>
      <c r="N65" s="2079"/>
      <c r="O65" s="2079"/>
      <c r="P65" s="2079"/>
      <c r="Q65" s="2079"/>
      <c r="R65" s="2079"/>
      <c r="S65" s="2079"/>
      <c r="T65" s="2079"/>
      <c r="U65" s="2079"/>
      <c r="V65" s="2079"/>
      <c r="W65" s="2079"/>
    </row>
  </sheetData>
  <mergeCells count="6">
    <mergeCell ref="G15:K15"/>
    <mergeCell ref="U10:W10"/>
    <mergeCell ref="U11:W11"/>
    <mergeCell ref="U12:W12"/>
    <mergeCell ref="U13:W13"/>
    <mergeCell ref="O14:W14"/>
  </mergeCells>
  <pageMargins left="0.75" right="0.5" top="0.75" bottom="0.5" header="0.25" footer="0.25"/>
  <pageSetup scale="66"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7">
    <pageSetUpPr fitToPage="1"/>
  </sheetPr>
  <dimension ref="A1:D127"/>
  <sheetViews>
    <sheetView view="pageBreakPreview" topLeftCell="A44" zoomScale="90" zoomScaleNormal="100" zoomScaleSheetLayoutView="90" workbookViewId="0">
      <selection activeCell="A45" sqref="A45"/>
    </sheetView>
  </sheetViews>
  <sheetFormatPr defaultColWidth="10.85546875" defaultRowHeight="12"/>
  <cols>
    <col min="1" max="1" width="6.42578125" style="211" customWidth="1"/>
    <col min="2" max="2" width="60" style="296" bestFit="1" customWidth="1"/>
    <col min="3" max="3" width="14.85546875" style="211" customWidth="1"/>
    <col min="4" max="4" width="17.85546875" style="249" customWidth="1"/>
    <col min="5" max="16384" width="10.85546875" style="211"/>
  </cols>
  <sheetData>
    <row r="1" spans="1:4">
      <c r="A1" s="203" t="s">
        <v>496</v>
      </c>
      <c r="B1" s="288"/>
      <c r="C1" s="143" t="s">
        <v>1209</v>
      </c>
      <c r="D1" s="978"/>
    </row>
    <row r="2" spans="1:4">
      <c r="A2" s="203" t="s">
        <v>2644</v>
      </c>
      <c r="B2" s="288"/>
      <c r="D2" s="203"/>
    </row>
    <row r="3" spans="1:4">
      <c r="A3" s="203" t="s">
        <v>2645</v>
      </c>
      <c r="B3" s="288"/>
      <c r="C3" s="203" t="s">
        <v>497</v>
      </c>
      <c r="D3" s="203"/>
    </row>
    <row r="4" spans="1:4">
      <c r="A4" s="203" t="s">
        <v>1935</v>
      </c>
      <c r="B4" s="288"/>
      <c r="C4" s="203" t="s">
        <v>1455</v>
      </c>
      <c r="D4" s="978"/>
    </row>
    <row r="5" spans="1:4">
      <c r="A5" s="203" t="s">
        <v>683</v>
      </c>
      <c r="B5" s="288"/>
      <c r="C5" s="203" t="s">
        <v>2948</v>
      </c>
      <c r="D5" s="978"/>
    </row>
    <row r="6" spans="1:4">
      <c r="A6" s="140" t="s">
        <v>1343</v>
      </c>
      <c r="B6" s="288"/>
      <c r="D6" s="978"/>
    </row>
    <row r="7" spans="1:4">
      <c r="A7" s="979" t="s">
        <v>578</v>
      </c>
      <c r="B7" s="752"/>
      <c r="C7" s="752"/>
      <c r="D7" s="752"/>
    </row>
    <row r="8" spans="1:4">
      <c r="A8" s="695" t="s">
        <v>53</v>
      </c>
      <c r="B8" s="696"/>
      <c r="C8" s="697"/>
      <c r="D8" s="980"/>
    </row>
    <row r="9" spans="1:4">
      <c r="A9" s="988" t="s">
        <v>730</v>
      </c>
      <c r="B9" s="989" t="s">
        <v>731</v>
      </c>
      <c r="C9" s="988" t="s">
        <v>498</v>
      </c>
      <c r="D9" s="990" t="s">
        <v>499</v>
      </c>
    </row>
    <row r="10" spans="1:4">
      <c r="A10" s="981">
        <v>1</v>
      </c>
      <c r="B10" s="706" t="s">
        <v>382</v>
      </c>
    </row>
    <row r="11" spans="1:4">
      <c r="A11" s="981">
        <v>2</v>
      </c>
      <c r="B11" s="754" t="s">
        <v>2923</v>
      </c>
    </row>
    <row r="12" spans="1:4">
      <c r="A12" s="981">
        <v>3</v>
      </c>
      <c r="B12" s="754" t="s">
        <v>2808</v>
      </c>
      <c r="D12" s="181">
        <v>3523</v>
      </c>
    </row>
    <row r="13" spans="1:4">
      <c r="A13" s="981">
        <v>4</v>
      </c>
      <c r="B13" s="754" t="s">
        <v>2989</v>
      </c>
      <c r="D13" s="249">
        <v>53592</v>
      </c>
    </row>
    <row r="14" spans="1:4">
      <c r="A14" s="981">
        <v>5</v>
      </c>
      <c r="B14" s="754" t="s">
        <v>2809</v>
      </c>
      <c r="D14" s="249">
        <v>55138</v>
      </c>
    </row>
    <row r="15" spans="1:4">
      <c r="A15" s="981">
        <v>6</v>
      </c>
      <c r="B15" s="2014" t="s">
        <v>2913</v>
      </c>
      <c r="D15" s="249">
        <v>341000</v>
      </c>
    </row>
    <row r="16" spans="1:4">
      <c r="A16" s="981">
        <v>7</v>
      </c>
      <c r="B16" s="1512" t="s">
        <v>2917</v>
      </c>
      <c r="D16" s="249">
        <v>155000</v>
      </c>
    </row>
    <row r="17" spans="1:4">
      <c r="A17" s="981">
        <v>8</v>
      </c>
      <c r="B17" s="2014" t="s">
        <v>2992</v>
      </c>
      <c r="D17" s="249">
        <v>76000</v>
      </c>
    </row>
    <row r="18" spans="1:4">
      <c r="A18" s="981">
        <v>9</v>
      </c>
      <c r="B18" s="1512" t="s">
        <v>2919</v>
      </c>
      <c r="D18" s="249">
        <v>500000</v>
      </c>
    </row>
    <row r="19" spans="1:4">
      <c r="A19" s="981">
        <v>10</v>
      </c>
      <c r="B19" s="2014" t="s">
        <v>2915</v>
      </c>
      <c r="D19" s="249">
        <v>81000</v>
      </c>
    </row>
    <row r="20" spans="1:4">
      <c r="A20" s="981">
        <v>11</v>
      </c>
      <c r="B20" s="1512" t="s">
        <v>2914</v>
      </c>
      <c r="D20" s="249">
        <v>371500</v>
      </c>
    </row>
    <row r="21" spans="1:4">
      <c r="A21" s="981">
        <v>12</v>
      </c>
      <c r="B21" s="2014" t="s">
        <v>2921</v>
      </c>
      <c r="D21" s="249">
        <v>100000</v>
      </c>
    </row>
    <row r="22" spans="1:4">
      <c r="A22" s="981">
        <v>13</v>
      </c>
      <c r="B22" s="2014" t="s">
        <v>2922</v>
      </c>
      <c r="D22" s="249">
        <v>400000</v>
      </c>
    </row>
    <row r="23" spans="1:4">
      <c r="A23" s="981">
        <v>14</v>
      </c>
      <c r="B23" s="2014" t="s">
        <v>2916</v>
      </c>
      <c r="D23" s="249">
        <v>65000</v>
      </c>
    </row>
    <row r="24" spans="1:4">
      <c r="A24" s="981">
        <v>15</v>
      </c>
      <c r="B24" s="323" t="s">
        <v>26</v>
      </c>
      <c r="D24" s="306">
        <v>2201753</v>
      </c>
    </row>
    <row r="25" spans="1:4">
      <c r="A25" s="981">
        <v>16</v>
      </c>
      <c r="B25" s="754" t="s">
        <v>2924</v>
      </c>
      <c r="D25" s="202"/>
    </row>
    <row r="26" spans="1:4">
      <c r="A26" s="981">
        <v>17</v>
      </c>
      <c r="B26" s="754" t="s">
        <v>2989</v>
      </c>
      <c r="D26" s="202">
        <v>-40194</v>
      </c>
    </row>
    <row r="27" spans="1:4">
      <c r="A27" s="981">
        <v>18</v>
      </c>
      <c r="B27" s="2014" t="s">
        <v>2913</v>
      </c>
      <c r="D27" s="202">
        <v>-255750</v>
      </c>
    </row>
    <row r="28" spans="1:4">
      <c r="A28" s="981">
        <v>19</v>
      </c>
      <c r="B28" s="2014" t="s">
        <v>2917</v>
      </c>
      <c r="D28" s="202">
        <v>-116250</v>
      </c>
    </row>
    <row r="29" spans="1:4">
      <c r="A29" s="981">
        <v>20</v>
      </c>
      <c r="B29" s="2014" t="s">
        <v>2992</v>
      </c>
      <c r="D29" s="202">
        <v>-57000</v>
      </c>
    </row>
    <row r="30" spans="1:4">
      <c r="A30" s="981">
        <v>21</v>
      </c>
      <c r="B30" s="2014" t="s">
        <v>2911</v>
      </c>
      <c r="D30" s="202">
        <v>-75000</v>
      </c>
    </row>
    <row r="31" spans="1:4">
      <c r="A31" s="981">
        <v>22</v>
      </c>
      <c r="B31" s="2014" t="s">
        <v>2912</v>
      </c>
      <c r="D31" s="202">
        <v>-300000</v>
      </c>
    </row>
    <row r="32" spans="1:4">
      <c r="A32" s="981">
        <v>23</v>
      </c>
      <c r="B32" s="2014" t="s">
        <v>2916</v>
      </c>
      <c r="D32" s="202">
        <v>-48750</v>
      </c>
    </row>
    <row r="33" spans="1:4">
      <c r="A33" s="981">
        <v>24</v>
      </c>
      <c r="B33" s="303" t="s">
        <v>2908</v>
      </c>
      <c r="D33" s="1225">
        <v>-892944</v>
      </c>
    </row>
    <row r="34" spans="1:4" ht="12.75" thickBot="1">
      <c r="A34" s="981">
        <v>25</v>
      </c>
      <c r="B34" s="982" t="s">
        <v>387</v>
      </c>
      <c r="D34" s="983">
        <v>1308809</v>
      </c>
    </row>
    <row r="35" spans="1:4" ht="12.75" thickTop="1">
      <c r="A35" s="981">
        <v>26</v>
      </c>
      <c r="B35" s="977"/>
      <c r="D35" s="252"/>
    </row>
    <row r="36" spans="1:4">
      <c r="A36" s="981">
        <v>27</v>
      </c>
      <c r="B36" s="706" t="s">
        <v>3013</v>
      </c>
      <c r="D36" s="311">
        <v>0</v>
      </c>
    </row>
    <row r="37" spans="1:4">
      <c r="A37" s="981">
        <v>28</v>
      </c>
      <c r="B37" s="977"/>
      <c r="D37" s="252"/>
    </row>
    <row r="38" spans="1:4">
      <c r="A38" s="981">
        <v>29</v>
      </c>
      <c r="B38" s="706" t="s">
        <v>3018</v>
      </c>
      <c r="D38" s="310"/>
    </row>
    <row r="39" spans="1:4" ht="12.75" thickBot="1">
      <c r="A39" s="981">
        <v>30</v>
      </c>
      <c r="B39" s="985" t="s">
        <v>1324</v>
      </c>
      <c r="D39" s="983">
        <v>-181657.65461538458</v>
      </c>
    </row>
    <row r="40" spans="1:4" ht="12.75" thickTop="1">
      <c r="A40" s="981">
        <v>31</v>
      </c>
      <c r="B40" s="211"/>
      <c r="D40" s="229"/>
    </row>
    <row r="41" spans="1:4">
      <c r="A41" s="981"/>
      <c r="B41" s="2161"/>
      <c r="D41" s="229"/>
    </row>
    <row r="42" spans="1:4">
      <c r="A42" s="981"/>
      <c r="B42" s="2161"/>
      <c r="D42" s="229"/>
    </row>
    <row r="43" spans="1:4">
      <c r="A43" s="981"/>
      <c r="B43" s="2161"/>
      <c r="D43" s="229"/>
    </row>
    <row r="44" spans="1:4">
      <c r="A44" s="981"/>
      <c r="B44" s="2161"/>
      <c r="D44" s="229"/>
    </row>
    <row r="45" spans="1:4">
      <c r="A45" s="981"/>
      <c r="B45" s="2161"/>
      <c r="D45" s="229"/>
    </row>
    <row r="46" spans="1:4">
      <c r="A46" s="981"/>
      <c r="B46" s="2161"/>
      <c r="D46" s="229"/>
    </row>
    <row r="47" spans="1:4">
      <c r="A47" s="981"/>
      <c r="B47" s="2161"/>
      <c r="D47" s="229"/>
    </row>
    <row r="48" spans="1:4">
      <c r="A48" s="981"/>
      <c r="B48" s="2161"/>
      <c r="D48" s="229"/>
    </row>
    <row r="49" spans="1:4">
      <c r="A49" s="981"/>
      <c r="B49" s="2161"/>
      <c r="D49" s="229"/>
    </row>
    <row r="50" spans="1:4">
      <c r="A50" s="981"/>
      <c r="B50" s="2161"/>
      <c r="D50" s="229"/>
    </row>
    <row r="51" spans="1:4">
      <c r="A51" s="981"/>
      <c r="B51" s="2161"/>
      <c r="D51" s="229"/>
    </row>
    <row r="52" spans="1:4">
      <c r="A52" s="981"/>
      <c r="B52" s="2161"/>
      <c r="D52" s="229"/>
    </row>
    <row r="53" spans="1:4">
      <c r="A53" s="981"/>
      <c r="B53" s="2161"/>
      <c r="D53" s="229"/>
    </row>
    <row r="54" spans="1:4">
      <c r="A54" s="981"/>
      <c r="B54" s="2161"/>
      <c r="D54" s="229"/>
    </row>
    <row r="55" spans="1:4">
      <c r="A55" s="981"/>
      <c r="B55" s="2161"/>
      <c r="D55" s="229"/>
    </row>
    <row r="56" spans="1:4">
      <c r="A56" s="981"/>
      <c r="B56" s="2161"/>
      <c r="D56" s="229"/>
    </row>
    <row r="57" spans="1:4">
      <c r="A57" s="981"/>
      <c r="B57" s="2161"/>
      <c r="D57" s="229"/>
    </row>
    <row r="58" spans="1:4">
      <c r="A58" s="981"/>
      <c r="B58" s="2161"/>
      <c r="D58" s="229"/>
    </row>
    <row r="59" spans="1:4">
      <c r="A59" s="981"/>
      <c r="B59" s="2161"/>
      <c r="D59" s="229"/>
    </row>
    <row r="60" spans="1:4">
      <c r="A60" s="981"/>
      <c r="B60" s="2161"/>
      <c r="D60" s="229"/>
    </row>
    <row r="61" spans="1:4">
      <c r="A61" s="981"/>
      <c r="B61" s="2161"/>
      <c r="D61" s="229"/>
    </row>
    <row r="62" spans="1:4">
      <c r="A62" s="981"/>
      <c r="B62" s="2161"/>
      <c r="D62" s="229"/>
    </row>
    <row r="63" spans="1:4">
      <c r="A63" s="981"/>
      <c r="B63" s="2161"/>
      <c r="D63" s="229"/>
    </row>
    <row r="64" spans="1:4">
      <c r="A64" s="981"/>
      <c r="B64" s="2161"/>
      <c r="D64" s="229"/>
    </row>
    <row r="65" spans="1:4">
      <c r="A65" s="203" t="s">
        <v>496</v>
      </c>
      <c r="B65" s="288"/>
      <c r="C65" s="143" t="s">
        <v>1209</v>
      </c>
      <c r="D65" s="978"/>
    </row>
    <row r="66" spans="1:4">
      <c r="A66" s="203" t="s">
        <v>2644</v>
      </c>
      <c r="B66" s="288"/>
      <c r="D66" s="203"/>
    </row>
    <row r="67" spans="1:4">
      <c r="A67" s="203" t="s">
        <v>2645</v>
      </c>
      <c r="B67" s="288"/>
      <c r="C67" s="203" t="s">
        <v>497</v>
      </c>
      <c r="D67" s="203"/>
    </row>
    <row r="68" spans="1:4">
      <c r="A68" s="203" t="s">
        <v>1935</v>
      </c>
      <c r="B68" s="288"/>
      <c r="C68" s="203" t="s">
        <v>1504</v>
      </c>
      <c r="D68" s="978"/>
    </row>
    <row r="69" spans="1:4">
      <c r="A69" s="203" t="s">
        <v>683</v>
      </c>
      <c r="B69" s="288"/>
      <c r="C69" s="203" t="s">
        <v>2948</v>
      </c>
      <c r="D69" s="978"/>
    </row>
    <row r="70" spans="1:4">
      <c r="A70" s="140" t="s">
        <v>1343</v>
      </c>
      <c r="B70" s="288"/>
      <c r="D70" s="978"/>
    </row>
    <row r="71" spans="1:4">
      <c r="A71" s="979" t="s">
        <v>578</v>
      </c>
      <c r="B71" s="752"/>
      <c r="C71" s="752"/>
      <c r="D71" s="752"/>
    </row>
    <row r="72" spans="1:4">
      <c r="A72" s="695" t="s">
        <v>53</v>
      </c>
      <c r="B72" s="696"/>
      <c r="C72" s="697"/>
      <c r="D72" s="980"/>
    </row>
    <row r="73" spans="1:4">
      <c r="A73" s="988" t="s">
        <v>730</v>
      </c>
      <c r="B73" s="989" t="s">
        <v>731</v>
      </c>
      <c r="C73" s="988" t="s">
        <v>498</v>
      </c>
      <c r="D73" s="990" t="s">
        <v>499</v>
      </c>
    </row>
    <row r="74" spans="1:4">
      <c r="A74" s="981">
        <v>1</v>
      </c>
      <c r="B74" s="706" t="s">
        <v>3014</v>
      </c>
    </row>
    <row r="75" spans="1:4">
      <c r="A75" s="981">
        <v>2</v>
      </c>
      <c r="B75" s="297" t="s">
        <v>2810</v>
      </c>
      <c r="D75" s="249">
        <v>-40682</v>
      </c>
    </row>
    <row r="76" spans="1:4">
      <c r="A76" s="981">
        <v>3</v>
      </c>
      <c r="B76" s="297"/>
      <c r="D76" s="202"/>
    </row>
    <row r="77" spans="1:4">
      <c r="A77" s="981">
        <v>4</v>
      </c>
      <c r="B77" s="754" t="s">
        <v>2925</v>
      </c>
      <c r="D77" s="202"/>
    </row>
    <row r="78" spans="1:4">
      <c r="A78" s="981">
        <v>5</v>
      </c>
      <c r="B78" s="754" t="s">
        <v>2808</v>
      </c>
      <c r="D78" s="202">
        <v>-352.3</v>
      </c>
    </row>
    <row r="79" spans="1:4">
      <c r="A79" s="981">
        <v>6</v>
      </c>
      <c r="B79" s="754" t="s">
        <v>2989</v>
      </c>
      <c r="D79" s="202">
        <v>-5359.2</v>
      </c>
    </row>
    <row r="80" spans="1:4">
      <c r="A80" s="981">
        <v>7</v>
      </c>
      <c r="B80" s="754" t="s">
        <v>2809</v>
      </c>
      <c r="D80" s="202">
        <v>-4594.833333333333</v>
      </c>
    </row>
    <row r="81" spans="1:4">
      <c r="A81" s="981">
        <v>8</v>
      </c>
      <c r="B81" s="2014" t="s">
        <v>2913</v>
      </c>
      <c r="D81" s="202">
        <v>-8525</v>
      </c>
    </row>
    <row r="82" spans="1:4">
      <c r="A82" s="981">
        <v>9</v>
      </c>
      <c r="B82" s="1512" t="s">
        <v>2917</v>
      </c>
      <c r="D82" s="202">
        <v>-2583.3333333333335</v>
      </c>
    </row>
    <row r="83" spans="1:4">
      <c r="A83" s="981">
        <v>10</v>
      </c>
      <c r="B83" s="1512" t="s">
        <v>2991</v>
      </c>
      <c r="D83" s="202">
        <v>-844.44444444444446</v>
      </c>
    </row>
    <row r="84" spans="1:4">
      <c r="A84" s="981">
        <v>11</v>
      </c>
      <c r="B84" s="1512" t="s">
        <v>2919</v>
      </c>
      <c r="D84" s="202">
        <v>-5555.5555555555557</v>
      </c>
    </row>
    <row r="85" spans="1:4">
      <c r="A85" s="981">
        <v>12</v>
      </c>
      <c r="B85" s="2014" t="s">
        <v>2915</v>
      </c>
      <c r="D85" s="202">
        <v>-8100</v>
      </c>
    </row>
    <row r="86" spans="1:4">
      <c r="A86" s="981">
        <v>13</v>
      </c>
      <c r="B86" s="1512" t="s">
        <v>2914</v>
      </c>
      <c r="D86" s="202">
        <v>-10319.444444444445</v>
      </c>
    </row>
    <row r="87" spans="1:4">
      <c r="A87" s="981">
        <v>14</v>
      </c>
      <c r="B87" s="2014" t="s">
        <v>2921</v>
      </c>
      <c r="D87" s="202">
        <v>-2777.7777777777778</v>
      </c>
    </row>
    <row r="88" spans="1:4">
      <c r="A88" s="981">
        <v>15</v>
      </c>
      <c r="B88" s="2014" t="s">
        <v>2922</v>
      </c>
      <c r="D88" s="202">
        <v>-13333.333333333334</v>
      </c>
    </row>
    <row r="89" spans="1:4">
      <c r="A89" s="981">
        <v>16</v>
      </c>
      <c r="B89" s="1512" t="s">
        <v>2916</v>
      </c>
      <c r="D89" s="202">
        <v>-812.5</v>
      </c>
    </row>
    <row r="90" spans="1:4" s="304" customFormat="1">
      <c r="A90" s="981">
        <v>17</v>
      </c>
      <c r="B90" s="323" t="s">
        <v>2887</v>
      </c>
      <c r="D90" s="306">
        <v>-63157.722222222226</v>
      </c>
    </row>
    <row r="91" spans="1:4" s="304" customFormat="1">
      <c r="A91" s="981">
        <v>18</v>
      </c>
      <c r="B91" s="323"/>
      <c r="D91" s="311"/>
    </row>
    <row r="92" spans="1:4">
      <c r="A92" s="981">
        <v>19</v>
      </c>
      <c r="B92" s="754" t="s">
        <v>2888</v>
      </c>
      <c r="D92" s="311"/>
    </row>
    <row r="93" spans="1:4">
      <c r="A93" s="981">
        <v>20</v>
      </c>
      <c r="B93" s="754" t="s">
        <v>2989</v>
      </c>
      <c r="D93" s="229">
        <v>40194</v>
      </c>
    </row>
    <row r="94" spans="1:4">
      <c r="A94" s="981">
        <v>21</v>
      </c>
      <c r="B94" s="2014" t="s">
        <v>2913</v>
      </c>
      <c r="D94" s="229">
        <v>255750</v>
      </c>
    </row>
    <row r="95" spans="1:4">
      <c r="A95" s="981">
        <v>22</v>
      </c>
      <c r="B95" s="1512" t="s">
        <v>2917</v>
      </c>
      <c r="D95" s="229">
        <v>116250</v>
      </c>
    </row>
    <row r="96" spans="1:4">
      <c r="A96" s="981">
        <v>23</v>
      </c>
      <c r="B96" s="1512" t="s">
        <v>2992</v>
      </c>
      <c r="D96" s="229">
        <v>57000</v>
      </c>
    </row>
    <row r="97" spans="1:4">
      <c r="A97" s="981">
        <v>24</v>
      </c>
      <c r="B97" s="2014" t="s">
        <v>2921</v>
      </c>
      <c r="D97" s="229">
        <v>75000</v>
      </c>
    </row>
    <row r="98" spans="1:4">
      <c r="A98" s="981">
        <v>25</v>
      </c>
      <c r="B98" s="2014" t="s">
        <v>2922</v>
      </c>
      <c r="D98" s="229">
        <v>300000</v>
      </c>
    </row>
    <row r="99" spans="1:4">
      <c r="A99" s="981">
        <v>26</v>
      </c>
      <c r="B99" s="1512" t="s">
        <v>2916</v>
      </c>
      <c r="D99" s="229">
        <v>48750</v>
      </c>
    </row>
    <row r="100" spans="1:4">
      <c r="A100" s="981">
        <v>27</v>
      </c>
      <c r="B100" s="323" t="s">
        <v>2889</v>
      </c>
      <c r="D100" s="1225">
        <v>892944</v>
      </c>
    </row>
    <row r="101" spans="1:4" ht="12.75" thickBot="1">
      <c r="A101" s="981">
        <v>28</v>
      </c>
      <c r="B101" s="982" t="s">
        <v>2811</v>
      </c>
      <c r="D101" s="1405">
        <v>789104.27777777775</v>
      </c>
    </row>
    <row r="102" spans="1:4" ht="12.75" thickTop="1">
      <c r="A102" s="981">
        <v>29</v>
      </c>
      <c r="D102" s="774"/>
    </row>
    <row r="103" spans="1:4">
      <c r="A103" s="981">
        <v>30</v>
      </c>
      <c r="B103" s="706" t="s">
        <v>3015</v>
      </c>
    </row>
    <row r="104" spans="1:4">
      <c r="A104" s="981">
        <v>31</v>
      </c>
      <c r="B104" s="706"/>
      <c r="D104" s="311"/>
    </row>
    <row r="105" spans="1:4">
      <c r="A105" s="981">
        <v>32</v>
      </c>
      <c r="B105" s="706" t="s">
        <v>3016</v>
      </c>
      <c r="D105" s="1212"/>
    </row>
    <row r="106" spans="1:4" ht="12.75" thickBot="1">
      <c r="A106" s="981">
        <v>33</v>
      </c>
      <c r="B106" s="754" t="s">
        <v>2812</v>
      </c>
      <c r="D106" s="1402">
        <v>184875.42846153845</v>
      </c>
    </row>
    <row r="107" spans="1:4" ht="12.75" thickTop="1">
      <c r="A107" s="981">
        <v>34</v>
      </c>
      <c r="B107" s="763"/>
      <c r="D107" s="774"/>
    </row>
    <row r="108" spans="1:4">
      <c r="A108" s="981">
        <v>35</v>
      </c>
      <c r="B108" s="706" t="s">
        <v>3017</v>
      </c>
      <c r="D108" s="211"/>
    </row>
    <row r="109" spans="1:4" ht="12.75" thickBot="1">
      <c r="A109" s="981">
        <v>36</v>
      </c>
      <c r="B109" s="754" t="s">
        <v>2812</v>
      </c>
      <c r="D109" s="1402">
        <v>184875.42846153845</v>
      </c>
    </row>
    <row r="110" spans="1:4" ht="13.5" thickTop="1" thickBot="1">
      <c r="A110" s="981">
        <v>37</v>
      </c>
      <c r="B110" s="754" t="s">
        <v>2813</v>
      </c>
      <c r="D110" s="1402">
        <v>135096.84418750001</v>
      </c>
    </row>
    <row r="111" spans="1:4" ht="12.75" thickTop="1">
      <c r="A111" s="984"/>
      <c r="B111" s="976"/>
      <c r="D111" s="211"/>
    </row>
    <row r="112" spans="1:4">
      <c r="A112" s="984"/>
      <c r="D112" s="202"/>
    </row>
    <row r="113" spans="1:4">
      <c r="A113" s="984"/>
    </row>
    <row r="114" spans="1:4">
      <c r="C114" s="249"/>
      <c r="D114" s="211"/>
    </row>
    <row r="115" spans="1:4">
      <c r="C115" s="249"/>
      <c r="D115" s="211"/>
    </row>
    <row r="116" spans="1:4">
      <c r="C116" s="249"/>
      <c r="D116" s="211"/>
    </row>
    <row r="117" spans="1:4">
      <c r="C117" s="249"/>
      <c r="D117" s="211"/>
    </row>
    <row r="118" spans="1:4">
      <c r="C118" s="249"/>
      <c r="D118" s="211"/>
    </row>
    <row r="119" spans="1:4">
      <c r="C119" s="249"/>
      <c r="D119" s="211"/>
    </row>
    <row r="120" spans="1:4">
      <c r="C120" s="249"/>
      <c r="D120" s="211"/>
    </row>
    <row r="121" spans="1:4">
      <c r="C121" s="249"/>
      <c r="D121" s="211"/>
    </row>
    <row r="122" spans="1:4">
      <c r="C122" s="249"/>
      <c r="D122" s="211"/>
    </row>
    <row r="123" spans="1:4">
      <c r="C123" s="249"/>
      <c r="D123" s="211"/>
    </row>
    <row r="124" spans="1:4">
      <c r="B124" s="2161"/>
      <c r="C124" s="249"/>
      <c r="D124" s="211"/>
    </row>
    <row r="125" spans="1:4">
      <c r="C125" s="249"/>
      <c r="D125" s="211"/>
    </row>
    <row r="126" spans="1:4">
      <c r="C126" s="249"/>
      <c r="D126" s="211"/>
    </row>
    <row r="127" spans="1:4">
      <c r="C127" s="249"/>
      <c r="D127" s="211"/>
    </row>
  </sheetData>
  <phoneticPr fontId="27" type="noConversion"/>
  <printOptions horizontalCentered="1"/>
  <pageMargins left="0.75" right="0.5" top="0.75" bottom="0.5" header="0.25" footer="0.25"/>
  <pageSetup scale="95" fitToHeight="2" orientation="portrait" r:id="rId1"/>
  <headerFooter alignWithMargins="0">
    <oddFooter xml:space="preserve">&amp;C&amp;"Garmond (W1),Bold"
</oddFooter>
  </headerFooter>
  <rowBreaks count="1" manualBreakCount="1">
    <brk id="64"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W65"/>
  <sheetViews>
    <sheetView view="pageBreakPreview" zoomScale="60" zoomScaleNormal="100" workbookViewId="0">
      <selection sqref="A1:XFD1048576"/>
    </sheetView>
  </sheetViews>
  <sheetFormatPr defaultRowHeight="12"/>
  <cols>
    <col min="1" max="1" width="4" style="991" customWidth="1"/>
    <col min="2" max="2" width="3" style="991" customWidth="1"/>
    <col min="3" max="3" width="10.85546875" style="991" customWidth="1"/>
    <col min="4" max="4" width="2.28515625" style="991" customWidth="1"/>
    <col min="5" max="5" width="33.7109375" style="991" customWidth="1"/>
    <col min="6" max="6" width="2.28515625" style="991" customWidth="1"/>
    <col min="7" max="7" width="18" style="991" bestFit="1" customWidth="1"/>
    <col min="8" max="8" width="2.28515625" style="991" customWidth="1"/>
    <col min="9" max="9" width="12.7109375" style="991" customWidth="1"/>
    <col min="10" max="10" width="2.28515625" style="991" customWidth="1"/>
    <col min="11" max="11" width="9.7109375" style="991" customWidth="1"/>
    <col min="12" max="12" width="2.28515625" style="991" customWidth="1"/>
    <col min="13" max="13" width="19.140625" style="991" bestFit="1" customWidth="1"/>
    <col min="14" max="14" width="2.28515625" style="991" customWidth="1"/>
    <col min="15" max="15" width="18" style="991" bestFit="1" customWidth="1"/>
    <col min="16" max="16" width="2.28515625" style="991" customWidth="1"/>
    <col min="17" max="17" width="11.7109375" style="991" customWidth="1"/>
    <col min="18" max="18" width="4.85546875" style="991" customWidth="1"/>
    <col min="19" max="19" width="9.28515625" style="991" bestFit="1" customWidth="1"/>
    <col min="20" max="20" width="2.28515625" style="991" customWidth="1"/>
    <col min="21" max="21" width="5.7109375" style="991" bestFit="1" customWidth="1"/>
    <col min="22" max="22" width="2.28515625" style="991" customWidth="1"/>
    <col min="23" max="23" width="9.85546875" style="991" customWidth="1"/>
    <col min="24" max="16384" width="9.140625" style="991"/>
  </cols>
  <sheetData>
    <row r="1" spans="1:23">
      <c r="A1" s="2079"/>
      <c r="B1" s="2079"/>
      <c r="C1" s="2078"/>
      <c r="D1" s="2079"/>
      <c r="E1" s="2079"/>
      <c r="F1" s="2079"/>
      <c r="G1" s="2110"/>
      <c r="H1" s="2110"/>
      <c r="I1" s="2110"/>
      <c r="J1" s="2110"/>
      <c r="K1" s="2110"/>
      <c r="L1" s="2079"/>
      <c r="M1" s="2079"/>
      <c r="N1" s="2079"/>
      <c r="O1" s="2079"/>
      <c r="P1" s="2079"/>
      <c r="Q1" s="2079"/>
      <c r="R1" s="2079"/>
      <c r="S1" s="2079"/>
      <c r="T1" s="2079"/>
      <c r="U1" s="2079"/>
      <c r="V1" s="2079"/>
      <c r="W1" s="2078" t="s">
        <v>1209</v>
      </c>
    </row>
    <row r="2" spans="1:23">
      <c r="A2" s="2080" t="s">
        <v>2716</v>
      </c>
      <c r="B2" s="2079"/>
      <c r="C2" s="2078"/>
      <c r="D2" s="2079"/>
      <c r="E2" s="2079"/>
      <c r="F2" s="2079"/>
      <c r="G2" s="2110"/>
      <c r="H2" s="2137"/>
      <c r="I2" s="2137" t="s">
        <v>911</v>
      </c>
      <c r="J2" s="2137"/>
      <c r="K2" s="2137"/>
      <c r="L2" s="2138"/>
      <c r="M2" s="2079"/>
      <c r="N2" s="2079"/>
      <c r="O2" s="2079"/>
      <c r="P2" s="2079"/>
      <c r="Q2" s="2079"/>
      <c r="R2" s="2079"/>
      <c r="S2" s="2078"/>
      <c r="T2" s="2079"/>
      <c r="U2" s="2079"/>
      <c r="V2" s="2079"/>
      <c r="W2" s="2078"/>
    </row>
    <row r="3" spans="1:23">
      <c r="A3" s="2080"/>
      <c r="B3" s="2079"/>
      <c r="C3" s="2078"/>
      <c r="D3" s="2079"/>
      <c r="E3" s="2079"/>
      <c r="F3" s="2079"/>
      <c r="G3" s="2110"/>
      <c r="H3" s="2137"/>
      <c r="I3" s="2137"/>
      <c r="J3" s="2137"/>
      <c r="K3" s="2137"/>
      <c r="L3" s="2138"/>
      <c r="M3" s="2079"/>
      <c r="N3" s="2079"/>
      <c r="O3" s="2079"/>
      <c r="P3" s="2079"/>
      <c r="Q3" s="2079"/>
      <c r="R3" s="2079"/>
      <c r="S3" s="2080"/>
      <c r="T3" s="2079"/>
      <c r="U3" s="2079"/>
      <c r="V3" s="2079"/>
      <c r="W3" s="2078" t="s">
        <v>2717</v>
      </c>
    </row>
    <row r="4" spans="1:23">
      <c r="A4" s="2079" t="s">
        <v>2644</v>
      </c>
      <c r="B4" s="2080"/>
      <c r="C4" s="2080"/>
      <c r="D4" s="2079"/>
      <c r="E4" s="2079"/>
      <c r="F4" s="2079"/>
      <c r="G4" s="2110"/>
      <c r="H4" s="2137"/>
      <c r="I4" s="2137"/>
      <c r="J4" s="2137"/>
      <c r="K4" s="2137"/>
      <c r="L4" s="2138"/>
      <c r="M4" s="2079"/>
      <c r="N4" s="2079"/>
      <c r="O4" s="2079"/>
      <c r="P4" s="2079"/>
      <c r="Q4" s="2079"/>
      <c r="R4" s="2079"/>
      <c r="S4" s="2078"/>
      <c r="T4" s="2079"/>
      <c r="U4" s="2079"/>
      <c r="V4" s="2079"/>
      <c r="W4" s="2078" t="s">
        <v>2766</v>
      </c>
    </row>
    <row r="5" spans="1:23">
      <c r="A5" s="2080" t="s">
        <v>2719</v>
      </c>
      <c r="B5" s="2079"/>
      <c r="C5" s="2078"/>
      <c r="D5" s="2079"/>
      <c r="E5" s="2079"/>
      <c r="F5" s="2080"/>
      <c r="G5" s="2110"/>
      <c r="H5" s="2137"/>
      <c r="I5" s="2137"/>
      <c r="J5" s="2137"/>
      <c r="K5" s="2137"/>
      <c r="L5" s="2138"/>
      <c r="M5" s="2079"/>
      <c r="N5" s="2079"/>
      <c r="O5" s="2079"/>
      <c r="P5" s="2079"/>
      <c r="Q5" s="2079"/>
      <c r="R5" s="2079"/>
      <c r="S5" s="2078"/>
      <c r="T5" s="2079"/>
      <c r="U5" s="2079"/>
      <c r="V5" s="2079"/>
      <c r="W5" s="2078"/>
    </row>
    <row r="6" spans="1:23">
      <c r="A6" s="2080" t="s">
        <v>1935</v>
      </c>
      <c r="B6" s="2079"/>
      <c r="C6" s="2078"/>
      <c r="D6" s="2079"/>
      <c r="E6" s="2139"/>
      <c r="F6" s="2080"/>
      <c r="G6" s="2110"/>
      <c r="H6" s="2137"/>
      <c r="I6" s="2137"/>
      <c r="J6" s="2137"/>
      <c r="K6" s="2137"/>
      <c r="L6" s="2138"/>
      <c r="M6" s="2079"/>
      <c r="N6" s="2079"/>
      <c r="O6" s="2079"/>
      <c r="P6" s="2079"/>
      <c r="Q6" s="2079"/>
      <c r="R6" s="2079"/>
      <c r="S6" s="2080"/>
      <c r="T6" s="2079"/>
      <c r="U6" s="2079"/>
      <c r="V6" s="2079"/>
      <c r="W6" s="1011" t="s">
        <v>2950</v>
      </c>
    </row>
    <row r="7" spans="1:23">
      <c r="A7" s="2080" t="s">
        <v>1092</v>
      </c>
      <c r="B7" s="2079"/>
      <c r="C7" s="2078"/>
      <c r="D7" s="2079"/>
      <c r="E7" s="2079"/>
      <c r="F7" s="2080"/>
      <c r="G7" s="2110"/>
      <c r="H7" s="2137"/>
      <c r="I7" s="2137"/>
      <c r="J7" s="2137"/>
      <c r="K7" s="2137"/>
      <c r="L7" s="2138"/>
      <c r="M7" s="2079"/>
      <c r="N7" s="2079"/>
      <c r="O7" s="2079"/>
      <c r="P7" s="2079"/>
      <c r="Q7" s="2079"/>
      <c r="R7" s="2079"/>
      <c r="S7" s="2078"/>
      <c r="T7" s="2079"/>
      <c r="U7" s="2079"/>
      <c r="V7" s="2079"/>
      <c r="W7" s="2078"/>
    </row>
    <row r="8" spans="1:23">
      <c r="A8" s="2080" t="s">
        <v>717</v>
      </c>
      <c r="B8" s="2079"/>
      <c r="C8" s="2078"/>
      <c r="D8" s="2079"/>
      <c r="E8" s="2079"/>
      <c r="F8" s="2080"/>
      <c r="G8" s="2110"/>
      <c r="H8" s="2137"/>
      <c r="I8" s="2137"/>
      <c r="J8" s="2137"/>
      <c r="K8" s="2137"/>
      <c r="L8" s="2138"/>
      <c r="M8" s="2079"/>
      <c r="N8" s="2079"/>
      <c r="O8" s="2079"/>
      <c r="P8" s="2079"/>
      <c r="Q8" s="2079"/>
      <c r="R8" s="2079"/>
      <c r="S8" s="2079"/>
      <c r="T8" s="2079"/>
      <c r="U8" s="2079"/>
      <c r="V8" s="2079"/>
      <c r="W8" s="2079"/>
    </row>
    <row r="9" spans="1:23">
      <c r="A9" s="2079"/>
      <c r="B9" s="2079"/>
      <c r="C9" s="2078"/>
      <c r="D9" s="2079"/>
      <c r="E9" s="2079"/>
      <c r="F9" s="2079"/>
      <c r="G9" s="2110"/>
      <c r="H9" s="2110"/>
      <c r="I9" s="2110"/>
      <c r="J9" s="2110"/>
      <c r="K9" s="2110"/>
      <c r="L9" s="2079"/>
      <c r="M9" s="2079"/>
      <c r="N9" s="2079"/>
      <c r="O9" s="2079"/>
      <c r="P9" s="2079"/>
      <c r="Q9" s="2079"/>
      <c r="R9" s="2079"/>
      <c r="S9" s="2079"/>
      <c r="T9" s="2079"/>
      <c r="U9" s="2079"/>
      <c r="V9" s="2079"/>
      <c r="W9" s="2079"/>
    </row>
    <row r="10" spans="1:23">
      <c r="A10" s="2079" t="s">
        <v>2720</v>
      </c>
      <c r="B10" s="2079"/>
      <c r="C10" s="2078"/>
      <c r="D10" s="2079"/>
      <c r="E10" s="2079"/>
      <c r="F10" s="2079"/>
      <c r="G10" s="2110"/>
      <c r="H10" s="2110"/>
      <c r="I10" s="2110"/>
      <c r="J10" s="2110"/>
      <c r="K10" s="2110"/>
      <c r="L10" s="2079"/>
      <c r="M10" s="2079"/>
      <c r="N10" s="2079"/>
      <c r="O10" s="2079"/>
      <c r="P10" s="2079"/>
      <c r="Q10" s="2079"/>
      <c r="R10" s="2079"/>
      <c r="S10" s="2079"/>
      <c r="T10" s="2079"/>
      <c r="U10" s="2318" t="s">
        <v>2956</v>
      </c>
      <c r="V10" s="2318"/>
      <c r="W10" s="2318"/>
    </row>
    <row r="11" spans="1:23">
      <c r="A11" s="2080" t="s">
        <v>2721</v>
      </c>
      <c r="B11" s="2079"/>
      <c r="C11" s="2078"/>
      <c r="D11" s="2079"/>
      <c r="E11" s="2079"/>
      <c r="F11" s="2079"/>
      <c r="G11" s="2110"/>
      <c r="H11" s="2110"/>
      <c r="I11" s="2110"/>
      <c r="J11" s="2110"/>
      <c r="K11" s="2110"/>
      <c r="L11" s="2079"/>
      <c r="M11" s="2079"/>
      <c r="N11" s="2079"/>
      <c r="O11" s="2079"/>
      <c r="P11" s="2079"/>
      <c r="Q11" s="2079"/>
      <c r="R11" s="2079"/>
      <c r="S11" s="2079"/>
      <c r="T11" s="2079"/>
      <c r="U11" s="2317" t="s">
        <v>2722</v>
      </c>
      <c r="V11" s="2317"/>
      <c r="W11" s="2317"/>
    </row>
    <row r="12" spans="1:23">
      <c r="A12" s="2140"/>
      <c r="B12" s="2140"/>
      <c r="C12" s="2141"/>
      <c r="D12" s="2140"/>
      <c r="E12" s="2140"/>
      <c r="F12" s="2140"/>
      <c r="G12" s="2142"/>
      <c r="H12" s="2142"/>
      <c r="I12" s="2142"/>
      <c r="J12" s="2142"/>
      <c r="K12" s="2142"/>
      <c r="L12" s="2140"/>
      <c r="M12" s="2140"/>
      <c r="N12" s="2140"/>
      <c r="O12" s="2140"/>
      <c r="P12" s="2140"/>
      <c r="Q12" s="2140"/>
      <c r="R12" s="2140"/>
      <c r="S12" s="2140"/>
      <c r="T12" s="2140"/>
      <c r="U12" s="2319"/>
      <c r="V12" s="2319"/>
      <c r="W12" s="2319"/>
    </row>
    <row r="13" spans="1:23">
      <c r="A13" s="2082"/>
      <c r="B13" s="2082"/>
      <c r="C13" s="2083"/>
      <c r="D13" s="2082"/>
      <c r="E13" s="2082"/>
      <c r="F13" s="2082"/>
      <c r="G13" s="2084">
        <v>-1</v>
      </c>
      <c r="H13" s="2084"/>
      <c r="I13" s="2084">
        <v>-2</v>
      </c>
      <c r="J13" s="2084"/>
      <c r="K13" s="2084">
        <v>-3</v>
      </c>
      <c r="L13" s="2082"/>
      <c r="M13" s="2084">
        <v>-4</v>
      </c>
      <c r="N13" s="2082"/>
      <c r="O13" s="2084">
        <v>-5</v>
      </c>
      <c r="P13" s="2082"/>
      <c r="Q13" s="2084">
        <v>-6</v>
      </c>
      <c r="R13" s="2082"/>
      <c r="S13" s="2084">
        <v>-7</v>
      </c>
      <c r="T13" s="2082"/>
      <c r="U13" s="2320">
        <v>-8</v>
      </c>
      <c r="V13" s="2320"/>
      <c r="W13" s="2320"/>
    </row>
    <row r="14" spans="1:23">
      <c r="A14" s="2082"/>
      <c r="B14" s="2082"/>
      <c r="C14" s="2083"/>
      <c r="D14" s="2082"/>
      <c r="E14" s="2082"/>
      <c r="F14" s="2082"/>
      <c r="G14" s="2084"/>
      <c r="H14" s="2084"/>
      <c r="I14" s="2084"/>
      <c r="J14" s="2084"/>
      <c r="K14" s="2084"/>
      <c r="L14" s="2082"/>
      <c r="M14" s="2084"/>
      <c r="N14" s="2082"/>
      <c r="O14" s="2321" t="s">
        <v>2767</v>
      </c>
      <c r="P14" s="2321"/>
      <c r="Q14" s="2321"/>
      <c r="R14" s="2321"/>
      <c r="S14" s="2321"/>
      <c r="T14" s="2321"/>
      <c r="U14" s="2321"/>
      <c r="V14" s="2321"/>
      <c r="W14" s="2321"/>
    </row>
    <row r="15" spans="1:23">
      <c r="A15" s="2079"/>
      <c r="B15" s="2079"/>
      <c r="C15" s="2078"/>
      <c r="D15" s="2079"/>
      <c r="E15" s="2079"/>
      <c r="F15" s="2079"/>
      <c r="G15" s="2317" t="s">
        <v>2724</v>
      </c>
      <c r="H15" s="2317"/>
      <c r="I15" s="2317"/>
      <c r="J15" s="2317"/>
      <c r="K15" s="2317"/>
      <c r="L15" s="2143"/>
      <c r="M15" s="2143"/>
      <c r="N15" s="2143"/>
      <c r="O15" s="2143"/>
      <c r="P15" s="2140"/>
      <c r="Q15" s="2142" t="s">
        <v>2725</v>
      </c>
      <c r="R15" s="2140"/>
      <c r="S15" s="2140"/>
      <c r="T15" s="2079"/>
      <c r="U15" s="2143"/>
      <c r="V15" s="2142"/>
      <c r="W15" s="2142"/>
    </row>
    <row r="16" spans="1:23">
      <c r="A16" s="2079"/>
      <c r="B16" s="2079"/>
      <c r="C16" s="2110" t="s">
        <v>2726</v>
      </c>
      <c r="D16" s="2079"/>
      <c r="E16" s="2079"/>
      <c r="F16" s="2079"/>
      <c r="G16" s="2110"/>
      <c r="H16" s="2110"/>
      <c r="I16" s="2110" t="s">
        <v>1170</v>
      </c>
      <c r="J16" s="2110"/>
      <c r="K16" s="2110"/>
      <c r="L16" s="2079"/>
      <c r="M16" s="2110" t="s">
        <v>731</v>
      </c>
      <c r="N16" s="2079"/>
      <c r="O16" s="2110"/>
      <c r="P16" s="2079"/>
      <c r="Q16" s="2110" t="s">
        <v>1170</v>
      </c>
      <c r="R16" s="2079"/>
      <c r="S16" s="2110"/>
      <c r="T16" s="2079"/>
      <c r="U16" s="2110"/>
      <c r="V16" s="2079"/>
      <c r="W16" s="2110"/>
    </row>
    <row r="17" spans="1:23">
      <c r="A17" s="2110" t="s">
        <v>53</v>
      </c>
      <c r="B17" s="2079"/>
      <c r="C17" s="2110" t="s">
        <v>2727</v>
      </c>
      <c r="D17" s="2079"/>
      <c r="E17" s="2079"/>
      <c r="F17" s="2085"/>
      <c r="G17" s="2086"/>
      <c r="H17" s="2086"/>
      <c r="I17" s="2086" t="s">
        <v>2728</v>
      </c>
      <c r="J17" s="2086"/>
      <c r="K17" s="2086"/>
      <c r="L17" s="2085"/>
      <c r="M17" s="2110" t="s">
        <v>2729</v>
      </c>
      <c r="N17" s="2085"/>
      <c r="O17" s="2086"/>
      <c r="P17" s="2085"/>
      <c r="Q17" s="2086" t="s">
        <v>2728</v>
      </c>
      <c r="R17" s="2085"/>
      <c r="S17" s="2081"/>
      <c r="T17" s="2085"/>
      <c r="U17" s="2087">
        <v>0</v>
      </c>
      <c r="V17" s="2085"/>
      <c r="W17" s="2087">
        <v>1</v>
      </c>
    </row>
    <row r="18" spans="1:23">
      <c r="A18" s="2142" t="s">
        <v>730</v>
      </c>
      <c r="B18" s="2143"/>
      <c r="C18" s="2142" t="s">
        <v>730</v>
      </c>
      <c r="D18" s="2143"/>
      <c r="E18" s="2142" t="s">
        <v>731</v>
      </c>
      <c r="F18" s="2143"/>
      <c r="G18" s="2144" t="s">
        <v>2956</v>
      </c>
      <c r="H18" s="2142"/>
      <c r="I18" s="2142" t="s">
        <v>2730</v>
      </c>
      <c r="J18" s="2142"/>
      <c r="K18" s="2142" t="s">
        <v>81</v>
      </c>
      <c r="L18" s="2143"/>
      <c r="M18" s="2142" t="s">
        <v>2731</v>
      </c>
      <c r="N18" s="2143"/>
      <c r="O18" s="2144" t="s">
        <v>2956</v>
      </c>
      <c r="P18" s="2143"/>
      <c r="Q18" s="2142" t="s">
        <v>2730</v>
      </c>
      <c r="R18" s="2143"/>
      <c r="S18" s="2142" t="s">
        <v>81</v>
      </c>
      <c r="T18" s="2143"/>
      <c r="U18" s="2142" t="s">
        <v>498</v>
      </c>
      <c r="V18" s="2143"/>
      <c r="W18" s="2142" t="s">
        <v>670</v>
      </c>
    </row>
    <row r="19" spans="1:23">
      <c r="A19" s="2079"/>
      <c r="B19" s="2079"/>
      <c r="C19" s="2078"/>
      <c r="D19" s="2079"/>
      <c r="E19" s="2079"/>
      <c r="F19" s="2079"/>
      <c r="G19" s="2110"/>
      <c r="H19" s="2110"/>
      <c r="I19" s="2110"/>
      <c r="J19" s="2110"/>
      <c r="K19" s="2110"/>
      <c r="L19" s="2079"/>
      <c r="M19" s="2079"/>
      <c r="N19" s="2079"/>
      <c r="O19" s="2079"/>
      <c r="P19" s="2079"/>
      <c r="Q19" s="2079"/>
      <c r="R19" s="2079"/>
      <c r="S19" s="2079"/>
      <c r="T19" s="2079"/>
      <c r="U19" s="2079"/>
      <c r="V19" s="2079"/>
      <c r="W19" s="2079"/>
    </row>
    <row r="20" spans="1:23">
      <c r="A20" s="2110">
        <v>1</v>
      </c>
      <c r="B20" s="2088" t="s">
        <v>2732</v>
      </c>
      <c r="C20" s="2078"/>
      <c r="D20" s="2079"/>
      <c r="E20" s="2079"/>
      <c r="F20" s="2079"/>
      <c r="G20" s="2110"/>
      <c r="H20" s="2110"/>
      <c r="I20" s="2110"/>
      <c r="J20" s="2110"/>
      <c r="K20" s="2110"/>
      <c r="L20" s="2079"/>
      <c r="M20" s="2079"/>
      <c r="N20" s="2079"/>
      <c r="O20" s="2089"/>
      <c r="P20" s="2089"/>
      <c r="Q20" s="2089"/>
      <c r="R20" s="2089"/>
      <c r="S20" s="2089"/>
      <c r="T20" s="2089"/>
      <c r="U20" s="2089"/>
      <c r="V20" s="2089"/>
      <c r="W20" s="2089"/>
    </row>
    <row r="21" spans="1:23">
      <c r="A21" s="2110">
        <v>2</v>
      </c>
      <c r="B21" s="2079"/>
      <c r="C21" s="2078">
        <v>403</v>
      </c>
      <c r="D21" s="2079"/>
      <c r="E21" s="2079" t="s">
        <v>379</v>
      </c>
      <c r="F21" s="2079"/>
      <c r="G21" s="2090">
        <v>1.193429837813971E-2</v>
      </c>
      <c r="H21" s="2110"/>
      <c r="I21" s="2090">
        <v>0.98806570162186025</v>
      </c>
      <c r="J21" s="2090"/>
      <c r="K21" s="2090">
        <v>1</v>
      </c>
      <c r="L21" s="2079"/>
      <c r="M21" s="2091" t="s">
        <v>347</v>
      </c>
      <c r="N21" s="2079"/>
      <c r="O21" s="2092">
        <v>3999.21</v>
      </c>
      <c r="P21" s="2092"/>
      <c r="Q21" s="2089">
        <v>331103.01999999996</v>
      </c>
      <c r="R21" s="2092"/>
      <c r="S21" s="2092">
        <v>335102.23</v>
      </c>
      <c r="T21" s="2092"/>
      <c r="U21" s="2089">
        <v>0</v>
      </c>
      <c r="V21" s="2089"/>
      <c r="W21" s="2089">
        <v>3999.21</v>
      </c>
    </row>
    <row r="22" spans="1:23">
      <c r="A22" s="2110">
        <v>3</v>
      </c>
      <c r="B22" s="2079"/>
      <c r="C22" s="2078">
        <v>408</v>
      </c>
      <c r="D22" s="2079"/>
      <c r="E22" s="2079" t="s">
        <v>25</v>
      </c>
      <c r="F22" s="2079"/>
      <c r="G22" s="2090">
        <v>1.2256710322089139E-2</v>
      </c>
      <c r="H22" s="2110"/>
      <c r="I22" s="2090">
        <v>0.98774328967791092</v>
      </c>
      <c r="J22" s="2090"/>
      <c r="K22" s="2090">
        <v>1</v>
      </c>
      <c r="L22" s="2079"/>
      <c r="M22" s="2091" t="s">
        <v>347</v>
      </c>
      <c r="N22" s="2079"/>
      <c r="O22" s="2092">
        <v>387.73</v>
      </c>
      <c r="P22" s="2089"/>
      <c r="Q22" s="2089">
        <v>31246.37</v>
      </c>
      <c r="R22" s="2089"/>
      <c r="S22" s="2092">
        <v>31634.1</v>
      </c>
      <c r="T22" s="2089"/>
      <c r="U22" s="2089">
        <v>0</v>
      </c>
      <c r="V22" s="2089"/>
      <c r="W22" s="2089">
        <v>387.73</v>
      </c>
    </row>
    <row r="23" spans="1:23">
      <c r="A23" s="2110">
        <v>4</v>
      </c>
      <c r="B23" s="2079"/>
      <c r="C23" s="2078">
        <v>409</v>
      </c>
      <c r="D23" s="2079"/>
      <c r="E23" s="2079" t="s">
        <v>2733</v>
      </c>
      <c r="F23" s="2079"/>
      <c r="G23" s="2090">
        <v>0</v>
      </c>
      <c r="H23" s="2110"/>
      <c r="I23" s="2090">
        <v>0</v>
      </c>
      <c r="J23" s="2090"/>
      <c r="K23" s="2090">
        <v>0</v>
      </c>
      <c r="L23" s="2079"/>
      <c r="M23" s="2091" t="s">
        <v>347</v>
      </c>
      <c r="N23" s="2079"/>
      <c r="O23" s="2092">
        <v>0</v>
      </c>
      <c r="P23" s="2089"/>
      <c r="Q23" s="2089">
        <v>0</v>
      </c>
      <c r="R23" s="2089"/>
      <c r="S23" s="2092">
        <v>0</v>
      </c>
      <c r="T23" s="2089"/>
      <c r="U23" s="2089">
        <v>0</v>
      </c>
      <c r="V23" s="2089"/>
      <c r="W23" s="2089">
        <v>0</v>
      </c>
    </row>
    <row r="24" spans="1:23">
      <c r="A24" s="2110">
        <v>5</v>
      </c>
      <c r="B24" s="2079"/>
      <c r="C24" s="2078">
        <v>410</v>
      </c>
      <c r="D24" s="2079"/>
      <c r="E24" s="2079" t="s">
        <v>2734</v>
      </c>
      <c r="F24" s="2079"/>
      <c r="G24" s="2090">
        <v>0</v>
      </c>
      <c r="H24" s="2110"/>
      <c r="I24" s="2090">
        <v>0</v>
      </c>
      <c r="J24" s="2090"/>
      <c r="K24" s="2090">
        <v>0</v>
      </c>
      <c r="L24" s="2079"/>
      <c r="M24" s="2091" t="s">
        <v>347</v>
      </c>
      <c r="N24" s="2079"/>
      <c r="O24" s="2092">
        <v>0</v>
      </c>
      <c r="P24" s="2089"/>
      <c r="Q24" s="2089">
        <v>0</v>
      </c>
      <c r="R24" s="2089"/>
      <c r="S24" s="2092">
        <v>0</v>
      </c>
      <c r="T24" s="2089"/>
      <c r="U24" s="2089">
        <v>0</v>
      </c>
      <c r="V24" s="2089"/>
      <c r="W24" s="2089">
        <v>0</v>
      </c>
    </row>
    <row r="25" spans="1:23">
      <c r="A25" s="2110">
        <v>6</v>
      </c>
      <c r="B25" s="2079"/>
      <c r="C25" s="2078" t="s">
        <v>2735</v>
      </c>
      <c r="D25" s="2079"/>
      <c r="E25" s="2079" t="s">
        <v>530</v>
      </c>
      <c r="F25" s="2079"/>
      <c r="G25" s="2090">
        <v>1.2259099588574579E-2</v>
      </c>
      <c r="H25" s="2110"/>
      <c r="I25" s="2090">
        <v>0.98774090041142537</v>
      </c>
      <c r="J25" s="2090"/>
      <c r="K25" s="2090">
        <v>1</v>
      </c>
      <c r="L25" s="2079"/>
      <c r="M25" s="2091" t="s">
        <v>347</v>
      </c>
      <c r="N25" s="2079"/>
      <c r="O25" s="2092">
        <v>-24.91</v>
      </c>
      <c r="P25" s="2089"/>
      <c r="Q25" s="2089">
        <v>-2007.05</v>
      </c>
      <c r="R25" s="2089"/>
      <c r="S25" s="2092">
        <v>-2031.96</v>
      </c>
      <c r="T25" s="2089"/>
      <c r="U25" s="2089">
        <v>0</v>
      </c>
      <c r="V25" s="2089"/>
      <c r="W25" s="2089">
        <v>-24.91</v>
      </c>
    </row>
    <row r="26" spans="1:23">
      <c r="A26" s="2110">
        <v>7</v>
      </c>
      <c r="B26" s="2079"/>
      <c r="C26" s="2078">
        <v>427</v>
      </c>
      <c r="D26" s="2079"/>
      <c r="E26" s="2079" t="s">
        <v>2619</v>
      </c>
      <c r="F26" s="2079"/>
      <c r="G26" s="2090">
        <v>1.2285595584307673E-2</v>
      </c>
      <c r="H26" s="2110"/>
      <c r="I26" s="2090">
        <v>0.98771440441569236</v>
      </c>
      <c r="J26" s="2090"/>
      <c r="K26" s="2090">
        <v>1</v>
      </c>
      <c r="L26" s="2079"/>
      <c r="M26" s="2091" t="s">
        <v>347</v>
      </c>
      <c r="N26" s="2079"/>
      <c r="O26" s="2092">
        <v>-2.0699999999999998</v>
      </c>
      <c r="P26" s="2089"/>
      <c r="Q26" s="2089">
        <v>-166.42000000000002</v>
      </c>
      <c r="R26" s="2089"/>
      <c r="S26" s="2092">
        <v>-168.49</v>
      </c>
      <c r="T26" s="2089"/>
      <c r="U26" s="2089">
        <v>0</v>
      </c>
      <c r="V26" s="2089"/>
      <c r="W26" s="2089">
        <v>-2.0699999999999998</v>
      </c>
    </row>
    <row r="27" spans="1:23">
      <c r="A27" s="2110">
        <v>8</v>
      </c>
      <c r="B27" s="2079"/>
      <c r="C27" s="2078" t="s">
        <v>2736</v>
      </c>
      <c r="D27" s="2079"/>
      <c r="E27" s="2079" t="s">
        <v>2737</v>
      </c>
      <c r="F27" s="2079"/>
      <c r="G27" s="2090">
        <v>1.225681696819828E-2</v>
      </c>
      <c r="H27" s="2110"/>
      <c r="I27" s="2090">
        <v>0.98774318303180175</v>
      </c>
      <c r="J27" s="2090"/>
      <c r="K27" s="2090">
        <v>1</v>
      </c>
      <c r="L27" s="2079"/>
      <c r="M27" s="2091" t="s">
        <v>347</v>
      </c>
      <c r="N27" s="2091"/>
      <c r="O27" s="2092">
        <v>4238.0700000000006</v>
      </c>
      <c r="P27" s="2092"/>
      <c r="Q27" s="2089">
        <v>341534.41</v>
      </c>
      <c r="R27" s="2092"/>
      <c r="S27" s="2092">
        <v>345772.48</v>
      </c>
      <c r="T27" s="2092"/>
      <c r="U27" s="2089">
        <v>0</v>
      </c>
      <c r="V27" s="2089"/>
      <c r="W27" s="2089">
        <v>4238.0700000000006</v>
      </c>
    </row>
    <row r="28" spans="1:23">
      <c r="A28" s="2110">
        <v>9</v>
      </c>
      <c r="B28" s="2079"/>
      <c r="C28" s="2078" t="s">
        <v>2002</v>
      </c>
      <c r="D28" s="2079"/>
      <c r="E28" s="2079" t="s">
        <v>2738</v>
      </c>
      <c r="F28" s="2079"/>
      <c r="G28" s="2090">
        <v>1.2256872008036846E-2</v>
      </c>
      <c r="H28" s="2110"/>
      <c r="I28" s="2090">
        <v>0.98774312799196318</v>
      </c>
      <c r="J28" s="2090"/>
      <c r="K28" s="2090">
        <v>1</v>
      </c>
      <c r="L28" s="2079"/>
      <c r="M28" s="2091" t="s">
        <v>347</v>
      </c>
      <c r="N28" s="2079"/>
      <c r="O28" s="2092">
        <v>6474.2899999999991</v>
      </c>
      <c r="P28" s="2089"/>
      <c r="Q28" s="2089">
        <v>521742.85999999993</v>
      </c>
      <c r="R28" s="2089"/>
      <c r="S28" s="2092">
        <v>528217.14999999991</v>
      </c>
      <c r="T28" s="2089"/>
      <c r="U28" s="2089">
        <v>0</v>
      </c>
      <c r="V28" s="2089"/>
      <c r="W28" s="2089">
        <v>6474.2899999999991</v>
      </c>
    </row>
    <row r="29" spans="1:23">
      <c r="A29" s="2110">
        <v>10</v>
      </c>
      <c r="B29" s="2079"/>
      <c r="C29" s="2078" t="s">
        <v>1991</v>
      </c>
      <c r="D29" s="2079"/>
      <c r="E29" s="2079" t="s">
        <v>2739</v>
      </c>
      <c r="F29" s="2079"/>
      <c r="G29" s="2090">
        <v>1.2256824535726699E-2</v>
      </c>
      <c r="H29" s="2110"/>
      <c r="I29" s="2090">
        <v>0.98774317546427326</v>
      </c>
      <c r="J29" s="2090"/>
      <c r="K29" s="2090">
        <v>1</v>
      </c>
      <c r="L29" s="2079"/>
      <c r="M29" s="2091" t="s">
        <v>347</v>
      </c>
      <c r="N29" s="2079"/>
      <c r="O29" s="2092">
        <v>1048.1599999999999</v>
      </c>
      <c r="P29" s="2089"/>
      <c r="Q29" s="2089">
        <v>84468.279999999984</v>
      </c>
      <c r="R29" s="2089"/>
      <c r="S29" s="2092">
        <v>85516.439999999988</v>
      </c>
      <c r="T29" s="2089"/>
      <c r="U29" s="2089">
        <v>0</v>
      </c>
      <c r="V29" s="2089"/>
      <c r="W29" s="2089">
        <v>1048.1599999999999</v>
      </c>
    </row>
    <row r="30" spans="1:23">
      <c r="A30" s="2110">
        <v>11</v>
      </c>
      <c r="B30" s="2079"/>
      <c r="C30" s="2078" t="s">
        <v>2056</v>
      </c>
      <c r="D30" s="2079"/>
      <c r="E30" s="2079" t="s">
        <v>2740</v>
      </c>
      <c r="F30" s="2079"/>
      <c r="G30" s="2090">
        <v>1.2256898279728635E-2</v>
      </c>
      <c r="H30" s="2110"/>
      <c r="I30" s="2090">
        <v>0.98774310172027135</v>
      </c>
      <c r="J30" s="2090"/>
      <c r="K30" s="2090">
        <v>1</v>
      </c>
      <c r="L30" s="2079"/>
      <c r="M30" s="2091" t="s">
        <v>347</v>
      </c>
      <c r="N30" s="2079"/>
      <c r="O30" s="2092">
        <v>783.42000000000007</v>
      </c>
      <c r="P30" s="2089"/>
      <c r="Q30" s="2089">
        <v>63133.240000000005</v>
      </c>
      <c r="R30" s="2089"/>
      <c r="S30" s="2092">
        <v>63916.66</v>
      </c>
      <c r="T30" s="2089"/>
      <c r="U30" s="2089">
        <v>0</v>
      </c>
      <c r="V30" s="2089"/>
      <c r="W30" s="2089">
        <v>783.42000000000007</v>
      </c>
    </row>
    <row r="31" spans="1:23">
      <c r="A31" s="2110">
        <v>12</v>
      </c>
      <c r="B31" s="2079"/>
      <c r="C31" s="2078" t="s">
        <v>2063</v>
      </c>
      <c r="D31" s="2079"/>
      <c r="E31" s="2079" t="s">
        <v>1248</v>
      </c>
      <c r="F31" s="2079"/>
      <c r="G31" s="2090">
        <v>1.2256853824501091E-2</v>
      </c>
      <c r="H31" s="2110"/>
      <c r="I31" s="2090">
        <v>0.98774314617549885</v>
      </c>
      <c r="J31" s="2090"/>
      <c r="K31" s="2090">
        <v>1</v>
      </c>
      <c r="L31" s="2079"/>
      <c r="M31" s="2091" t="s">
        <v>347</v>
      </c>
      <c r="N31" s="2079"/>
      <c r="O31" s="2092">
        <v>-310.89999999999998</v>
      </c>
      <c r="P31" s="2089"/>
      <c r="Q31" s="2089">
        <v>-25054.5</v>
      </c>
      <c r="R31" s="2089"/>
      <c r="S31" s="2092">
        <v>-25365.4</v>
      </c>
      <c r="T31" s="2089"/>
      <c r="U31" s="2089">
        <v>0</v>
      </c>
      <c r="V31" s="2089"/>
      <c r="W31" s="2089">
        <v>-310.89999999999998</v>
      </c>
    </row>
    <row r="32" spans="1:23">
      <c r="A32" s="2110">
        <v>13</v>
      </c>
      <c r="B32" s="2079"/>
      <c r="C32" s="2078" t="s">
        <v>1981</v>
      </c>
      <c r="D32" s="2079"/>
      <c r="E32" s="2079" t="s">
        <v>1250</v>
      </c>
      <c r="F32" s="2079"/>
      <c r="G32" s="2090">
        <v>1.2256796896917216E-2</v>
      </c>
      <c r="H32" s="2110"/>
      <c r="I32" s="2090">
        <v>0.98774320310308272</v>
      </c>
      <c r="J32" s="2090"/>
      <c r="K32" s="2090">
        <v>1</v>
      </c>
      <c r="L32" s="2079"/>
      <c r="M32" s="2091" t="s">
        <v>347</v>
      </c>
      <c r="N32" s="2079"/>
      <c r="O32" s="2092">
        <v>1431.7200000000003</v>
      </c>
      <c r="P32" s="2089"/>
      <c r="Q32" s="2089">
        <v>115378.57</v>
      </c>
      <c r="R32" s="2089"/>
      <c r="S32" s="2092">
        <v>116810.29000000001</v>
      </c>
      <c r="T32" s="2089"/>
      <c r="U32" s="2089">
        <v>0</v>
      </c>
      <c r="V32" s="2089"/>
      <c r="W32" s="2089">
        <v>1431.7200000000003</v>
      </c>
    </row>
    <row r="33" spans="1:23">
      <c r="A33" s="2110">
        <v>14</v>
      </c>
      <c r="B33" s="2079"/>
      <c r="C33" s="2078" t="s">
        <v>2741</v>
      </c>
      <c r="D33" s="2079"/>
      <c r="E33" s="2079" t="s">
        <v>2742</v>
      </c>
      <c r="F33" s="2079"/>
      <c r="G33" s="2090">
        <v>1.2257203842049091E-2</v>
      </c>
      <c r="H33" s="2110"/>
      <c r="I33" s="2090">
        <v>0.98774279615795091</v>
      </c>
      <c r="J33" s="2090"/>
      <c r="K33" s="2090">
        <v>1</v>
      </c>
      <c r="L33" s="2079"/>
      <c r="M33" s="2091" t="s">
        <v>347</v>
      </c>
      <c r="N33" s="2079"/>
      <c r="O33" s="2092">
        <v>22.97</v>
      </c>
      <c r="P33" s="2089"/>
      <c r="Q33" s="2089">
        <v>1851.03</v>
      </c>
      <c r="R33" s="2089"/>
      <c r="S33" s="2092">
        <v>1874</v>
      </c>
      <c r="T33" s="2089"/>
      <c r="U33" s="2089">
        <v>0</v>
      </c>
      <c r="V33" s="2089"/>
      <c r="W33" s="2089">
        <v>22.97</v>
      </c>
    </row>
    <row r="34" spans="1:23">
      <c r="A34" s="2110">
        <v>15</v>
      </c>
      <c r="B34" s="2079"/>
      <c r="C34" s="2078" t="s">
        <v>2076</v>
      </c>
      <c r="D34" s="2079"/>
      <c r="E34" s="2079" t="s">
        <v>2519</v>
      </c>
      <c r="F34" s="2079"/>
      <c r="G34" s="2090">
        <v>1.2239979705733131E-2</v>
      </c>
      <c r="H34" s="2110"/>
      <c r="I34" s="2090">
        <v>0.98776002029426679</v>
      </c>
      <c r="J34" s="2090"/>
      <c r="K34" s="2090">
        <v>1</v>
      </c>
      <c r="L34" s="2079"/>
      <c r="M34" s="2091" t="s">
        <v>347</v>
      </c>
      <c r="N34" s="2079"/>
      <c r="O34" s="2092">
        <v>3.8600000000000003</v>
      </c>
      <c r="P34" s="2089"/>
      <c r="Q34" s="2089">
        <v>311.5</v>
      </c>
      <c r="R34" s="2089"/>
      <c r="S34" s="2092">
        <v>315.36</v>
      </c>
      <c r="T34" s="2089"/>
      <c r="U34" s="2089">
        <v>0</v>
      </c>
      <c r="V34" s="2089"/>
      <c r="W34" s="2089">
        <v>3.8600000000000003</v>
      </c>
    </row>
    <row r="35" spans="1:23">
      <c r="A35" s="2110">
        <v>16</v>
      </c>
      <c r="B35" s="2079"/>
      <c r="C35" s="2078" t="s">
        <v>2743</v>
      </c>
      <c r="D35" s="2079"/>
      <c r="E35" s="2079" t="s">
        <v>2523</v>
      </c>
      <c r="F35" s="2079"/>
      <c r="G35" s="2090">
        <v>1.2256847657899578E-2</v>
      </c>
      <c r="H35" s="2110"/>
      <c r="I35" s="2090">
        <v>0.98774315234210053</v>
      </c>
      <c r="J35" s="2090"/>
      <c r="K35" s="2090">
        <v>1</v>
      </c>
      <c r="L35" s="2079"/>
      <c r="M35" s="2091" t="s">
        <v>347</v>
      </c>
      <c r="N35" s="2079"/>
      <c r="O35" s="2092">
        <v>2268.27</v>
      </c>
      <c r="P35" s="2089"/>
      <c r="Q35" s="2089">
        <v>182793.18000000002</v>
      </c>
      <c r="R35" s="2089"/>
      <c r="S35" s="2092">
        <v>185061.45</v>
      </c>
      <c r="T35" s="2089"/>
      <c r="U35" s="2089">
        <v>0</v>
      </c>
      <c r="V35" s="2089"/>
      <c r="W35" s="2089">
        <v>2268.27</v>
      </c>
    </row>
    <row r="36" spans="1:23">
      <c r="A36" s="2110">
        <v>17</v>
      </c>
      <c r="B36" s="2079"/>
      <c r="C36" s="2078" t="s">
        <v>2015</v>
      </c>
      <c r="D36" s="2079"/>
      <c r="E36" s="2079" t="s">
        <v>2744</v>
      </c>
      <c r="F36" s="2079"/>
      <c r="G36" s="2090">
        <v>1.2256863926322652E-2</v>
      </c>
      <c r="H36" s="2110"/>
      <c r="I36" s="2090">
        <v>0.98774313607367736</v>
      </c>
      <c r="J36" s="2090"/>
      <c r="K36" s="2090">
        <v>1</v>
      </c>
      <c r="L36" s="2079"/>
      <c r="M36" s="2091" t="s">
        <v>347</v>
      </c>
      <c r="N36" s="2079"/>
      <c r="O36" s="2092">
        <v>178.23</v>
      </c>
      <c r="P36" s="2089"/>
      <c r="Q36" s="2089">
        <v>14363.01</v>
      </c>
      <c r="R36" s="2089"/>
      <c r="S36" s="2092">
        <v>14541.24</v>
      </c>
      <c r="T36" s="2089"/>
      <c r="U36" s="2089">
        <v>0</v>
      </c>
      <c r="V36" s="2089"/>
      <c r="W36" s="2089">
        <v>178.23</v>
      </c>
    </row>
    <row r="37" spans="1:23">
      <c r="A37" s="2110">
        <v>18</v>
      </c>
      <c r="B37" s="2079"/>
      <c r="C37" s="2078" t="s">
        <v>1984</v>
      </c>
      <c r="D37" s="2079"/>
      <c r="E37" s="2079" t="s">
        <v>1253</v>
      </c>
      <c r="F37" s="2079"/>
      <c r="G37" s="2090">
        <v>1.225860901972909E-2</v>
      </c>
      <c r="H37" s="2110"/>
      <c r="I37" s="2090">
        <v>0.98774139098027081</v>
      </c>
      <c r="J37" s="2090"/>
      <c r="K37" s="2090">
        <v>1</v>
      </c>
      <c r="L37" s="2079"/>
      <c r="M37" s="2091" t="s">
        <v>347</v>
      </c>
      <c r="N37" s="2079"/>
      <c r="O37" s="2092">
        <v>14.67</v>
      </c>
      <c r="P37" s="2089"/>
      <c r="Q37" s="2089">
        <v>1182.04</v>
      </c>
      <c r="R37" s="2089"/>
      <c r="S37" s="2092">
        <v>1196.71</v>
      </c>
      <c r="T37" s="2089"/>
      <c r="U37" s="2089">
        <v>0</v>
      </c>
      <c r="V37" s="2089"/>
      <c r="W37" s="2089">
        <v>14.67</v>
      </c>
    </row>
    <row r="38" spans="1:23">
      <c r="A38" s="2110">
        <v>19</v>
      </c>
      <c r="B38" s="2079"/>
      <c r="C38" s="2078" t="s">
        <v>1998</v>
      </c>
      <c r="D38" s="2079"/>
      <c r="E38" s="2079" t="s">
        <v>2535</v>
      </c>
      <c r="F38" s="2079"/>
      <c r="G38" s="2090">
        <v>1.2256784899039566E-2</v>
      </c>
      <c r="H38" s="2110"/>
      <c r="I38" s="2090">
        <v>0.98774321510096041</v>
      </c>
      <c r="J38" s="2090"/>
      <c r="K38" s="2090">
        <v>1</v>
      </c>
      <c r="L38" s="2079"/>
      <c r="M38" s="2091" t="s">
        <v>347</v>
      </c>
      <c r="N38" s="2079"/>
      <c r="O38" s="2092">
        <v>1535.7700000000002</v>
      </c>
      <c r="P38" s="2089"/>
      <c r="Q38" s="2089">
        <v>123763.81</v>
      </c>
      <c r="R38" s="2089"/>
      <c r="S38" s="2092">
        <v>125299.58</v>
      </c>
      <c r="T38" s="2089"/>
      <c r="U38" s="2089">
        <v>0</v>
      </c>
      <c r="V38" s="2089"/>
      <c r="W38" s="2089">
        <v>1535.7700000000002</v>
      </c>
    </row>
    <row r="39" spans="1:23" ht="12.75" thickBot="1">
      <c r="A39" s="2110">
        <v>20</v>
      </c>
      <c r="B39" s="2079"/>
      <c r="C39" s="2078"/>
      <c r="D39" s="2079"/>
      <c r="E39" s="2079"/>
      <c r="F39" s="2079"/>
      <c r="G39" s="2090"/>
      <c r="H39" s="2110"/>
      <c r="I39" s="2110"/>
      <c r="J39" s="2110"/>
      <c r="K39" s="2110"/>
      <c r="L39" s="2079"/>
      <c r="M39" s="2079"/>
      <c r="N39" s="2079"/>
      <c r="O39" s="2093">
        <v>22048.49</v>
      </c>
      <c r="P39" s="2089"/>
      <c r="Q39" s="2093">
        <v>1785643.35</v>
      </c>
      <c r="R39" s="2089"/>
      <c r="S39" s="2093">
        <v>1807691.8399999999</v>
      </c>
      <c r="T39" s="2089"/>
      <c r="U39" s="2094">
        <v>0</v>
      </c>
      <c r="V39" s="2089"/>
      <c r="W39" s="2094">
        <v>22048.49</v>
      </c>
    </row>
    <row r="40" spans="1:23" ht="12.75" thickTop="1">
      <c r="A40" s="2110">
        <v>21</v>
      </c>
      <c r="B40" s="2079"/>
      <c r="C40" s="2078"/>
      <c r="D40" s="2079"/>
      <c r="E40" s="2079"/>
      <c r="F40" s="2079"/>
      <c r="G40" s="2090"/>
      <c r="H40" s="2110"/>
      <c r="I40" s="2110"/>
      <c r="J40" s="2110"/>
      <c r="K40" s="2110"/>
      <c r="L40" s="2079"/>
      <c r="M40" s="2079"/>
      <c r="N40" s="2079"/>
      <c r="O40" s="2089"/>
      <c r="P40" s="2089"/>
      <c r="Q40" s="2089"/>
      <c r="R40" s="2089"/>
      <c r="S40" s="2089"/>
      <c r="T40" s="2089"/>
      <c r="U40" s="2089"/>
      <c r="V40" s="2089"/>
      <c r="W40" s="2089"/>
    </row>
    <row r="41" spans="1:23">
      <c r="A41" s="2110">
        <v>22</v>
      </c>
      <c r="B41" s="2088" t="s">
        <v>2745</v>
      </c>
      <c r="C41" s="2078"/>
      <c r="D41" s="2079"/>
      <c r="E41" s="2079"/>
      <c r="F41" s="2079"/>
      <c r="G41" s="2090"/>
      <c r="H41" s="2110"/>
      <c r="I41" s="2090"/>
      <c r="J41" s="2090"/>
      <c r="K41" s="2090"/>
      <c r="L41" s="2079"/>
      <c r="M41" s="2079"/>
      <c r="N41" s="2079"/>
      <c r="O41" s="2089"/>
      <c r="P41" s="2089"/>
      <c r="Q41" s="2089"/>
      <c r="R41" s="2089"/>
      <c r="S41" s="2089"/>
      <c r="T41" s="2089"/>
      <c r="U41" s="2089"/>
      <c r="V41" s="2089"/>
      <c r="W41" s="2089"/>
    </row>
    <row r="42" spans="1:23">
      <c r="A42" s="2110">
        <v>23</v>
      </c>
      <c r="B42" s="2079"/>
      <c r="C42" s="2078"/>
      <c r="D42" s="2079"/>
      <c r="E42" s="2079"/>
      <c r="F42" s="2079"/>
      <c r="G42" s="2090"/>
      <c r="H42" s="2110"/>
      <c r="I42" s="2090"/>
      <c r="J42" s="2090"/>
      <c r="K42" s="2090"/>
      <c r="L42" s="2079"/>
      <c r="M42" s="2079"/>
      <c r="N42" s="2079"/>
      <c r="O42" s="2089"/>
      <c r="P42" s="2089"/>
      <c r="Q42" s="2089"/>
      <c r="R42" s="2089"/>
      <c r="S42" s="2089"/>
      <c r="T42" s="2089"/>
      <c r="U42" s="2089"/>
      <c r="V42" s="2089"/>
      <c r="W42" s="2089"/>
    </row>
    <row r="43" spans="1:23">
      <c r="A43" s="2110">
        <v>24</v>
      </c>
      <c r="B43" s="2079"/>
      <c r="C43" s="2078">
        <v>403</v>
      </c>
      <c r="D43" s="2079"/>
      <c r="E43" s="2079" t="s">
        <v>2746</v>
      </c>
      <c r="F43" s="2079"/>
      <c r="G43" s="2090">
        <v>4.2791323082333604E-2</v>
      </c>
      <c r="H43" s="2110"/>
      <c r="I43" s="2090">
        <v>0.95720867691766642</v>
      </c>
      <c r="J43" s="2090"/>
      <c r="K43" s="2090">
        <v>1</v>
      </c>
      <c r="L43" s="2079"/>
      <c r="M43" s="2091" t="s">
        <v>347</v>
      </c>
      <c r="N43" s="2079"/>
      <c r="O43" s="2092">
        <v>1061.01</v>
      </c>
      <c r="P43" s="2092"/>
      <c r="Q43" s="2092">
        <v>23733.97</v>
      </c>
      <c r="R43" s="2092"/>
      <c r="S43" s="2092">
        <v>24794.98</v>
      </c>
      <c r="T43" s="2092"/>
      <c r="U43" s="994">
        <v>0</v>
      </c>
      <c r="V43" s="994"/>
      <c r="W43" s="994">
        <v>1061.01</v>
      </c>
    </row>
    <row r="44" spans="1:23">
      <c r="A44" s="2110">
        <v>25</v>
      </c>
      <c r="B44" s="2079"/>
      <c r="C44" s="2078">
        <v>408</v>
      </c>
      <c r="D44" s="2079"/>
      <c r="E44" s="2079" t="s">
        <v>25</v>
      </c>
      <c r="F44" s="2079"/>
      <c r="G44" s="2090">
        <v>5.2071828990562952E-2</v>
      </c>
      <c r="H44" s="2110"/>
      <c r="I44" s="2090">
        <v>0.94792817100943716</v>
      </c>
      <c r="J44" s="2090"/>
      <c r="K44" s="2090">
        <v>1</v>
      </c>
      <c r="L44" s="2079"/>
      <c r="M44" s="2091" t="s">
        <v>347</v>
      </c>
      <c r="N44" s="2079"/>
      <c r="O44" s="2092">
        <v>1093.8500000000001</v>
      </c>
      <c r="P44" s="2089"/>
      <c r="Q44" s="2092">
        <v>19912.710000000003</v>
      </c>
      <c r="R44" s="2089"/>
      <c r="S44" s="2092">
        <v>21006.560000000001</v>
      </c>
      <c r="T44" s="2089"/>
      <c r="U44" s="994">
        <v>0</v>
      </c>
      <c r="V44" s="994"/>
      <c r="W44" s="994">
        <v>1093.8500000000001</v>
      </c>
    </row>
    <row r="45" spans="1:23">
      <c r="A45" s="2110">
        <v>26</v>
      </c>
      <c r="B45" s="2079"/>
      <c r="C45" s="2078">
        <v>410</v>
      </c>
      <c r="D45" s="2079"/>
      <c r="E45" s="2079" t="s">
        <v>2734</v>
      </c>
      <c r="F45" s="2079"/>
      <c r="G45" s="2090">
        <v>0</v>
      </c>
      <c r="H45" s="2110"/>
      <c r="I45" s="2090">
        <v>0</v>
      </c>
      <c r="J45" s="2090"/>
      <c r="K45" s="2090">
        <v>0</v>
      </c>
      <c r="L45" s="2079"/>
      <c r="M45" s="2091" t="s">
        <v>347</v>
      </c>
      <c r="N45" s="2079"/>
      <c r="O45" s="2092">
        <v>0</v>
      </c>
      <c r="P45" s="2089"/>
      <c r="Q45" s="2092">
        <v>0</v>
      </c>
      <c r="R45" s="2089"/>
      <c r="S45" s="2092">
        <v>0</v>
      </c>
      <c r="T45" s="2089"/>
      <c r="U45" s="994">
        <v>0</v>
      </c>
      <c r="V45" s="994"/>
      <c r="W45" s="994">
        <v>0</v>
      </c>
    </row>
    <row r="46" spans="1:23">
      <c r="A46" s="2110">
        <v>27</v>
      </c>
      <c r="B46" s="2079"/>
      <c r="C46" s="2078" t="s">
        <v>2747</v>
      </c>
      <c r="D46" s="2079"/>
      <c r="E46" s="2079" t="s">
        <v>25</v>
      </c>
      <c r="F46" s="2079"/>
      <c r="G46" s="2090">
        <v>0</v>
      </c>
      <c r="H46" s="2110"/>
      <c r="I46" s="2090">
        <v>0</v>
      </c>
      <c r="J46" s="2090"/>
      <c r="K46" s="2090">
        <v>0</v>
      </c>
      <c r="L46" s="2079"/>
      <c r="M46" s="2091" t="s">
        <v>347</v>
      </c>
      <c r="N46" s="2079"/>
      <c r="O46" s="2092">
        <v>0</v>
      </c>
      <c r="P46" s="2089"/>
      <c r="Q46" s="2092">
        <v>0</v>
      </c>
      <c r="R46" s="2089"/>
      <c r="S46" s="2092">
        <v>0</v>
      </c>
      <c r="T46" s="2089"/>
      <c r="U46" s="994">
        <v>0</v>
      </c>
      <c r="V46" s="994"/>
      <c r="W46" s="994">
        <v>0</v>
      </c>
    </row>
    <row r="47" spans="1:23">
      <c r="A47" s="2110">
        <v>28</v>
      </c>
      <c r="B47" s="2079"/>
      <c r="C47" s="2078">
        <v>427</v>
      </c>
      <c r="D47" s="2079"/>
      <c r="E47" s="2079" t="s">
        <v>2619</v>
      </c>
      <c r="F47" s="2079"/>
      <c r="G47" s="2090">
        <v>5.2941176470588241E-2</v>
      </c>
      <c r="H47" s="2110"/>
      <c r="I47" s="2090">
        <v>0.94705882352941184</v>
      </c>
      <c r="J47" s="2090"/>
      <c r="K47" s="2090">
        <v>1</v>
      </c>
      <c r="L47" s="2079"/>
      <c r="M47" s="2091" t="s">
        <v>347</v>
      </c>
      <c r="N47" s="2079"/>
      <c r="O47" s="2092">
        <v>0.27</v>
      </c>
      <c r="P47" s="2089"/>
      <c r="Q47" s="2092">
        <v>4.83</v>
      </c>
      <c r="R47" s="2089"/>
      <c r="S47" s="2092">
        <v>5.0999999999999996</v>
      </c>
      <c r="T47" s="2089"/>
      <c r="U47" s="994">
        <v>0</v>
      </c>
      <c r="V47" s="994"/>
      <c r="W47" s="994">
        <v>0.27</v>
      </c>
    </row>
    <row r="48" spans="1:23">
      <c r="A48" s="2110">
        <v>29</v>
      </c>
      <c r="B48" s="2079"/>
      <c r="C48" s="2078" t="s">
        <v>2736</v>
      </c>
      <c r="D48" s="2079"/>
      <c r="E48" s="2079" t="s">
        <v>2737</v>
      </c>
      <c r="F48" s="2079"/>
      <c r="G48" s="2090">
        <v>5.2648886872258174E-2</v>
      </c>
      <c r="H48" s="2110"/>
      <c r="I48" s="2090">
        <v>0.94735111312774178</v>
      </c>
      <c r="J48" s="2090"/>
      <c r="K48" s="2090">
        <v>1</v>
      </c>
      <c r="L48" s="2079"/>
      <c r="M48" s="2091" t="s">
        <v>347</v>
      </c>
      <c r="N48" s="2091"/>
      <c r="O48" s="2092">
        <v>3515.79</v>
      </c>
      <c r="P48" s="2089"/>
      <c r="Q48" s="2092">
        <v>63262.26</v>
      </c>
      <c r="R48" s="2089"/>
      <c r="S48" s="2092">
        <v>66778.05</v>
      </c>
      <c r="T48" s="2089"/>
      <c r="U48" s="994">
        <v>0</v>
      </c>
      <c r="V48" s="994"/>
      <c r="W48" s="994">
        <v>3515.79</v>
      </c>
    </row>
    <row r="49" spans="1:23">
      <c r="A49" s="2110">
        <v>30</v>
      </c>
      <c r="B49" s="2079"/>
      <c r="C49" s="2078" t="s">
        <v>2002</v>
      </c>
      <c r="D49" s="2079"/>
      <c r="E49" s="2079" t="s">
        <v>2738</v>
      </c>
      <c r="F49" s="2079"/>
      <c r="G49" s="2090">
        <v>5.1970443349753689E-2</v>
      </c>
      <c r="H49" s="2110"/>
      <c r="I49" s="2090">
        <v>0.94802955665024635</v>
      </c>
      <c r="J49" s="2090"/>
      <c r="K49" s="2090">
        <v>1</v>
      </c>
      <c r="L49" s="2079"/>
      <c r="M49" s="2091" t="s">
        <v>347</v>
      </c>
      <c r="N49" s="2079"/>
      <c r="O49" s="2092">
        <v>16.88</v>
      </c>
      <c r="P49" s="2089"/>
      <c r="Q49" s="2092">
        <v>307.92</v>
      </c>
      <c r="R49" s="2089"/>
      <c r="S49" s="2092">
        <v>324.8</v>
      </c>
      <c r="T49" s="2089"/>
      <c r="U49" s="994">
        <v>0</v>
      </c>
      <c r="V49" s="994"/>
      <c r="W49" s="994">
        <v>16.88</v>
      </c>
    </row>
    <row r="50" spans="1:23">
      <c r="A50" s="2110">
        <v>31</v>
      </c>
      <c r="B50" s="2079"/>
      <c r="C50" s="2078" t="s">
        <v>1991</v>
      </c>
      <c r="D50" s="2079"/>
      <c r="E50" s="2079" t="s">
        <v>2739</v>
      </c>
      <c r="F50" s="2079"/>
      <c r="G50" s="2090">
        <v>4.4734589041095889E-2</v>
      </c>
      <c r="H50" s="2110"/>
      <c r="I50" s="2090">
        <v>0.95526541095890416</v>
      </c>
      <c r="J50" s="2090"/>
      <c r="K50" s="2090">
        <v>1</v>
      </c>
      <c r="L50" s="2079"/>
      <c r="M50" s="2091" t="s">
        <v>347</v>
      </c>
      <c r="N50" s="2079"/>
      <c r="O50" s="2092">
        <v>27.17</v>
      </c>
      <c r="P50" s="2089"/>
      <c r="Q50" s="2092">
        <v>580.19000000000005</v>
      </c>
      <c r="R50" s="2089"/>
      <c r="S50" s="2092">
        <v>607.36</v>
      </c>
      <c r="T50" s="2089"/>
      <c r="U50" s="994">
        <v>0</v>
      </c>
      <c r="V50" s="994"/>
      <c r="W50" s="994">
        <v>27.17</v>
      </c>
    </row>
    <row r="51" spans="1:23">
      <c r="A51" s="2110">
        <v>32</v>
      </c>
      <c r="B51" s="2079"/>
      <c r="C51" s="2078" t="s">
        <v>2052</v>
      </c>
      <c r="D51" s="2079"/>
      <c r="E51" s="2079" t="s">
        <v>2748</v>
      </c>
      <c r="F51" s="2079"/>
      <c r="G51" s="2090">
        <v>5.1969961938072212E-2</v>
      </c>
      <c r="H51" s="2110"/>
      <c r="I51" s="2090">
        <v>0.94803003806192776</v>
      </c>
      <c r="J51" s="2090"/>
      <c r="K51" s="2090">
        <v>1</v>
      </c>
      <c r="L51" s="2079"/>
      <c r="M51" s="2091" t="s">
        <v>347</v>
      </c>
      <c r="N51" s="2079"/>
      <c r="O51" s="2092">
        <v>151.56</v>
      </c>
      <c r="P51" s="2089"/>
      <c r="Q51" s="2092">
        <v>2764.7400000000002</v>
      </c>
      <c r="R51" s="2089"/>
      <c r="S51" s="2092">
        <v>2916.3</v>
      </c>
      <c r="T51" s="2089"/>
      <c r="U51" s="994">
        <v>0</v>
      </c>
      <c r="V51" s="994"/>
      <c r="W51" s="994">
        <v>151.56</v>
      </c>
    </row>
    <row r="52" spans="1:23">
      <c r="A52" s="2110">
        <v>33</v>
      </c>
      <c r="B52" s="2079"/>
      <c r="C52" s="2078" t="s">
        <v>2063</v>
      </c>
      <c r="D52" s="2079"/>
      <c r="E52" s="2079" t="s">
        <v>1248</v>
      </c>
      <c r="F52" s="2079"/>
      <c r="G52" s="2090">
        <v>0</v>
      </c>
      <c r="H52" s="2110"/>
      <c r="I52" s="2090">
        <v>0</v>
      </c>
      <c r="J52" s="2090"/>
      <c r="K52" s="2090">
        <v>0</v>
      </c>
      <c r="L52" s="2079"/>
      <c r="M52" s="2091" t="s">
        <v>347</v>
      </c>
      <c r="N52" s="2079"/>
      <c r="O52" s="2092">
        <v>0</v>
      </c>
      <c r="P52" s="2089"/>
      <c r="Q52" s="2092">
        <v>0</v>
      </c>
      <c r="R52" s="2089"/>
      <c r="S52" s="2092">
        <v>0</v>
      </c>
      <c r="T52" s="2089"/>
      <c r="U52" s="994">
        <v>0</v>
      </c>
      <c r="V52" s="994"/>
      <c r="W52" s="994">
        <v>0</v>
      </c>
    </row>
    <row r="53" spans="1:23">
      <c r="A53" s="2110">
        <v>34</v>
      </c>
      <c r="B53" s="2079"/>
      <c r="C53" s="2078">
        <v>635</v>
      </c>
      <c r="D53" s="2079"/>
      <c r="E53" s="2079" t="s">
        <v>2749</v>
      </c>
      <c r="F53" s="2079"/>
      <c r="G53" s="2090">
        <v>0</v>
      </c>
      <c r="H53" s="2110"/>
      <c r="I53" s="2090">
        <v>0</v>
      </c>
      <c r="J53" s="2090"/>
      <c r="K53" s="2090">
        <v>0</v>
      </c>
      <c r="L53" s="2079"/>
      <c r="M53" s="2091" t="s">
        <v>347</v>
      </c>
      <c r="N53" s="2079"/>
      <c r="O53" s="2092">
        <v>0</v>
      </c>
      <c r="P53" s="2089"/>
      <c r="Q53" s="2092">
        <v>0</v>
      </c>
      <c r="R53" s="2089"/>
      <c r="S53" s="2092">
        <v>0</v>
      </c>
      <c r="T53" s="2089"/>
      <c r="U53" s="994">
        <v>0</v>
      </c>
      <c r="V53" s="994"/>
      <c r="W53" s="994">
        <v>0</v>
      </c>
    </row>
    <row r="54" spans="1:23">
      <c r="A54" s="2110">
        <v>35</v>
      </c>
      <c r="B54" s="2079"/>
      <c r="C54" s="2078" t="s">
        <v>1981</v>
      </c>
      <c r="D54" s="2079"/>
      <c r="E54" s="2079" t="s">
        <v>1250</v>
      </c>
      <c r="F54" s="2079"/>
      <c r="G54" s="2090">
        <v>5.1965129304047147E-2</v>
      </c>
      <c r="H54" s="2110"/>
      <c r="I54" s="2090">
        <v>0.94803487069595294</v>
      </c>
      <c r="J54" s="2090"/>
      <c r="K54" s="2090">
        <v>1</v>
      </c>
      <c r="L54" s="2079"/>
      <c r="M54" s="2091" t="s">
        <v>347</v>
      </c>
      <c r="N54" s="2079"/>
      <c r="O54" s="2092">
        <v>10.670000000000002</v>
      </c>
      <c r="P54" s="2089"/>
      <c r="Q54" s="2092">
        <v>194.66000000000003</v>
      </c>
      <c r="R54" s="2089"/>
      <c r="S54" s="2092">
        <v>205.33</v>
      </c>
      <c r="T54" s="2089"/>
      <c r="U54" s="994">
        <v>0</v>
      </c>
      <c r="V54" s="994"/>
      <c r="W54" s="994">
        <v>10.670000000000002</v>
      </c>
    </row>
    <row r="55" spans="1:23">
      <c r="A55" s="2110">
        <v>36</v>
      </c>
      <c r="B55" s="2079"/>
      <c r="C55" s="2078" t="s">
        <v>2074</v>
      </c>
      <c r="D55" s="2079"/>
      <c r="E55" s="2079" t="s">
        <v>2517</v>
      </c>
      <c r="F55" s="2079"/>
      <c r="G55" s="2090">
        <v>0</v>
      </c>
      <c r="H55" s="2110"/>
      <c r="I55" s="2090">
        <v>0</v>
      </c>
      <c r="J55" s="2090"/>
      <c r="K55" s="2090">
        <v>0</v>
      </c>
      <c r="L55" s="2079"/>
      <c r="M55" s="2091" t="s">
        <v>347</v>
      </c>
      <c r="N55" s="2079"/>
      <c r="O55" s="2092">
        <v>0</v>
      </c>
      <c r="P55" s="2089"/>
      <c r="Q55" s="2092">
        <v>0</v>
      </c>
      <c r="R55" s="2089"/>
      <c r="S55" s="2092">
        <v>0</v>
      </c>
      <c r="T55" s="2089"/>
      <c r="U55" s="994">
        <v>0</v>
      </c>
      <c r="V55" s="994"/>
      <c r="W55" s="994">
        <v>0</v>
      </c>
    </row>
    <row r="56" spans="1:23">
      <c r="A56" s="2110">
        <v>37</v>
      </c>
      <c r="B56" s="2079"/>
      <c r="C56" s="2078" t="s">
        <v>2076</v>
      </c>
      <c r="D56" s="2079"/>
      <c r="E56" s="2079" t="s">
        <v>1251</v>
      </c>
      <c r="F56" s="2079"/>
      <c r="G56" s="2090">
        <v>5.1969329633161268E-2</v>
      </c>
      <c r="H56" s="2110"/>
      <c r="I56" s="2090">
        <v>0.94803067036683863</v>
      </c>
      <c r="J56" s="2090"/>
      <c r="K56" s="2090">
        <v>1</v>
      </c>
      <c r="L56" s="2079"/>
      <c r="M56" s="2091" t="s">
        <v>347</v>
      </c>
      <c r="N56" s="2079"/>
      <c r="O56" s="2092">
        <v>1191.4000000000001</v>
      </c>
      <c r="P56" s="2089"/>
      <c r="Q56" s="2092">
        <v>21733.66</v>
      </c>
      <c r="R56" s="2089"/>
      <c r="S56" s="2092">
        <v>22925.06</v>
      </c>
      <c r="T56" s="2089"/>
      <c r="U56" s="994">
        <v>0</v>
      </c>
      <c r="V56" s="994"/>
      <c r="W56" s="994">
        <v>1191.4000000000001</v>
      </c>
    </row>
    <row r="57" spans="1:23">
      <c r="A57" s="2110">
        <v>38</v>
      </c>
      <c r="B57" s="2079"/>
      <c r="C57" s="2078" t="s">
        <v>2071</v>
      </c>
      <c r="D57" s="2079"/>
      <c r="E57" s="2079" t="s">
        <v>2750</v>
      </c>
      <c r="F57" s="2079"/>
      <c r="G57" s="2090">
        <v>5.1975308641975311E-2</v>
      </c>
      <c r="H57" s="2110"/>
      <c r="I57" s="2090">
        <v>0.94802469135802481</v>
      </c>
      <c r="J57" s="2090"/>
      <c r="K57" s="2090">
        <v>1</v>
      </c>
      <c r="L57" s="2079"/>
      <c r="M57" s="2091" t="s">
        <v>347</v>
      </c>
      <c r="N57" s="2079"/>
      <c r="O57" s="2092">
        <v>16.84</v>
      </c>
      <c r="P57" s="2089"/>
      <c r="Q57" s="2092">
        <v>307.16000000000003</v>
      </c>
      <c r="R57" s="2089"/>
      <c r="S57" s="2092">
        <v>324</v>
      </c>
      <c r="T57" s="2089"/>
      <c r="U57" s="994">
        <v>0</v>
      </c>
      <c r="V57" s="994"/>
      <c r="W57" s="994">
        <v>16.84</v>
      </c>
    </row>
    <row r="58" spans="1:23">
      <c r="A58" s="2110">
        <v>39</v>
      </c>
      <c r="B58" s="2079"/>
      <c r="C58" s="2078" t="s">
        <v>1998</v>
      </c>
      <c r="D58" s="2079"/>
      <c r="E58" s="2079" t="s">
        <v>2535</v>
      </c>
      <c r="F58" s="2079"/>
      <c r="G58" s="2090">
        <v>5.0842191769838771E-2</v>
      </c>
      <c r="H58" s="2110"/>
      <c r="I58" s="2090">
        <v>0.94915780823016116</v>
      </c>
      <c r="J58" s="2090"/>
      <c r="K58" s="2090">
        <v>1</v>
      </c>
      <c r="L58" s="2079"/>
      <c r="M58" s="2091" t="s">
        <v>347</v>
      </c>
      <c r="N58" s="2079"/>
      <c r="O58" s="2092">
        <v>152.18999999999994</v>
      </c>
      <c r="P58" s="2089"/>
      <c r="Q58" s="2092">
        <v>2841.1899999999991</v>
      </c>
      <c r="R58" s="2089"/>
      <c r="S58" s="2092">
        <v>2993.3799999999992</v>
      </c>
      <c r="T58" s="2089"/>
      <c r="U58" s="994">
        <v>0</v>
      </c>
      <c r="V58" s="994"/>
      <c r="W58" s="994">
        <v>152.18999999999994</v>
      </c>
    </row>
    <row r="59" spans="1:23" ht="12.75" thickBot="1">
      <c r="A59" s="2110">
        <v>40</v>
      </c>
      <c r="B59" s="2079"/>
      <c r="C59" s="2078"/>
      <c r="D59" s="2079"/>
      <c r="E59" s="2079"/>
      <c r="F59" s="2079"/>
      <c r="G59" s="2110"/>
      <c r="H59" s="2110"/>
      <c r="I59" s="2110"/>
      <c r="J59" s="2110"/>
      <c r="K59" s="2090"/>
      <c r="L59" s="2079"/>
      <c r="M59" s="2079"/>
      <c r="N59" s="2079"/>
      <c r="O59" s="2145">
        <v>7237.63</v>
      </c>
      <c r="P59" s="2089"/>
      <c r="Q59" s="2145">
        <v>135643.29000000004</v>
      </c>
      <c r="R59" s="2089"/>
      <c r="S59" s="2146">
        <v>142880.92000000001</v>
      </c>
      <c r="T59" s="2089"/>
      <c r="U59" s="2147">
        <v>0</v>
      </c>
      <c r="V59" s="2089"/>
      <c r="W59" s="2147">
        <v>7237.63</v>
      </c>
    </row>
    <row r="60" spans="1:23" ht="12.75" thickTop="1">
      <c r="A60" s="2110">
        <v>41</v>
      </c>
      <c r="B60" s="2079"/>
      <c r="C60" s="2078"/>
      <c r="D60" s="2079"/>
      <c r="E60" s="2079"/>
      <c r="F60" s="2079"/>
      <c r="G60" s="2110"/>
      <c r="H60" s="2110"/>
      <c r="I60" s="2110"/>
      <c r="J60" s="2110"/>
      <c r="K60" s="2110"/>
      <c r="L60" s="2079"/>
      <c r="M60" s="2079"/>
      <c r="N60" s="2079"/>
      <c r="O60" s="2079"/>
      <c r="P60" s="2079"/>
      <c r="Q60" s="2079"/>
      <c r="R60" s="2079"/>
      <c r="S60" s="2079"/>
      <c r="T60" s="2079"/>
      <c r="U60" s="2079"/>
      <c r="V60" s="2079"/>
      <c r="W60" s="2079"/>
    </row>
    <row r="61" spans="1:23">
      <c r="A61" s="2110">
        <v>42</v>
      </c>
      <c r="B61" s="2088" t="s">
        <v>2751</v>
      </c>
      <c r="C61" s="2078"/>
      <c r="D61" s="2079"/>
      <c r="E61" s="2079"/>
      <c r="F61" s="2079"/>
      <c r="G61" s="2090"/>
      <c r="H61" s="2110"/>
      <c r="I61" s="2090"/>
      <c r="J61" s="2090"/>
      <c r="K61" s="2090"/>
      <c r="L61" s="2079"/>
      <c r="M61" s="2079"/>
      <c r="N61" s="2079"/>
      <c r="O61" s="2089"/>
      <c r="P61" s="2089"/>
      <c r="Q61" s="2089"/>
      <c r="R61" s="2089"/>
      <c r="S61" s="2089"/>
      <c r="T61" s="2089"/>
      <c r="U61" s="2089"/>
      <c r="V61" s="2089"/>
      <c r="W61" s="2089"/>
    </row>
    <row r="62" spans="1:23">
      <c r="A62" s="2110">
        <v>43</v>
      </c>
      <c r="B62" s="2079"/>
      <c r="C62" s="2078"/>
      <c r="D62" s="2079"/>
      <c r="E62" s="2079"/>
      <c r="F62" s="2079"/>
      <c r="G62" s="2090"/>
      <c r="H62" s="2110"/>
      <c r="I62" s="2090"/>
      <c r="J62" s="2090"/>
      <c r="K62" s="2090"/>
      <c r="L62" s="2079"/>
      <c r="M62" s="2079"/>
      <c r="N62" s="2079"/>
      <c r="O62" s="2089"/>
      <c r="P62" s="2089"/>
      <c r="Q62" s="2089"/>
      <c r="R62" s="2089"/>
      <c r="S62" s="2089"/>
      <c r="T62" s="2089"/>
      <c r="U62" s="2089"/>
      <c r="V62" s="2089"/>
      <c r="W62" s="2089"/>
    </row>
    <row r="63" spans="1:23">
      <c r="A63" s="2110">
        <v>44</v>
      </c>
      <c r="B63" s="2079"/>
      <c r="C63" s="2078">
        <v>427</v>
      </c>
      <c r="D63" s="2079"/>
      <c r="E63" s="2079" t="s">
        <v>2619</v>
      </c>
      <c r="F63" s="2079"/>
      <c r="G63" s="2090">
        <v>0</v>
      </c>
      <c r="H63" s="2110"/>
      <c r="I63" s="2090">
        <v>0</v>
      </c>
      <c r="J63" s="2090"/>
      <c r="K63" s="2090">
        <v>0</v>
      </c>
      <c r="L63" s="2079"/>
      <c r="M63" s="2091" t="s">
        <v>2752</v>
      </c>
      <c r="N63" s="2079"/>
      <c r="O63" s="2092">
        <v>0</v>
      </c>
      <c r="P63" s="2092"/>
      <c r="Q63" s="2092">
        <v>0</v>
      </c>
      <c r="R63" s="2092"/>
      <c r="S63" s="2092">
        <v>0</v>
      </c>
      <c r="T63" s="2092"/>
      <c r="U63" s="994">
        <v>0</v>
      </c>
      <c r="V63" s="994"/>
      <c r="W63" s="994">
        <v>0</v>
      </c>
    </row>
    <row r="64" spans="1:23" ht="12.75" thickBot="1">
      <c r="A64" s="2110">
        <v>45</v>
      </c>
      <c r="B64" s="2079"/>
      <c r="C64" s="2078"/>
      <c r="D64" s="2079"/>
      <c r="E64" s="2079"/>
      <c r="F64" s="2079"/>
      <c r="G64" s="2110"/>
      <c r="H64" s="2110"/>
      <c r="I64" s="2110"/>
      <c r="J64" s="2110"/>
      <c r="K64" s="2090"/>
      <c r="L64" s="2079"/>
      <c r="M64" s="2079"/>
      <c r="N64" s="2079"/>
      <c r="O64" s="2145">
        <v>0</v>
      </c>
      <c r="P64" s="2089"/>
      <c r="Q64" s="2145">
        <v>0</v>
      </c>
      <c r="R64" s="2089"/>
      <c r="S64" s="2146">
        <v>0</v>
      </c>
      <c r="T64" s="2089"/>
      <c r="U64" s="2147">
        <v>0</v>
      </c>
      <c r="V64" s="2089"/>
      <c r="W64" s="2147">
        <v>0</v>
      </c>
    </row>
    <row r="65" spans="1:23" ht="12.75" thickTop="1">
      <c r="A65" s="2110">
        <v>46</v>
      </c>
      <c r="B65" s="2079" t="s">
        <v>2753</v>
      </c>
      <c r="C65" s="2078"/>
      <c r="D65" s="2079"/>
      <c r="E65" s="2079"/>
      <c r="F65" s="2079"/>
      <c r="G65" s="2110"/>
      <c r="H65" s="2110"/>
      <c r="I65" s="2110"/>
      <c r="J65" s="2110"/>
      <c r="K65" s="2110"/>
      <c r="L65" s="2079"/>
      <c r="M65" s="2079"/>
      <c r="N65" s="2079"/>
      <c r="O65" s="2079"/>
      <c r="P65" s="2079"/>
      <c r="Q65" s="2079"/>
      <c r="R65" s="2079"/>
      <c r="S65" s="2079"/>
      <c r="T65" s="2079"/>
      <c r="U65" s="2079"/>
      <c r="V65" s="2079"/>
      <c r="W65" s="2079"/>
    </row>
  </sheetData>
  <mergeCells count="6">
    <mergeCell ref="G15:K15"/>
    <mergeCell ref="U10:W10"/>
    <mergeCell ref="U11:W11"/>
    <mergeCell ref="U12:W12"/>
    <mergeCell ref="U13:W13"/>
    <mergeCell ref="O14:W14"/>
  </mergeCells>
  <pageMargins left="0.75" right="0.5" top="0.75" bottom="0.5" header="0.25" footer="0.25"/>
  <pageSetup scale="66"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W65"/>
  <sheetViews>
    <sheetView view="pageBreakPreview" zoomScale="60" zoomScaleNormal="100" workbookViewId="0">
      <selection sqref="A1:XFD1048576"/>
    </sheetView>
  </sheetViews>
  <sheetFormatPr defaultRowHeight="12"/>
  <cols>
    <col min="1" max="1" width="4" style="991" customWidth="1"/>
    <col min="2" max="2" width="3" style="991" customWidth="1"/>
    <col min="3" max="3" width="10.85546875" style="991" customWidth="1"/>
    <col min="4" max="4" width="2.28515625" style="991" customWidth="1"/>
    <col min="5" max="5" width="33.7109375" style="991" customWidth="1"/>
    <col min="6" max="6" width="2.28515625" style="991" customWidth="1"/>
    <col min="7" max="7" width="18" style="991" bestFit="1" customWidth="1"/>
    <col min="8" max="8" width="2.28515625" style="991" customWidth="1"/>
    <col min="9" max="9" width="12.7109375" style="991" customWidth="1"/>
    <col min="10" max="10" width="2.28515625" style="991" customWidth="1"/>
    <col min="11" max="11" width="9.7109375" style="991" customWidth="1"/>
    <col min="12" max="12" width="2.28515625" style="991" customWidth="1"/>
    <col min="13" max="13" width="19.140625" style="991" bestFit="1" customWidth="1"/>
    <col min="14" max="14" width="2.28515625" style="991" customWidth="1"/>
    <col min="15" max="15" width="18" style="991" bestFit="1" customWidth="1"/>
    <col min="16" max="16" width="2.28515625" style="991" customWidth="1"/>
    <col min="17" max="17" width="11.7109375" style="991" customWidth="1"/>
    <col min="18" max="18" width="4.85546875" style="991" customWidth="1"/>
    <col min="19" max="19" width="9.28515625" style="991" bestFit="1" customWidth="1"/>
    <col min="20" max="20" width="2.28515625" style="991" customWidth="1"/>
    <col min="21" max="21" width="5.7109375" style="991" bestFit="1" customWidth="1"/>
    <col min="22" max="22" width="2.28515625" style="991" customWidth="1"/>
    <col min="23" max="23" width="9.85546875" style="991" customWidth="1"/>
    <col min="24" max="16384" width="9.140625" style="991"/>
  </cols>
  <sheetData>
    <row r="1" spans="1:23">
      <c r="A1" s="2079"/>
      <c r="B1" s="2079"/>
      <c r="C1" s="2078"/>
      <c r="D1" s="2079"/>
      <c r="E1" s="2079"/>
      <c r="F1" s="2079"/>
      <c r="G1" s="2110"/>
      <c r="H1" s="2110"/>
      <c r="I1" s="2110"/>
      <c r="J1" s="2110"/>
      <c r="K1" s="2110"/>
      <c r="L1" s="2079"/>
      <c r="M1" s="2079"/>
      <c r="N1" s="2079"/>
      <c r="O1" s="2079"/>
      <c r="P1" s="2079"/>
      <c r="Q1" s="2079"/>
      <c r="R1" s="2079"/>
      <c r="S1" s="2079"/>
      <c r="T1" s="2079"/>
      <c r="U1" s="2079"/>
      <c r="V1" s="2079"/>
      <c r="W1" s="2078" t="s">
        <v>1209</v>
      </c>
    </row>
    <row r="2" spans="1:23">
      <c r="A2" s="2080" t="s">
        <v>2716</v>
      </c>
      <c r="B2" s="2079"/>
      <c r="C2" s="2078"/>
      <c r="D2" s="2079"/>
      <c r="E2" s="2079"/>
      <c r="F2" s="2079"/>
      <c r="G2" s="2110"/>
      <c r="H2" s="2137"/>
      <c r="I2" s="2137" t="s">
        <v>911</v>
      </c>
      <c r="J2" s="2137"/>
      <c r="K2" s="2137"/>
      <c r="L2" s="2138"/>
      <c r="M2" s="2079"/>
      <c r="N2" s="2079"/>
      <c r="O2" s="2079"/>
      <c r="P2" s="2079"/>
      <c r="Q2" s="2079"/>
      <c r="R2" s="2079"/>
      <c r="S2" s="2078"/>
      <c r="T2" s="2079"/>
      <c r="U2" s="2079"/>
      <c r="V2" s="2079"/>
      <c r="W2" s="2078"/>
    </row>
    <row r="3" spans="1:23">
      <c r="A3" s="2080"/>
      <c r="B3" s="2079"/>
      <c r="C3" s="2078"/>
      <c r="D3" s="2079"/>
      <c r="E3" s="2079"/>
      <c r="F3" s="2079"/>
      <c r="G3" s="2110"/>
      <c r="H3" s="2137"/>
      <c r="I3" s="2137"/>
      <c r="J3" s="2137"/>
      <c r="K3" s="2137"/>
      <c r="L3" s="2138"/>
      <c r="M3" s="2079"/>
      <c r="N3" s="2079"/>
      <c r="O3" s="2079"/>
      <c r="P3" s="2079"/>
      <c r="Q3" s="2079"/>
      <c r="R3" s="2079"/>
      <c r="S3" s="2080"/>
      <c r="T3" s="2079"/>
      <c r="U3" s="2079"/>
      <c r="V3" s="2079"/>
      <c r="W3" s="2078" t="s">
        <v>2717</v>
      </c>
    </row>
    <row r="4" spans="1:23">
      <c r="A4" s="2079" t="s">
        <v>2644</v>
      </c>
      <c r="B4" s="2080"/>
      <c r="C4" s="2080"/>
      <c r="D4" s="2079"/>
      <c r="E4" s="2079"/>
      <c r="F4" s="2079"/>
      <c r="G4" s="2110"/>
      <c r="H4" s="2137"/>
      <c r="I4" s="2137"/>
      <c r="J4" s="2137"/>
      <c r="K4" s="2137"/>
      <c r="L4" s="2138"/>
      <c r="M4" s="2079"/>
      <c r="N4" s="2079"/>
      <c r="O4" s="2079"/>
      <c r="P4" s="2079"/>
      <c r="Q4" s="2079"/>
      <c r="R4" s="2079"/>
      <c r="S4" s="2078"/>
      <c r="T4" s="2079"/>
      <c r="U4" s="2079"/>
      <c r="V4" s="2079"/>
      <c r="W4" s="2078" t="s">
        <v>2768</v>
      </c>
    </row>
    <row r="5" spans="1:23">
      <c r="A5" s="2080" t="s">
        <v>2719</v>
      </c>
      <c r="B5" s="2079"/>
      <c r="C5" s="2078"/>
      <c r="D5" s="2079"/>
      <c r="E5" s="2079"/>
      <c r="F5" s="2080"/>
      <c r="G5" s="2110"/>
      <c r="H5" s="2137"/>
      <c r="I5" s="2137"/>
      <c r="J5" s="2137"/>
      <c r="K5" s="2137"/>
      <c r="L5" s="2138"/>
      <c r="M5" s="2079"/>
      <c r="N5" s="2079"/>
      <c r="O5" s="2079"/>
      <c r="P5" s="2079"/>
      <c r="Q5" s="2079"/>
      <c r="R5" s="2079"/>
      <c r="S5" s="2078"/>
      <c r="T5" s="2079"/>
      <c r="U5" s="2079"/>
      <c r="V5" s="2079"/>
      <c r="W5" s="2078"/>
    </row>
    <row r="6" spans="1:23">
      <c r="A6" s="2080" t="s">
        <v>1935</v>
      </c>
      <c r="B6" s="2079"/>
      <c r="C6" s="2078"/>
      <c r="D6" s="2079"/>
      <c r="E6" s="2139"/>
      <c r="F6" s="2080"/>
      <c r="G6" s="2110"/>
      <c r="H6" s="2137"/>
      <c r="I6" s="2137"/>
      <c r="J6" s="2137"/>
      <c r="K6" s="2137"/>
      <c r="L6" s="2138"/>
      <c r="M6" s="2079"/>
      <c r="N6" s="2079"/>
      <c r="O6" s="2079"/>
      <c r="P6" s="2079"/>
      <c r="Q6" s="2079"/>
      <c r="R6" s="2079"/>
      <c r="S6" s="2080"/>
      <c r="T6" s="2079"/>
      <c r="U6" s="2079"/>
      <c r="V6" s="2079"/>
      <c r="W6" s="1011" t="s">
        <v>2950</v>
      </c>
    </row>
    <row r="7" spans="1:23">
      <c r="A7" s="2080" t="s">
        <v>1092</v>
      </c>
      <c r="B7" s="2079"/>
      <c r="C7" s="2078"/>
      <c r="D7" s="2079"/>
      <c r="E7" s="2079"/>
      <c r="F7" s="2080"/>
      <c r="G7" s="2110"/>
      <c r="H7" s="2137"/>
      <c r="I7" s="2137"/>
      <c r="J7" s="2137"/>
      <c r="K7" s="2137"/>
      <c r="L7" s="2138"/>
      <c r="M7" s="2079"/>
      <c r="N7" s="2079"/>
      <c r="O7" s="2079"/>
      <c r="P7" s="2079"/>
      <c r="Q7" s="2079"/>
      <c r="R7" s="2079"/>
      <c r="S7" s="2078"/>
      <c r="T7" s="2079"/>
      <c r="U7" s="2079"/>
      <c r="V7" s="2079"/>
      <c r="W7" s="2078"/>
    </row>
    <row r="8" spans="1:23">
      <c r="A8" s="2080" t="s">
        <v>717</v>
      </c>
      <c r="B8" s="2079"/>
      <c r="C8" s="2078"/>
      <c r="D8" s="2079"/>
      <c r="E8" s="2079"/>
      <c r="F8" s="2080"/>
      <c r="G8" s="2110"/>
      <c r="H8" s="2137"/>
      <c r="I8" s="2137"/>
      <c r="J8" s="2137"/>
      <c r="K8" s="2137"/>
      <c r="L8" s="2138"/>
      <c r="M8" s="2079"/>
      <c r="N8" s="2079"/>
      <c r="O8" s="2079"/>
      <c r="P8" s="2079"/>
      <c r="Q8" s="2079"/>
      <c r="R8" s="2079"/>
      <c r="S8" s="2079"/>
      <c r="T8" s="2079"/>
      <c r="U8" s="2079"/>
      <c r="V8" s="2079"/>
      <c r="W8" s="2079"/>
    </row>
    <row r="9" spans="1:23">
      <c r="A9" s="2079"/>
      <c r="B9" s="2079"/>
      <c r="C9" s="2078"/>
      <c r="D9" s="2079"/>
      <c r="E9" s="2079"/>
      <c r="F9" s="2079"/>
      <c r="G9" s="2110"/>
      <c r="H9" s="2110"/>
      <c r="I9" s="2110"/>
      <c r="J9" s="2110"/>
      <c r="K9" s="2110"/>
      <c r="L9" s="2079"/>
      <c r="M9" s="2079"/>
      <c r="N9" s="2079"/>
      <c r="O9" s="2079"/>
      <c r="P9" s="2079"/>
      <c r="Q9" s="2079"/>
      <c r="R9" s="2079"/>
      <c r="S9" s="2079"/>
      <c r="T9" s="2079"/>
      <c r="U9" s="2079"/>
      <c r="V9" s="2079"/>
      <c r="W9" s="2079"/>
    </row>
    <row r="10" spans="1:23">
      <c r="A10" s="2079" t="s">
        <v>2720</v>
      </c>
      <c r="B10" s="2079"/>
      <c r="C10" s="2078"/>
      <c r="D10" s="2079"/>
      <c r="E10" s="2079"/>
      <c r="F10" s="2079"/>
      <c r="G10" s="2110"/>
      <c r="H10" s="2110"/>
      <c r="I10" s="2110"/>
      <c r="J10" s="2110"/>
      <c r="K10" s="2110"/>
      <c r="L10" s="2079"/>
      <c r="M10" s="2079"/>
      <c r="N10" s="2079"/>
      <c r="O10" s="2079"/>
      <c r="P10" s="2079"/>
      <c r="Q10" s="2079"/>
      <c r="R10" s="2079"/>
      <c r="S10" s="2079"/>
      <c r="T10" s="2079"/>
      <c r="U10" s="2318" t="s">
        <v>2956</v>
      </c>
      <c r="V10" s="2318"/>
      <c r="W10" s="2318"/>
    </row>
    <row r="11" spans="1:23">
      <c r="A11" s="2080" t="s">
        <v>2721</v>
      </c>
      <c r="B11" s="2079"/>
      <c r="C11" s="2078"/>
      <c r="D11" s="2079"/>
      <c r="E11" s="2079"/>
      <c r="F11" s="2079"/>
      <c r="G11" s="2110"/>
      <c r="H11" s="2110"/>
      <c r="I11" s="2110"/>
      <c r="J11" s="2110"/>
      <c r="K11" s="2110"/>
      <c r="L11" s="2079"/>
      <c r="M11" s="2079"/>
      <c r="N11" s="2079"/>
      <c r="O11" s="2079"/>
      <c r="P11" s="2079"/>
      <c r="Q11" s="2079"/>
      <c r="R11" s="2079"/>
      <c r="S11" s="2079"/>
      <c r="T11" s="2079"/>
      <c r="U11" s="2317" t="s">
        <v>2722</v>
      </c>
      <c r="V11" s="2317"/>
      <c r="W11" s="2317"/>
    </row>
    <row r="12" spans="1:23">
      <c r="A12" s="2140"/>
      <c r="B12" s="2140"/>
      <c r="C12" s="2141"/>
      <c r="D12" s="2140"/>
      <c r="E12" s="2140"/>
      <c r="F12" s="2140"/>
      <c r="G12" s="2142"/>
      <c r="H12" s="2142"/>
      <c r="I12" s="2142"/>
      <c r="J12" s="2142"/>
      <c r="K12" s="2142"/>
      <c r="L12" s="2140"/>
      <c r="M12" s="2140"/>
      <c r="N12" s="2140"/>
      <c r="O12" s="2140"/>
      <c r="P12" s="2140"/>
      <c r="Q12" s="2140"/>
      <c r="R12" s="2140"/>
      <c r="S12" s="2140"/>
      <c r="T12" s="2140"/>
      <c r="U12" s="2319"/>
      <c r="V12" s="2319"/>
      <c r="W12" s="2319"/>
    </row>
    <row r="13" spans="1:23">
      <c r="A13" s="2082"/>
      <c r="B13" s="2082"/>
      <c r="C13" s="2083"/>
      <c r="D13" s="2082"/>
      <c r="E13" s="2082"/>
      <c r="F13" s="2082"/>
      <c r="G13" s="2084">
        <v>-1</v>
      </c>
      <c r="H13" s="2084"/>
      <c r="I13" s="2084">
        <v>-2</v>
      </c>
      <c r="J13" s="2084"/>
      <c r="K13" s="2084">
        <v>-3</v>
      </c>
      <c r="L13" s="2082"/>
      <c r="M13" s="2084">
        <v>-4</v>
      </c>
      <c r="N13" s="2082"/>
      <c r="O13" s="2084">
        <v>-5</v>
      </c>
      <c r="P13" s="2082"/>
      <c r="Q13" s="2084">
        <v>-6</v>
      </c>
      <c r="R13" s="2082"/>
      <c r="S13" s="2084">
        <v>-7</v>
      </c>
      <c r="T13" s="2082"/>
      <c r="U13" s="2320">
        <v>-8</v>
      </c>
      <c r="V13" s="2320"/>
      <c r="W13" s="2320"/>
    </row>
    <row r="14" spans="1:23">
      <c r="A14" s="2082"/>
      <c r="B14" s="2082"/>
      <c r="C14" s="2083"/>
      <c r="D14" s="2082"/>
      <c r="E14" s="2082"/>
      <c r="F14" s="2082"/>
      <c r="G14" s="2084"/>
      <c r="H14" s="2084"/>
      <c r="I14" s="2084"/>
      <c r="J14" s="2084"/>
      <c r="K14" s="2084"/>
      <c r="L14" s="2082"/>
      <c r="M14" s="2084"/>
      <c r="N14" s="2082"/>
      <c r="O14" s="2321" t="s">
        <v>2769</v>
      </c>
      <c r="P14" s="2321"/>
      <c r="Q14" s="2321"/>
      <c r="R14" s="2321"/>
      <c r="S14" s="2321"/>
      <c r="T14" s="2321"/>
      <c r="U14" s="2321"/>
      <c r="V14" s="2321"/>
      <c r="W14" s="2321"/>
    </row>
    <row r="15" spans="1:23">
      <c r="A15" s="2079"/>
      <c r="B15" s="2079"/>
      <c r="C15" s="2078"/>
      <c r="D15" s="2079"/>
      <c r="E15" s="2079"/>
      <c r="F15" s="2079"/>
      <c r="G15" s="2317" t="s">
        <v>2724</v>
      </c>
      <c r="H15" s="2317"/>
      <c r="I15" s="2317"/>
      <c r="J15" s="2317"/>
      <c r="K15" s="2317"/>
      <c r="L15" s="2143"/>
      <c r="M15" s="2143"/>
      <c r="N15" s="2143"/>
      <c r="O15" s="2143"/>
      <c r="P15" s="2140"/>
      <c r="Q15" s="2142" t="s">
        <v>2725</v>
      </c>
      <c r="R15" s="2140"/>
      <c r="S15" s="2140"/>
      <c r="T15" s="2079"/>
      <c r="U15" s="2143"/>
      <c r="V15" s="2142"/>
      <c r="W15" s="2142"/>
    </row>
    <row r="16" spans="1:23">
      <c r="A16" s="2079"/>
      <c r="B16" s="2079"/>
      <c r="C16" s="2110" t="s">
        <v>2726</v>
      </c>
      <c r="D16" s="2079"/>
      <c r="E16" s="2079"/>
      <c r="F16" s="2079"/>
      <c r="G16" s="2110"/>
      <c r="H16" s="2110"/>
      <c r="I16" s="2110" t="s">
        <v>1170</v>
      </c>
      <c r="J16" s="2110"/>
      <c r="K16" s="2110"/>
      <c r="L16" s="2079"/>
      <c r="M16" s="2110" t="s">
        <v>731</v>
      </c>
      <c r="N16" s="2079"/>
      <c r="O16" s="2110"/>
      <c r="P16" s="2079"/>
      <c r="Q16" s="2110" t="s">
        <v>1170</v>
      </c>
      <c r="R16" s="2079"/>
      <c r="S16" s="2110"/>
      <c r="T16" s="2079"/>
      <c r="U16" s="2110"/>
      <c r="V16" s="2079"/>
      <c r="W16" s="2110"/>
    </row>
    <row r="17" spans="1:23">
      <c r="A17" s="2110" t="s">
        <v>53</v>
      </c>
      <c r="B17" s="2079"/>
      <c r="C17" s="2110" t="s">
        <v>2727</v>
      </c>
      <c r="D17" s="2079"/>
      <c r="E17" s="2079"/>
      <c r="F17" s="2085"/>
      <c r="G17" s="2086"/>
      <c r="H17" s="2086"/>
      <c r="I17" s="2086" t="s">
        <v>2728</v>
      </c>
      <c r="J17" s="2086"/>
      <c r="K17" s="2086"/>
      <c r="L17" s="2085"/>
      <c r="M17" s="2110" t="s">
        <v>2729</v>
      </c>
      <c r="N17" s="2085"/>
      <c r="O17" s="2086"/>
      <c r="P17" s="2085"/>
      <c r="Q17" s="2086" t="s">
        <v>2728</v>
      </c>
      <c r="R17" s="2085"/>
      <c r="S17" s="2081"/>
      <c r="T17" s="2085"/>
      <c r="U17" s="2087">
        <v>0</v>
      </c>
      <c r="V17" s="2085"/>
      <c r="W17" s="2087">
        <v>1</v>
      </c>
    </row>
    <row r="18" spans="1:23">
      <c r="A18" s="2142" t="s">
        <v>730</v>
      </c>
      <c r="B18" s="2143"/>
      <c r="C18" s="2142" t="s">
        <v>730</v>
      </c>
      <c r="D18" s="2143"/>
      <c r="E18" s="2142" t="s">
        <v>731</v>
      </c>
      <c r="F18" s="2143"/>
      <c r="G18" s="2144" t="s">
        <v>2956</v>
      </c>
      <c r="H18" s="2142"/>
      <c r="I18" s="2142" t="s">
        <v>2730</v>
      </c>
      <c r="J18" s="2142"/>
      <c r="K18" s="2142" t="s">
        <v>81</v>
      </c>
      <c r="L18" s="2143"/>
      <c r="M18" s="2142" t="s">
        <v>2731</v>
      </c>
      <c r="N18" s="2143"/>
      <c r="O18" s="2144" t="s">
        <v>2956</v>
      </c>
      <c r="P18" s="2143"/>
      <c r="Q18" s="2142" t="s">
        <v>2730</v>
      </c>
      <c r="R18" s="2143"/>
      <c r="S18" s="2142" t="s">
        <v>81</v>
      </c>
      <c r="T18" s="2143"/>
      <c r="U18" s="2142" t="s">
        <v>498</v>
      </c>
      <c r="V18" s="2143"/>
      <c r="W18" s="2142" t="s">
        <v>670</v>
      </c>
    </row>
    <row r="19" spans="1:23">
      <c r="A19" s="2079"/>
      <c r="B19" s="2079"/>
      <c r="C19" s="2078"/>
      <c r="D19" s="2079"/>
      <c r="E19" s="2079"/>
      <c r="F19" s="2079"/>
      <c r="G19" s="2110"/>
      <c r="H19" s="2110"/>
      <c r="I19" s="2110"/>
      <c r="J19" s="2110"/>
      <c r="K19" s="2110"/>
      <c r="L19" s="2079"/>
      <c r="M19" s="2079"/>
      <c r="N19" s="2079"/>
      <c r="O19" s="2079"/>
      <c r="P19" s="2079"/>
      <c r="Q19" s="2079"/>
      <c r="R19" s="2079"/>
      <c r="S19" s="2079"/>
      <c r="T19" s="2079"/>
      <c r="U19" s="2079"/>
      <c r="V19" s="2079"/>
      <c r="W19" s="2079"/>
    </row>
    <row r="20" spans="1:23">
      <c r="A20" s="2110">
        <v>1</v>
      </c>
      <c r="B20" s="2088" t="s">
        <v>2732</v>
      </c>
      <c r="C20" s="2078"/>
      <c r="D20" s="2079"/>
      <c r="E20" s="2079"/>
      <c r="F20" s="2079"/>
      <c r="G20" s="2110"/>
      <c r="H20" s="2110"/>
      <c r="I20" s="2110"/>
      <c r="J20" s="2110"/>
      <c r="K20" s="2110"/>
      <c r="L20" s="2079"/>
      <c r="M20" s="2079"/>
      <c r="N20" s="2079"/>
      <c r="O20" s="2089"/>
      <c r="P20" s="2089"/>
      <c r="Q20" s="2089"/>
      <c r="R20" s="2089"/>
      <c r="S20" s="2089"/>
      <c r="T20" s="2089"/>
      <c r="U20" s="2089"/>
      <c r="V20" s="2089"/>
      <c r="W20" s="2089"/>
    </row>
    <row r="21" spans="1:23">
      <c r="A21" s="2110">
        <v>2</v>
      </c>
      <c r="B21" s="2079"/>
      <c r="C21" s="2078">
        <v>403</v>
      </c>
      <c r="D21" s="2079"/>
      <c r="E21" s="2079" t="s">
        <v>379</v>
      </c>
      <c r="F21" s="2079"/>
      <c r="G21" s="2090">
        <v>1.1820041000818052E-2</v>
      </c>
      <c r="H21" s="2110"/>
      <c r="I21" s="2090">
        <v>0.98817995899918198</v>
      </c>
      <c r="J21" s="2090"/>
      <c r="K21" s="2090">
        <v>1</v>
      </c>
      <c r="L21" s="2079"/>
      <c r="M21" s="2091" t="s">
        <v>347</v>
      </c>
      <c r="N21" s="2079"/>
      <c r="O21" s="2092">
        <v>3924.06</v>
      </c>
      <c r="P21" s="2092"/>
      <c r="Q21" s="2089">
        <v>328059.56</v>
      </c>
      <c r="R21" s="2092"/>
      <c r="S21" s="2092">
        <v>331983.62</v>
      </c>
      <c r="T21" s="2092"/>
      <c r="U21" s="2089">
        <v>0</v>
      </c>
      <c r="V21" s="2089"/>
      <c r="W21" s="2089">
        <v>3924.06</v>
      </c>
    </row>
    <row r="22" spans="1:23">
      <c r="A22" s="2110">
        <v>3</v>
      </c>
      <c r="B22" s="2079"/>
      <c r="C22" s="2078">
        <v>408</v>
      </c>
      <c r="D22" s="2079"/>
      <c r="E22" s="2079" t="s">
        <v>25</v>
      </c>
      <c r="F22" s="2079"/>
      <c r="G22" s="2090">
        <v>1.2142994202668438E-2</v>
      </c>
      <c r="H22" s="2110"/>
      <c r="I22" s="2090">
        <v>0.9878570057973316</v>
      </c>
      <c r="J22" s="2090"/>
      <c r="K22" s="2090">
        <v>1</v>
      </c>
      <c r="L22" s="2079"/>
      <c r="M22" s="2091" t="s">
        <v>347</v>
      </c>
      <c r="N22" s="2079"/>
      <c r="O22" s="2092">
        <v>377.8</v>
      </c>
      <c r="P22" s="2089"/>
      <c r="Q22" s="2089">
        <v>30734.79</v>
      </c>
      <c r="R22" s="2089"/>
      <c r="S22" s="2092">
        <v>31112.59</v>
      </c>
      <c r="T22" s="2089"/>
      <c r="U22" s="2089">
        <v>0</v>
      </c>
      <c r="V22" s="2089"/>
      <c r="W22" s="2089">
        <v>377.8</v>
      </c>
    </row>
    <row r="23" spans="1:23">
      <c r="A23" s="2110">
        <v>4</v>
      </c>
      <c r="B23" s="2079"/>
      <c r="C23" s="2078">
        <v>409</v>
      </c>
      <c r="D23" s="2079"/>
      <c r="E23" s="2079" t="s">
        <v>2733</v>
      </c>
      <c r="F23" s="2079"/>
      <c r="G23" s="2090">
        <v>0</v>
      </c>
      <c r="H23" s="2110"/>
      <c r="I23" s="2090">
        <v>0</v>
      </c>
      <c r="J23" s="2090"/>
      <c r="K23" s="2090">
        <v>0</v>
      </c>
      <c r="L23" s="2079"/>
      <c r="M23" s="2091" t="s">
        <v>347</v>
      </c>
      <c r="N23" s="2079"/>
      <c r="O23" s="2092">
        <v>0</v>
      </c>
      <c r="P23" s="2089"/>
      <c r="Q23" s="2089">
        <v>0</v>
      </c>
      <c r="R23" s="2089"/>
      <c r="S23" s="2092">
        <v>0</v>
      </c>
      <c r="T23" s="2089"/>
      <c r="U23" s="2089">
        <v>0</v>
      </c>
      <c r="V23" s="2089"/>
      <c r="W23" s="2089">
        <v>0</v>
      </c>
    </row>
    <row r="24" spans="1:23">
      <c r="A24" s="2110">
        <v>5</v>
      </c>
      <c r="B24" s="2079"/>
      <c r="C24" s="2078">
        <v>410</v>
      </c>
      <c r="D24" s="2079"/>
      <c r="E24" s="2079" t="s">
        <v>2734</v>
      </c>
      <c r="F24" s="2079"/>
      <c r="G24" s="2090">
        <v>0</v>
      </c>
      <c r="H24" s="2110"/>
      <c r="I24" s="2090">
        <v>0</v>
      </c>
      <c r="J24" s="2090"/>
      <c r="K24" s="2090">
        <v>0</v>
      </c>
      <c r="L24" s="2079"/>
      <c r="M24" s="2091" t="s">
        <v>347</v>
      </c>
      <c r="N24" s="2079"/>
      <c r="O24" s="2092">
        <v>0</v>
      </c>
      <c r="P24" s="2089"/>
      <c r="Q24" s="2089">
        <v>0</v>
      </c>
      <c r="R24" s="2089"/>
      <c r="S24" s="2092">
        <v>0</v>
      </c>
      <c r="T24" s="2089"/>
      <c r="U24" s="2089">
        <v>0</v>
      </c>
      <c r="V24" s="2089"/>
      <c r="W24" s="2089">
        <v>0</v>
      </c>
    </row>
    <row r="25" spans="1:23">
      <c r="A25" s="2110">
        <v>6</v>
      </c>
      <c r="B25" s="2079"/>
      <c r="C25" s="2078" t="s">
        <v>2735</v>
      </c>
      <c r="D25" s="2079"/>
      <c r="E25" s="2079" t="s">
        <v>530</v>
      </c>
      <c r="F25" s="2079"/>
      <c r="G25" s="2090">
        <v>1.2143750024491268E-2</v>
      </c>
      <c r="H25" s="2110"/>
      <c r="I25" s="2090">
        <v>0.9878562499755088</v>
      </c>
      <c r="J25" s="2090"/>
      <c r="K25" s="2090">
        <v>1</v>
      </c>
      <c r="L25" s="2079"/>
      <c r="M25" s="2091" t="s">
        <v>347</v>
      </c>
      <c r="N25" s="2079"/>
      <c r="O25" s="2092">
        <v>-30.99</v>
      </c>
      <c r="P25" s="2089"/>
      <c r="Q25" s="2089">
        <v>-2520.94</v>
      </c>
      <c r="R25" s="2089"/>
      <c r="S25" s="2092">
        <v>-2551.9299999999998</v>
      </c>
      <c r="T25" s="2089"/>
      <c r="U25" s="2089">
        <v>0</v>
      </c>
      <c r="V25" s="2089"/>
      <c r="W25" s="2089">
        <v>-30.99</v>
      </c>
    </row>
    <row r="26" spans="1:23">
      <c r="A26" s="2110">
        <v>7</v>
      </c>
      <c r="B26" s="2079"/>
      <c r="C26" s="2078">
        <v>427</v>
      </c>
      <c r="D26" s="2079"/>
      <c r="E26" s="2079" t="s">
        <v>2619</v>
      </c>
      <c r="F26" s="2079"/>
      <c r="G26" s="2090">
        <v>-6.4702341579577007</v>
      </c>
      <c r="H26" s="2110"/>
      <c r="I26" s="2090">
        <v>7.4702341579577016</v>
      </c>
      <c r="J26" s="2090"/>
      <c r="K26" s="2090">
        <v>1</v>
      </c>
      <c r="L26" s="2079"/>
      <c r="M26" s="2091" t="s">
        <v>347</v>
      </c>
      <c r="N26" s="2079"/>
      <c r="O26" s="2092">
        <v>978.17</v>
      </c>
      <c r="P26" s="2089"/>
      <c r="Q26" s="2089">
        <v>-1129.3499999999931</v>
      </c>
      <c r="R26" s="2089"/>
      <c r="S26" s="2092">
        <v>-151.17999999999302</v>
      </c>
      <c r="T26" s="2089"/>
      <c r="U26" s="2089">
        <v>0</v>
      </c>
      <c r="V26" s="2089"/>
      <c r="W26" s="2089">
        <v>978.17</v>
      </c>
    </row>
    <row r="27" spans="1:23">
      <c r="A27" s="2110">
        <v>8</v>
      </c>
      <c r="B27" s="2079"/>
      <c r="C27" s="2078" t="s">
        <v>2736</v>
      </c>
      <c r="D27" s="2079"/>
      <c r="E27" s="2079" t="s">
        <v>2737</v>
      </c>
      <c r="F27" s="2079"/>
      <c r="G27" s="2090">
        <v>1.2142879422903232E-2</v>
      </c>
      <c r="H27" s="2110"/>
      <c r="I27" s="2090">
        <v>0.98785712057709674</v>
      </c>
      <c r="J27" s="2090"/>
      <c r="K27" s="2090">
        <v>1</v>
      </c>
      <c r="L27" s="2079"/>
      <c r="M27" s="2091" t="s">
        <v>347</v>
      </c>
      <c r="N27" s="2091"/>
      <c r="O27" s="2092">
        <v>4570.3099999999995</v>
      </c>
      <c r="P27" s="2092"/>
      <c r="Q27" s="2089">
        <v>371807.47</v>
      </c>
      <c r="R27" s="2092"/>
      <c r="S27" s="2092">
        <v>376377.77999999997</v>
      </c>
      <c r="T27" s="2092"/>
      <c r="U27" s="2089">
        <v>0</v>
      </c>
      <c r="V27" s="2089"/>
      <c r="W27" s="2089">
        <v>4570.3099999999995</v>
      </c>
    </row>
    <row r="28" spans="1:23">
      <c r="A28" s="2110">
        <v>9</v>
      </c>
      <c r="B28" s="2079"/>
      <c r="C28" s="2078" t="s">
        <v>2002</v>
      </c>
      <c r="D28" s="2079"/>
      <c r="E28" s="2079" t="s">
        <v>2738</v>
      </c>
      <c r="F28" s="2079"/>
      <c r="G28" s="2090">
        <v>1.2142887631387029E-2</v>
      </c>
      <c r="H28" s="2110"/>
      <c r="I28" s="2090">
        <v>0.98785711236861307</v>
      </c>
      <c r="J28" s="2090"/>
      <c r="K28" s="2090">
        <v>1</v>
      </c>
      <c r="L28" s="2079"/>
      <c r="M28" s="2091" t="s">
        <v>347</v>
      </c>
      <c r="N28" s="2079"/>
      <c r="O28" s="2092">
        <v>4375.3600000000006</v>
      </c>
      <c r="P28" s="2089"/>
      <c r="Q28" s="2089">
        <v>355947.50000000006</v>
      </c>
      <c r="R28" s="2089"/>
      <c r="S28" s="2092">
        <v>360322.86000000004</v>
      </c>
      <c r="T28" s="2089"/>
      <c r="U28" s="2089">
        <v>0</v>
      </c>
      <c r="V28" s="2089"/>
      <c r="W28" s="2089">
        <v>4375.3600000000006</v>
      </c>
    </row>
    <row r="29" spans="1:23">
      <c r="A29" s="2110">
        <v>10</v>
      </c>
      <c r="B29" s="2079"/>
      <c r="C29" s="2078" t="s">
        <v>1991</v>
      </c>
      <c r="D29" s="2079"/>
      <c r="E29" s="2079" t="s">
        <v>2739</v>
      </c>
      <c r="F29" s="2079"/>
      <c r="G29" s="2090">
        <v>1.214266656642978E-2</v>
      </c>
      <c r="H29" s="2110"/>
      <c r="I29" s="2090">
        <v>0.98785733343357018</v>
      </c>
      <c r="J29" s="2090"/>
      <c r="K29" s="2090">
        <v>1</v>
      </c>
      <c r="L29" s="2079"/>
      <c r="M29" s="2091" t="s">
        <v>347</v>
      </c>
      <c r="N29" s="2079"/>
      <c r="O29" s="2092">
        <v>823.75</v>
      </c>
      <c r="P29" s="2089"/>
      <c r="Q29" s="2089">
        <v>67015.550000000017</v>
      </c>
      <c r="R29" s="2089"/>
      <c r="S29" s="2092">
        <v>67839.300000000017</v>
      </c>
      <c r="T29" s="2089"/>
      <c r="U29" s="2089">
        <v>0</v>
      </c>
      <c r="V29" s="2089"/>
      <c r="W29" s="2089">
        <v>823.75</v>
      </c>
    </row>
    <row r="30" spans="1:23">
      <c r="A30" s="2110">
        <v>11</v>
      </c>
      <c r="B30" s="2079"/>
      <c r="C30" s="2078" t="s">
        <v>2056</v>
      </c>
      <c r="D30" s="2079"/>
      <c r="E30" s="2079" t="s">
        <v>2740</v>
      </c>
      <c r="F30" s="2079"/>
      <c r="G30" s="2090">
        <v>1.2142843509031916E-2</v>
      </c>
      <c r="H30" s="2110"/>
      <c r="I30" s="2090">
        <v>0.98785715649096817</v>
      </c>
      <c r="J30" s="2090"/>
      <c r="K30" s="2090">
        <v>1</v>
      </c>
      <c r="L30" s="2079"/>
      <c r="M30" s="2091" t="s">
        <v>347</v>
      </c>
      <c r="N30" s="2079"/>
      <c r="O30" s="2092">
        <v>776.13</v>
      </c>
      <c r="P30" s="2089"/>
      <c r="Q30" s="2089">
        <v>63140.530000000006</v>
      </c>
      <c r="R30" s="2089"/>
      <c r="S30" s="2092">
        <v>63916.66</v>
      </c>
      <c r="T30" s="2089"/>
      <c r="U30" s="2089">
        <v>0</v>
      </c>
      <c r="V30" s="2089"/>
      <c r="W30" s="2089">
        <v>776.13</v>
      </c>
    </row>
    <row r="31" spans="1:23">
      <c r="A31" s="2110">
        <v>12</v>
      </c>
      <c r="B31" s="2079"/>
      <c r="C31" s="2078" t="s">
        <v>2063</v>
      </c>
      <c r="D31" s="2079"/>
      <c r="E31" s="2079" t="s">
        <v>1248</v>
      </c>
      <c r="F31" s="2079"/>
      <c r="G31" s="2090">
        <v>0</v>
      </c>
      <c r="H31" s="2110"/>
      <c r="I31" s="2090">
        <v>0</v>
      </c>
      <c r="J31" s="2090"/>
      <c r="K31" s="2090">
        <v>0</v>
      </c>
      <c r="L31" s="2079"/>
      <c r="M31" s="2091" t="s">
        <v>347</v>
      </c>
      <c r="N31" s="2079"/>
      <c r="O31" s="2092">
        <v>0</v>
      </c>
      <c r="P31" s="2089"/>
      <c r="Q31" s="2089">
        <v>0</v>
      </c>
      <c r="R31" s="2089"/>
      <c r="S31" s="2092">
        <v>0</v>
      </c>
      <c r="T31" s="2089"/>
      <c r="U31" s="2089">
        <v>0</v>
      </c>
      <c r="V31" s="2089"/>
      <c r="W31" s="2089">
        <v>0</v>
      </c>
    </row>
    <row r="32" spans="1:23">
      <c r="A32" s="2110">
        <v>13</v>
      </c>
      <c r="B32" s="2079"/>
      <c r="C32" s="2078" t="s">
        <v>1981</v>
      </c>
      <c r="D32" s="2079"/>
      <c r="E32" s="2079" t="s">
        <v>1250</v>
      </c>
      <c r="F32" s="2079"/>
      <c r="G32" s="2090">
        <v>1.2142869724512083E-2</v>
      </c>
      <c r="H32" s="2110"/>
      <c r="I32" s="2090">
        <v>0.98785713027548794</v>
      </c>
      <c r="J32" s="2090"/>
      <c r="K32" s="2090">
        <v>1</v>
      </c>
      <c r="L32" s="2079"/>
      <c r="M32" s="2091" t="s">
        <v>347</v>
      </c>
      <c r="N32" s="2079"/>
      <c r="O32" s="2092">
        <v>1378.75</v>
      </c>
      <c r="P32" s="2089"/>
      <c r="Q32" s="2089">
        <v>112165.25</v>
      </c>
      <c r="R32" s="2089"/>
      <c r="S32" s="2092">
        <v>113544</v>
      </c>
      <c r="T32" s="2089"/>
      <c r="U32" s="2089">
        <v>0</v>
      </c>
      <c r="V32" s="2089"/>
      <c r="W32" s="2089">
        <v>1378.75</v>
      </c>
    </row>
    <row r="33" spans="1:23">
      <c r="A33" s="2110">
        <v>14</v>
      </c>
      <c r="B33" s="2079"/>
      <c r="C33" s="2078" t="s">
        <v>2741</v>
      </c>
      <c r="D33" s="2079"/>
      <c r="E33" s="2079" t="s">
        <v>2742</v>
      </c>
      <c r="F33" s="2079"/>
      <c r="G33" s="2090">
        <v>1.2145144076840983E-2</v>
      </c>
      <c r="H33" s="2110"/>
      <c r="I33" s="2090">
        <v>0.98785485592315903</v>
      </c>
      <c r="J33" s="2090"/>
      <c r="K33" s="2090">
        <v>1</v>
      </c>
      <c r="L33" s="2079"/>
      <c r="M33" s="2091" t="s">
        <v>347</v>
      </c>
      <c r="N33" s="2079"/>
      <c r="O33" s="2092">
        <v>22.76</v>
      </c>
      <c r="P33" s="2089"/>
      <c r="Q33" s="2089">
        <v>1851.24</v>
      </c>
      <c r="R33" s="2089"/>
      <c r="S33" s="2092">
        <v>1874</v>
      </c>
      <c r="T33" s="2089"/>
      <c r="U33" s="2089">
        <v>0</v>
      </c>
      <c r="V33" s="2089"/>
      <c r="W33" s="2089">
        <v>22.76</v>
      </c>
    </row>
    <row r="34" spans="1:23">
      <c r="A34" s="2110">
        <v>15</v>
      </c>
      <c r="B34" s="2079"/>
      <c r="C34" s="2078" t="s">
        <v>2076</v>
      </c>
      <c r="D34" s="2079"/>
      <c r="E34" s="2079" t="s">
        <v>2519</v>
      </c>
      <c r="F34" s="2079"/>
      <c r="G34" s="2090">
        <v>1.213770781227012E-2</v>
      </c>
      <c r="H34" s="2110"/>
      <c r="I34" s="2090">
        <v>0.98786229218772981</v>
      </c>
      <c r="J34" s="2090"/>
      <c r="K34" s="2090">
        <v>1</v>
      </c>
      <c r="L34" s="2079"/>
      <c r="M34" s="2091" t="s">
        <v>347</v>
      </c>
      <c r="N34" s="2079"/>
      <c r="O34" s="2092">
        <v>3.3000000000000003</v>
      </c>
      <c r="P34" s="2089"/>
      <c r="Q34" s="2089">
        <v>268.58</v>
      </c>
      <c r="R34" s="2089"/>
      <c r="S34" s="2092">
        <v>271.88</v>
      </c>
      <c r="T34" s="2089"/>
      <c r="U34" s="2089">
        <v>0</v>
      </c>
      <c r="V34" s="2089"/>
      <c r="W34" s="2089">
        <v>3.3000000000000003</v>
      </c>
    </row>
    <row r="35" spans="1:23">
      <c r="A35" s="2110">
        <v>16</v>
      </c>
      <c r="B35" s="2079"/>
      <c r="C35" s="2078" t="s">
        <v>2743</v>
      </c>
      <c r="D35" s="2079"/>
      <c r="E35" s="2079" t="s">
        <v>2523</v>
      </c>
      <c r="F35" s="2079"/>
      <c r="G35" s="2090">
        <v>1.2142865986485807E-2</v>
      </c>
      <c r="H35" s="2110"/>
      <c r="I35" s="2090">
        <v>0.98785713401351416</v>
      </c>
      <c r="J35" s="2090"/>
      <c r="K35" s="2090">
        <v>1</v>
      </c>
      <c r="L35" s="2079"/>
      <c r="M35" s="2091" t="s">
        <v>347</v>
      </c>
      <c r="N35" s="2079"/>
      <c r="O35" s="2092">
        <v>2245.94</v>
      </c>
      <c r="P35" s="2089"/>
      <c r="Q35" s="2089">
        <v>182713.69</v>
      </c>
      <c r="R35" s="2089"/>
      <c r="S35" s="2092">
        <v>184959.63</v>
      </c>
      <c r="T35" s="2089"/>
      <c r="U35" s="2089">
        <v>0</v>
      </c>
      <c r="V35" s="2089"/>
      <c r="W35" s="2089">
        <v>2245.94</v>
      </c>
    </row>
    <row r="36" spans="1:23">
      <c r="A36" s="2110">
        <v>17</v>
      </c>
      <c r="B36" s="2079"/>
      <c r="C36" s="2078" t="s">
        <v>2015</v>
      </c>
      <c r="D36" s="2079"/>
      <c r="E36" s="2079" t="s">
        <v>2744</v>
      </c>
      <c r="F36" s="2079"/>
      <c r="G36" s="2090">
        <v>1.2142832438390131E-2</v>
      </c>
      <c r="H36" s="2110"/>
      <c r="I36" s="2090">
        <v>0.98785716756160979</v>
      </c>
      <c r="J36" s="2090"/>
      <c r="K36" s="2090">
        <v>1</v>
      </c>
      <c r="L36" s="2079"/>
      <c r="M36" s="2091" t="s">
        <v>347</v>
      </c>
      <c r="N36" s="2079"/>
      <c r="O36" s="2092">
        <v>635.47</v>
      </c>
      <c r="P36" s="2089"/>
      <c r="Q36" s="2089">
        <v>51697.46</v>
      </c>
      <c r="R36" s="2089"/>
      <c r="S36" s="2092">
        <v>52332.93</v>
      </c>
      <c r="T36" s="2089"/>
      <c r="U36" s="2089">
        <v>0</v>
      </c>
      <c r="V36" s="2089"/>
      <c r="W36" s="2089">
        <v>635.47</v>
      </c>
    </row>
    <row r="37" spans="1:23">
      <c r="A37" s="2110">
        <v>18</v>
      </c>
      <c r="B37" s="2079"/>
      <c r="C37" s="2078" t="s">
        <v>1984</v>
      </c>
      <c r="D37" s="2079"/>
      <c r="E37" s="2079" t="s">
        <v>1253</v>
      </c>
      <c r="F37" s="2079"/>
      <c r="G37" s="2090">
        <v>1.2143336871980416E-2</v>
      </c>
      <c r="H37" s="2110"/>
      <c r="I37" s="2090">
        <v>0.98785666312801956</v>
      </c>
      <c r="J37" s="2090"/>
      <c r="K37" s="2090">
        <v>1</v>
      </c>
      <c r="L37" s="2079"/>
      <c r="M37" s="2091" t="s">
        <v>347</v>
      </c>
      <c r="N37" s="2079"/>
      <c r="O37" s="2092">
        <v>11.21</v>
      </c>
      <c r="P37" s="2089"/>
      <c r="Q37" s="2089">
        <v>911.93</v>
      </c>
      <c r="R37" s="2089"/>
      <c r="S37" s="2092">
        <v>923.14</v>
      </c>
      <c r="T37" s="2089"/>
      <c r="U37" s="2089">
        <v>0</v>
      </c>
      <c r="V37" s="2089"/>
      <c r="W37" s="2089">
        <v>11.21</v>
      </c>
    </row>
    <row r="38" spans="1:23">
      <c r="A38" s="2110">
        <v>19</v>
      </c>
      <c r="B38" s="2079"/>
      <c r="C38" s="2078" t="s">
        <v>1998</v>
      </c>
      <c r="D38" s="2079"/>
      <c r="E38" s="2079" t="s">
        <v>2535</v>
      </c>
      <c r="F38" s="2079"/>
      <c r="G38" s="2090">
        <v>1.2142923834016807E-2</v>
      </c>
      <c r="H38" s="2110"/>
      <c r="I38" s="2090">
        <v>0.98785707616598328</v>
      </c>
      <c r="J38" s="2090"/>
      <c r="K38" s="2090">
        <v>1</v>
      </c>
      <c r="L38" s="2079"/>
      <c r="M38" s="2091" t="s">
        <v>347</v>
      </c>
      <c r="N38" s="2079"/>
      <c r="O38" s="2092">
        <v>1490.43</v>
      </c>
      <c r="P38" s="2089"/>
      <c r="Q38" s="2089">
        <v>121250.19000000002</v>
      </c>
      <c r="R38" s="2089"/>
      <c r="S38" s="2092">
        <v>122740.62000000001</v>
      </c>
      <c r="T38" s="2089"/>
      <c r="U38" s="2089">
        <v>0</v>
      </c>
      <c r="V38" s="2089"/>
      <c r="W38" s="2089">
        <v>1490.43</v>
      </c>
    </row>
    <row r="39" spans="1:23" ht="12.75" thickBot="1">
      <c r="A39" s="2110">
        <v>20</v>
      </c>
      <c r="B39" s="2079"/>
      <c r="C39" s="2078"/>
      <c r="D39" s="2079"/>
      <c r="E39" s="2079"/>
      <c r="F39" s="2079"/>
      <c r="G39" s="2090"/>
      <c r="H39" s="2110"/>
      <c r="I39" s="2110"/>
      <c r="J39" s="2110"/>
      <c r="K39" s="2110"/>
      <c r="L39" s="2079"/>
      <c r="M39" s="2079"/>
      <c r="N39" s="2079"/>
      <c r="O39" s="2093">
        <v>21582.449999999993</v>
      </c>
      <c r="P39" s="2089"/>
      <c r="Q39" s="2093">
        <v>1683913.45</v>
      </c>
      <c r="R39" s="2089"/>
      <c r="S39" s="2093">
        <v>1705495.9</v>
      </c>
      <c r="T39" s="2089"/>
      <c r="U39" s="2094">
        <v>0</v>
      </c>
      <c r="V39" s="2089"/>
      <c r="W39" s="2094">
        <v>21582.449999999993</v>
      </c>
    </row>
    <row r="40" spans="1:23" ht="12.75" thickTop="1">
      <c r="A40" s="2110">
        <v>21</v>
      </c>
      <c r="B40" s="2079"/>
      <c r="C40" s="2078"/>
      <c r="D40" s="2079"/>
      <c r="E40" s="2079"/>
      <c r="F40" s="2079"/>
      <c r="G40" s="2090"/>
      <c r="H40" s="2110"/>
      <c r="I40" s="2110"/>
      <c r="J40" s="2110"/>
      <c r="K40" s="2110"/>
      <c r="L40" s="2079"/>
      <c r="M40" s="2079"/>
      <c r="N40" s="2079"/>
      <c r="O40" s="2089"/>
      <c r="P40" s="2089"/>
      <c r="Q40" s="2089"/>
      <c r="R40" s="2089"/>
      <c r="S40" s="2089"/>
      <c r="T40" s="2089"/>
      <c r="U40" s="2089"/>
      <c r="V40" s="2089"/>
      <c r="W40" s="2089"/>
    </row>
    <row r="41" spans="1:23">
      <c r="A41" s="2110">
        <v>22</v>
      </c>
      <c r="B41" s="2088" t="s">
        <v>2745</v>
      </c>
      <c r="C41" s="2078"/>
      <c r="D41" s="2079"/>
      <c r="E41" s="2079"/>
      <c r="F41" s="2079"/>
      <c r="G41" s="2090"/>
      <c r="H41" s="2110"/>
      <c r="I41" s="2090"/>
      <c r="J41" s="2090"/>
      <c r="K41" s="2090"/>
      <c r="L41" s="2079"/>
      <c r="M41" s="2079"/>
      <c r="N41" s="2079"/>
      <c r="O41" s="2089"/>
      <c r="P41" s="2089"/>
      <c r="Q41" s="2089"/>
      <c r="R41" s="2089"/>
      <c r="S41" s="2089"/>
      <c r="T41" s="2089"/>
      <c r="U41" s="2089"/>
      <c r="V41" s="2089"/>
      <c r="W41" s="2089"/>
    </row>
    <row r="42" spans="1:23">
      <c r="A42" s="2110">
        <v>23</v>
      </c>
      <c r="B42" s="2079"/>
      <c r="C42" s="2078"/>
      <c r="D42" s="2079"/>
      <c r="E42" s="2079"/>
      <c r="F42" s="2079"/>
      <c r="G42" s="2090"/>
      <c r="H42" s="2110"/>
      <c r="I42" s="2090"/>
      <c r="J42" s="2090"/>
      <c r="K42" s="2090"/>
      <c r="L42" s="2079"/>
      <c r="M42" s="2079"/>
      <c r="N42" s="2079"/>
      <c r="O42" s="2089"/>
      <c r="P42" s="2089"/>
      <c r="Q42" s="2089"/>
      <c r="R42" s="2089"/>
      <c r="S42" s="2089"/>
      <c r="T42" s="2089"/>
      <c r="U42" s="2089"/>
      <c r="V42" s="2089"/>
      <c r="W42" s="2089"/>
    </row>
    <row r="43" spans="1:23">
      <c r="A43" s="2110">
        <v>24</v>
      </c>
      <c r="B43" s="2079"/>
      <c r="C43" s="2078">
        <v>403</v>
      </c>
      <c r="D43" s="2079"/>
      <c r="E43" s="2079" t="s">
        <v>2746</v>
      </c>
      <c r="F43" s="2079"/>
      <c r="G43" s="2090">
        <v>4.3394687463285682E-2</v>
      </c>
      <c r="H43" s="2110"/>
      <c r="I43" s="2090">
        <v>0.95660531253671433</v>
      </c>
      <c r="J43" s="2090"/>
      <c r="K43" s="2090">
        <v>1</v>
      </c>
      <c r="L43" s="2079"/>
      <c r="M43" s="2091" t="s">
        <v>347</v>
      </c>
      <c r="N43" s="2079"/>
      <c r="O43" s="2092">
        <v>1156.0999999999999</v>
      </c>
      <c r="P43" s="2092"/>
      <c r="Q43" s="2092">
        <v>25485.409999999996</v>
      </c>
      <c r="R43" s="2092"/>
      <c r="S43" s="2092">
        <v>26641.509999999995</v>
      </c>
      <c r="T43" s="2092"/>
      <c r="U43" s="994">
        <v>0</v>
      </c>
      <c r="V43" s="994"/>
      <c r="W43" s="994">
        <v>1156.0999999999999</v>
      </c>
    </row>
    <row r="44" spans="1:23">
      <c r="A44" s="2110">
        <v>25</v>
      </c>
      <c r="B44" s="2079"/>
      <c r="C44" s="2078">
        <v>408</v>
      </c>
      <c r="D44" s="2079"/>
      <c r="E44" s="2079" t="s">
        <v>25</v>
      </c>
      <c r="F44" s="2079"/>
      <c r="G44" s="2090">
        <v>5.2012987623227355E-2</v>
      </c>
      <c r="H44" s="2110"/>
      <c r="I44" s="2090">
        <v>0.94798701237677263</v>
      </c>
      <c r="J44" s="2090"/>
      <c r="K44" s="2090">
        <v>1</v>
      </c>
      <c r="L44" s="2079"/>
      <c r="M44" s="2091" t="s">
        <v>347</v>
      </c>
      <c r="N44" s="2079"/>
      <c r="O44" s="2092">
        <v>1106.93</v>
      </c>
      <c r="P44" s="2089"/>
      <c r="Q44" s="2092">
        <v>20174.870000000003</v>
      </c>
      <c r="R44" s="2089"/>
      <c r="S44" s="2092">
        <v>21281.800000000003</v>
      </c>
      <c r="T44" s="2089"/>
      <c r="U44" s="994">
        <v>0</v>
      </c>
      <c r="V44" s="994"/>
      <c r="W44" s="994">
        <v>1106.93</v>
      </c>
    </row>
    <row r="45" spans="1:23">
      <c r="A45" s="2110">
        <v>26</v>
      </c>
      <c r="B45" s="2079"/>
      <c r="C45" s="2078">
        <v>410</v>
      </c>
      <c r="D45" s="2079"/>
      <c r="E45" s="2079" t="s">
        <v>2734</v>
      </c>
      <c r="F45" s="2079"/>
      <c r="G45" s="2090">
        <v>0</v>
      </c>
      <c r="H45" s="2110"/>
      <c r="I45" s="2090">
        <v>0</v>
      </c>
      <c r="J45" s="2090"/>
      <c r="K45" s="2090">
        <v>0</v>
      </c>
      <c r="L45" s="2079"/>
      <c r="M45" s="2091" t="s">
        <v>347</v>
      </c>
      <c r="N45" s="2079"/>
      <c r="O45" s="2092">
        <v>0</v>
      </c>
      <c r="P45" s="2089"/>
      <c r="Q45" s="2092">
        <v>0</v>
      </c>
      <c r="R45" s="2089"/>
      <c r="S45" s="2092">
        <v>0</v>
      </c>
      <c r="T45" s="2089"/>
      <c r="U45" s="994">
        <v>0</v>
      </c>
      <c r="V45" s="994"/>
      <c r="W45" s="994">
        <v>0</v>
      </c>
    </row>
    <row r="46" spans="1:23">
      <c r="A46" s="2110">
        <v>27</v>
      </c>
      <c r="B46" s="2079"/>
      <c r="C46" s="2078" t="s">
        <v>2747</v>
      </c>
      <c r="D46" s="2079"/>
      <c r="E46" s="2079" t="s">
        <v>25</v>
      </c>
      <c r="F46" s="2079"/>
      <c r="G46" s="2090">
        <v>0</v>
      </c>
      <c r="H46" s="2110"/>
      <c r="I46" s="2090">
        <v>0</v>
      </c>
      <c r="J46" s="2090"/>
      <c r="K46" s="2090">
        <v>0</v>
      </c>
      <c r="L46" s="2079"/>
      <c r="M46" s="2091" t="s">
        <v>347</v>
      </c>
      <c r="N46" s="2079"/>
      <c r="O46" s="2092">
        <v>0</v>
      </c>
      <c r="P46" s="2089"/>
      <c r="Q46" s="2092">
        <v>0</v>
      </c>
      <c r="R46" s="2089"/>
      <c r="S46" s="2092">
        <v>0</v>
      </c>
      <c r="T46" s="2089"/>
      <c r="U46" s="994">
        <v>0</v>
      </c>
      <c r="V46" s="994"/>
      <c r="W46" s="994">
        <v>0</v>
      </c>
    </row>
    <row r="47" spans="1:23">
      <c r="A47" s="2110">
        <v>28</v>
      </c>
      <c r="B47" s="2079"/>
      <c r="C47" s="2078">
        <v>427</v>
      </c>
      <c r="D47" s="2079"/>
      <c r="E47" s="2079" t="s">
        <v>2619</v>
      </c>
      <c r="F47" s="2079"/>
      <c r="G47" s="2090">
        <v>5.2631578947368418E-2</v>
      </c>
      <c r="H47" s="2110"/>
      <c r="I47" s="2090">
        <v>0.94736842105263164</v>
      </c>
      <c r="J47" s="2090"/>
      <c r="K47" s="2090">
        <v>1</v>
      </c>
      <c r="L47" s="2079"/>
      <c r="M47" s="2091" t="s">
        <v>347</v>
      </c>
      <c r="N47" s="2079"/>
      <c r="O47" s="2092">
        <v>0.26</v>
      </c>
      <c r="P47" s="2089"/>
      <c r="Q47" s="2092">
        <v>4.6800000000000006</v>
      </c>
      <c r="R47" s="2089"/>
      <c r="S47" s="2092">
        <v>4.9400000000000004</v>
      </c>
      <c r="T47" s="2089"/>
      <c r="U47" s="994">
        <v>0</v>
      </c>
      <c r="V47" s="994"/>
      <c r="W47" s="994">
        <v>0.26</v>
      </c>
    </row>
    <row r="48" spans="1:23">
      <c r="A48" s="2110">
        <v>29</v>
      </c>
      <c r="B48" s="2079"/>
      <c r="C48" s="2078" t="s">
        <v>2736</v>
      </c>
      <c r="D48" s="2079"/>
      <c r="E48" s="2079" t="s">
        <v>2737</v>
      </c>
      <c r="F48" s="2079"/>
      <c r="G48" s="2090">
        <v>5.2601833086795093E-2</v>
      </c>
      <c r="H48" s="2110"/>
      <c r="I48" s="2090">
        <v>0.947398166913205</v>
      </c>
      <c r="J48" s="2090"/>
      <c r="K48" s="2090">
        <v>1</v>
      </c>
      <c r="L48" s="2079"/>
      <c r="M48" s="2091" t="s">
        <v>347</v>
      </c>
      <c r="N48" s="2091"/>
      <c r="O48" s="2092">
        <v>3344.09</v>
      </c>
      <c r="P48" s="2089"/>
      <c r="Q48" s="2092">
        <v>60229.55</v>
      </c>
      <c r="R48" s="2089"/>
      <c r="S48" s="2092">
        <v>63573.64</v>
      </c>
      <c r="T48" s="2089"/>
      <c r="U48" s="994">
        <v>0</v>
      </c>
      <c r="V48" s="994"/>
      <c r="W48" s="994">
        <v>3344.09</v>
      </c>
    </row>
    <row r="49" spans="1:23">
      <c r="A49" s="2110">
        <v>30</v>
      </c>
      <c r="B49" s="2079"/>
      <c r="C49" s="2078" t="s">
        <v>2002</v>
      </c>
      <c r="D49" s="2079"/>
      <c r="E49" s="2079" t="s">
        <v>2738</v>
      </c>
      <c r="F49" s="2079"/>
      <c r="G49" s="2090">
        <v>5.1927973808657699E-2</v>
      </c>
      <c r="H49" s="2110"/>
      <c r="I49" s="2090">
        <v>0.94807202619134234</v>
      </c>
      <c r="J49" s="2090"/>
      <c r="K49" s="2090">
        <v>1</v>
      </c>
      <c r="L49" s="2079"/>
      <c r="M49" s="2091" t="s">
        <v>347</v>
      </c>
      <c r="N49" s="2079"/>
      <c r="O49" s="2092">
        <v>28.55</v>
      </c>
      <c r="P49" s="2089"/>
      <c r="Q49" s="2092">
        <v>521.25</v>
      </c>
      <c r="R49" s="2089"/>
      <c r="S49" s="2092">
        <v>549.79999999999995</v>
      </c>
      <c r="T49" s="2089"/>
      <c r="U49" s="994">
        <v>0</v>
      </c>
      <c r="V49" s="994"/>
      <c r="W49" s="994">
        <v>28.55</v>
      </c>
    </row>
    <row r="50" spans="1:23">
      <c r="A50" s="2110">
        <v>31</v>
      </c>
      <c r="B50" s="2079"/>
      <c r="C50" s="2078" t="s">
        <v>1991</v>
      </c>
      <c r="D50" s="2079"/>
      <c r="E50" s="2079" t="s">
        <v>2739</v>
      </c>
      <c r="F50" s="2079"/>
      <c r="G50" s="2090">
        <v>5.1917680074836291E-2</v>
      </c>
      <c r="H50" s="2110"/>
      <c r="I50" s="2090">
        <v>0.94808231992516367</v>
      </c>
      <c r="J50" s="2090"/>
      <c r="K50" s="2090">
        <v>1</v>
      </c>
      <c r="L50" s="2079"/>
      <c r="M50" s="2091" t="s">
        <v>347</v>
      </c>
      <c r="N50" s="2079"/>
      <c r="O50" s="2092">
        <v>9.99</v>
      </c>
      <c r="P50" s="2089"/>
      <c r="Q50" s="2092">
        <v>182.43</v>
      </c>
      <c r="R50" s="2089"/>
      <c r="S50" s="2092">
        <v>192.42000000000002</v>
      </c>
      <c r="T50" s="2089"/>
      <c r="U50" s="994">
        <v>0</v>
      </c>
      <c r="V50" s="994"/>
      <c r="W50" s="994">
        <v>9.99</v>
      </c>
    </row>
    <row r="51" spans="1:23">
      <c r="A51" s="2110">
        <v>32</v>
      </c>
      <c r="B51" s="2079"/>
      <c r="C51" s="2078" t="s">
        <v>2052</v>
      </c>
      <c r="D51" s="2079"/>
      <c r="E51" s="2079" t="s">
        <v>2748</v>
      </c>
      <c r="F51" s="2079"/>
      <c r="G51" s="2090">
        <v>5.1921955903027804E-2</v>
      </c>
      <c r="H51" s="2110"/>
      <c r="I51" s="2090">
        <v>0.94807804409697216</v>
      </c>
      <c r="J51" s="2090"/>
      <c r="K51" s="2090">
        <v>1</v>
      </c>
      <c r="L51" s="2079"/>
      <c r="M51" s="2091" t="s">
        <v>347</v>
      </c>
      <c r="N51" s="2079"/>
      <c r="O51" s="2092">
        <v>-151.41999999999999</v>
      </c>
      <c r="P51" s="2089"/>
      <c r="Q51" s="2092">
        <v>-2764.88</v>
      </c>
      <c r="R51" s="2089"/>
      <c r="S51" s="2092">
        <v>-2916.3</v>
      </c>
      <c r="T51" s="2089"/>
      <c r="U51" s="994">
        <v>0</v>
      </c>
      <c r="V51" s="994"/>
      <c r="W51" s="994">
        <v>-151.41999999999999</v>
      </c>
    </row>
    <row r="52" spans="1:23">
      <c r="A52" s="2110">
        <v>33</v>
      </c>
      <c r="B52" s="2079"/>
      <c r="C52" s="2078" t="s">
        <v>2063</v>
      </c>
      <c r="D52" s="2079"/>
      <c r="E52" s="2079" t="s">
        <v>1248</v>
      </c>
      <c r="F52" s="2079"/>
      <c r="G52" s="2090">
        <v>0</v>
      </c>
      <c r="H52" s="2110"/>
      <c r="I52" s="2090">
        <v>0</v>
      </c>
      <c r="J52" s="2090"/>
      <c r="K52" s="2090">
        <v>0</v>
      </c>
      <c r="L52" s="2079"/>
      <c r="M52" s="2091" t="s">
        <v>347</v>
      </c>
      <c r="N52" s="2079"/>
      <c r="O52" s="2092">
        <v>0</v>
      </c>
      <c r="P52" s="2089"/>
      <c r="Q52" s="2092">
        <v>0</v>
      </c>
      <c r="R52" s="2089"/>
      <c r="S52" s="2092">
        <v>0</v>
      </c>
      <c r="T52" s="2089"/>
      <c r="U52" s="994">
        <v>0</v>
      </c>
      <c r="V52" s="994"/>
      <c r="W52" s="994">
        <v>0</v>
      </c>
    </row>
    <row r="53" spans="1:23">
      <c r="A53" s="2110">
        <v>34</v>
      </c>
      <c r="B53" s="2079"/>
      <c r="C53" s="2078">
        <v>635</v>
      </c>
      <c r="D53" s="2079"/>
      <c r="E53" s="2079" t="s">
        <v>2749</v>
      </c>
      <c r="F53" s="2079"/>
      <c r="G53" s="2090">
        <v>0</v>
      </c>
      <c r="H53" s="2110"/>
      <c r="I53" s="2090">
        <v>0</v>
      </c>
      <c r="J53" s="2090"/>
      <c r="K53" s="2090">
        <v>0</v>
      </c>
      <c r="L53" s="2079"/>
      <c r="M53" s="2091" t="s">
        <v>347</v>
      </c>
      <c r="N53" s="2079"/>
      <c r="O53" s="2092">
        <v>0</v>
      </c>
      <c r="P53" s="2089"/>
      <c r="Q53" s="2092">
        <v>0</v>
      </c>
      <c r="R53" s="2089"/>
      <c r="S53" s="2092">
        <v>0</v>
      </c>
      <c r="T53" s="2089"/>
      <c r="U53" s="994">
        <v>0</v>
      </c>
      <c r="V53" s="994"/>
      <c r="W53" s="994">
        <v>0</v>
      </c>
    </row>
    <row r="54" spans="1:23">
      <c r="A54" s="2110">
        <v>35</v>
      </c>
      <c r="B54" s="2079"/>
      <c r="C54" s="2078" t="s">
        <v>1981</v>
      </c>
      <c r="D54" s="2079"/>
      <c r="E54" s="2079" t="s">
        <v>1250</v>
      </c>
      <c r="F54" s="2079"/>
      <c r="G54" s="2090">
        <v>5.181623931623932E-2</v>
      </c>
      <c r="H54" s="2110"/>
      <c r="I54" s="2090">
        <v>0.94818376068376076</v>
      </c>
      <c r="J54" s="2090"/>
      <c r="K54" s="2090">
        <v>1</v>
      </c>
      <c r="L54" s="2079"/>
      <c r="M54" s="2091" t="s">
        <v>347</v>
      </c>
      <c r="N54" s="2079"/>
      <c r="O54" s="2092">
        <v>1.94</v>
      </c>
      <c r="P54" s="2089"/>
      <c r="Q54" s="2092">
        <v>35.5</v>
      </c>
      <c r="R54" s="2089"/>
      <c r="S54" s="2092">
        <v>37.44</v>
      </c>
      <c r="T54" s="2089"/>
      <c r="U54" s="994">
        <v>0</v>
      </c>
      <c r="V54" s="994"/>
      <c r="W54" s="994">
        <v>1.94</v>
      </c>
    </row>
    <row r="55" spans="1:23">
      <c r="A55" s="2110">
        <v>36</v>
      </c>
      <c r="B55" s="2079"/>
      <c r="C55" s="2078" t="s">
        <v>2074</v>
      </c>
      <c r="D55" s="2079"/>
      <c r="E55" s="2079" t="s">
        <v>2517</v>
      </c>
      <c r="F55" s="2079"/>
      <c r="G55" s="2090">
        <v>0</v>
      </c>
      <c r="H55" s="2110"/>
      <c r="I55" s="2090">
        <v>0</v>
      </c>
      <c r="J55" s="2090"/>
      <c r="K55" s="2090">
        <v>0</v>
      </c>
      <c r="L55" s="2079"/>
      <c r="M55" s="2091" t="s">
        <v>347</v>
      </c>
      <c r="N55" s="2079"/>
      <c r="O55" s="2092">
        <v>0</v>
      </c>
      <c r="P55" s="2089"/>
      <c r="Q55" s="2092">
        <v>0</v>
      </c>
      <c r="R55" s="2089"/>
      <c r="S55" s="2092">
        <v>0</v>
      </c>
      <c r="T55" s="2089"/>
      <c r="U55" s="994">
        <v>0</v>
      </c>
      <c r="V55" s="994"/>
      <c r="W55" s="994">
        <v>0</v>
      </c>
    </row>
    <row r="56" spans="1:23">
      <c r="A56" s="2110">
        <v>37</v>
      </c>
      <c r="B56" s="2079"/>
      <c r="C56" s="2078" t="s">
        <v>2076</v>
      </c>
      <c r="D56" s="2079"/>
      <c r="E56" s="2079" t="s">
        <v>1251</v>
      </c>
      <c r="F56" s="2079"/>
      <c r="G56" s="2090">
        <v>5.1922761057616125E-2</v>
      </c>
      <c r="H56" s="2110"/>
      <c r="I56" s="2090">
        <v>0.94807723894238383</v>
      </c>
      <c r="J56" s="2090"/>
      <c r="K56" s="2090">
        <v>1</v>
      </c>
      <c r="L56" s="2079"/>
      <c r="M56" s="2091" t="s">
        <v>347</v>
      </c>
      <c r="N56" s="2079"/>
      <c r="O56" s="2092">
        <v>1077.97</v>
      </c>
      <c r="P56" s="2089"/>
      <c r="Q56" s="2092">
        <v>19683.059999999998</v>
      </c>
      <c r="R56" s="2089"/>
      <c r="S56" s="2092">
        <v>20761.03</v>
      </c>
      <c r="T56" s="2089"/>
      <c r="U56" s="994">
        <v>0</v>
      </c>
      <c r="V56" s="994"/>
      <c r="W56" s="994">
        <v>1077.97</v>
      </c>
    </row>
    <row r="57" spans="1:23">
      <c r="A57" s="2110">
        <v>38</v>
      </c>
      <c r="B57" s="2079"/>
      <c r="C57" s="2078" t="s">
        <v>2071</v>
      </c>
      <c r="D57" s="2079"/>
      <c r="E57" s="2079" t="s">
        <v>2750</v>
      </c>
      <c r="F57" s="2079"/>
      <c r="G57" s="2090">
        <v>0</v>
      </c>
      <c r="H57" s="2110"/>
      <c r="I57" s="2090">
        <v>0</v>
      </c>
      <c r="J57" s="2090"/>
      <c r="K57" s="2090">
        <v>0</v>
      </c>
      <c r="L57" s="2079"/>
      <c r="M57" s="2091" t="s">
        <v>347</v>
      </c>
      <c r="N57" s="2079"/>
      <c r="O57" s="2092">
        <v>0</v>
      </c>
      <c r="P57" s="2089"/>
      <c r="Q57" s="2092">
        <v>0</v>
      </c>
      <c r="R57" s="2089"/>
      <c r="S57" s="2092">
        <v>0</v>
      </c>
      <c r="T57" s="2089"/>
      <c r="U57" s="994">
        <v>0</v>
      </c>
      <c r="V57" s="994"/>
      <c r="W57" s="994">
        <v>0</v>
      </c>
    </row>
    <row r="58" spans="1:23">
      <c r="A58" s="2110">
        <v>39</v>
      </c>
      <c r="B58" s="2079"/>
      <c r="C58" s="2078" t="s">
        <v>1998</v>
      </c>
      <c r="D58" s="2079"/>
      <c r="E58" s="2079" t="s">
        <v>2535</v>
      </c>
      <c r="F58" s="2079"/>
      <c r="G58" s="2090">
        <v>5.1922061055792071E-2</v>
      </c>
      <c r="H58" s="2110"/>
      <c r="I58" s="2090">
        <v>0.94807793894420789</v>
      </c>
      <c r="J58" s="2090"/>
      <c r="K58" s="2090">
        <v>1</v>
      </c>
      <c r="L58" s="2079"/>
      <c r="M58" s="2091" t="s">
        <v>347</v>
      </c>
      <c r="N58" s="2079"/>
      <c r="O58" s="2092">
        <v>497.34999999999991</v>
      </c>
      <c r="P58" s="2089"/>
      <c r="Q58" s="2092">
        <v>9081.4299999999985</v>
      </c>
      <c r="R58" s="2089"/>
      <c r="S58" s="2092">
        <v>9578.7799999999988</v>
      </c>
      <c r="T58" s="2089"/>
      <c r="U58" s="994">
        <v>0</v>
      </c>
      <c r="V58" s="994"/>
      <c r="W58" s="994">
        <v>497.34999999999991</v>
      </c>
    </row>
    <row r="59" spans="1:23" ht="12.75" thickBot="1">
      <c r="A59" s="2110">
        <v>40</v>
      </c>
      <c r="B59" s="2079"/>
      <c r="C59" s="2078"/>
      <c r="D59" s="2079"/>
      <c r="E59" s="2079"/>
      <c r="F59" s="2079"/>
      <c r="G59" s="2110"/>
      <c r="H59" s="2110"/>
      <c r="I59" s="2110"/>
      <c r="J59" s="2110"/>
      <c r="K59" s="2090"/>
      <c r="L59" s="2079"/>
      <c r="M59" s="2079"/>
      <c r="N59" s="2079"/>
      <c r="O59" s="2145">
        <v>7071.76</v>
      </c>
      <c r="P59" s="2089"/>
      <c r="Q59" s="2145">
        <v>132633.29999999999</v>
      </c>
      <c r="R59" s="2089"/>
      <c r="S59" s="2146">
        <v>139705.06</v>
      </c>
      <c r="T59" s="2089"/>
      <c r="U59" s="2147">
        <v>0</v>
      </c>
      <c r="V59" s="2089"/>
      <c r="W59" s="2147">
        <v>7071.76</v>
      </c>
    </row>
    <row r="60" spans="1:23" ht="12.75" thickTop="1">
      <c r="A60" s="2110">
        <v>41</v>
      </c>
      <c r="B60" s="2079"/>
      <c r="C60" s="2078"/>
      <c r="D60" s="2079"/>
      <c r="E60" s="2079"/>
      <c r="F60" s="2079"/>
      <c r="G60" s="2110"/>
      <c r="H60" s="2110"/>
      <c r="I60" s="2110"/>
      <c r="J60" s="2110"/>
      <c r="K60" s="2110"/>
      <c r="L60" s="2079"/>
      <c r="M60" s="2079"/>
      <c r="N60" s="2079"/>
      <c r="O60" s="2079"/>
      <c r="P60" s="2079"/>
      <c r="Q60" s="2079"/>
      <c r="R60" s="2079"/>
      <c r="S60" s="2079"/>
      <c r="T60" s="2079"/>
      <c r="U60" s="2079"/>
      <c r="V60" s="2079"/>
      <c r="W60" s="2079"/>
    </row>
    <row r="61" spans="1:23">
      <c r="A61" s="2110">
        <v>42</v>
      </c>
      <c r="B61" s="2088" t="s">
        <v>2751</v>
      </c>
      <c r="C61" s="2078"/>
      <c r="D61" s="2079"/>
      <c r="E61" s="2079"/>
      <c r="F61" s="2079"/>
      <c r="G61" s="2090"/>
      <c r="H61" s="2110"/>
      <c r="I61" s="2090"/>
      <c r="J61" s="2090"/>
      <c r="K61" s="2090"/>
      <c r="L61" s="2079"/>
      <c r="M61" s="2079"/>
      <c r="N61" s="2079"/>
      <c r="O61" s="2089"/>
      <c r="P61" s="2089"/>
      <c r="Q61" s="2089"/>
      <c r="R61" s="2089"/>
      <c r="S61" s="2089"/>
      <c r="T61" s="2089"/>
      <c r="U61" s="2089"/>
      <c r="V61" s="2089"/>
      <c r="W61" s="2089"/>
    </row>
    <row r="62" spans="1:23">
      <c r="A62" s="2110">
        <v>43</v>
      </c>
      <c r="B62" s="2079"/>
      <c r="C62" s="2078"/>
      <c r="D62" s="2079"/>
      <c r="E62" s="2079"/>
      <c r="F62" s="2079"/>
      <c r="G62" s="2090"/>
      <c r="H62" s="2110"/>
      <c r="I62" s="2090"/>
      <c r="J62" s="2090"/>
      <c r="K62" s="2090"/>
      <c r="L62" s="2079"/>
      <c r="M62" s="2079"/>
      <c r="N62" s="2079"/>
      <c r="O62" s="2089"/>
      <c r="P62" s="2089"/>
      <c r="Q62" s="2089"/>
      <c r="R62" s="2089"/>
      <c r="S62" s="2089"/>
      <c r="T62" s="2089"/>
      <c r="U62" s="2089"/>
      <c r="V62" s="2089"/>
      <c r="W62" s="2089"/>
    </row>
    <row r="63" spans="1:23">
      <c r="A63" s="2110">
        <v>44</v>
      </c>
      <c r="B63" s="2079"/>
      <c r="C63" s="2078">
        <v>427</v>
      </c>
      <c r="D63" s="2079"/>
      <c r="E63" s="2079" t="s">
        <v>2619</v>
      </c>
      <c r="F63" s="2079"/>
      <c r="G63" s="2090">
        <v>6.9154931652129978E-3</v>
      </c>
      <c r="H63" s="2110"/>
      <c r="I63" s="2090">
        <v>0.993084506834787</v>
      </c>
      <c r="J63" s="2090"/>
      <c r="K63" s="2090">
        <v>1</v>
      </c>
      <c r="L63" s="2079"/>
      <c r="M63" s="2091" t="s">
        <v>2752</v>
      </c>
      <c r="N63" s="2079"/>
      <c r="O63" s="2092">
        <v>20779.169999999998</v>
      </c>
      <c r="P63" s="2092"/>
      <c r="Q63" s="2092">
        <v>2983947.97</v>
      </c>
      <c r="R63" s="2092"/>
      <c r="S63" s="2092">
        <v>3004727.14</v>
      </c>
      <c r="T63" s="2092"/>
      <c r="U63" s="994">
        <v>0</v>
      </c>
      <c r="V63" s="994"/>
      <c r="W63" s="994">
        <v>20779.169999999998</v>
      </c>
    </row>
    <row r="64" spans="1:23" ht="12.75" thickBot="1">
      <c r="A64" s="2110">
        <v>45</v>
      </c>
      <c r="B64" s="2079"/>
      <c r="C64" s="2078"/>
      <c r="D64" s="2079"/>
      <c r="E64" s="2079"/>
      <c r="F64" s="2079"/>
      <c r="G64" s="2110"/>
      <c r="H64" s="2110"/>
      <c r="I64" s="2110"/>
      <c r="J64" s="2110"/>
      <c r="K64" s="2090"/>
      <c r="L64" s="2079"/>
      <c r="M64" s="2079"/>
      <c r="N64" s="2079"/>
      <c r="O64" s="2145">
        <v>20779.169999999998</v>
      </c>
      <c r="P64" s="2089"/>
      <c r="Q64" s="2145">
        <v>2983947.97</v>
      </c>
      <c r="R64" s="2089"/>
      <c r="S64" s="2146">
        <v>3004727.14</v>
      </c>
      <c r="T64" s="2089"/>
      <c r="U64" s="2147">
        <v>0</v>
      </c>
      <c r="V64" s="2089"/>
      <c r="W64" s="2147">
        <v>20779.169999999998</v>
      </c>
    </row>
    <row r="65" spans="1:23" ht="12.75" thickTop="1">
      <c r="A65" s="2110">
        <v>46</v>
      </c>
      <c r="B65" s="2079" t="s">
        <v>2753</v>
      </c>
      <c r="C65" s="2078"/>
      <c r="D65" s="2079"/>
      <c r="E65" s="2079"/>
      <c r="F65" s="2079"/>
      <c r="G65" s="2110"/>
      <c r="H65" s="2110"/>
      <c r="I65" s="2110"/>
      <c r="J65" s="2110"/>
      <c r="K65" s="2110"/>
      <c r="L65" s="2079"/>
      <c r="M65" s="2079"/>
      <c r="N65" s="2079"/>
      <c r="O65" s="2079"/>
      <c r="P65" s="2079"/>
      <c r="Q65" s="2079"/>
      <c r="R65" s="2079"/>
      <c r="S65" s="2079"/>
      <c r="T65" s="2079"/>
      <c r="U65" s="2079"/>
      <c r="V65" s="2079"/>
      <c r="W65" s="2079"/>
    </row>
  </sheetData>
  <mergeCells count="6">
    <mergeCell ref="G15:K15"/>
    <mergeCell ref="U10:W10"/>
    <mergeCell ref="U11:W11"/>
    <mergeCell ref="U12:W12"/>
    <mergeCell ref="U13:W13"/>
    <mergeCell ref="O14:W14"/>
  </mergeCells>
  <pageMargins left="0.75" right="0.5" top="0.75" bottom="0.5" header="0.25" footer="0.25"/>
  <pageSetup scale="66"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A1:W65"/>
  <sheetViews>
    <sheetView view="pageBreakPreview" zoomScale="60" zoomScaleNormal="100" workbookViewId="0">
      <selection sqref="A1:XFD1048576"/>
    </sheetView>
  </sheetViews>
  <sheetFormatPr defaultRowHeight="12"/>
  <cols>
    <col min="1" max="1" width="4" style="991" customWidth="1"/>
    <col min="2" max="2" width="3" style="991" customWidth="1"/>
    <col min="3" max="3" width="10.85546875" style="991" customWidth="1"/>
    <col min="4" max="4" width="2.28515625" style="991" customWidth="1"/>
    <col min="5" max="5" width="33.7109375" style="991" customWidth="1"/>
    <col min="6" max="6" width="2.28515625" style="991" customWidth="1"/>
    <col min="7" max="7" width="18" style="991" bestFit="1" customWidth="1"/>
    <col min="8" max="8" width="2.28515625" style="991" customWidth="1"/>
    <col min="9" max="9" width="12.7109375" style="991" customWidth="1"/>
    <col min="10" max="10" width="2.28515625" style="991" customWidth="1"/>
    <col min="11" max="11" width="9.7109375" style="991" customWidth="1"/>
    <col min="12" max="12" width="2.28515625" style="991" customWidth="1"/>
    <col min="13" max="13" width="19.140625" style="991" bestFit="1" customWidth="1"/>
    <col min="14" max="14" width="2.28515625" style="991" customWidth="1"/>
    <col min="15" max="15" width="18" style="991" bestFit="1" customWidth="1"/>
    <col min="16" max="16" width="2.28515625" style="991" customWidth="1"/>
    <col min="17" max="17" width="11.7109375" style="991" customWidth="1"/>
    <col min="18" max="18" width="4.85546875" style="991" customWidth="1"/>
    <col min="19" max="19" width="9.28515625" style="991" bestFit="1" customWidth="1"/>
    <col min="20" max="20" width="2.28515625" style="991" customWidth="1"/>
    <col min="21" max="21" width="5.7109375" style="991" bestFit="1" customWidth="1"/>
    <col min="22" max="22" width="2.28515625" style="991" customWidth="1"/>
    <col min="23" max="23" width="9.85546875" style="991" customWidth="1"/>
    <col min="24" max="16384" width="9.140625" style="991"/>
  </cols>
  <sheetData>
    <row r="1" spans="1:23">
      <c r="A1" s="2079"/>
      <c r="B1" s="2079"/>
      <c r="C1" s="2078"/>
      <c r="D1" s="2079"/>
      <c r="E1" s="2079"/>
      <c r="F1" s="2079"/>
      <c r="G1" s="2110"/>
      <c r="H1" s="2110"/>
      <c r="I1" s="2110"/>
      <c r="J1" s="2110"/>
      <c r="K1" s="2110"/>
      <c r="L1" s="2079"/>
      <c r="M1" s="2079"/>
      <c r="N1" s="2079"/>
      <c r="O1" s="2079"/>
      <c r="P1" s="2079"/>
      <c r="Q1" s="2079"/>
      <c r="R1" s="2079"/>
      <c r="S1" s="2079"/>
      <c r="T1" s="2079"/>
      <c r="U1" s="2079"/>
      <c r="V1" s="2079"/>
      <c r="W1" s="2078" t="s">
        <v>1209</v>
      </c>
    </row>
    <row r="2" spans="1:23">
      <c r="A2" s="2080" t="s">
        <v>2716</v>
      </c>
      <c r="B2" s="2079"/>
      <c r="C2" s="2078"/>
      <c r="D2" s="2079"/>
      <c r="E2" s="2079"/>
      <c r="F2" s="2079"/>
      <c r="G2" s="2110"/>
      <c r="H2" s="2137"/>
      <c r="I2" s="2137" t="s">
        <v>911</v>
      </c>
      <c r="J2" s="2137"/>
      <c r="K2" s="2137"/>
      <c r="L2" s="2138"/>
      <c r="M2" s="2079"/>
      <c r="N2" s="2079"/>
      <c r="O2" s="2079"/>
      <c r="P2" s="2079"/>
      <c r="Q2" s="2079"/>
      <c r="R2" s="2079"/>
      <c r="S2" s="2078"/>
      <c r="T2" s="2079"/>
      <c r="U2" s="2079"/>
      <c r="V2" s="2079"/>
      <c r="W2" s="2078"/>
    </row>
    <row r="3" spans="1:23">
      <c r="A3" s="2080"/>
      <c r="B3" s="2079"/>
      <c r="C3" s="2078"/>
      <c r="D3" s="2079"/>
      <c r="E3" s="2079"/>
      <c r="F3" s="2079"/>
      <c r="G3" s="2110"/>
      <c r="H3" s="2137"/>
      <c r="I3" s="2137"/>
      <c r="J3" s="2137"/>
      <c r="K3" s="2137"/>
      <c r="L3" s="2138"/>
      <c r="M3" s="2079"/>
      <c r="N3" s="2079"/>
      <c r="O3" s="2079"/>
      <c r="P3" s="2079"/>
      <c r="Q3" s="2079"/>
      <c r="R3" s="2079"/>
      <c r="S3" s="2080"/>
      <c r="T3" s="2079"/>
      <c r="U3" s="2079"/>
      <c r="V3" s="2079"/>
      <c r="W3" s="2078" t="s">
        <v>2717</v>
      </c>
    </row>
    <row r="4" spans="1:23">
      <c r="A4" s="2079" t="s">
        <v>2644</v>
      </c>
      <c r="B4" s="2080"/>
      <c r="C4" s="2080"/>
      <c r="D4" s="2079"/>
      <c r="E4" s="2079"/>
      <c r="F4" s="2079"/>
      <c r="G4" s="2110"/>
      <c r="H4" s="2137"/>
      <c r="I4" s="2137"/>
      <c r="J4" s="2137"/>
      <c r="K4" s="2137"/>
      <c r="L4" s="2138"/>
      <c r="M4" s="2079"/>
      <c r="N4" s="2079"/>
      <c r="O4" s="2079"/>
      <c r="P4" s="2079"/>
      <c r="Q4" s="2079"/>
      <c r="R4" s="2079"/>
      <c r="S4" s="2078"/>
      <c r="T4" s="2079"/>
      <c r="U4" s="2079"/>
      <c r="V4" s="2079"/>
      <c r="W4" s="2078" t="s">
        <v>2770</v>
      </c>
    </row>
    <row r="5" spans="1:23">
      <c r="A5" s="2080" t="s">
        <v>2719</v>
      </c>
      <c r="B5" s="2079"/>
      <c r="C5" s="2078"/>
      <c r="D5" s="2079"/>
      <c r="E5" s="2079"/>
      <c r="F5" s="2080"/>
      <c r="G5" s="2110"/>
      <c r="H5" s="2137"/>
      <c r="I5" s="2137"/>
      <c r="J5" s="2137"/>
      <c r="K5" s="2137"/>
      <c r="L5" s="2138"/>
      <c r="M5" s="2079"/>
      <c r="N5" s="2079"/>
      <c r="O5" s="2079"/>
      <c r="P5" s="2079"/>
      <c r="Q5" s="2079"/>
      <c r="R5" s="2079"/>
      <c r="S5" s="2078"/>
      <c r="T5" s="2079"/>
      <c r="U5" s="2079"/>
      <c r="V5" s="2079"/>
      <c r="W5" s="2078"/>
    </row>
    <row r="6" spans="1:23">
      <c r="A6" s="2080" t="s">
        <v>1935</v>
      </c>
      <c r="B6" s="2079"/>
      <c r="C6" s="2078"/>
      <c r="D6" s="2079"/>
      <c r="E6" s="2139"/>
      <c r="F6" s="2080"/>
      <c r="G6" s="2110"/>
      <c r="H6" s="2137"/>
      <c r="I6" s="2137"/>
      <c r="J6" s="2137"/>
      <c r="K6" s="2137"/>
      <c r="L6" s="2138"/>
      <c r="M6" s="2079"/>
      <c r="N6" s="2079"/>
      <c r="O6" s="2079"/>
      <c r="P6" s="2079"/>
      <c r="Q6" s="2079"/>
      <c r="R6" s="2079"/>
      <c r="S6" s="2080"/>
      <c r="T6" s="2079"/>
      <c r="U6" s="2079"/>
      <c r="V6" s="2079"/>
      <c r="W6" s="1011" t="s">
        <v>2950</v>
      </c>
    </row>
    <row r="7" spans="1:23">
      <c r="A7" s="2080" t="s">
        <v>1092</v>
      </c>
      <c r="B7" s="2079"/>
      <c r="C7" s="2078"/>
      <c r="D7" s="2079"/>
      <c r="E7" s="2079"/>
      <c r="F7" s="2080"/>
      <c r="G7" s="2110"/>
      <c r="H7" s="2137"/>
      <c r="I7" s="2137"/>
      <c r="J7" s="2137"/>
      <c r="K7" s="2137"/>
      <c r="L7" s="2138"/>
      <c r="M7" s="2079"/>
      <c r="N7" s="2079"/>
      <c r="O7" s="2079"/>
      <c r="P7" s="2079"/>
      <c r="Q7" s="2079"/>
      <c r="R7" s="2079"/>
      <c r="S7" s="2078"/>
      <c r="T7" s="2079"/>
      <c r="U7" s="2079"/>
      <c r="V7" s="2079"/>
      <c r="W7" s="2078"/>
    </row>
    <row r="8" spans="1:23">
      <c r="A8" s="2080" t="s">
        <v>717</v>
      </c>
      <c r="B8" s="2079"/>
      <c r="C8" s="2078"/>
      <c r="D8" s="2079"/>
      <c r="E8" s="2079"/>
      <c r="F8" s="2080"/>
      <c r="G8" s="2110"/>
      <c r="H8" s="2137"/>
      <c r="I8" s="2137"/>
      <c r="J8" s="2137"/>
      <c r="K8" s="2137"/>
      <c r="L8" s="2138"/>
      <c r="M8" s="2079"/>
      <c r="N8" s="2079"/>
      <c r="O8" s="2079"/>
      <c r="P8" s="2079"/>
      <c r="Q8" s="2079"/>
      <c r="R8" s="2079"/>
      <c r="S8" s="2079"/>
      <c r="T8" s="2079"/>
      <c r="U8" s="2079"/>
      <c r="V8" s="2079"/>
      <c r="W8" s="2079"/>
    </row>
    <row r="9" spans="1:23">
      <c r="A9" s="2079"/>
      <c r="B9" s="2079"/>
      <c r="C9" s="2078"/>
      <c r="D9" s="2079"/>
      <c r="E9" s="2079"/>
      <c r="F9" s="2079"/>
      <c r="G9" s="2110"/>
      <c r="H9" s="2110"/>
      <c r="I9" s="2110"/>
      <c r="J9" s="2110"/>
      <c r="K9" s="2110"/>
      <c r="L9" s="2079"/>
      <c r="M9" s="2079"/>
      <c r="N9" s="2079"/>
      <c r="O9" s="2079"/>
      <c r="P9" s="2079"/>
      <c r="Q9" s="2079"/>
      <c r="R9" s="2079"/>
      <c r="S9" s="2079"/>
      <c r="T9" s="2079"/>
      <c r="U9" s="2079"/>
      <c r="V9" s="2079"/>
      <c r="W9" s="2079"/>
    </row>
    <row r="10" spans="1:23">
      <c r="A10" s="2079" t="s">
        <v>2720</v>
      </c>
      <c r="B10" s="2079"/>
      <c r="C10" s="2078"/>
      <c r="D10" s="2079"/>
      <c r="E10" s="2079"/>
      <c r="F10" s="2079"/>
      <c r="G10" s="2110"/>
      <c r="H10" s="2110"/>
      <c r="I10" s="2110"/>
      <c r="J10" s="2110"/>
      <c r="K10" s="2110"/>
      <c r="L10" s="2079"/>
      <c r="M10" s="2079"/>
      <c r="N10" s="2079"/>
      <c r="O10" s="2079"/>
      <c r="P10" s="2079"/>
      <c r="Q10" s="2079"/>
      <c r="R10" s="2079"/>
      <c r="S10" s="2079"/>
      <c r="T10" s="2079"/>
      <c r="U10" s="2318" t="s">
        <v>2956</v>
      </c>
      <c r="V10" s="2318"/>
      <c r="W10" s="2318"/>
    </row>
    <row r="11" spans="1:23">
      <c r="A11" s="2080" t="s">
        <v>2721</v>
      </c>
      <c r="B11" s="2079"/>
      <c r="C11" s="2078"/>
      <c r="D11" s="2079"/>
      <c r="E11" s="2079"/>
      <c r="F11" s="2079"/>
      <c r="G11" s="2110"/>
      <c r="H11" s="2110"/>
      <c r="I11" s="2110"/>
      <c r="J11" s="2110"/>
      <c r="K11" s="2110"/>
      <c r="L11" s="2079"/>
      <c r="M11" s="2079"/>
      <c r="N11" s="2079"/>
      <c r="O11" s="2079"/>
      <c r="P11" s="2079"/>
      <c r="Q11" s="2079"/>
      <c r="R11" s="2079"/>
      <c r="S11" s="2079"/>
      <c r="T11" s="2079"/>
      <c r="U11" s="2317" t="s">
        <v>2722</v>
      </c>
      <c r="V11" s="2317"/>
      <c r="W11" s="2317"/>
    </row>
    <row r="12" spans="1:23">
      <c r="A12" s="2140"/>
      <c r="B12" s="2140"/>
      <c r="C12" s="2141"/>
      <c r="D12" s="2140"/>
      <c r="E12" s="2140"/>
      <c r="F12" s="2140"/>
      <c r="G12" s="2142"/>
      <c r="H12" s="2142"/>
      <c r="I12" s="2142"/>
      <c r="J12" s="2142"/>
      <c r="K12" s="2142"/>
      <c r="L12" s="2140"/>
      <c r="M12" s="2140"/>
      <c r="N12" s="2140"/>
      <c r="O12" s="2140"/>
      <c r="P12" s="2140"/>
      <c r="Q12" s="2140"/>
      <c r="R12" s="2140"/>
      <c r="S12" s="2140"/>
      <c r="T12" s="2140"/>
      <c r="U12" s="2319"/>
      <c r="V12" s="2319"/>
      <c r="W12" s="2319"/>
    </row>
    <row r="13" spans="1:23">
      <c r="A13" s="2082"/>
      <c r="B13" s="2082"/>
      <c r="C13" s="2083"/>
      <c r="D13" s="2082"/>
      <c r="E13" s="2082"/>
      <c r="F13" s="2082"/>
      <c r="G13" s="2084">
        <v>-1</v>
      </c>
      <c r="H13" s="2084"/>
      <c r="I13" s="2084">
        <v>-2</v>
      </c>
      <c r="J13" s="2084"/>
      <c r="K13" s="2084">
        <v>-3</v>
      </c>
      <c r="L13" s="2082"/>
      <c r="M13" s="2084">
        <v>-4</v>
      </c>
      <c r="N13" s="2082"/>
      <c r="O13" s="2084">
        <v>-5</v>
      </c>
      <c r="P13" s="2082"/>
      <c r="Q13" s="2084">
        <v>-6</v>
      </c>
      <c r="R13" s="2082"/>
      <c r="S13" s="2084">
        <v>-7</v>
      </c>
      <c r="T13" s="2082"/>
      <c r="U13" s="2320">
        <v>-8</v>
      </c>
      <c r="V13" s="2320"/>
      <c r="W13" s="2320"/>
    </row>
    <row r="14" spans="1:23">
      <c r="A14" s="2082"/>
      <c r="B14" s="2082"/>
      <c r="C14" s="2083"/>
      <c r="D14" s="2082"/>
      <c r="E14" s="2082"/>
      <c r="F14" s="2082"/>
      <c r="G14" s="2084"/>
      <c r="H14" s="2084"/>
      <c r="I14" s="2084"/>
      <c r="J14" s="2084"/>
      <c r="K14" s="2084"/>
      <c r="L14" s="2082"/>
      <c r="M14" s="2084"/>
      <c r="N14" s="2082"/>
      <c r="O14" s="2321" t="s">
        <v>2771</v>
      </c>
      <c r="P14" s="2321"/>
      <c r="Q14" s="2321"/>
      <c r="R14" s="2321"/>
      <c r="S14" s="2321"/>
      <c r="T14" s="2321"/>
      <c r="U14" s="2321"/>
      <c r="V14" s="2321"/>
      <c r="W14" s="2321"/>
    </row>
    <row r="15" spans="1:23">
      <c r="A15" s="2079"/>
      <c r="B15" s="2079"/>
      <c r="C15" s="2078"/>
      <c r="D15" s="2079"/>
      <c r="E15" s="2079"/>
      <c r="F15" s="2079"/>
      <c r="G15" s="2317" t="s">
        <v>2724</v>
      </c>
      <c r="H15" s="2317"/>
      <c r="I15" s="2317"/>
      <c r="J15" s="2317"/>
      <c r="K15" s="2317"/>
      <c r="L15" s="2143"/>
      <c r="M15" s="2143"/>
      <c r="N15" s="2143"/>
      <c r="O15" s="2143"/>
      <c r="P15" s="2140"/>
      <c r="Q15" s="2142" t="s">
        <v>2725</v>
      </c>
      <c r="R15" s="2140"/>
      <c r="S15" s="2140"/>
      <c r="T15" s="2079"/>
      <c r="U15" s="2143"/>
      <c r="V15" s="2142"/>
      <c r="W15" s="2142"/>
    </row>
    <row r="16" spans="1:23">
      <c r="A16" s="2079"/>
      <c r="B16" s="2079"/>
      <c r="C16" s="2110" t="s">
        <v>2726</v>
      </c>
      <c r="D16" s="2079"/>
      <c r="E16" s="2079"/>
      <c r="F16" s="2079"/>
      <c r="G16" s="2110"/>
      <c r="H16" s="2110"/>
      <c r="I16" s="2110" t="s">
        <v>1170</v>
      </c>
      <c r="J16" s="2110"/>
      <c r="K16" s="2110"/>
      <c r="L16" s="2079"/>
      <c r="M16" s="2110" t="s">
        <v>731</v>
      </c>
      <c r="N16" s="2079"/>
      <c r="O16" s="2110"/>
      <c r="P16" s="2079"/>
      <c r="Q16" s="2110" t="s">
        <v>1170</v>
      </c>
      <c r="R16" s="2079"/>
      <c r="S16" s="2110"/>
      <c r="T16" s="2079"/>
      <c r="U16" s="2110"/>
      <c r="V16" s="2079"/>
      <c r="W16" s="2110"/>
    </row>
    <row r="17" spans="1:23">
      <c r="A17" s="2110" t="s">
        <v>53</v>
      </c>
      <c r="B17" s="2079"/>
      <c r="C17" s="2110" t="s">
        <v>2727</v>
      </c>
      <c r="D17" s="2079"/>
      <c r="E17" s="2079"/>
      <c r="F17" s="2085"/>
      <c r="G17" s="2086"/>
      <c r="H17" s="2086"/>
      <c r="I17" s="2086" t="s">
        <v>2728</v>
      </c>
      <c r="J17" s="2086"/>
      <c r="K17" s="2086"/>
      <c r="L17" s="2085"/>
      <c r="M17" s="2110" t="s">
        <v>2729</v>
      </c>
      <c r="N17" s="2085"/>
      <c r="O17" s="2086"/>
      <c r="P17" s="2085"/>
      <c r="Q17" s="2086" t="s">
        <v>2728</v>
      </c>
      <c r="R17" s="2085"/>
      <c r="S17" s="2081"/>
      <c r="T17" s="2085"/>
      <c r="U17" s="2087">
        <v>0</v>
      </c>
      <c r="V17" s="2085"/>
      <c r="W17" s="2087">
        <v>1</v>
      </c>
    </row>
    <row r="18" spans="1:23">
      <c r="A18" s="2142" t="s">
        <v>730</v>
      </c>
      <c r="B18" s="2143"/>
      <c r="C18" s="2142" t="s">
        <v>730</v>
      </c>
      <c r="D18" s="2143"/>
      <c r="E18" s="2142" t="s">
        <v>731</v>
      </c>
      <c r="F18" s="2143"/>
      <c r="G18" s="2144" t="s">
        <v>2956</v>
      </c>
      <c r="H18" s="2142"/>
      <c r="I18" s="2142" t="s">
        <v>2730</v>
      </c>
      <c r="J18" s="2142"/>
      <c r="K18" s="2142" t="s">
        <v>81</v>
      </c>
      <c r="L18" s="2143"/>
      <c r="M18" s="2142" t="s">
        <v>2731</v>
      </c>
      <c r="N18" s="2143"/>
      <c r="O18" s="2144" t="s">
        <v>2956</v>
      </c>
      <c r="P18" s="2143"/>
      <c r="Q18" s="2142" t="s">
        <v>2730</v>
      </c>
      <c r="R18" s="2143"/>
      <c r="S18" s="2142" t="s">
        <v>81</v>
      </c>
      <c r="T18" s="2143"/>
      <c r="U18" s="2142" t="s">
        <v>498</v>
      </c>
      <c r="V18" s="2143"/>
      <c r="W18" s="2142" t="s">
        <v>670</v>
      </c>
    </row>
    <row r="19" spans="1:23">
      <c r="A19" s="2079"/>
      <c r="B19" s="2079"/>
      <c r="C19" s="2078"/>
      <c r="D19" s="2079"/>
      <c r="E19" s="2079"/>
      <c r="F19" s="2079"/>
      <c r="G19" s="2110"/>
      <c r="H19" s="2110"/>
      <c r="I19" s="2110"/>
      <c r="J19" s="2110"/>
      <c r="K19" s="2110"/>
      <c r="L19" s="2079"/>
      <c r="M19" s="2079"/>
      <c r="N19" s="2079"/>
      <c r="O19" s="2079"/>
      <c r="P19" s="2079"/>
      <c r="Q19" s="2079"/>
      <c r="R19" s="2079"/>
      <c r="S19" s="2079"/>
      <c r="T19" s="2079"/>
      <c r="U19" s="2079"/>
      <c r="V19" s="2079"/>
      <c r="W19" s="2079"/>
    </row>
    <row r="20" spans="1:23">
      <c r="A20" s="2110">
        <v>1</v>
      </c>
      <c r="B20" s="2088" t="s">
        <v>2732</v>
      </c>
      <c r="C20" s="2078"/>
      <c r="D20" s="2079"/>
      <c r="E20" s="2079"/>
      <c r="F20" s="2079"/>
      <c r="G20" s="2110"/>
      <c r="H20" s="2110"/>
      <c r="I20" s="2110"/>
      <c r="J20" s="2110"/>
      <c r="K20" s="2110"/>
      <c r="L20" s="2079"/>
      <c r="M20" s="2079"/>
      <c r="N20" s="2079"/>
      <c r="O20" s="2089"/>
      <c r="P20" s="2089"/>
      <c r="Q20" s="2089"/>
      <c r="R20" s="2089"/>
      <c r="S20" s="2089"/>
      <c r="T20" s="2089"/>
      <c r="U20" s="2089"/>
      <c r="V20" s="2089"/>
      <c r="W20" s="2089"/>
    </row>
    <row r="21" spans="1:23">
      <c r="A21" s="2110">
        <v>2</v>
      </c>
      <c r="B21" s="2079"/>
      <c r="C21" s="2078">
        <v>403</v>
      </c>
      <c r="D21" s="2079"/>
      <c r="E21" s="2079" t="s">
        <v>379</v>
      </c>
      <c r="F21" s="2079"/>
      <c r="G21" s="2090">
        <v>1.1817451339888541E-2</v>
      </c>
      <c r="H21" s="2110"/>
      <c r="I21" s="2090">
        <v>0.98818254866011135</v>
      </c>
      <c r="J21" s="2090"/>
      <c r="K21" s="2090">
        <v>1</v>
      </c>
      <c r="L21" s="2079"/>
      <c r="M21" s="2091" t="s">
        <v>347</v>
      </c>
      <c r="N21" s="2079"/>
      <c r="O21" s="2092">
        <v>3925.59</v>
      </c>
      <c r="P21" s="2092"/>
      <c r="Q21" s="2089">
        <v>328260.24999999994</v>
      </c>
      <c r="R21" s="2092"/>
      <c r="S21" s="2092">
        <v>332185.83999999997</v>
      </c>
      <c r="T21" s="2092"/>
      <c r="U21" s="2089">
        <v>0</v>
      </c>
      <c r="V21" s="2089"/>
      <c r="W21" s="2089">
        <v>3925.59</v>
      </c>
    </row>
    <row r="22" spans="1:23">
      <c r="A22" s="2110">
        <v>3</v>
      </c>
      <c r="B22" s="2079"/>
      <c r="C22" s="2078">
        <v>408</v>
      </c>
      <c r="D22" s="2079"/>
      <c r="E22" s="2079" t="s">
        <v>25</v>
      </c>
      <c r="F22" s="2079"/>
      <c r="G22" s="2090">
        <v>1.2140027262820622E-2</v>
      </c>
      <c r="H22" s="2110"/>
      <c r="I22" s="2090">
        <v>0.9878599727371794</v>
      </c>
      <c r="J22" s="2090"/>
      <c r="K22" s="2090">
        <v>1</v>
      </c>
      <c r="L22" s="2079"/>
      <c r="M22" s="2091" t="s">
        <v>347</v>
      </c>
      <c r="N22" s="2079"/>
      <c r="O22" s="2092">
        <v>372.97999999999996</v>
      </c>
      <c r="P22" s="2089"/>
      <c r="Q22" s="2089">
        <v>30350.179999999997</v>
      </c>
      <c r="R22" s="2089"/>
      <c r="S22" s="2092">
        <v>30723.159999999996</v>
      </c>
      <c r="T22" s="2089"/>
      <c r="U22" s="2089">
        <v>0</v>
      </c>
      <c r="V22" s="2089"/>
      <c r="W22" s="2089">
        <v>372.97999999999996</v>
      </c>
    </row>
    <row r="23" spans="1:23">
      <c r="A23" s="2110">
        <v>4</v>
      </c>
      <c r="B23" s="2079"/>
      <c r="C23" s="2078">
        <v>409</v>
      </c>
      <c r="D23" s="2079"/>
      <c r="E23" s="2079" t="s">
        <v>2733</v>
      </c>
      <c r="F23" s="2079"/>
      <c r="G23" s="2090">
        <v>0</v>
      </c>
      <c r="H23" s="2110"/>
      <c r="I23" s="2090">
        <v>0</v>
      </c>
      <c r="J23" s="2090"/>
      <c r="K23" s="2090">
        <v>0</v>
      </c>
      <c r="L23" s="2079"/>
      <c r="M23" s="2091" t="s">
        <v>347</v>
      </c>
      <c r="N23" s="2079"/>
      <c r="O23" s="2092">
        <v>0</v>
      </c>
      <c r="P23" s="2089"/>
      <c r="Q23" s="2089">
        <v>0</v>
      </c>
      <c r="R23" s="2089"/>
      <c r="S23" s="2092">
        <v>0</v>
      </c>
      <c r="T23" s="2089"/>
      <c r="U23" s="2089">
        <v>0</v>
      </c>
      <c r="V23" s="2089"/>
      <c r="W23" s="2089">
        <v>0</v>
      </c>
    </row>
    <row r="24" spans="1:23">
      <c r="A24" s="2110">
        <v>5</v>
      </c>
      <c r="B24" s="2079"/>
      <c r="C24" s="2078">
        <v>410</v>
      </c>
      <c r="D24" s="2079"/>
      <c r="E24" s="2079" t="s">
        <v>2734</v>
      </c>
      <c r="F24" s="2079"/>
      <c r="G24" s="2090">
        <v>0</v>
      </c>
      <c r="H24" s="2110"/>
      <c r="I24" s="2090">
        <v>0</v>
      </c>
      <c r="J24" s="2090"/>
      <c r="K24" s="2090">
        <v>0</v>
      </c>
      <c r="L24" s="2079"/>
      <c r="M24" s="2091" t="s">
        <v>347</v>
      </c>
      <c r="N24" s="2079"/>
      <c r="O24" s="2092">
        <v>0</v>
      </c>
      <c r="P24" s="2089"/>
      <c r="Q24" s="2089">
        <v>0</v>
      </c>
      <c r="R24" s="2089"/>
      <c r="S24" s="2092">
        <v>0</v>
      </c>
      <c r="T24" s="2089"/>
      <c r="U24" s="2089">
        <v>0</v>
      </c>
      <c r="V24" s="2089"/>
      <c r="W24" s="2089">
        <v>0</v>
      </c>
    </row>
    <row r="25" spans="1:23">
      <c r="A25" s="2110">
        <v>6</v>
      </c>
      <c r="B25" s="2079"/>
      <c r="C25" s="2078" t="s">
        <v>2735</v>
      </c>
      <c r="D25" s="2079"/>
      <c r="E25" s="2079" t="s">
        <v>530</v>
      </c>
      <c r="F25" s="2079"/>
      <c r="G25" s="2090">
        <v>1.2140248711792442E-2</v>
      </c>
      <c r="H25" s="2110"/>
      <c r="I25" s="2090">
        <v>0.98785975128820758</v>
      </c>
      <c r="J25" s="2090"/>
      <c r="K25" s="2090">
        <v>1</v>
      </c>
      <c r="L25" s="2079"/>
      <c r="M25" s="2091" t="s">
        <v>347</v>
      </c>
      <c r="N25" s="2079"/>
      <c r="O25" s="2092">
        <v>-34.94</v>
      </c>
      <c r="P25" s="2089"/>
      <c r="Q25" s="2089">
        <v>-2843.0899999999997</v>
      </c>
      <c r="R25" s="2089"/>
      <c r="S25" s="2092">
        <v>-2878.0299999999997</v>
      </c>
      <c r="T25" s="2089"/>
      <c r="U25" s="2089">
        <v>0</v>
      </c>
      <c r="V25" s="2089"/>
      <c r="W25" s="2089">
        <v>-34.94</v>
      </c>
    </row>
    <row r="26" spans="1:23">
      <c r="A26" s="2110">
        <v>7</v>
      </c>
      <c r="B26" s="2079"/>
      <c r="C26" s="2078">
        <v>427</v>
      </c>
      <c r="D26" s="2079"/>
      <c r="E26" s="2079" t="s">
        <v>2619</v>
      </c>
      <c r="F26" s="2079"/>
      <c r="G26" s="2090">
        <v>1.2152047767218906E-2</v>
      </c>
      <c r="H26" s="2110"/>
      <c r="I26" s="2090">
        <v>0.9878479522327811</v>
      </c>
      <c r="J26" s="2090"/>
      <c r="K26" s="2090">
        <v>1</v>
      </c>
      <c r="L26" s="2079"/>
      <c r="M26" s="2091" t="s">
        <v>347</v>
      </c>
      <c r="N26" s="2079"/>
      <c r="O26" s="2092">
        <v>-2.89</v>
      </c>
      <c r="P26" s="2089"/>
      <c r="Q26" s="2089">
        <v>-234.93</v>
      </c>
      <c r="R26" s="2089"/>
      <c r="S26" s="2092">
        <v>-237.82</v>
      </c>
      <c r="T26" s="2089"/>
      <c r="U26" s="2089">
        <v>0</v>
      </c>
      <c r="V26" s="2089"/>
      <c r="W26" s="2089">
        <v>-2.89</v>
      </c>
    </row>
    <row r="27" spans="1:23">
      <c r="A27" s="2110">
        <v>8</v>
      </c>
      <c r="B27" s="2079"/>
      <c r="C27" s="2078" t="s">
        <v>2736</v>
      </c>
      <c r="D27" s="2079"/>
      <c r="E27" s="2079" t="s">
        <v>2737</v>
      </c>
      <c r="F27" s="2079"/>
      <c r="G27" s="2090">
        <v>1.2139983749926779E-2</v>
      </c>
      <c r="H27" s="2110"/>
      <c r="I27" s="2090">
        <v>0.98786001625007325</v>
      </c>
      <c r="J27" s="2090"/>
      <c r="K27" s="2090">
        <v>1</v>
      </c>
      <c r="L27" s="2079"/>
      <c r="M27" s="2091" t="s">
        <v>347</v>
      </c>
      <c r="N27" s="2091"/>
      <c r="O27" s="2092">
        <v>4511.869999999999</v>
      </c>
      <c r="P27" s="2092"/>
      <c r="Q27" s="2089">
        <v>367141.83999999997</v>
      </c>
      <c r="R27" s="2092"/>
      <c r="S27" s="2092">
        <v>371653.70999999996</v>
      </c>
      <c r="T27" s="2092"/>
      <c r="U27" s="2089">
        <v>0</v>
      </c>
      <c r="V27" s="2089"/>
      <c r="W27" s="2089">
        <v>4511.869999999999</v>
      </c>
    </row>
    <row r="28" spans="1:23">
      <c r="A28" s="2110">
        <v>9</v>
      </c>
      <c r="B28" s="2079"/>
      <c r="C28" s="2078" t="s">
        <v>2002</v>
      </c>
      <c r="D28" s="2079"/>
      <c r="E28" s="2079" t="s">
        <v>2738</v>
      </c>
      <c r="F28" s="2079"/>
      <c r="G28" s="2090">
        <v>1.2139982078258529E-2</v>
      </c>
      <c r="H28" s="2110"/>
      <c r="I28" s="2090">
        <v>0.9878600179217415</v>
      </c>
      <c r="J28" s="2090"/>
      <c r="K28" s="2090">
        <v>1</v>
      </c>
      <c r="L28" s="2079"/>
      <c r="M28" s="2091" t="s">
        <v>347</v>
      </c>
      <c r="N28" s="2079"/>
      <c r="O28" s="2092">
        <v>6301.6100000000015</v>
      </c>
      <c r="P28" s="2089"/>
      <c r="Q28" s="2089">
        <v>512777.41000000009</v>
      </c>
      <c r="R28" s="2089"/>
      <c r="S28" s="2092">
        <v>519079.02000000008</v>
      </c>
      <c r="T28" s="2089"/>
      <c r="U28" s="2089">
        <v>0</v>
      </c>
      <c r="V28" s="2089"/>
      <c r="W28" s="2089">
        <v>6301.6100000000015</v>
      </c>
    </row>
    <row r="29" spans="1:23">
      <c r="A29" s="2110">
        <v>10</v>
      </c>
      <c r="B29" s="2079"/>
      <c r="C29" s="2078" t="s">
        <v>1991</v>
      </c>
      <c r="D29" s="2079"/>
      <c r="E29" s="2079" t="s">
        <v>2739</v>
      </c>
      <c r="F29" s="2079"/>
      <c r="G29" s="2090">
        <v>1.2140107446960011E-2</v>
      </c>
      <c r="H29" s="2110"/>
      <c r="I29" s="2090">
        <v>0.98785989255303996</v>
      </c>
      <c r="J29" s="2090"/>
      <c r="K29" s="2090">
        <v>1</v>
      </c>
      <c r="L29" s="2079"/>
      <c r="M29" s="2091" t="s">
        <v>347</v>
      </c>
      <c r="N29" s="2079"/>
      <c r="O29" s="2092">
        <v>871.22000000000014</v>
      </c>
      <c r="P29" s="2089"/>
      <c r="Q29" s="2089">
        <v>70892.560000000012</v>
      </c>
      <c r="R29" s="2089"/>
      <c r="S29" s="2092">
        <v>71763.780000000013</v>
      </c>
      <c r="T29" s="2089"/>
      <c r="U29" s="2089">
        <v>0</v>
      </c>
      <c r="V29" s="2089"/>
      <c r="W29" s="2089">
        <v>871.22000000000014</v>
      </c>
    </row>
    <row r="30" spans="1:23">
      <c r="A30" s="2110">
        <v>11</v>
      </c>
      <c r="B30" s="2079"/>
      <c r="C30" s="2078" t="s">
        <v>2056</v>
      </c>
      <c r="D30" s="2079"/>
      <c r="E30" s="2079" t="s">
        <v>2740</v>
      </c>
      <c r="F30" s="2079"/>
      <c r="G30" s="2090">
        <v>1.2140027341854221E-2</v>
      </c>
      <c r="H30" s="2110"/>
      <c r="I30" s="2090">
        <v>0.98785997265814585</v>
      </c>
      <c r="J30" s="2090"/>
      <c r="K30" s="2090">
        <v>1</v>
      </c>
      <c r="L30" s="2079"/>
      <c r="M30" s="2091" t="s">
        <v>347</v>
      </c>
      <c r="N30" s="2079"/>
      <c r="O30" s="2092">
        <v>775.95</v>
      </c>
      <c r="P30" s="2089"/>
      <c r="Q30" s="2089">
        <v>63140.710000000006</v>
      </c>
      <c r="R30" s="2089"/>
      <c r="S30" s="2092">
        <v>63916.66</v>
      </c>
      <c r="T30" s="2089"/>
      <c r="U30" s="2089">
        <v>0</v>
      </c>
      <c r="V30" s="2089"/>
      <c r="W30" s="2089">
        <v>775.95</v>
      </c>
    </row>
    <row r="31" spans="1:23">
      <c r="A31" s="2110">
        <v>12</v>
      </c>
      <c r="B31" s="2079"/>
      <c r="C31" s="2078" t="s">
        <v>2063</v>
      </c>
      <c r="D31" s="2079"/>
      <c r="E31" s="2079" t="s">
        <v>1248</v>
      </c>
      <c r="F31" s="2079"/>
      <c r="G31" s="2090">
        <v>1.2140909090909091E-2</v>
      </c>
      <c r="H31" s="2110"/>
      <c r="I31" s="2090">
        <v>0.98785909090909085</v>
      </c>
      <c r="J31" s="2090"/>
      <c r="K31" s="2090">
        <v>1</v>
      </c>
      <c r="L31" s="2079"/>
      <c r="M31" s="2091" t="s">
        <v>347</v>
      </c>
      <c r="N31" s="2079"/>
      <c r="O31" s="2092">
        <v>26.71</v>
      </c>
      <c r="P31" s="2089"/>
      <c r="Q31" s="2089">
        <v>2173.29</v>
      </c>
      <c r="R31" s="2089"/>
      <c r="S31" s="2092">
        <v>2200</v>
      </c>
      <c r="T31" s="2089"/>
      <c r="U31" s="2089">
        <v>0</v>
      </c>
      <c r="V31" s="2089"/>
      <c r="W31" s="2089">
        <v>26.71</v>
      </c>
    </row>
    <row r="32" spans="1:23">
      <c r="A32" s="2110">
        <v>13</v>
      </c>
      <c r="B32" s="2079"/>
      <c r="C32" s="2078" t="s">
        <v>1981</v>
      </c>
      <c r="D32" s="2079"/>
      <c r="E32" s="2079" t="s">
        <v>1250</v>
      </c>
      <c r="F32" s="2079"/>
      <c r="G32" s="2090">
        <v>1.2140001644140924E-2</v>
      </c>
      <c r="H32" s="2110"/>
      <c r="I32" s="2090">
        <v>0.98785999835585903</v>
      </c>
      <c r="J32" s="2090"/>
      <c r="K32" s="2090">
        <v>1</v>
      </c>
      <c r="L32" s="2079"/>
      <c r="M32" s="2091" t="s">
        <v>347</v>
      </c>
      <c r="N32" s="2079"/>
      <c r="O32" s="2092">
        <v>1754.39</v>
      </c>
      <c r="P32" s="2089"/>
      <c r="Q32" s="2089">
        <v>142758.76999999996</v>
      </c>
      <c r="R32" s="2089"/>
      <c r="S32" s="2092">
        <v>144513.15999999997</v>
      </c>
      <c r="T32" s="2089"/>
      <c r="U32" s="2089">
        <v>0</v>
      </c>
      <c r="V32" s="2089"/>
      <c r="W32" s="2089">
        <v>1754.39</v>
      </c>
    </row>
    <row r="33" spans="1:23">
      <c r="A33" s="2110">
        <v>14</v>
      </c>
      <c r="B33" s="2079"/>
      <c r="C33" s="2078" t="s">
        <v>2741</v>
      </c>
      <c r="D33" s="2079"/>
      <c r="E33" s="2079" t="s">
        <v>2742</v>
      </c>
      <c r="F33" s="2079"/>
      <c r="G33" s="2090">
        <v>1.2139807897545358E-2</v>
      </c>
      <c r="H33" s="2110"/>
      <c r="I33" s="2090">
        <v>0.98786019210245468</v>
      </c>
      <c r="J33" s="2090"/>
      <c r="K33" s="2090">
        <v>1</v>
      </c>
      <c r="L33" s="2079"/>
      <c r="M33" s="2091" t="s">
        <v>347</v>
      </c>
      <c r="N33" s="2079"/>
      <c r="O33" s="2092">
        <v>22.75</v>
      </c>
      <c r="P33" s="2089"/>
      <c r="Q33" s="2089">
        <v>1851.25</v>
      </c>
      <c r="R33" s="2089"/>
      <c r="S33" s="2092">
        <v>1874</v>
      </c>
      <c r="T33" s="2089"/>
      <c r="U33" s="2089">
        <v>0</v>
      </c>
      <c r="V33" s="2089"/>
      <c r="W33" s="2089">
        <v>22.75</v>
      </c>
    </row>
    <row r="34" spans="1:23">
      <c r="A34" s="2110">
        <v>15</v>
      </c>
      <c r="B34" s="2079"/>
      <c r="C34" s="2078" t="s">
        <v>2076</v>
      </c>
      <c r="D34" s="2079"/>
      <c r="E34" s="2079" t="s">
        <v>2519</v>
      </c>
      <c r="F34" s="2079"/>
      <c r="G34" s="2090">
        <v>1.2130522301091217E-2</v>
      </c>
      <c r="H34" s="2110"/>
      <c r="I34" s="2090">
        <v>0.98786947769890887</v>
      </c>
      <c r="J34" s="2090"/>
      <c r="K34" s="2090">
        <v>1</v>
      </c>
      <c r="L34" s="2079"/>
      <c r="M34" s="2091" t="s">
        <v>347</v>
      </c>
      <c r="N34" s="2079"/>
      <c r="O34" s="2092">
        <v>4.58</v>
      </c>
      <c r="P34" s="2089"/>
      <c r="Q34" s="2089">
        <v>372.98</v>
      </c>
      <c r="R34" s="2089"/>
      <c r="S34" s="2092">
        <v>377.56</v>
      </c>
      <c r="T34" s="2089"/>
      <c r="U34" s="2089">
        <v>0</v>
      </c>
      <c r="V34" s="2089"/>
      <c r="W34" s="2089">
        <v>4.58</v>
      </c>
    </row>
    <row r="35" spans="1:23">
      <c r="A35" s="2110">
        <v>16</v>
      </c>
      <c r="B35" s="2079"/>
      <c r="C35" s="2078" t="s">
        <v>2743</v>
      </c>
      <c r="D35" s="2079"/>
      <c r="E35" s="2079" t="s">
        <v>2523</v>
      </c>
      <c r="F35" s="2079"/>
      <c r="G35" s="2090">
        <v>1.2139998332381651E-2</v>
      </c>
      <c r="H35" s="2110"/>
      <c r="I35" s="2090">
        <v>0.98786000166761834</v>
      </c>
      <c r="J35" s="2090"/>
      <c r="K35" s="2090">
        <v>1</v>
      </c>
      <c r="L35" s="2079"/>
      <c r="M35" s="2091" t="s">
        <v>347</v>
      </c>
      <c r="N35" s="2079"/>
      <c r="O35" s="2092">
        <v>2397.98</v>
      </c>
      <c r="P35" s="2089"/>
      <c r="Q35" s="2089">
        <v>195129.22999999998</v>
      </c>
      <c r="R35" s="2089"/>
      <c r="S35" s="2092">
        <v>197527.21</v>
      </c>
      <c r="T35" s="2089"/>
      <c r="U35" s="2089">
        <v>0</v>
      </c>
      <c r="V35" s="2089"/>
      <c r="W35" s="2089">
        <v>2397.98</v>
      </c>
    </row>
    <row r="36" spans="1:23">
      <c r="A36" s="2110">
        <v>17</v>
      </c>
      <c r="B36" s="2079"/>
      <c r="C36" s="2078" t="s">
        <v>2015</v>
      </c>
      <c r="D36" s="2079"/>
      <c r="E36" s="2079" t="s">
        <v>2744</v>
      </c>
      <c r="F36" s="2079"/>
      <c r="G36" s="2090">
        <v>1.2140039186142952E-2</v>
      </c>
      <c r="H36" s="2110"/>
      <c r="I36" s="2090">
        <v>0.98785996081385707</v>
      </c>
      <c r="J36" s="2090"/>
      <c r="K36" s="2090">
        <v>1</v>
      </c>
      <c r="L36" s="2079"/>
      <c r="M36" s="2091" t="s">
        <v>347</v>
      </c>
      <c r="N36" s="2079"/>
      <c r="O36" s="2092">
        <v>1162.51</v>
      </c>
      <c r="P36" s="2089"/>
      <c r="Q36" s="2089">
        <v>94595.83</v>
      </c>
      <c r="R36" s="2089"/>
      <c r="S36" s="2092">
        <v>95758.34</v>
      </c>
      <c r="T36" s="2089"/>
      <c r="U36" s="2089">
        <v>0</v>
      </c>
      <c r="V36" s="2089"/>
      <c r="W36" s="2089">
        <v>1162.51</v>
      </c>
    </row>
    <row r="37" spans="1:23">
      <c r="A37" s="2110">
        <v>18</v>
      </c>
      <c r="B37" s="2079"/>
      <c r="C37" s="2078" t="s">
        <v>1984</v>
      </c>
      <c r="D37" s="2079"/>
      <c r="E37" s="2079" t="s">
        <v>1253</v>
      </c>
      <c r="F37" s="2079"/>
      <c r="G37" s="2090">
        <v>1.2139594530338181E-2</v>
      </c>
      <c r="H37" s="2110"/>
      <c r="I37" s="2090">
        <v>0.98786040546966192</v>
      </c>
      <c r="J37" s="2090"/>
      <c r="K37" s="2090">
        <v>1</v>
      </c>
      <c r="L37" s="2079"/>
      <c r="M37" s="2091" t="s">
        <v>347</v>
      </c>
      <c r="N37" s="2079"/>
      <c r="O37" s="2092">
        <v>16.850000000000001</v>
      </c>
      <c r="P37" s="2089"/>
      <c r="Q37" s="2089">
        <v>1371.17</v>
      </c>
      <c r="R37" s="2089"/>
      <c r="S37" s="2092">
        <v>1388.02</v>
      </c>
      <c r="T37" s="2089"/>
      <c r="U37" s="2089">
        <v>0</v>
      </c>
      <c r="V37" s="2089"/>
      <c r="W37" s="2089">
        <v>16.850000000000001</v>
      </c>
    </row>
    <row r="38" spans="1:23">
      <c r="A38" s="2110">
        <v>19</v>
      </c>
      <c r="B38" s="2079"/>
      <c r="C38" s="2078" t="s">
        <v>1998</v>
      </c>
      <c r="D38" s="2079"/>
      <c r="E38" s="2079" t="s">
        <v>2535</v>
      </c>
      <c r="F38" s="2079"/>
      <c r="G38" s="2090">
        <v>1.2140298731344944E-2</v>
      </c>
      <c r="H38" s="2110"/>
      <c r="I38" s="2090">
        <v>0.98785970126865508</v>
      </c>
      <c r="J38" s="2090"/>
      <c r="K38" s="2090">
        <v>1</v>
      </c>
      <c r="L38" s="2079"/>
      <c r="M38" s="2091" t="s">
        <v>347</v>
      </c>
      <c r="N38" s="2079"/>
      <c r="O38" s="2092">
        <v>1822.65</v>
      </c>
      <c r="P38" s="2089"/>
      <c r="Q38" s="2089">
        <v>148309.57</v>
      </c>
      <c r="R38" s="2089"/>
      <c r="S38" s="2092">
        <v>150132.22</v>
      </c>
      <c r="T38" s="2089"/>
      <c r="U38" s="2089">
        <v>0</v>
      </c>
      <c r="V38" s="2089"/>
      <c r="W38" s="2089">
        <v>1822.65</v>
      </c>
    </row>
    <row r="39" spans="1:23" ht="12.75" thickBot="1">
      <c r="A39" s="2110">
        <v>20</v>
      </c>
      <c r="B39" s="2079"/>
      <c r="C39" s="2078"/>
      <c r="D39" s="2079"/>
      <c r="E39" s="2079"/>
      <c r="F39" s="2079"/>
      <c r="G39" s="2090"/>
      <c r="H39" s="2110"/>
      <c r="I39" s="2110"/>
      <c r="J39" s="2110"/>
      <c r="K39" s="2110"/>
      <c r="L39" s="2079"/>
      <c r="M39" s="2079"/>
      <c r="N39" s="2079"/>
      <c r="O39" s="2093">
        <v>23929.809999999998</v>
      </c>
      <c r="P39" s="2089"/>
      <c r="Q39" s="2093">
        <v>1956047.02</v>
      </c>
      <c r="R39" s="2089"/>
      <c r="S39" s="2093">
        <v>1979976.8299999998</v>
      </c>
      <c r="T39" s="2089"/>
      <c r="U39" s="2094">
        <v>0</v>
      </c>
      <c r="V39" s="2089"/>
      <c r="W39" s="2094">
        <v>23929.809999999998</v>
      </c>
    </row>
    <row r="40" spans="1:23" ht="12.75" thickTop="1">
      <c r="A40" s="2110">
        <v>21</v>
      </c>
      <c r="B40" s="2079"/>
      <c r="C40" s="2078"/>
      <c r="D40" s="2079"/>
      <c r="E40" s="2079"/>
      <c r="F40" s="2079"/>
      <c r="G40" s="2090"/>
      <c r="H40" s="2110"/>
      <c r="I40" s="2110"/>
      <c r="J40" s="2110"/>
      <c r="K40" s="2110"/>
      <c r="L40" s="2079"/>
      <c r="M40" s="2079"/>
      <c r="N40" s="2079"/>
      <c r="O40" s="2089"/>
      <c r="P40" s="2089"/>
      <c r="Q40" s="2089"/>
      <c r="R40" s="2089"/>
      <c r="S40" s="2089"/>
      <c r="T40" s="2089"/>
      <c r="U40" s="2089"/>
      <c r="V40" s="2089"/>
      <c r="W40" s="2089"/>
    </row>
    <row r="41" spans="1:23">
      <c r="A41" s="2110">
        <v>22</v>
      </c>
      <c r="B41" s="2088" t="s">
        <v>2745</v>
      </c>
      <c r="C41" s="2078"/>
      <c r="D41" s="2079"/>
      <c r="E41" s="2079"/>
      <c r="F41" s="2079"/>
      <c r="G41" s="2090"/>
      <c r="H41" s="2110"/>
      <c r="I41" s="2090"/>
      <c r="J41" s="2090"/>
      <c r="K41" s="2090"/>
      <c r="L41" s="2079"/>
      <c r="M41" s="2079"/>
      <c r="N41" s="2079"/>
      <c r="O41" s="2089"/>
      <c r="P41" s="2089"/>
      <c r="Q41" s="2089"/>
      <c r="R41" s="2089"/>
      <c r="S41" s="2089"/>
      <c r="T41" s="2089"/>
      <c r="U41" s="2089"/>
      <c r="V41" s="2089"/>
      <c r="W41" s="2089"/>
    </row>
    <row r="42" spans="1:23">
      <c r="A42" s="2110">
        <v>23</v>
      </c>
      <c r="B42" s="2079"/>
      <c r="C42" s="2078"/>
      <c r="D42" s="2079"/>
      <c r="E42" s="2079"/>
      <c r="F42" s="2079"/>
      <c r="G42" s="2090"/>
      <c r="H42" s="2110"/>
      <c r="I42" s="2090"/>
      <c r="J42" s="2090"/>
      <c r="K42" s="2090"/>
      <c r="L42" s="2079"/>
      <c r="M42" s="2079"/>
      <c r="N42" s="2079"/>
      <c r="O42" s="2089"/>
      <c r="P42" s="2089"/>
      <c r="Q42" s="2089"/>
      <c r="R42" s="2089"/>
      <c r="S42" s="2089"/>
      <c r="T42" s="2089"/>
      <c r="U42" s="2089"/>
      <c r="V42" s="2089"/>
      <c r="W42" s="2089"/>
    </row>
    <row r="43" spans="1:23">
      <c r="A43" s="2110">
        <v>24</v>
      </c>
      <c r="B43" s="2079"/>
      <c r="C43" s="2078">
        <v>403</v>
      </c>
      <c r="D43" s="2079"/>
      <c r="E43" s="2079" t="s">
        <v>2746</v>
      </c>
      <c r="F43" s="2079"/>
      <c r="G43" s="2090">
        <v>4.3790543331471365E-2</v>
      </c>
      <c r="H43" s="2110"/>
      <c r="I43" s="2090">
        <v>0.95620945666852863</v>
      </c>
      <c r="J43" s="2090"/>
      <c r="K43" s="2090">
        <v>1</v>
      </c>
      <c r="L43" s="2079"/>
      <c r="M43" s="2091" t="s">
        <v>347</v>
      </c>
      <c r="N43" s="2079"/>
      <c r="O43" s="2092">
        <v>1227.6600000000001</v>
      </c>
      <c r="P43" s="2092"/>
      <c r="Q43" s="2092">
        <v>26807.16</v>
      </c>
      <c r="R43" s="2092"/>
      <c r="S43" s="2092">
        <v>28034.82</v>
      </c>
      <c r="T43" s="2092"/>
      <c r="U43" s="994">
        <v>0</v>
      </c>
      <c r="V43" s="994"/>
      <c r="W43" s="994">
        <v>1227.6600000000001</v>
      </c>
    </row>
    <row r="44" spans="1:23">
      <c r="A44" s="2110">
        <v>25</v>
      </c>
      <c r="B44" s="2079"/>
      <c r="C44" s="2078">
        <v>408</v>
      </c>
      <c r="D44" s="2079"/>
      <c r="E44" s="2079" t="s">
        <v>25</v>
      </c>
      <c r="F44" s="2079"/>
      <c r="G44" s="2090">
        <v>5.1989091220842526E-2</v>
      </c>
      <c r="H44" s="2110"/>
      <c r="I44" s="2090">
        <v>0.9480109087791575</v>
      </c>
      <c r="J44" s="2090"/>
      <c r="K44" s="2090">
        <v>1</v>
      </c>
      <c r="L44" s="2079"/>
      <c r="M44" s="2091" t="s">
        <v>347</v>
      </c>
      <c r="N44" s="2079"/>
      <c r="O44" s="2092">
        <v>1121.8699999999999</v>
      </c>
      <c r="P44" s="2089"/>
      <c r="Q44" s="2092">
        <v>20457.080000000002</v>
      </c>
      <c r="R44" s="2089"/>
      <c r="S44" s="2092">
        <v>21578.95</v>
      </c>
      <c r="T44" s="2089"/>
      <c r="U44" s="994">
        <v>0</v>
      </c>
      <c r="V44" s="994"/>
      <c r="W44" s="994">
        <v>1121.8699999999999</v>
      </c>
    </row>
    <row r="45" spans="1:23">
      <c r="A45" s="2110">
        <v>26</v>
      </c>
      <c r="B45" s="2079"/>
      <c r="C45" s="2078">
        <v>410</v>
      </c>
      <c r="D45" s="2079"/>
      <c r="E45" s="2079" t="s">
        <v>2734</v>
      </c>
      <c r="F45" s="2079"/>
      <c r="G45" s="2090">
        <v>0</v>
      </c>
      <c r="H45" s="2110"/>
      <c r="I45" s="2090">
        <v>0</v>
      </c>
      <c r="J45" s="2090"/>
      <c r="K45" s="2090">
        <v>0</v>
      </c>
      <c r="L45" s="2079"/>
      <c r="M45" s="2091" t="s">
        <v>347</v>
      </c>
      <c r="N45" s="2079"/>
      <c r="O45" s="2092">
        <v>0</v>
      </c>
      <c r="P45" s="2089"/>
      <c r="Q45" s="2092">
        <v>0</v>
      </c>
      <c r="R45" s="2089"/>
      <c r="S45" s="2092">
        <v>0</v>
      </c>
      <c r="T45" s="2089"/>
      <c r="U45" s="994">
        <v>0</v>
      </c>
      <c r="V45" s="994"/>
      <c r="W45" s="994">
        <v>0</v>
      </c>
    </row>
    <row r="46" spans="1:23">
      <c r="A46" s="2110">
        <v>27</v>
      </c>
      <c r="B46" s="2079"/>
      <c r="C46" s="2078" t="s">
        <v>2747</v>
      </c>
      <c r="D46" s="2079"/>
      <c r="E46" s="2079" t="s">
        <v>25</v>
      </c>
      <c r="F46" s="2079"/>
      <c r="G46" s="2090">
        <v>0</v>
      </c>
      <c r="H46" s="2110"/>
      <c r="I46" s="2090">
        <v>0</v>
      </c>
      <c r="J46" s="2090"/>
      <c r="K46" s="2090">
        <v>0</v>
      </c>
      <c r="L46" s="2079"/>
      <c r="M46" s="2091" t="s">
        <v>347</v>
      </c>
      <c r="N46" s="2079"/>
      <c r="O46" s="2092">
        <v>0</v>
      </c>
      <c r="P46" s="2089"/>
      <c r="Q46" s="2092">
        <v>0</v>
      </c>
      <c r="R46" s="2089"/>
      <c r="S46" s="2092">
        <v>0</v>
      </c>
      <c r="T46" s="2089"/>
      <c r="U46" s="994">
        <v>0</v>
      </c>
      <c r="V46" s="994"/>
      <c r="W46" s="994">
        <v>0</v>
      </c>
    </row>
    <row r="47" spans="1:23">
      <c r="A47" s="2110">
        <v>28</v>
      </c>
      <c r="B47" s="2079"/>
      <c r="C47" s="2078">
        <v>427</v>
      </c>
      <c r="D47" s="2079"/>
      <c r="E47" s="2079" t="s">
        <v>2619</v>
      </c>
      <c r="F47" s="2079"/>
      <c r="G47" s="2090">
        <v>5.1901215209721678E-2</v>
      </c>
      <c r="H47" s="2110"/>
      <c r="I47" s="2090">
        <v>0.94809878479027831</v>
      </c>
      <c r="J47" s="2090"/>
      <c r="K47" s="2090">
        <v>1</v>
      </c>
      <c r="L47" s="2079"/>
      <c r="M47" s="2091" t="s">
        <v>347</v>
      </c>
      <c r="N47" s="2079"/>
      <c r="O47" s="2092">
        <v>13.24</v>
      </c>
      <c r="P47" s="2089"/>
      <c r="Q47" s="2092">
        <v>241.85999999999999</v>
      </c>
      <c r="R47" s="2089"/>
      <c r="S47" s="2092">
        <v>255.1</v>
      </c>
      <c r="T47" s="2089"/>
      <c r="U47" s="994">
        <v>0</v>
      </c>
      <c r="V47" s="994"/>
      <c r="W47" s="994">
        <v>13.24</v>
      </c>
    </row>
    <row r="48" spans="1:23">
      <c r="A48" s="2110">
        <v>29</v>
      </c>
      <c r="B48" s="2079"/>
      <c r="C48" s="2078" t="s">
        <v>2736</v>
      </c>
      <c r="D48" s="2079"/>
      <c r="E48" s="2079" t="s">
        <v>2737</v>
      </c>
      <c r="F48" s="2079"/>
      <c r="G48" s="2090">
        <v>5.2575523313978821E-2</v>
      </c>
      <c r="H48" s="2110"/>
      <c r="I48" s="2090">
        <v>0.94742447668602114</v>
      </c>
      <c r="J48" s="2090"/>
      <c r="K48" s="2090">
        <v>1</v>
      </c>
      <c r="L48" s="2079"/>
      <c r="M48" s="2091" t="s">
        <v>347</v>
      </c>
      <c r="N48" s="2091"/>
      <c r="O48" s="2092">
        <v>3295.05</v>
      </c>
      <c r="P48" s="2089"/>
      <c r="Q48" s="2092">
        <v>59377.649999999994</v>
      </c>
      <c r="R48" s="2089"/>
      <c r="S48" s="2092">
        <v>62672.7</v>
      </c>
      <c r="T48" s="2089"/>
      <c r="U48" s="994">
        <v>0</v>
      </c>
      <c r="V48" s="994"/>
      <c r="W48" s="994">
        <v>3295.05</v>
      </c>
    </row>
    <row r="49" spans="1:23">
      <c r="A49" s="2110">
        <v>30</v>
      </c>
      <c r="B49" s="2079"/>
      <c r="C49" s="2078" t="s">
        <v>2002</v>
      </c>
      <c r="D49" s="2079"/>
      <c r="E49" s="2079" t="s">
        <v>2738</v>
      </c>
      <c r="F49" s="2079"/>
      <c r="G49" s="2090">
        <v>0</v>
      </c>
      <c r="H49" s="2110"/>
      <c r="I49" s="2090">
        <v>0</v>
      </c>
      <c r="J49" s="2090"/>
      <c r="K49" s="2090">
        <v>0</v>
      </c>
      <c r="L49" s="2079"/>
      <c r="M49" s="2091" t="s">
        <v>347</v>
      </c>
      <c r="N49" s="2079"/>
      <c r="O49" s="2092">
        <v>0</v>
      </c>
      <c r="P49" s="2089"/>
      <c r="Q49" s="2092">
        <v>0</v>
      </c>
      <c r="R49" s="2089"/>
      <c r="S49" s="2092">
        <v>0</v>
      </c>
      <c r="T49" s="2089"/>
      <c r="U49" s="994">
        <v>0</v>
      </c>
      <c r="V49" s="994"/>
      <c r="W49" s="994">
        <v>0</v>
      </c>
    </row>
    <row r="50" spans="1:23">
      <c r="A50" s="2110">
        <v>31</v>
      </c>
      <c r="B50" s="2079"/>
      <c r="C50" s="2078" t="s">
        <v>1991</v>
      </c>
      <c r="D50" s="2079"/>
      <c r="E50" s="2079" t="s">
        <v>2739</v>
      </c>
      <c r="F50" s="2079"/>
      <c r="G50" s="2090">
        <v>4.5718273625441307E-2</v>
      </c>
      <c r="H50" s="2110"/>
      <c r="I50" s="2090">
        <v>0.95428172637455877</v>
      </c>
      <c r="J50" s="2090"/>
      <c r="K50" s="2090">
        <v>1</v>
      </c>
      <c r="L50" s="2079"/>
      <c r="M50" s="2091" t="s">
        <v>347</v>
      </c>
      <c r="N50" s="2079"/>
      <c r="O50" s="2092">
        <v>33.409999999999997</v>
      </c>
      <c r="P50" s="2089"/>
      <c r="Q50" s="2092">
        <v>697.37</v>
      </c>
      <c r="R50" s="2089"/>
      <c r="S50" s="2092">
        <v>730.78</v>
      </c>
      <c r="T50" s="2089"/>
      <c r="U50" s="994">
        <v>0</v>
      </c>
      <c r="V50" s="994"/>
      <c r="W50" s="994">
        <v>33.409999999999997</v>
      </c>
    </row>
    <row r="51" spans="1:23">
      <c r="A51" s="2110">
        <v>32</v>
      </c>
      <c r="B51" s="2079"/>
      <c r="C51" s="2078" t="s">
        <v>2052</v>
      </c>
      <c r="D51" s="2079"/>
      <c r="E51" s="2079" t="s">
        <v>2748</v>
      </c>
      <c r="F51" s="2079"/>
      <c r="G51" s="2090">
        <v>0</v>
      </c>
      <c r="H51" s="2110"/>
      <c r="I51" s="2090">
        <v>0</v>
      </c>
      <c r="J51" s="2090"/>
      <c r="K51" s="2090">
        <v>0</v>
      </c>
      <c r="L51" s="2079"/>
      <c r="M51" s="2091" t="s">
        <v>347</v>
      </c>
      <c r="N51" s="2079"/>
      <c r="O51" s="2092">
        <v>0</v>
      </c>
      <c r="P51" s="2089"/>
      <c r="Q51" s="2092">
        <v>0</v>
      </c>
      <c r="R51" s="2089"/>
      <c r="S51" s="2092">
        <v>0</v>
      </c>
      <c r="T51" s="2089"/>
      <c r="U51" s="994">
        <v>0</v>
      </c>
      <c r="V51" s="994"/>
      <c r="W51" s="994">
        <v>0</v>
      </c>
    </row>
    <row r="52" spans="1:23">
      <c r="A52" s="2110">
        <v>33</v>
      </c>
      <c r="B52" s="2079"/>
      <c r="C52" s="2078" t="s">
        <v>2063</v>
      </c>
      <c r="D52" s="2079"/>
      <c r="E52" s="2079" t="s">
        <v>1248</v>
      </c>
      <c r="F52" s="2079"/>
      <c r="G52" s="2090">
        <v>0</v>
      </c>
      <c r="H52" s="2110"/>
      <c r="I52" s="2090">
        <v>0</v>
      </c>
      <c r="J52" s="2090"/>
      <c r="K52" s="2090">
        <v>0</v>
      </c>
      <c r="L52" s="2079"/>
      <c r="M52" s="2091" t="s">
        <v>347</v>
      </c>
      <c r="N52" s="2079"/>
      <c r="O52" s="2092">
        <v>0</v>
      </c>
      <c r="P52" s="2089"/>
      <c r="Q52" s="2092">
        <v>0</v>
      </c>
      <c r="R52" s="2089"/>
      <c r="S52" s="2092">
        <v>0</v>
      </c>
      <c r="T52" s="2089"/>
      <c r="U52" s="994">
        <v>0</v>
      </c>
      <c r="V52" s="994"/>
      <c r="W52" s="994">
        <v>0</v>
      </c>
    </row>
    <row r="53" spans="1:23">
      <c r="A53" s="2110">
        <v>34</v>
      </c>
      <c r="B53" s="2079"/>
      <c r="C53" s="2078">
        <v>635</v>
      </c>
      <c r="D53" s="2079"/>
      <c r="E53" s="2079" t="s">
        <v>2749</v>
      </c>
      <c r="F53" s="2079"/>
      <c r="G53" s="2090">
        <v>0</v>
      </c>
      <c r="H53" s="2110"/>
      <c r="I53" s="2090">
        <v>0</v>
      </c>
      <c r="J53" s="2090"/>
      <c r="K53" s="2090">
        <v>0</v>
      </c>
      <c r="L53" s="2079"/>
      <c r="M53" s="2091" t="s">
        <v>347</v>
      </c>
      <c r="N53" s="2079"/>
      <c r="O53" s="2092">
        <v>0</v>
      </c>
      <c r="P53" s="2089"/>
      <c r="Q53" s="2092">
        <v>0</v>
      </c>
      <c r="R53" s="2089"/>
      <c r="S53" s="2092">
        <v>0</v>
      </c>
      <c r="T53" s="2089"/>
      <c r="U53" s="994">
        <v>0</v>
      </c>
      <c r="V53" s="994"/>
      <c r="W53" s="994">
        <v>0</v>
      </c>
    </row>
    <row r="54" spans="1:23">
      <c r="A54" s="2110">
        <v>35</v>
      </c>
      <c r="B54" s="2079"/>
      <c r="C54" s="2078" t="s">
        <v>1981</v>
      </c>
      <c r="D54" s="2079"/>
      <c r="E54" s="2079" t="s">
        <v>1250</v>
      </c>
      <c r="F54" s="2079"/>
      <c r="G54" s="2090">
        <v>5.1899504477092934E-2</v>
      </c>
      <c r="H54" s="2110"/>
      <c r="I54" s="2090">
        <v>0.94810049552290698</v>
      </c>
      <c r="J54" s="2090"/>
      <c r="K54" s="2090">
        <v>1</v>
      </c>
      <c r="L54" s="2079"/>
      <c r="M54" s="2091" t="s">
        <v>347</v>
      </c>
      <c r="N54" s="2079"/>
      <c r="O54" s="2092">
        <v>29.85</v>
      </c>
      <c r="P54" s="2089"/>
      <c r="Q54" s="2092">
        <v>545.29999999999995</v>
      </c>
      <c r="R54" s="2089"/>
      <c r="S54" s="2092">
        <v>575.15</v>
      </c>
      <c r="T54" s="2089"/>
      <c r="U54" s="994">
        <v>0</v>
      </c>
      <c r="V54" s="994"/>
      <c r="W54" s="994">
        <v>29.85</v>
      </c>
    </row>
    <row r="55" spans="1:23">
      <c r="A55" s="2110">
        <v>36</v>
      </c>
      <c r="B55" s="2079"/>
      <c r="C55" s="2078" t="s">
        <v>2074</v>
      </c>
      <c r="D55" s="2079"/>
      <c r="E55" s="2079" t="s">
        <v>2517</v>
      </c>
      <c r="F55" s="2079"/>
      <c r="G55" s="2090">
        <v>0</v>
      </c>
      <c r="H55" s="2110"/>
      <c r="I55" s="2090">
        <v>0</v>
      </c>
      <c r="J55" s="2090"/>
      <c r="K55" s="2090">
        <v>0</v>
      </c>
      <c r="L55" s="2079"/>
      <c r="M55" s="2091" t="s">
        <v>347</v>
      </c>
      <c r="N55" s="2079"/>
      <c r="O55" s="2092">
        <v>0</v>
      </c>
      <c r="P55" s="2089"/>
      <c r="Q55" s="2092">
        <v>0</v>
      </c>
      <c r="R55" s="2089"/>
      <c r="S55" s="2092">
        <v>0</v>
      </c>
      <c r="T55" s="2089"/>
      <c r="U55" s="994">
        <v>0</v>
      </c>
      <c r="V55" s="994"/>
      <c r="W55" s="994">
        <v>0</v>
      </c>
    </row>
    <row r="56" spans="1:23">
      <c r="A56" s="2110">
        <v>37</v>
      </c>
      <c r="B56" s="2079"/>
      <c r="C56" s="2078" t="s">
        <v>2076</v>
      </c>
      <c r="D56" s="2079"/>
      <c r="E56" s="2079" t="s">
        <v>1251</v>
      </c>
      <c r="F56" s="2079"/>
      <c r="G56" s="2090">
        <v>5.1897033726160245E-2</v>
      </c>
      <c r="H56" s="2110"/>
      <c r="I56" s="2090">
        <v>0.94810296627383972</v>
      </c>
      <c r="J56" s="2090"/>
      <c r="K56" s="2090">
        <v>1</v>
      </c>
      <c r="L56" s="2079"/>
      <c r="M56" s="2091" t="s">
        <v>347</v>
      </c>
      <c r="N56" s="2079"/>
      <c r="O56" s="2092">
        <v>1291.48</v>
      </c>
      <c r="P56" s="2089"/>
      <c r="Q56" s="2092">
        <v>23593.95</v>
      </c>
      <c r="R56" s="2089"/>
      <c r="S56" s="2092">
        <v>24885.43</v>
      </c>
      <c r="T56" s="2089"/>
      <c r="U56" s="994">
        <v>0</v>
      </c>
      <c r="V56" s="994"/>
      <c r="W56" s="994">
        <v>1291.48</v>
      </c>
    </row>
    <row r="57" spans="1:23">
      <c r="A57" s="2110">
        <v>38</v>
      </c>
      <c r="B57" s="2079"/>
      <c r="C57" s="2078" t="s">
        <v>2071</v>
      </c>
      <c r="D57" s="2079"/>
      <c r="E57" s="2079" t="s">
        <v>2750</v>
      </c>
      <c r="F57" s="2079"/>
      <c r="G57" s="2090">
        <v>5.1897423717086499E-2</v>
      </c>
      <c r="H57" s="2110"/>
      <c r="I57" s="2090">
        <v>0.9481025762829135</v>
      </c>
      <c r="J57" s="2090"/>
      <c r="K57" s="2090">
        <v>1</v>
      </c>
      <c r="L57" s="2079"/>
      <c r="M57" s="2091" t="s">
        <v>347</v>
      </c>
      <c r="N57" s="2079"/>
      <c r="O57" s="2092">
        <v>201.02</v>
      </c>
      <c r="P57" s="2089"/>
      <c r="Q57" s="2092">
        <v>3672.39</v>
      </c>
      <c r="R57" s="2089"/>
      <c r="S57" s="2092">
        <v>3873.41</v>
      </c>
      <c r="T57" s="2089"/>
      <c r="U57" s="994">
        <v>0</v>
      </c>
      <c r="V57" s="994"/>
      <c r="W57" s="994">
        <v>201.02</v>
      </c>
    </row>
    <row r="58" spans="1:23">
      <c r="A58" s="2110">
        <v>39</v>
      </c>
      <c r="B58" s="2079"/>
      <c r="C58" s="2078" t="s">
        <v>1998</v>
      </c>
      <c r="D58" s="2079"/>
      <c r="E58" s="2079" t="s">
        <v>2535</v>
      </c>
      <c r="F58" s="2079"/>
      <c r="G58" s="2090">
        <v>5.157779171894606E-2</v>
      </c>
      <c r="H58" s="2110"/>
      <c r="I58" s="2090">
        <v>0.94842220828105384</v>
      </c>
      <c r="J58" s="2090"/>
      <c r="K58" s="2090">
        <v>1</v>
      </c>
      <c r="L58" s="2079"/>
      <c r="M58" s="2091" t="s">
        <v>347</v>
      </c>
      <c r="N58" s="2079"/>
      <c r="O58" s="2092">
        <v>493.29</v>
      </c>
      <c r="P58" s="2089"/>
      <c r="Q58" s="2092">
        <v>9070.7099999999973</v>
      </c>
      <c r="R58" s="2089"/>
      <c r="S58" s="2092">
        <v>9563.9999999999982</v>
      </c>
      <c r="T58" s="2089"/>
      <c r="U58" s="994">
        <v>0</v>
      </c>
      <c r="V58" s="994"/>
      <c r="W58" s="994">
        <v>493.29</v>
      </c>
    </row>
    <row r="59" spans="1:23" ht="12.75" thickBot="1">
      <c r="A59" s="2110">
        <v>40</v>
      </c>
      <c r="B59" s="2079"/>
      <c r="C59" s="2078"/>
      <c r="D59" s="2079"/>
      <c r="E59" s="2079"/>
      <c r="F59" s="2079"/>
      <c r="G59" s="2110"/>
      <c r="H59" s="2110"/>
      <c r="I59" s="2110"/>
      <c r="J59" s="2110"/>
      <c r="K59" s="2090"/>
      <c r="L59" s="2079"/>
      <c r="M59" s="2079"/>
      <c r="N59" s="2079"/>
      <c r="O59" s="2145">
        <v>7706.87</v>
      </c>
      <c r="P59" s="2089"/>
      <c r="Q59" s="2145">
        <v>144463.47</v>
      </c>
      <c r="R59" s="2089"/>
      <c r="S59" s="2146">
        <v>152170.34</v>
      </c>
      <c r="T59" s="2089"/>
      <c r="U59" s="2147">
        <v>0</v>
      </c>
      <c r="V59" s="2089"/>
      <c r="W59" s="2147">
        <v>7706.87</v>
      </c>
    </row>
    <row r="60" spans="1:23" ht="12.75" thickTop="1">
      <c r="A60" s="2110">
        <v>41</v>
      </c>
      <c r="B60" s="2079"/>
      <c r="C60" s="2078"/>
      <c r="D60" s="2079"/>
      <c r="E60" s="2079"/>
      <c r="F60" s="2079"/>
      <c r="G60" s="2110"/>
      <c r="H60" s="2110"/>
      <c r="I60" s="2110"/>
      <c r="J60" s="2110"/>
      <c r="K60" s="2110"/>
      <c r="L60" s="2079"/>
      <c r="M60" s="2079"/>
      <c r="N60" s="2079"/>
      <c r="O60" s="2079"/>
      <c r="P60" s="2079"/>
      <c r="Q60" s="2079"/>
      <c r="R60" s="2079"/>
      <c r="S60" s="2079"/>
      <c r="T60" s="2079"/>
      <c r="U60" s="2079"/>
      <c r="V60" s="2079"/>
      <c r="W60" s="2079"/>
    </row>
    <row r="61" spans="1:23">
      <c r="A61" s="2110">
        <v>42</v>
      </c>
      <c r="B61" s="2088" t="s">
        <v>2751</v>
      </c>
      <c r="C61" s="2078"/>
      <c r="D61" s="2079"/>
      <c r="E61" s="2079"/>
      <c r="F61" s="2079"/>
      <c r="G61" s="2090"/>
      <c r="H61" s="2110"/>
      <c r="I61" s="2090"/>
      <c r="J61" s="2090"/>
      <c r="K61" s="2090"/>
      <c r="L61" s="2079"/>
      <c r="M61" s="2079"/>
      <c r="N61" s="2079"/>
      <c r="O61" s="2089"/>
      <c r="P61" s="2089"/>
      <c r="Q61" s="2089"/>
      <c r="R61" s="2089"/>
      <c r="S61" s="2089"/>
      <c r="T61" s="2089"/>
      <c r="U61" s="2089"/>
      <c r="V61" s="2089"/>
      <c r="W61" s="2089"/>
    </row>
    <row r="62" spans="1:23">
      <c r="A62" s="2110">
        <v>43</v>
      </c>
      <c r="B62" s="2079"/>
      <c r="C62" s="2078"/>
      <c r="D62" s="2079"/>
      <c r="E62" s="2079"/>
      <c r="F62" s="2079"/>
      <c r="G62" s="2090"/>
      <c r="H62" s="2110"/>
      <c r="I62" s="2090"/>
      <c r="J62" s="2090"/>
      <c r="K62" s="2090"/>
      <c r="L62" s="2079"/>
      <c r="M62" s="2079"/>
      <c r="N62" s="2079"/>
      <c r="O62" s="2089"/>
      <c r="P62" s="2089"/>
      <c r="Q62" s="2089"/>
      <c r="R62" s="2089"/>
      <c r="S62" s="2089"/>
      <c r="T62" s="2089"/>
      <c r="U62" s="2089"/>
      <c r="V62" s="2089"/>
      <c r="W62" s="2089"/>
    </row>
    <row r="63" spans="1:23">
      <c r="A63" s="2110">
        <v>44</v>
      </c>
      <c r="B63" s="2079"/>
      <c r="C63" s="2078">
        <v>427</v>
      </c>
      <c r="D63" s="2079"/>
      <c r="E63" s="2079" t="s">
        <v>2619</v>
      </c>
      <c r="F63" s="2079"/>
      <c r="G63" s="2090">
        <v>0</v>
      </c>
      <c r="H63" s="2110"/>
      <c r="I63" s="2090">
        <v>0</v>
      </c>
      <c r="J63" s="2090"/>
      <c r="K63" s="2090">
        <v>0</v>
      </c>
      <c r="L63" s="2079"/>
      <c r="M63" s="2091" t="s">
        <v>2752</v>
      </c>
      <c r="N63" s="2079"/>
      <c r="O63" s="2092">
        <v>0</v>
      </c>
      <c r="P63" s="2092"/>
      <c r="Q63" s="2092">
        <v>0</v>
      </c>
      <c r="R63" s="2092"/>
      <c r="S63" s="2092">
        <v>0</v>
      </c>
      <c r="T63" s="2092"/>
      <c r="U63" s="994">
        <v>0</v>
      </c>
      <c r="V63" s="994"/>
      <c r="W63" s="994">
        <v>0</v>
      </c>
    </row>
    <row r="64" spans="1:23" ht="12.75" thickBot="1">
      <c r="A64" s="2110">
        <v>45</v>
      </c>
      <c r="B64" s="2079"/>
      <c r="C64" s="2078"/>
      <c r="D64" s="2079"/>
      <c r="E64" s="2079"/>
      <c r="F64" s="2079"/>
      <c r="G64" s="2110"/>
      <c r="H64" s="2110"/>
      <c r="I64" s="2110"/>
      <c r="J64" s="2110"/>
      <c r="K64" s="2090"/>
      <c r="L64" s="2079"/>
      <c r="M64" s="2079"/>
      <c r="N64" s="2079"/>
      <c r="O64" s="2145">
        <v>0</v>
      </c>
      <c r="P64" s="2089"/>
      <c r="Q64" s="2145">
        <v>0</v>
      </c>
      <c r="R64" s="2089"/>
      <c r="S64" s="2146">
        <v>0</v>
      </c>
      <c r="T64" s="2089"/>
      <c r="U64" s="2147">
        <v>0</v>
      </c>
      <c r="V64" s="2089"/>
      <c r="W64" s="2147">
        <v>0</v>
      </c>
    </row>
    <row r="65" spans="1:23" ht="12.75" thickTop="1">
      <c r="A65" s="2110">
        <v>46</v>
      </c>
      <c r="B65" s="2079" t="s">
        <v>2753</v>
      </c>
      <c r="C65" s="2078"/>
      <c r="D65" s="2079"/>
      <c r="E65" s="2079"/>
      <c r="F65" s="2079"/>
      <c r="G65" s="2110"/>
      <c r="H65" s="2110"/>
      <c r="I65" s="2110"/>
      <c r="J65" s="2110"/>
      <c r="K65" s="2110"/>
      <c r="L65" s="2079"/>
      <c r="M65" s="2079"/>
      <c r="N65" s="2079"/>
      <c r="O65" s="2079"/>
      <c r="P65" s="2079"/>
      <c r="Q65" s="2079"/>
      <c r="R65" s="2079"/>
      <c r="S65" s="2079"/>
      <c r="T65" s="2079"/>
      <c r="U65" s="2079"/>
      <c r="V65" s="2079"/>
      <c r="W65" s="2079"/>
    </row>
  </sheetData>
  <mergeCells count="6">
    <mergeCell ref="G15:K15"/>
    <mergeCell ref="U10:W10"/>
    <mergeCell ref="U11:W11"/>
    <mergeCell ref="U12:W12"/>
    <mergeCell ref="U13:W13"/>
    <mergeCell ref="O14:W14"/>
  </mergeCells>
  <pageMargins left="0.75" right="0.5" top="0.75" bottom="0.5" header="0.25" footer="0.25"/>
  <pageSetup scale="66"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W65"/>
  <sheetViews>
    <sheetView view="pageBreakPreview" zoomScale="60" zoomScaleNormal="100" workbookViewId="0">
      <selection sqref="A1:XFD1048576"/>
    </sheetView>
  </sheetViews>
  <sheetFormatPr defaultRowHeight="12"/>
  <cols>
    <col min="1" max="1" width="4" style="991" customWidth="1"/>
    <col min="2" max="2" width="3" style="991" customWidth="1"/>
    <col min="3" max="3" width="10.85546875" style="991" customWidth="1"/>
    <col min="4" max="4" width="2.28515625" style="991" customWidth="1"/>
    <col min="5" max="5" width="33.7109375" style="991" customWidth="1"/>
    <col min="6" max="6" width="2.28515625" style="991" customWidth="1"/>
    <col min="7" max="7" width="18" style="991" bestFit="1" customWidth="1"/>
    <col min="8" max="8" width="2.28515625" style="991" customWidth="1"/>
    <col min="9" max="9" width="12.7109375" style="991" customWidth="1"/>
    <col min="10" max="10" width="2.28515625" style="991" customWidth="1"/>
    <col min="11" max="11" width="9.7109375" style="991" customWidth="1"/>
    <col min="12" max="12" width="2.28515625" style="991" customWidth="1"/>
    <col min="13" max="13" width="19.140625" style="991" bestFit="1" customWidth="1"/>
    <col min="14" max="14" width="2.28515625" style="991" customWidth="1"/>
    <col min="15" max="15" width="18" style="991" bestFit="1" customWidth="1"/>
    <col min="16" max="16" width="2.28515625" style="991" customWidth="1"/>
    <col min="17" max="17" width="11.7109375" style="991" customWidth="1"/>
    <col min="18" max="18" width="4.85546875" style="991" customWidth="1"/>
    <col min="19" max="19" width="9.28515625" style="991" bestFit="1" customWidth="1"/>
    <col min="20" max="20" width="2.28515625" style="991" customWidth="1"/>
    <col min="21" max="21" width="5.7109375" style="991" bestFit="1" customWidth="1"/>
    <col min="22" max="22" width="2.28515625" style="991" customWidth="1"/>
    <col min="23" max="23" width="9.85546875" style="991" customWidth="1"/>
    <col min="24" max="16384" width="9.140625" style="991"/>
  </cols>
  <sheetData>
    <row r="1" spans="1:23">
      <c r="A1" s="2079"/>
      <c r="B1" s="2079"/>
      <c r="C1" s="2078"/>
      <c r="D1" s="2079"/>
      <c r="E1" s="2079"/>
      <c r="F1" s="2079"/>
      <c r="G1" s="2110"/>
      <c r="H1" s="2110"/>
      <c r="I1" s="2110"/>
      <c r="J1" s="2110"/>
      <c r="K1" s="2110"/>
      <c r="L1" s="2079"/>
      <c r="M1" s="2079"/>
      <c r="N1" s="2079"/>
      <c r="O1" s="2079"/>
      <c r="P1" s="2079"/>
      <c r="Q1" s="2079"/>
      <c r="R1" s="2079"/>
      <c r="S1" s="2079"/>
      <c r="T1" s="2079"/>
      <c r="U1" s="2079"/>
      <c r="V1" s="2079"/>
      <c r="W1" s="2078" t="s">
        <v>1209</v>
      </c>
    </row>
    <row r="2" spans="1:23">
      <c r="A2" s="2080" t="s">
        <v>2716</v>
      </c>
      <c r="B2" s="2079"/>
      <c r="C2" s="2078"/>
      <c r="D2" s="2079"/>
      <c r="E2" s="2079"/>
      <c r="F2" s="2079"/>
      <c r="G2" s="2110"/>
      <c r="H2" s="2137"/>
      <c r="I2" s="2137" t="s">
        <v>911</v>
      </c>
      <c r="J2" s="2137"/>
      <c r="K2" s="2137"/>
      <c r="L2" s="2138"/>
      <c r="M2" s="2079"/>
      <c r="N2" s="2079"/>
      <c r="O2" s="2079"/>
      <c r="P2" s="2079"/>
      <c r="Q2" s="2079"/>
      <c r="R2" s="2079"/>
      <c r="S2" s="2078"/>
      <c r="T2" s="2079"/>
      <c r="U2" s="2079"/>
      <c r="V2" s="2079"/>
      <c r="W2" s="2078"/>
    </row>
    <row r="3" spans="1:23">
      <c r="A3" s="2080"/>
      <c r="B3" s="2079"/>
      <c r="C3" s="2078"/>
      <c r="D3" s="2079"/>
      <c r="E3" s="2079"/>
      <c r="F3" s="2079"/>
      <c r="G3" s="2110"/>
      <c r="H3" s="2137"/>
      <c r="I3" s="2137"/>
      <c r="J3" s="2137"/>
      <c r="K3" s="2137"/>
      <c r="L3" s="2138"/>
      <c r="M3" s="2079"/>
      <c r="N3" s="2079"/>
      <c r="O3" s="2079"/>
      <c r="P3" s="2079"/>
      <c r="Q3" s="2079"/>
      <c r="R3" s="2079"/>
      <c r="S3" s="2080"/>
      <c r="T3" s="2079"/>
      <c r="U3" s="2079"/>
      <c r="V3" s="2079"/>
      <c r="W3" s="2078" t="s">
        <v>2717</v>
      </c>
    </row>
    <row r="4" spans="1:23">
      <c r="A4" s="2079" t="s">
        <v>2644</v>
      </c>
      <c r="B4" s="2080"/>
      <c r="C4" s="2080"/>
      <c r="D4" s="2079"/>
      <c r="E4" s="2079"/>
      <c r="F4" s="2079"/>
      <c r="G4" s="2110"/>
      <c r="H4" s="2137"/>
      <c r="I4" s="2137"/>
      <c r="J4" s="2137"/>
      <c r="K4" s="2137"/>
      <c r="L4" s="2138"/>
      <c r="M4" s="2079"/>
      <c r="N4" s="2079"/>
      <c r="O4" s="2079"/>
      <c r="P4" s="2079"/>
      <c r="Q4" s="2079"/>
      <c r="R4" s="2079"/>
      <c r="S4" s="2078"/>
      <c r="T4" s="2079"/>
      <c r="U4" s="2079"/>
      <c r="V4" s="2079"/>
      <c r="W4" s="2078" t="s">
        <v>2772</v>
      </c>
    </row>
    <row r="5" spans="1:23">
      <c r="A5" s="2080" t="s">
        <v>2719</v>
      </c>
      <c r="B5" s="2079"/>
      <c r="C5" s="2078"/>
      <c r="D5" s="2079"/>
      <c r="E5" s="2079"/>
      <c r="F5" s="2080"/>
      <c r="G5" s="2110"/>
      <c r="H5" s="2137"/>
      <c r="I5" s="2137"/>
      <c r="J5" s="2137"/>
      <c r="K5" s="2137"/>
      <c r="L5" s="2138"/>
      <c r="M5" s="2079"/>
      <c r="N5" s="2079"/>
      <c r="O5" s="2079"/>
      <c r="P5" s="2079"/>
      <c r="Q5" s="2079"/>
      <c r="R5" s="2079"/>
      <c r="S5" s="2078"/>
      <c r="T5" s="2079"/>
      <c r="U5" s="2079"/>
      <c r="V5" s="2079"/>
      <c r="W5" s="2078"/>
    </row>
    <row r="6" spans="1:23">
      <c r="A6" s="2080" t="s">
        <v>1935</v>
      </c>
      <c r="B6" s="2079"/>
      <c r="C6" s="2078"/>
      <c r="D6" s="2079"/>
      <c r="E6" s="2139"/>
      <c r="F6" s="2080"/>
      <c r="G6" s="2110"/>
      <c r="H6" s="2137"/>
      <c r="I6" s="2137"/>
      <c r="J6" s="2137"/>
      <c r="K6" s="2137"/>
      <c r="L6" s="2138"/>
      <c r="M6" s="2079"/>
      <c r="N6" s="2079"/>
      <c r="O6" s="2079"/>
      <c r="P6" s="2079"/>
      <c r="Q6" s="2079"/>
      <c r="R6" s="2079"/>
      <c r="S6" s="2080"/>
      <c r="T6" s="2079"/>
      <c r="U6" s="2079"/>
      <c r="V6" s="2079"/>
      <c r="W6" s="1011" t="s">
        <v>2950</v>
      </c>
    </row>
    <row r="7" spans="1:23">
      <c r="A7" s="2080" t="s">
        <v>1092</v>
      </c>
      <c r="B7" s="2079"/>
      <c r="C7" s="2078"/>
      <c r="D7" s="2079"/>
      <c r="E7" s="2079"/>
      <c r="F7" s="2080"/>
      <c r="G7" s="2110"/>
      <c r="H7" s="2137"/>
      <c r="I7" s="2137"/>
      <c r="J7" s="2137"/>
      <c r="K7" s="2137"/>
      <c r="L7" s="2138"/>
      <c r="M7" s="2079"/>
      <c r="N7" s="2079"/>
      <c r="O7" s="2079"/>
      <c r="P7" s="2079"/>
      <c r="Q7" s="2079"/>
      <c r="R7" s="2079"/>
      <c r="S7" s="2078"/>
      <c r="T7" s="2079"/>
      <c r="U7" s="2079"/>
      <c r="V7" s="2079"/>
      <c r="W7" s="2078"/>
    </row>
    <row r="8" spans="1:23">
      <c r="A8" s="2080" t="s">
        <v>717</v>
      </c>
      <c r="B8" s="2079"/>
      <c r="C8" s="2078"/>
      <c r="D8" s="2079"/>
      <c r="E8" s="2079"/>
      <c r="F8" s="2080"/>
      <c r="G8" s="2110"/>
      <c r="H8" s="2137"/>
      <c r="I8" s="2137"/>
      <c r="J8" s="2137"/>
      <c r="K8" s="2137"/>
      <c r="L8" s="2138"/>
      <c r="M8" s="2079"/>
      <c r="N8" s="2079"/>
      <c r="O8" s="2079"/>
      <c r="P8" s="2079"/>
      <c r="Q8" s="2079"/>
      <c r="R8" s="2079"/>
      <c r="S8" s="2079"/>
      <c r="T8" s="2079"/>
      <c r="U8" s="2079"/>
      <c r="V8" s="2079"/>
      <c r="W8" s="2079"/>
    </row>
    <row r="9" spans="1:23">
      <c r="A9" s="2079"/>
      <c r="B9" s="2079"/>
      <c r="C9" s="2078"/>
      <c r="D9" s="2079"/>
      <c r="E9" s="2079"/>
      <c r="F9" s="2079"/>
      <c r="G9" s="2110"/>
      <c r="H9" s="2110"/>
      <c r="I9" s="2110"/>
      <c r="J9" s="2110"/>
      <c r="K9" s="2110"/>
      <c r="L9" s="2079"/>
      <c r="M9" s="2079"/>
      <c r="N9" s="2079"/>
      <c r="O9" s="2079"/>
      <c r="P9" s="2079"/>
      <c r="Q9" s="2079"/>
      <c r="R9" s="2079"/>
      <c r="S9" s="2079"/>
      <c r="T9" s="2079"/>
      <c r="U9" s="2079"/>
      <c r="V9" s="2079"/>
      <c r="W9" s="2079"/>
    </row>
    <row r="10" spans="1:23">
      <c r="A10" s="2079" t="s">
        <v>2720</v>
      </c>
      <c r="B10" s="2079"/>
      <c r="C10" s="2078"/>
      <c r="D10" s="2079"/>
      <c r="E10" s="2079"/>
      <c r="F10" s="2079"/>
      <c r="G10" s="2110"/>
      <c r="H10" s="2110"/>
      <c r="I10" s="2110"/>
      <c r="J10" s="2110"/>
      <c r="K10" s="2110"/>
      <c r="L10" s="2079"/>
      <c r="M10" s="2079"/>
      <c r="N10" s="2079"/>
      <c r="O10" s="2079"/>
      <c r="P10" s="2079"/>
      <c r="Q10" s="2079"/>
      <c r="R10" s="2079"/>
      <c r="S10" s="2079"/>
      <c r="T10" s="2079"/>
      <c r="U10" s="2318" t="s">
        <v>2956</v>
      </c>
      <c r="V10" s="2318"/>
      <c r="W10" s="2318"/>
    </row>
    <row r="11" spans="1:23">
      <c r="A11" s="2080" t="s">
        <v>2721</v>
      </c>
      <c r="B11" s="2079"/>
      <c r="C11" s="2078"/>
      <c r="D11" s="2079"/>
      <c r="E11" s="2079"/>
      <c r="F11" s="2079"/>
      <c r="G11" s="2110"/>
      <c r="H11" s="2110"/>
      <c r="I11" s="2110"/>
      <c r="J11" s="2110"/>
      <c r="K11" s="2110"/>
      <c r="L11" s="2079"/>
      <c r="M11" s="2079"/>
      <c r="N11" s="2079"/>
      <c r="O11" s="2079"/>
      <c r="P11" s="2079"/>
      <c r="Q11" s="2079"/>
      <c r="R11" s="2079"/>
      <c r="S11" s="2079"/>
      <c r="T11" s="2079"/>
      <c r="U11" s="2317" t="s">
        <v>2722</v>
      </c>
      <c r="V11" s="2317"/>
      <c r="W11" s="2317"/>
    </row>
    <row r="12" spans="1:23">
      <c r="A12" s="2140"/>
      <c r="B12" s="2140"/>
      <c r="C12" s="2141"/>
      <c r="D12" s="2140"/>
      <c r="E12" s="2140"/>
      <c r="F12" s="2140"/>
      <c r="G12" s="2142"/>
      <c r="H12" s="2142"/>
      <c r="I12" s="2142"/>
      <c r="J12" s="2142"/>
      <c r="K12" s="2142"/>
      <c r="L12" s="2140"/>
      <c r="M12" s="2140"/>
      <c r="N12" s="2140"/>
      <c r="O12" s="2140"/>
      <c r="P12" s="2140"/>
      <c r="Q12" s="2140"/>
      <c r="R12" s="2140"/>
      <c r="S12" s="2140"/>
      <c r="T12" s="2140"/>
      <c r="U12" s="2319"/>
      <c r="V12" s="2319"/>
      <c r="W12" s="2319"/>
    </row>
    <row r="13" spans="1:23">
      <c r="A13" s="2082"/>
      <c r="B13" s="2082"/>
      <c r="C13" s="2083"/>
      <c r="D13" s="2082"/>
      <c r="E13" s="2082"/>
      <c r="F13" s="2082"/>
      <c r="G13" s="2084">
        <v>-1</v>
      </c>
      <c r="H13" s="2084"/>
      <c r="I13" s="2084">
        <v>-2</v>
      </c>
      <c r="J13" s="2084"/>
      <c r="K13" s="2084">
        <v>-3</v>
      </c>
      <c r="L13" s="2082"/>
      <c r="M13" s="2084">
        <v>-4</v>
      </c>
      <c r="N13" s="2082"/>
      <c r="O13" s="2084">
        <v>-5</v>
      </c>
      <c r="P13" s="2082"/>
      <c r="Q13" s="2084">
        <v>-6</v>
      </c>
      <c r="R13" s="2082"/>
      <c r="S13" s="2084">
        <v>-7</v>
      </c>
      <c r="T13" s="2082"/>
      <c r="U13" s="2320">
        <v>-8</v>
      </c>
      <c r="V13" s="2320"/>
      <c r="W13" s="2320"/>
    </row>
    <row r="14" spans="1:23">
      <c r="A14" s="2082"/>
      <c r="B14" s="2082"/>
      <c r="C14" s="2083"/>
      <c r="D14" s="2082"/>
      <c r="E14" s="2082"/>
      <c r="F14" s="2082"/>
      <c r="G14" s="2084"/>
      <c r="H14" s="2084"/>
      <c r="I14" s="2084"/>
      <c r="J14" s="2084"/>
      <c r="K14" s="2084"/>
      <c r="L14" s="2082"/>
      <c r="M14" s="2084"/>
      <c r="N14" s="2082"/>
      <c r="O14" s="2321" t="s">
        <v>2773</v>
      </c>
      <c r="P14" s="2321"/>
      <c r="Q14" s="2321"/>
      <c r="R14" s="2321"/>
      <c r="S14" s="2321"/>
      <c r="T14" s="2321"/>
      <c r="U14" s="2321"/>
      <c r="V14" s="2321"/>
      <c r="W14" s="2321"/>
    </row>
    <row r="15" spans="1:23">
      <c r="A15" s="2079"/>
      <c r="B15" s="2079"/>
      <c r="C15" s="2078"/>
      <c r="D15" s="2079"/>
      <c r="E15" s="2079"/>
      <c r="F15" s="2079"/>
      <c r="G15" s="2317" t="s">
        <v>2724</v>
      </c>
      <c r="H15" s="2317"/>
      <c r="I15" s="2317"/>
      <c r="J15" s="2317"/>
      <c r="K15" s="2317"/>
      <c r="L15" s="2143"/>
      <c r="M15" s="2143"/>
      <c r="N15" s="2143"/>
      <c r="O15" s="2143"/>
      <c r="P15" s="2140"/>
      <c r="Q15" s="2142" t="s">
        <v>2725</v>
      </c>
      <c r="R15" s="2140"/>
      <c r="S15" s="2140"/>
      <c r="T15" s="2079"/>
      <c r="U15" s="2143"/>
      <c r="V15" s="2142"/>
      <c r="W15" s="2142"/>
    </row>
    <row r="16" spans="1:23">
      <c r="A16" s="2079"/>
      <c r="B16" s="2079"/>
      <c r="C16" s="2110" t="s">
        <v>2726</v>
      </c>
      <c r="D16" s="2079"/>
      <c r="E16" s="2079"/>
      <c r="F16" s="2079"/>
      <c r="G16" s="2110"/>
      <c r="H16" s="2110"/>
      <c r="I16" s="2110" t="s">
        <v>1170</v>
      </c>
      <c r="J16" s="2110"/>
      <c r="K16" s="2110"/>
      <c r="L16" s="2079"/>
      <c r="M16" s="2110" t="s">
        <v>731</v>
      </c>
      <c r="N16" s="2079"/>
      <c r="O16" s="2110"/>
      <c r="P16" s="2079"/>
      <c r="Q16" s="2110" t="s">
        <v>1170</v>
      </c>
      <c r="R16" s="2079"/>
      <c r="S16" s="2110"/>
      <c r="T16" s="2079"/>
      <c r="U16" s="2110"/>
      <c r="V16" s="2079"/>
      <c r="W16" s="2110"/>
    </row>
    <row r="17" spans="1:23">
      <c r="A17" s="2110" t="s">
        <v>53</v>
      </c>
      <c r="B17" s="2079"/>
      <c r="C17" s="2110" t="s">
        <v>2727</v>
      </c>
      <c r="D17" s="2079"/>
      <c r="E17" s="2079"/>
      <c r="F17" s="2085"/>
      <c r="G17" s="2086"/>
      <c r="H17" s="2086"/>
      <c r="I17" s="2086" t="s">
        <v>2728</v>
      </c>
      <c r="J17" s="2086"/>
      <c r="K17" s="2086"/>
      <c r="L17" s="2085"/>
      <c r="M17" s="2110" t="s">
        <v>2729</v>
      </c>
      <c r="N17" s="2085"/>
      <c r="O17" s="2086"/>
      <c r="P17" s="2085"/>
      <c r="Q17" s="2086" t="s">
        <v>2728</v>
      </c>
      <c r="R17" s="2085"/>
      <c r="S17" s="2081"/>
      <c r="T17" s="2085"/>
      <c r="U17" s="2087">
        <v>0</v>
      </c>
      <c r="V17" s="2085"/>
      <c r="W17" s="2087">
        <v>1</v>
      </c>
    </row>
    <row r="18" spans="1:23">
      <c r="A18" s="2142" t="s">
        <v>730</v>
      </c>
      <c r="B18" s="2143"/>
      <c r="C18" s="2142" t="s">
        <v>730</v>
      </c>
      <c r="D18" s="2143"/>
      <c r="E18" s="2142" t="s">
        <v>731</v>
      </c>
      <c r="F18" s="2143"/>
      <c r="G18" s="2144" t="s">
        <v>2956</v>
      </c>
      <c r="H18" s="2142"/>
      <c r="I18" s="2142" t="s">
        <v>2730</v>
      </c>
      <c r="J18" s="2142"/>
      <c r="K18" s="2142" t="s">
        <v>81</v>
      </c>
      <c r="L18" s="2143"/>
      <c r="M18" s="2142" t="s">
        <v>2731</v>
      </c>
      <c r="N18" s="2143"/>
      <c r="O18" s="2144" t="s">
        <v>2956</v>
      </c>
      <c r="P18" s="2143"/>
      <c r="Q18" s="2142" t="s">
        <v>2730</v>
      </c>
      <c r="R18" s="2143"/>
      <c r="S18" s="2142" t="s">
        <v>81</v>
      </c>
      <c r="T18" s="2143"/>
      <c r="U18" s="2142" t="s">
        <v>498</v>
      </c>
      <c r="V18" s="2143"/>
      <c r="W18" s="2142" t="s">
        <v>670</v>
      </c>
    </row>
    <row r="19" spans="1:23">
      <c r="A19" s="2079"/>
      <c r="B19" s="2079"/>
      <c r="C19" s="2078"/>
      <c r="D19" s="2079"/>
      <c r="E19" s="2079"/>
      <c r="F19" s="2079"/>
      <c r="G19" s="2110"/>
      <c r="H19" s="2110"/>
      <c r="I19" s="2110"/>
      <c r="J19" s="2110"/>
      <c r="K19" s="2110"/>
      <c r="L19" s="2079"/>
      <c r="M19" s="2079"/>
      <c r="N19" s="2079"/>
      <c r="O19" s="2079"/>
      <c r="P19" s="2079"/>
      <c r="Q19" s="2079"/>
      <c r="R19" s="2079"/>
      <c r="S19" s="2079"/>
      <c r="T19" s="2079"/>
      <c r="U19" s="2079"/>
      <c r="V19" s="2079"/>
      <c r="W19" s="2079"/>
    </row>
    <row r="20" spans="1:23">
      <c r="A20" s="2110">
        <v>1</v>
      </c>
      <c r="B20" s="2088" t="s">
        <v>2732</v>
      </c>
      <c r="C20" s="2078"/>
      <c r="D20" s="2079"/>
      <c r="E20" s="2079"/>
      <c r="F20" s="2079"/>
      <c r="G20" s="2110"/>
      <c r="H20" s="2110"/>
      <c r="I20" s="2110"/>
      <c r="J20" s="2110"/>
      <c r="K20" s="2110"/>
      <c r="L20" s="2079"/>
      <c r="M20" s="2079"/>
      <c r="N20" s="2079"/>
      <c r="O20" s="2089"/>
      <c r="P20" s="2089"/>
      <c r="Q20" s="2089"/>
      <c r="R20" s="2089"/>
      <c r="S20" s="2089"/>
      <c r="T20" s="2089"/>
      <c r="U20" s="2089"/>
      <c r="V20" s="2089"/>
      <c r="W20" s="2089"/>
    </row>
    <row r="21" spans="1:23">
      <c r="A21" s="2110">
        <v>2</v>
      </c>
      <c r="B21" s="2079"/>
      <c r="C21" s="2078">
        <v>403</v>
      </c>
      <c r="D21" s="2079"/>
      <c r="E21" s="2079" t="s">
        <v>379</v>
      </c>
      <c r="F21" s="2079"/>
      <c r="G21" s="2090">
        <v>1.1801624747959108E-2</v>
      </c>
      <c r="H21" s="2110"/>
      <c r="I21" s="2090">
        <v>0.98819837525204102</v>
      </c>
      <c r="J21" s="2090"/>
      <c r="K21" s="2090">
        <v>1</v>
      </c>
      <c r="L21" s="2079"/>
      <c r="M21" s="2091" t="s">
        <v>347</v>
      </c>
      <c r="N21" s="2079"/>
      <c r="O21" s="2092">
        <v>3922.3500000000004</v>
      </c>
      <c r="P21" s="2092"/>
      <c r="Q21" s="2089">
        <v>328434.43</v>
      </c>
      <c r="R21" s="2092"/>
      <c r="S21" s="2092">
        <v>332356.77999999997</v>
      </c>
      <c r="T21" s="2092"/>
      <c r="U21" s="2089">
        <v>0</v>
      </c>
      <c r="V21" s="2089"/>
      <c r="W21" s="2089">
        <v>3922.3500000000004</v>
      </c>
    </row>
    <row r="22" spans="1:23">
      <c r="A22" s="2110">
        <v>3</v>
      </c>
      <c r="B22" s="2079"/>
      <c r="C22" s="2078">
        <v>408</v>
      </c>
      <c r="D22" s="2079"/>
      <c r="E22" s="2079" t="s">
        <v>25</v>
      </c>
      <c r="F22" s="2079"/>
      <c r="G22" s="2090">
        <v>1.2124308193754985E-2</v>
      </c>
      <c r="H22" s="2110"/>
      <c r="I22" s="2090">
        <v>0.98787569180624513</v>
      </c>
      <c r="J22" s="2090"/>
      <c r="K22" s="2090">
        <v>1</v>
      </c>
      <c r="L22" s="2079"/>
      <c r="M22" s="2091" t="s">
        <v>347</v>
      </c>
      <c r="N22" s="2079"/>
      <c r="O22" s="2092">
        <v>366.92</v>
      </c>
      <c r="P22" s="2089"/>
      <c r="Q22" s="2089">
        <v>29896.25</v>
      </c>
      <c r="R22" s="2089"/>
      <c r="S22" s="2092">
        <v>30263.17</v>
      </c>
      <c r="T22" s="2089"/>
      <c r="U22" s="2089">
        <v>0</v>
      </c>
      <c r="V22" s="2089"/>
      <c r="W22" s="2089">
        <v>366.92</v>
      </c>
    </row>
    <row r="23" spans="1:23">
      <c r="A23" s="2110">
        <v>4</v>
      </c>
      <c r="B23" s="2079"/>
      <c r="C23" s="2078">
        <v>409</v>
      </c>
      <c r="D23" s="2079"/>
      <c r="E23" s="2079" t="s">
        <v>2733</v>
      </c>
      <c r="F23" s="2079"/>
      <c r="G23" s="2090">
        <v>0</v>
      </c>
      <c r="H23" s="2110"/>
      <c r="I23" s="2090">
        <v>0</v>
      </c>
      <c r="J23" s="2090"/>
      <c r="K23" s="2090">
        <v>0</v>
      </c>
      <c r="L23" s="2079"/>
      <c r="M23" s="2091" t="s">
        <v>347</v>
      </c>
      <c r="N23" s="2079"/>
      <c r="O23" s="2092">
        <v>0</v>
      </c>
      <c r="P23" s="2089"/>
      <c r="Q23" s="2089">
        <v>0</v>
      </c>
      <c r="R23" s="2089"/>
      <c r="S23" s="2092">
        <v>0</v>
      </c>
      <c r="T23" s="2089"/>
      <c r="U23" s="2089">
        <v>0</v>
      </c>
      <c r="V23" s="2089"/>
      <c r="W23" s="2089">
        <v>0</v>
      </c>
    </row>
    <row r="24" spans="1:23">
      <c r="A24" s="2110">
        <v>5</v>
      </c>
      <c r="B24" s="2079"/>
      <c r="C24" s="2078">
        <v>410</v>
      </c>
      <c r="D24" s="2079"/>
      <c r="E24" s="2079" t="s">
        <v>2734</v>
      </c>
      <c r="F24" s="2079"/>
      <c r="G24" s="2090">
        <v>0</v>
      </c>
      <c r="H24" s="2110"/>
      <c r="I24" s="2090">
        <v>0</v>
      </c>
      <c r="J24" s="2090"/>
      <c r="K24" s="2090">
        <v>0</v>
      </c>
      <c r="L24" s="2079"/>
      <c r="M24" s="2091" t="s">
        <v>347</v>
      </c>
      <c r="N24" s="2079"/>
      <c r="O24" s="2092">
        <v>0</v>
      </c>
      <c r="P24" s="2089"/>
      <c r="Q24" s="2089">
        <v>0</v>
      </c>
      <c r="R24" s="2089"/>
      <c r="S24" s="2092">
        <v>0</v>
      </c>
      <c r="T24" s="2089"/>
      <c r="U24" s="2089">
        <v>0</v>
      </c>
      <c r="V24" s="2089"/>
      <c r="W24" s="2089">
        <v>0</v>
      </c>
    </row>
    <row r="25" spans="1:23">
      <c r="A25" s="2110">
        <v>6</v>
      </c>
      <c r="B25" s="2079"/>
      <c r="C25" s="2078" t="s">
        <v>2735</v>
      </c>
      <c r="D25" s="2079"/>
      <c r="E25" s="2079" t="s">
        <v>530</v>
      </c>
      <c r="F25" s="2079"/>
      <c r="G25" s="2090">
        <v>1.2124920523145712E-2</v>
      </c>
      <c r="H25" s="2110"/>
      <c r="I25" s="2090">
        <v>0.98787507947685438</v>
      </c>
      <c r="J25" s="2090"/>
      <c r="K25" s="2090">
        <v>1</v>
      </c>
      <c r="L25" s="2079"/>
      <c r="M25" s="2091" t="s">
        <v>347</v>
      </c>
      <c r="N25" s="2079"/>
      <c r="O25" s="2092">
        <v>-35.47</v>
      </c>
      <c r="P25" s="2089"/>
      <c r="Q25" s="2089">
        <v>-2889.91</v>
      </c>
      <c r="R25" s="2089"/>
      <c r="S25" s="2092">
        <v>-2925.3799999999997</v>
      </c>
      <c r="T25" s="2089"/>
      <c r="U25" s="2089">
        <v>0</v>
      </c>
      <c r="V25" s="2089"/>
      <c r="W25" s="2089">
        <v>-35.47</v>
      </c>
    </row>
    <row r="26" spans="1:23">
      <c r="A26" s="2110">
        <v>7</v>
      </c>
      <c r="B26" s="2079"/>
      <c r="C26" s="2078">
        <v>427</v>
      </c>
      <c r="D26" s="2079"/>
      <c r="E26" s="2079" t="s">
        <v>2619</v>
      </c>
      <c r="F26" s="2079"/>
      <c r="G26" s="2090">
        <v>1.2114123396967292E-2</v>
      </c>
      <c r="H26" s="2110"/>
      <c r="I26" s="2090">
        <v>0.98788587660303273</v>
      </c>
      <c r="J26" s="2090"/>
      <c r="K26" s="2090">
        <v>1</v>
      </c>
      <c r="L26" s="2079"/>
      <c r="M26" s="2091" t="s">
        <v>347</v>
      </c>
      <c r="N26" s="2079"/>
      <c r="O26" s="2092">
        <v>-5.8</v>
      </c>
      <c r="P26" s="2089"/>
      <c r="Q26" s="2089">
        <v>-472.97999999999996</v>
      </c>
      <c r="R26" s="2089"/>
      <c r="S26" s="2092">
        <v>-478.78</v>
      </c>
      <c r="T26" s="2089"/>
      <c r="U26" s="2089">
        <v>0</v>
      </c>
      <c r="V26" s="2089"/>
      <c r="W26" s="2089">
        <v>-5.8</v>
      </c>
    </row>
    <row r="27" spans="1:23">
      <c r="A27" s="2110">
        <v>8</v>
      </c>
      <c r="B27" s="2079"/>
      <c r="C27" s="2078" t="s">
        <v>2736</v>
      </c>
      <c r="D27" s="2079"/>
      <c r="E27" s="2079" t="s">
        <v>2737</v>
      </c>
      <c r="F27" s="2079"/>
      <c r="G27" s="2090">
        <v>1.2124156943567745E-2</v>
      </c>
      <c r="H27" s="2110"/>
      <c r="I27" s="2090">
        <v>0.98787584305643228</v>
      </c>
      <c r="J27" s="2090"/>
      <c r="K27" s="2090">
        <v>1</v>
      </c>
      <c r="L27" s="2079"/>
      <c r="M27" s="2091" t="s">
        <v>347</v>
      </c>
      <c r="N27" s="2091"/>
      <c r="O27" s="2092">
        <v>5572.8200000000006</v>
      </c>
      <c r="P27" s="2092"/>
      <c r="Q27" s="2089">
        <v>454073.16</v>
      </c>
      <c r="R27" s="2092"/>
      <c r="S27" s="2092">
        <v>459645.98</v>
      </c>
      <c r="T27" s="2092"/>
      <c r="U27" s="2089">
        <v>0</v>
      </c>
      <c r="V27" s="2089"/>
      <c r="W27" s="2089">
        <v>5572.8200000000006</v>
      </c>
    </row>
    <row r="28" spans="1:23">
      <c r="A28" s="2110">
        <v>9</v>
      </c>
      <c r="B28" s="2079"/>
      <c r="C28" s="2078" t="s">
        <v>2002</v>
      </c>
      <c r="D28" s="2079"/>
      <c r="E28" s="2079" t="s">
        <v>2738</v>
      </c>
      <c r="F28" s="2079"/>
      <c r="G28" s="2090">
        <v>1.2124193278534133E-2</v>
      </c>
      <c r="H28" s="2110"/>
      <c r="I28" s="2090">
        <v>0.9878758067214658</v>
      </c>
      <c r="J28" s="2090"/>
      <c r="K28" s="2090">
        <v>1</v>
      </c>
      <c r="L28" s="2079"/>
      <c r="M28" s="2091" t="s">
        <v>347</v>
      </c>
      <c r="N28" s="2079"/>
      <c r="O28" s="2092">
        <v>6511.7899999999991</v>
      </c>
      <c r="P28" s="2089"/>
      <c r="Q28" s="2089">
        <v>530578.78999999992</v>
      </c>
      <c r="R28" s="2089"/>
      <c r="S28" s="2092">
        <v>537090.57999999996</v>
      </c>
      <c r="T28" s="2089"/>
      <c r="U28" s="2089">
        <v>0</v>
      </c>
      <c r="V28" s="2089"/>
      <c r="W28" s="2089">
        <v>6511.7899999999991</v>
      </c>
    </row>
    <row r="29" spans="1:23">
      <c r="A29" s="2110">
        <v>10</v>
      </c>
      <c r="B29" s="2079"/>
      <c r="C29" s="2078" t="s">
        <v>1991</v>
      </c>
      <c r="D29" s="2079"/>
      <c r="E29" s="2079" t="s">
        <v>2739</v>
      </c>
      <c r="F29" s="2079"/>
      <c r="G29" s="2090">
        <v>1.2124204942201787E-2</v>
      </c>
      <c r="H29" s="2110"/>
      <c r="I29" s="2090">
        <v>0.98787579505779821</v>
      </c>
      <c r="J29" s="2090"/>
      <c r="K29" s="2090">
        <v>1</v>
      </c>
      <c r="L29" s="2079"/>
      <c r="M29" s="2091" t="s">
        <v>347</v>
      </c>
      <c r="N29" s="2079"/>
      <c r="O29" s="2092">
        <v>772.9</v>
      </c>
      <c r="P29" s="2089"/>
      <c r="Q29" s="2089">
        <v>62975.609999999993</v>
      </c>
      <c r="R29" s="2089"/>
      <c r="S29" s="2092">
        <v>63748.509999999995</v>
      </c>
      <c r="T29" s="2089"/>
      <c r="U29" s="2089">
        <v>0</v>
      </c>
      <c r="V29" s="2089"/>
      <c r="W29" s="2089">
        <v>772.9</v>
      </c>
    </row>
    <row r="30" spans="1:23">
      <c r="A30" s="2110">
        <v>11</v>
      </c>
      <c r="B30" s="2079"/>
      <c r="C30" s="2078" t="s">
        <v>2056</v>
      </c>
      <c r="D30" s="2079"/>
      <c r="E30" s="2079" t="s">
        <v>2740</v>
      </c>
      <c r="F30" s="2079"/>
      <c r="G30" s="2090">
        <v>1.2124090656959451E-2</v>
      </c>
      <c r="H30" s="2110"/>
      <c r="I30" s="2090">
        <v>0.98787590934304059</v>
      </c>
      <c r="J30" s="2090"/>
      <c r="K30" s="2090">
        <v>1</v>
      </c>
      <c r="L30" s="2079"/>
      <c r="M30" s="2091" t="s">
        <v>347</v>
      </c>
      <c r="N30" s="2079"/>
      <c r="O30" s="2092">
        <v>919.98</v>
      </c>
      <c r="P30" s="2089"/>
      <c r="Q30" s="2089">
        <v>74960.350000000006</v>
      </c>
      <c r="R30" s="2089"/>
      <c r="S30" s="2092">
        <v>75880.33</v>
      </c>
      <c r="T30" s="2089"/>
      <c r="U30" s="2089">
        <v>0</v>
      </c>
      <c r="V30" s="2089"/>
      <c r="W30" s="2089">
        <v>919.98</v>
      </c>
    </row>
    <row r="31" spans="1:23">
      <c r="A31" s="2110">
        <v>12</v>
      </c>
      <c r="B31" s="2079"/>
      <c r="C31" s="2078" t="s">
        <v>2063</v>
      </c>
      <c r="D31" s="2079"/>
      <c r="E31" s="2079" t="s">
        <v>1248</v>
      </c>
      <c r="F31" s="2079"/>
      <c r="G31" s="2090">
        <v>0</v>
      </c>
      <c r="H31" s="2110"/>
      <c r="I31" s="2090">
        <v>0</v>
      </c>
      <c r="J31" s="2090"/>
      <c r="K31" s="2090">
        <v>0</v>
      </c>
      <c r="L31" s="2079"/>
      <c r="M31" s="2091" t="s">
        <v>347</v>
      </c>
      <c r="N31" s="2079"/>
      <c r="O31" s="2092">
        <v>0</v>
      </c>
      <c r="P31" s="2089"/>
      <c r="Q31" s="2089">
        <v>0</v>
      </c>
      <c r="R31" s="2089"/>
      <c r="S31" s="2092">
        <v>0</v>
      </c>
      <c r="T31" s="2089"/>
      <c r="U31" s="2089">
        <v>0</v>
      </c>
      <c r="V31" s="2089"/>
      <c r="W31" s="2089">
        <v>0</v>
      </c>
    </row>
    <row r="32" spans="1:23">
      <c r="A32" s="2110">
        <v>13</v>
      </c>
      <c r="B32" s="2079"/>
      <c r="C32" s="2078" t="s">
        <v>1981</v>
      </c>
      <c r="D32" s="2079"/>
      <c r="E32" s="2079" t="s">
        <v>1250</v>
      </c>
      <c r="F32" s="2079"/>
      <c r="G32" s="2090">
        <v>1.2124213523921354E-2</v>
      </c>
      <c r="H32" s="2110"/>
      <c r="I32" s="2090">
        <v>0.98787578647607865</v>
      </c>
      <c r="J32" s="2090"/>
      <c r="K32" s="2090">
        <v>1</v>
      </c>
      <c r="L32" s="2079"/>
      <c r="M32" s="2091" t="s">
        <v>347</v>
      </c>
      <c r="N32" s="2079"/>
      <c r="O32" s="2092">
        <v>1468.67</v>
      </c>
      <c r="P32" s="2089"/>
      <c r="Q32" s="2089">
        <v>119666.61000000002</v>
      </c>
      <c r="R32" s="2089"/>
      <c r="S32" s="2092">
        <v>121135.28000000001</v>
      </c>
      <c r="T32" s="2089"/>
      <c r="U32" s="2089">
        <v>0</v>
      </c>
      <c r="V32" s="2089"/>
      <c r="W32" s="2089">
        <v>1468.67</v>
      </c>
    </row>
    <row r="33" spans="1:23">
      <c r="A33" s="2110">
        <v>14</v>
      </c>
      <c r="B33" s="2079"/>
      <c r="C33" s="2078" t="s">
        <v>2741</v>
      </c>
      <c r="D33" s="2079"/>
      <c r="E33" s="2079" t="s">
        <v>2742</v>
      </c>
      <c r="F33" s="2079"/>
      <c r="G33" s="2090">
        <v>1.2123799359658485E-2</v>
      </c>
      <c r="H33" s="2110"/>
      <c r="I33" s="2090">
        <v>0.98787620064034154</v>
      </c>
      <c r="J33" s="2090"/>
      <c r="K33" s="2090">
        <v>1</v>
      </c>
      <c r="L33" s="2079"/>
      <c r="M33" s="2091" t="s">
        <v>347</v>
      </c>
      <c r="N33" s="2079"/>
      <c r="O33" s="2092">
        <v>22.72</v>
      </c>
      <c r="P33" s="2089"/>
      <c r="Q33" s="2089">
        <v>1851.28</v>
      </c>
      <c r="R33" s="2089"/>
      <c r="S33" s="2092">
        <v>1874</v>
      </c>
      <c r="T33" s="2089"/>
      <c r="U33" s="2089">
        <v>0</v>
      </c>
      <c r="V33" s="2089"/>
      <c r="W33" s="2089">
        <v>22.72</v>
      </c>
    </row>
    <row r="34" spans="1:23">
      <c r="A34" s="2110">
        <v>15</v>
      </c>
      <c r="B34" s="2079"/>
      <c r="C34" s="2078" t="s">
        <v>2076</v>
      </c>
      <c r="D34" s="2079"/>
      <c r="E34" s="2079" t="s">
        <v>2519</v>
      </c>
      <c r="F34" s="2079"/>
      <c r="G34" s="2090">
        <v>1.2111095326040631E-2</v>
      </c>
      <c r="H34" s="2110"/>
      <c r="I34" s="2090">
        <v>0.98788890467395929</v>
      </c>
      <c r="J34" s="2090"/>
      <c r="K34" s="2090">
        <v>1</v>
      </c>
      <c r="L34" s="2079"/>
      <c r="M34" s="2091" t="s">
        <v>347</v>
      </c>
      <c r="N34" s="2079"/>
      <c r="O34" s="2092">
        <v>6.82</v>
      </c>
      <c r="P34" s="2089"/>
      <c r="Q34" s="2089">
        <v>556.29999999999995</v>
      </c>
      <c r="R34" s="2089"/>
      <c r="S34" s="2092">
        <v>563.12</v>
      </c>
      <c r="T34" s="2089"/>
      <c r="U34" s="2089">
        <v>0</v>
      </c>
      <c r="V34" s="2089"/>
      <c r="W34" s="2089">
        <v>6.82</v>
      </c>
    </row>
    <row r="35" spans="1:23">
      <c r="A35" s="2110">
        <v>16</v>
      </c>
      <c r="B35" s="2079"/>
      <c r="C35" s="2078" t="s">
        <v>2743</v>
      </c>
      <c r="D35" s="2079"/>
      <c r="E35" s="2079" t="s">
        <v>2523</v>
      </c>
      <c r="F35" s="2079"/>
      <c r="G35" s="2090">
        <v>1.2124179352443752E-2</v>
      </c>
      <c r="H35" s="2110"/>
      <c r="I35" s="2090">
        <v>0.9878758206475563</v>
      </c>
      <c r="J35" s="2090"/>
      <c r="K35" s="2090">
        <v>1</v>
      </c>
      <c r="L35" s="2079"/>
      <c r="M35" s="2091" t="s">
        <v>347</v>
      </c>
      <c r="N35" s="2079"/>
      <c r="O35" s="2092">
        <v>2339.9299999999998</v>
      </c>
      <c r="P35" s="2089"/>
      <c r="Q35" s="2089">
        <v>190657.05000000002</v>
      </c>
      <c r="R35" s="2089"/>
      <c r="S35" s="2092">
        <v>192996.98</v>
      </c>
      <c r="T35" s="2089"/>
      <c r="U35" s="2089">
        <v>0</v>
      </c>
      <c r="V35" s="2089"/>
      <c r="W35" s="2089">
        <v>2339.9299999999998</v>
      </c>
    </row>
    <row r="36" spans="1:23">
      <c r="A36" s="2110">
        <v>17</v>
      </c>
      <c r="B36" s="2079"/>
      <c r="C36" s="2078" t="s">
        <v>2015</v>
      </c>
      <c r="D36" s="2079"/>
      <c r="E36" s="2079" t="s">
        <v>2744</v>
      </c>
      <c r="F36" s="2079"/>
      <c r="G36" s="2090">
        <v>1.2124176158864929E-2</v>
      </c>
      <c r="H36" s="2110"/>
      <c r="I36" s="2090">
        <v>0.98787582384113504</v>
      </c>
      <c r="J36" s="2090"/>
      <c r="K36" s="2090">
        <v>1</v>
      </c>
      <c r="L36" s="2079"/>
      <c r="M36" s="2091" t="s">
        <v>347</v>
      </c>
      <c r="N36" s="2079"/>
      <c r="O36" s="2092">
        <v>1985.22</v>
      </c>
      <c r="P36" s="2089"/>
      <c r="Q36" s="2089">
        <v>161755.38999999998</v>
      </c>
      <c r="R36" s="2089"/>
      <c r="S36" s="2092">
        <v>163740.60999999999</v>
      </c>
      <c r="T36" s="2089"/>
      <c r="U36" s="2089">
        <v>0</v>
      </c>
      <c r="V36" s="2089"/>
      <c r="W36" s="2089">
        <v>1985.22</v>
      </c>
    </row>
    <row r="37" spans="1:23">
      <c r="A37" s="2110">
        <v>18</v>
      </c>
      <c r="B37" s="2079"/>
      <c r="C37" s="2078" t="s">
        <v>1984</v>
      </c>
      <c r="D37" s="2079"/>
      <c r="E37" s="2079" t="s">
        <v>1253</v>
      </c>
      <c r="F37" s="2079"/>
      <c r="G37" s="2090">
        <v>1.2122057649529921E-2</v>
      </c>
      <c r="H37" s="2110"/>
      <c r="I37" s="2090">
        <v>0.98787794235047</v>
      </c>
      <c r="J37" s="2090"/>
      <c r="K37" s="2090">
        <v>1</v>
      </c>
      <c r="L37" s="2079"/>
      <c r="M37" s="2091" t="s">
        <v>347</v>
      </c>
      <c r="N37" s="2079"/>
      <c r="O37" s="2092">
        <v>15.64</v>
      </c>
      <c r="P37" s="2089"/>
      <c r="Q37" s="2089">
        <v>1274.57</v>
      </c>
      <c r="R37" s="2089"/>
      <c r="S37" s="2092">
        <v>1290.21</v>
      </c>
      <c r="T37" s="2089"/>
      <c r="U37" s="2089">
        <v>0</v>
      </c>
      <c r="V37" s="2089"/>
      <c r="W37" s="2089">
        <v>15.64</v>
      </c>
    </row>
    <row r="38" spans="1:23">
      <c r="A38" s="2110">
        <v>19</v>
      </c>
      <c r="B38" s="2079"/>
      <c r="C38" s="2078" t="s">
        <v>1998</v>
      </c>
      <c r="D38" s="2079"/>
      <c r="E38" s="2079" t="s">
        <v>2535</v>
      </c>
      <c r="F38" s="2079"/>
      <c r="G38" s="2090">
        <v>1.2124089810380555E-2</v>
      </c>
      <c r="H38" s="2110"/>
      <c r="I38" s="2090">
        <v>0.9878759101896194</v>
      </c>
      <c r="J38" s="2090"/>
      <c r="K38" s="2090">
        <v>1</v>
      </c>
      <c r="L38" s="2079"/>
      <c r="M38" s="2091" t="s">
        <v>347</v>
      </c>
      <c r="N38" s="2079"/>
      <c r="O38" s="2092">
        <v>1719.9799999999998</v>
      </c>
      <c r="P38" s="2089"/>
      <c r="Q38" s="2089">
        <v>140144.68999999997</v>
      </c>
      <c r="R38" s="2089"/>
      <c r="S38" s="2092">
        <v>141864.66999999998</v>
      </c>
      <c r="T38" s="2089"/>
      <c r="U38" s="2089">
        <v>0</v>
      </c>
      <c r="V38" s="2089"/>
      <c r="W38" s="2089">
        <v>1719.9799999999998</v>
      </c>
    </row>
    <row r="39" spans="1:23" ht="12.75" thickBot="1">
      <c r="A39" s="2110">
        <v>20</v>
      </c>
      <c r="B39" s="2079"/>
      <c r="C39" s="2078"/>
      <c r="D39" s="2079"/>
      <c r="E39" s="2079"/>
      <c r="F39" s="2079"/>
      <c r="G39" s="2090"/>
      <c r="H39" s="2110"/>
      <c r="I39" s="2110"/>
      <c r="J39" s="2110"/>
      <c r="K39" s="2110"/>
      <c r="L39" s="2079"/>
      <c r="M39" s="2079"/>
      <c r="N39" s="2079"/>
      <c r="O39" s="2093">
        <v>25584.469999999998</v>
      </c>
      <c r="P39" s="2089"/>
      <c r="Q39" s="2093">
        <v>2093461.59</v>
      </c>
      <c r="R39" s="2089"/>
      <c r="S39" s="2093">
        <v>2119046.06</v>
      </c>
      <c r="T39" s="2089"/>
      <c r="U39" s="2094">
        <v>0</v>
      </c>
      <c r="V39" s="2089"/>
      <c r="W39" s="2094">
        <v>25584.469999999998</v>
      </c>
    </row>
    <row r="40" spans="1:23" ht="12.75" thickTop="1">
      <c r="A40" s="2110">
        <v>21</v>
      </c>
      <c r="B40" s="2079"/>
      <c r="C40" s="2078"/>
      <c r="D40" s="2079"/>
      <c r="E40" s="2079"/>
      <c r="F40" s="2079"/>
      <c r="G40" s="2090"/>
      <c r="H40" s="2110"/>
      <c r="I40" s="2110"/>
      <c r="J40" s="2110"/>
      <c r="K40" s="2110"/>
      <c r="L40" s="2079"/>
      <c r="M40" s="2079"/>
      <c r="N40" s="2079"/>
      <c r="O40" s="2089"/>
      <c r="P40" s="2089"/>
      <c r="Q40" s="2089"/>
      <c r="R40" s="2089"/>
      <c r="S40" s="2089"/>
      <c r="T40" s="2089"/>
      <c r="U40" s="2089"/>
      <c r="V40" s="2089"/>
      <c r="W40" s="2089"/>
    </row>
    <row r="41" spans="1:23">
      <c r="A41" s="2110">
        <v>22</v>
      </c>
      <c r="B41" s="2088" t="s">
        <v>2745</v>
      </c>
      <c r="C41" s="2078"/>
      <c r="D41" s="2079"/>
      <c r="E41" s="2079"/>
      <c r="F41" s="2079"/>
      <c r="G41" s="2090"/>
      <c r="H41" s="2110"/>
      <c r="I41" s="2090"/>
      <c r="J41" s="2090"/>
      <c r="K41" s="2090"/>
      <c r="L41" s="2079"/>
      <c r="M41" s="2079"/>
      <c r="N41" s="2079"/>
      <c r="O41" s="2089"/>
      <c r="P41" s="2089"/>
      <c r="Q41" s="2089"/>
      <c r="R41" s="2089"/>
      <c r="S41" s="2089"/>
      <c r="T41" s="2089"/>
      <c r="U41" s="2089"/>
      <c r="V41" s="2089"/>
      <c r="W41" s="2089"/>
    </row>
    <row r="42" spans="1:23">
      <c r="A42" s="2110">
        <v>23</v>
      </c>
      <c r="B42" s="2079"/>
      <c r="C42" s="2078"/>
      <c r="D42" s="2079"/>
      <c r="E42" s="2079"/>
      <c r="F42" s="2079"/>
      <c r="G42" s="2090"/>
      <c r="H42" s="2110"/>
      <c r="I42" s="2090"/>
      <c r="J42" s="2090"/>
      <c r="K42" s="2090"/>
      <c r="L42" s="2079"/>
      <c r="M42" s="2079"/>
      <c r="N42" s="2079"/>
      <c r="O42" s="2089"/>
      <c r="P42" s="2089"/>
      <c r="Q42" s="2089"/>
      <c r="R42" s="2089"/>
      <c r="S42" s="2089"/>
      <c r="T42" s="2089"/>
      <c r="U42" s="2089"/>
      <c r="V42" s="2089"/>
      <c r="W42" s="2089"/>
    </row>
    <row r="43" spans="1:23">
      <c r="A43" s="2110">
        <v>24</v>
      </c>
      <c r="B43" s="2079"/>
      <c r="C43" s="2078">
        <v>403</v>
      </c>
      <c r="D43" s="2079"/>
      <c r="E43" s="2079" t="s">
        <v>2746</v>
      </c>
      <c r="F43" s="2079"/>
      <c r="G43" s="2090">
        <v>4.3053283572074774E-2</v>
      </c>
      <c r="H43" s="2110"/>
      <c r="I43" s="2090">
        <v>0.95694671642792517</v>
      </c>
      <c r="J43" s="2090"/>
      <c r="K43" s="2090">
        <v>1</v>
      </c>
      <c r="L43" s="2079"/>
      <c r="M43" s="2091" t="s">
        <v>347</v>
      </c>
      <c r="N43" s="2079"/>
      <c r="O43" s="2092">
        <v>1116.45</v>
      </c>
      <c r="P43" s="2092"/>
      <c r="Q43" s="2092">
        <v>24815.37</v>
      </c>
      <c r="R43" s="2092"/>
      <c r="S43" s="2092">
        <v>25931.82</v>
      </c>
      <c r="T43" s="2092"/>
      <c r="U43" s="994">
        <v>0</v>
      </c>
      <c r="V43" s="994"/>
      <c r="W43" s="994">
        <v>1116.45</v>
      </c>
    </row>
    <row r="44" spans="1:23">
      <c r="A44" s="2110">
        <v>25</v>
      </c>
      <c r="B44" s="2079"/>
      <c r="C44" s="2078">
        <v>408</v>
      </c>
      <c r="D44" s="2079"/>
      <c r="E44" s="2079" t="s">
        <v>25</v>
      </c>
      <c r="F44" s="2079"/>
      <c r="G44" s="2090">
        <v>5.1897937342902503E-2</v>
      </c>
      <c r="H44" s="2110"/>
      <c r="I44" s="2090">
        <v>0.94810206265709751</v>
      </c>
      <c r="J44" s="2090"/>
      <c r="K44" s="2090">
        <v>1</v>
      </c>
      <c r="L44" s="2079"/>
      <c r="M44" s="2091" t="s">
        <v>347</v>
      </c>
      <c r="N44" s="2079"/>
      <c r="O44" s="2092">
        <v>1052.8</v>
      </c>
      <c r="P44" s="2089"/>
      <c r="Q44" s="2092">
        <v>19233.170000000002</v>
      </c>
      <c r="R44" s="2089"/>
      <c r="S44" s="2092">
        <v>20285.97</v>
      </c>
      <c r="T44" s="2089"/>
      <c r="U44" s="994">
        <v>0</v>
      </c>
      <c r="V44" s="994"/>
      <c r="W44" s="994">
        <v>1052.8</v>
      </c>
    </row>
    <row r="45" spans="1:23">
      <c r="A45" s="2110">
        <v>26</v>
      </c>
      <c r="B45" s="2079"/>
      <c r="C45" s="2078">
        <v>410</v>
      </c>
      <c r="D45" s="2079"/>
      <c r="E45" s="2079" t="s">
        <v>2734</v>
      </c>
      <c r="F45" s="2079"/>
      <c r="G45" s="2090">
        <v>0</v>
      </c>
      <c r="H45" s="2110"/>
      <c r="I45" s="2090">
        <v>0</v>
      </c>
      <c r="J45" s="2090"/>
      <c r="K45" s="2090">
        <v>0</v>
      </c>
      <c r="L45" s="2079"/>
      <c r="M45" s="2091" t="s">
        <v>347</v>
      </c>
      <c r="N45" s="2079"/>
      <c r="O45" s="2092">
        <v>0</v>
      </c>
      <c r="P45" s="2089"/>
      <c r="Q45" s="2092">
        <v>0</v>
      </c>
      <c r="R45" s="2089"/>
      <c r="S45" s="2092">
        <v>0</v>
      </c>
      <c r="T45" s="2089"/>
      <c r="U45" s="994">
        <v>0</v>
      </c>
      <c r="V45" s="994"/>
      <c r="W45" s="994">
        <v>0</v>
      </c>
    </row>
    <row r="46" spans="1:23">
      <c r="A46" s="2110">
        <v>27</v>
      </c>
      <c r="B46" s="2079"/>
      <c r="C46" s="2078" t="s">
        <v>2747</v>
      </c>
      <c r="D46" s="2079"/>
      <c r="E46" s="2079" t="s">
        <v>25</v>
      </c>
      <c r="F46" s="2079"/>
      <c r="G46" s="2090">
        <v>0</v>
      </c>
      <c r="H46" s="2110"/>
      <c r="I46" s="2090">
        <v>0</v>
      </c>
      <c r="J46" s="2090"/>
      <c r="K46" s="2090">
        <v>0</v>
      </c>
      <c r="L46" s="2079"/>
      <c r="M46" s="2091" t="s">
        <v>347</v>
      </c>
      <c r="N46" s="2079"/>
      <c r="O46" s="2092">
        <v>0</v>
      </c>
      <c r="P46" s="2089"/>
      <c r="Q46" s="2092">
        <v>0</v>
      </c>
      <c r="R46" s="2089"/>
      <c r="S46" s="2092">
        <v>0</v>
      </c>
      <c r="T46" s="2089"/>
      <c r="U46" s="994">
        <v>0</v>
      </c>
      <c r="V46" s="994"/>
      <c r="W46" s="994">
        <v>0</v>
      </c>
    </row>
    <row r="47" spans="1:23">
      <c r="A47" s="2110">
        <v>28</v>
      </c>
      <c r="B47" s="2079"/>
      <c r="C47" s="2078">
        <v>427</v>
      </c>
      <c r="D47" s="2079"/>
      <c r="E47" s="2079" t="s">
        <v>2619</v>
      </c>
      <c r="F47" s="2079"/>
      <c r="G47" s="2090">
        <v>5.2631578947368418E-2</v>
      </c>
      <c r="H47" s="2110"/>
      <c r="I47" s="2090">
        <v>0.94736842105263164</v>
      </c>
      <c r="J47" s="2090"/>
      <c r="K47" s="2090">
        <v>1</v>
      </c>
      <c r="L47" s="2079"/>
      <c r="M47" s="2091" t="s">
        <v>347</v>
      </c>
      <c r="N47" s="2079"/>
      <c r="O47" s="2092">
        <v>0.26</v>
      </c>
      <c r="P47" s="2089"/>
      <c r="Q47" s="2092">
        <v>4.6800000000000006</v>
      </c>
      <c r="R47" s="2089"/>
      <c r="S47" s="2092">
        <v>4.9400000000000004</v>
      </c>
      <c r="T47" s="2089"/>
      <c r="U47" s="994">
        <v>0</v>
      </c>
      <c r="V47" s="994"/>
      <c r="W47" s="994">
        <v>0.26</v>
      </c>
    </row>
    <row r="48" spans="1:23">
      <c r="A48" s="2110">
        <v>29</v>
      </c>
      <c r="B48" s="2079"/>
      <c r="C48" s="2078" t="s">
        <v>2736</v>
      </c>
      <c r="D48" s="2079"/>
      <c r="E48" s="2079" t="s">
        <v>2737</v>
      </c>
      <c r="F48" s="2079"/>
      <c r="G48" s="2090">
        <v>5.2495980905173038E-2</v>
      </c>
      <c r="H48" s="2110"/>
      <c r="I48" s="2090">
        <v>0.94750401909482695</v>
      </c>
      <c r="J48" s="2090"/>
      <c r="K48" s="2090">
        <v>1</v>
      </c>
      <c r="L48" s="2079"/>
      <c r="M48" s="2091" t="s">
        <v>347</v>
      </c>
      <c r="N48" s="2091"/>
      <c r="O48" s="2092">
        <v>3371.21</v>
      </c>
      <c r="P48" s="2089"/>
      <c r="Q48" s="2092">
        <v>60847.229999999996</v>
      </c>
      <c r="R48" s="2089"/>
      <c r="S48" s="2092">
        <v>64218.439999999995</v>
      </c>
      <c r="T48" s="2089"/>
      <c r="U48" s="994">
        <v>0</v>
      </c>
      <c r="V48" s="994"/>
      <c r="W48" s="994">
        <v>3371.21</v>
      </c>
    </row>
    <row r="49" spans="1:23">
      <c r="A49" s="2110">
        <v>30</v>
      </c>
      <c r="B49" s="2079"/>
      <c r="C49" s="2078" t="s">
        <v>2002</v>
      </c>
      <c r="D49" s="2079"/>
      <c r="E49" s="2079" t="s">
        <v>2738</v>
      </c>
      <c r="F49" s="2079"/>
      <c r="G49" s="2090">
        <v>5.1793103448275861E-2</v>
      </c>
      <c r="H49" s="2110"/>
      <c r="I49" s="2090">
        <v>0.94820689655172419</v>
      </c>
      <c r="J49" s="2090"/>
      <c r="K49" s="2090">
        <v>1</v>
      </c>
      <c r="L49" s="2079"/>
      <c r="M49" s="2091" t="s">
        <v>347</v>
      </c>
      <c r="N49" s="2079"/>
      <c r="O49" s="2092">
        <v>-7.51</v>
      </c>
      <c r="P49" s="2089"/>
      <c r="Q49" s="2092">
        <v>-137.49</v>
      </c>
      <c r="R49" s="2089"/>
      <c r="S49" s="2092">
        <v>-145</v>
      </c>
      <c r="T49" s="2089"/>
      <c r="U49" s="994">
        <v>0</v>
      </c>
      <c r="V49" s="994"/>
      <c r="W49" s="994">
        <v>-7.51</v>
      </c>
    </row>
    <row r="50" spans="1:23">
      <c r="A50" s="2110">
        <v>31</v>
      </c>
      <c r="B50" s="2079"/>
      <c r="C50" s="2078" t="s">
        <v>1991</v>
      </c>
      <c r="D50" s="2079"/>
      <c r="E50" s="2079" t="s">
        <v>2739</v>
      </c>
      <c r="F50" s="2079"/>
      <c r="G50" s="2090">
        <v>4.6970229723394277E-2</v>
      </c>
      <c r="H50" s="2110"/>
      <c r="I50" s="2090">
        <v>0.95302977027660585</v>
      </c>
      <c r="J50" s="2090"/>
      <c r="K50" s="2090">
        <v>1</v>
      </c>
      <c r="L50" s="2079"/>
      <c r="M50" s="2091" t="s">
        <v>347</v>
      </c>
      <c r="N50" s="2079"/>
      <c r="O50" s="2092">
        <v>32.059999999999995</v>
      </c>
      <c r="P50" s="2089"/>
      <c r="Q50" s="2092">
        <v>650.5</v>
      </c>
      <c r="R50" s="2089"/>
      <c r="S50" s="2092">
        <v>682.56</v>
      </c>
      <c r="T50" s="2089"/>
      <c r="U50" s="994">
        <v>0</v>
      </c>
      <c r="V50" s="994"/>
      <c r="W50" s="994">
        <v>32.059999999999995</v>
      </c>
    </row>
    <row r="51" spans="1:23">
      <c r="A51" s="2110">
        <v>32</v>
      </c>
      <c r="B51" s="2079"/>
      <c r="C51" s="2078" t="s">
        <v>2052</v>
      </c>
      <c r="D51" s="2079"/>
      <c r="E51" s="2079" t="s">
        <v>2748</v>
      </c>
      <c r="F51" s="2079"/>
      <c r="G51" s="2090">
        <v>0</v>
      </c>
      <c r="H51" s="2110"/>
      <c r="I51" s="2090">
        <v>0</v>
      </c>
      <c r="J51" s="2090"/>
      <c r="K51" s="2090">
        <v>0</v>
      </c>
      <c r="L51" s="2079"/>
      <c r="M51" s="2091" t="s">
        <v>347</v>
      </c>
      <c r="N51" s="2079"/>
      <c r="O51" s="2092">
        <v>0</v>
      </c>
      <c r="P51" s="2089"/>
      <c r="Q51" s="2092">
        <v>0</v>
      </c>
      <c r="R51" s="2089"/>
      <c r="S51" s="2092">
        <v>0</v>
      </c>
      <c r="T51" s="2089"/>
      <c r="U51" s="994">
        <v>0</v>
      </c>
      <c r="V51" s="994"/>
      <c r="W51" s="994">
        <v>0</v>
      </c>
    </row>
    <row r="52" spans="1:23">
      <c r="A52" s="2110">
        <v>33</v>
      </c>
      <c r="B52" s="2079"/>
      <c r="C52" s="2078" t="s">
        <v>2063</v>
      </c>
      <c r="D52" s="2079"/>
      <c r="E52" s="2079" t="s">
        <v>1248</v>
      </c>
      <c r="F52" s="2079"/>
      <c r="G52" s="2090">
        <v>0</v>
      </c>
      <c r="H52" s="2110"/>
      <c r="I52" s="2090">
        <v>0</v>
      </c>
      <c r="J52" s="2090"/>
      <c r="K52" s="2090">
        <v>0</v>
      </c>
      <c r="L52" s="2079"/>
      <c r="M52" s="2091" t="s">
        <v>347</v>
      </c>
      <c r="N52" s="2079"/>
      <c r="O52" s="2092">
        <v>0</v>
      </c>
      <c r="P52" s="2089"/>
      <c r="Q52" s="2092">
        <v>0</v>
      </c>
      <c r="R52" s="2089"/>
      <c r="S52" s="2092">
        <v>0</v>
      </c>
      <c r="T52" s="2089"/>
      <c r="U52" s="994">
        <v>0</v>
      </c>
      <c r="V52" s="994"/>
      <c r="W52" s="994">
        <v>0</v>
      </c>
    </row>
    <row r="53" spans="1:23">
      <c r="A53" s="2110">
        <v>34</v>
      </c>
      <c r="B53" s="2079"/>
      <c r="C53" s="2078">
        <v>635</v>
      </c>
      <c r="D53" s="2079"/>
      <c r="E53" s="2079" t="s">
        <v>2749</v>
      </c>
      <c r="F53" s="2079"/>
      <c r="G53" s="2090">
        <v>0</v>
      </c>
      <c r="H53" s="2110"/>
      <c r="I53" s="2090">
        <v>0</v>
      </c>
      <c r="J53" s="2090"/>
      <c r="K53" s="2090">
        <v>0</v>
      </c>
      <c r="L53" s="2079"/>
      <c r="M53" s="2091" t="s">
        <v>347</v>
      </c>
      <c r="N53" s="2079"/>
      <c r="O53" s="2092">
        <v>0</v>
      </c>
      <c r="P53" s="2089"/>
      <c r="Q53" s="2092">
        <v>0</v>
      </c>
      <c r="R53" s="2089"/>
      <c r="S53" s="2092">
        <v>0</v>
      </c>
      <c r="T53" s="2089"/>
      <c r="U53" s="994">
        <v>0</v>
      </c>
      <c r="V53" s="994"/>
      <c r="W53" s="994">
        <v>0</v>
      </c>
    </row>
    <row r="54" spans="1:23">
      <c r="A54" s="2110">
        <v>35</v>
      </c>
      <c r="B54" s="2079"/>
      <c r="C54" s="2078" t="s">
        <v>1981</v>
      </c>
      <c r="D54" s="2079"/>
      <c r="E54" s="2079" t="s">
        <v>1250</v>
      </c>
      <c r="F54" s="2079"/>
      <c r="G54" s="2090">
        <v>5.1867438190426093E-2</v>
      </c>
      <c r="H54" s="2110"/>
      <c r="I54" s="2090">
        <v>0.94813256180957395</v>
      </c>
      <c r="J54" s="2090"/>
      <c r="K54" s="2090">
        <v>1</v>
      </c>
      <c r="L54" s="2079"/>
      <c r="M54" s="2091" t="s">
        <v>347</v>
      </c>
      <c r="N54" s="2079"/>
      <c r="O54" s="2092">
        <v>4.93</v>
      </c>
      <c r="P54" s="2089"/>
      <c r="Q54" s="2092">
        <v>90.12</v>
      </c>
      <c r="R54" s="2089"/>
      <c r="S54" s="2092">
        <v>95.05</v>
      </c>
      <c r="T54" s="2089"/>
      <c r="U54" s="994">
        <v>0</v>
      </c>
      <c r="V54" s="994"/>
      <c r="W54" s="994">
        <v>4.93</v>
      </c>
    </row>
    <row r="55" spans="1:23">
      <c r="A55" s="2110">
        <v>36</v>
      </c>
      <c r="B55" s="2079"/>
      <c r="C55" s="2078" t="s">
        <v>2074</v>
      </c>
      <c r="D55" s="2079"/>
      <c r="E55" s="2079" t="s">
        <v>2517</v>
      </c>
      <c r="F55" s="2079"/>
      <c r="G55" s="2090">
        <v>0</v>
      </c>
      <c r="H55" s="2110"/>
      <c r="I55" s="2090">
        <v>0</v>
      </c>
      <c r="J55" s="2090"/>
      <c r="K55" s="2090">
        <v>0</v>
      </c>
      <c r="L55" s="2079"/>
      <c r="M55" s="2091" t="s">
        <v>347</v>
      </c>
      <c r="N55" s="2079"/>
      <c r="O55" s="2092">
        <v>0</v>
      </c>
      <c r="P55" s="2089"/>
      <c r="Q55" s="2092">
        <v>0</v>
      </c>
      <c r="R55" s="2089"/>
      <c r="S55" s="2092">
        <v>0</v>
      </c>
      <c r="T55" s="2089"/>
      <c r="U55" s="994">
        <v>0</v>
      </c>
      <c r="V55" s="994"/>
      <c r="W55" s="994">
        <v>0</v>
      </c>
    </row>
    <row r="56" spans="1:23">
      <c r="A56" s="2110">
        <v>37</v>
      </c>
      <c r="B56" s="2079"/>
      <c r="C56" s="2078" t="s">
        <v>2076</v>
      </c>
      <c r="D56" s="2079"/>
      <c r="E56" s="2079" t="s">
        <v>1251</v>
      </c>
      <c r="F56" s="2079"/>
      <c r="G56" s="2090">
        <v>5.1818822063878264E-2</v>
      </c>
      <c r="H56" s="2110"/>
      <c r="I56" s="2090">
        <v>0.94818117793612167</v>
      </c>
      <c r="J56" s="2090"/>
      <c r="K56" s="2090">
        <v>1</v>
      </c>
      <c r="L56" s="2079"/>
      <c r="M56" s="2091" t="s">
        <v>347</v>
      </c>
      <c r="N56" s="2079"/>
      <c r="O56" s="2092">
        <v>1145.6100000000001</v>
      </c>
      <c r="P56" s="2089"/>
      <c r="Q56" s="2092">
        <v>20962.38</v>
      </c>
      <c r="R56" s="2089"/>
      <c r="S56" s="2092">
        <v>22107.99</v>
      </c>
      <c r="T56" s="2089"/>
      <c r="U56" s="994">
        <v>0</v>
      </c>
      <c r="V56" s="994"/>
      <c r="W56" s="994">
        <v>1145.6100000000001</v>
      </c>
    </row>
    <row r="57" spans="1:23">
      <c r="A57" s="2110">
        <v>38</v>
      </c>
      <c r="B57" s="2079"/>
      <c r="C57" s="2078" t="s">
        <v>2071</v>
      </c>
      <c r="D57" s="2079"/>
      <c r="E57" s="2079" t="s">
        <v>2750</v>
      </c>
      <c r="F57" s="2079"/>
      <c r="G57" s="2090">
        <v>5.185185185185185E-2</v>
      </c>
      <c r="H57" s="2110"/>
      <c r="I57" s="2090">
        <v>0.94814814814814818</v>
      </c>
      <c r="J57" s="2090"/>
      <c r="K57" s="2090">
        <v>1</v>
      </c>
      <c r="L57" s="2079"/>
      <c r="M57" s="2091" t="s">
        <v>347</v>
      </c>
      <c r="N57" s="2079"/>
      <c r="O57" s="2092">
        <v>5.6</v>
      </c>
      <c r="P57" s="2089"/>
      <c r="Q57" s="2092">
        <v>102.4</v>
      </c>
      <c r="R57" s="2089"/>
      <c r="S57" s="2092">
        <v>108</v>
      </c>
      <c r="T57" s="2089"/>
      <c r="U57" s="994">
        <v>0</v>
      </c>
      <c r="V57" s="994"/>
      <c r="W57" s="994">
        <v>5.6</v>
      </c>
    </row>
    <row r="58" spans="1:23">
      <c r="A58" s="2110">
        <v>39</v>
      </c>
      <c r="B58" s="2079"/>
      <c r="C58" s="2078" t="s">
        <v>1998</v>
      </c>
      <c r="D58" s="2079"/>
      <c r="E58" s="2079" t="s">
        <v>2535</v>
      </c>
      <c r="F58" s="2079"/>
      <c r="G58" s="2090">
        <v>5.2331528439585835E-2</v>
      </c>
      <c r="H58" s="2110"/>
      <c r="I58" s="2090">
        <v>0.94766847156041423</v>
      </c>
      <c r="J58" s="2090"/>
      <c r="K58" s="2090">
        <v>1</v>
      </c>
      <c r="L58" s="2079"/>
      <c r="M58" s="2091" t="s">
        <v>347</v>
      </c>
      <c r="N58" s="2079"/>
      <c r="O58" s="2092">
        <v>637.97</v>
      </c>
      <c r="P58" s="2089"/>
      <c r="Q58" s="2092">
        <v>11552.96</v>
      </c>
      <c r="R58" s="2089"/>
      <c r="S58" s="2092">
        <v>12190.929999999998</v>
      </c>
      <c r="T58" s="2089"/>
      <c r="U58" s="994">
        <v>0</v>
      </c>
      <c r="V58" s="994"/>
      <c r="W58" s="994">
        <v>637.97</v>
      </c>
    </row>
    <row r="59" spans="1:23" ht="12.75" thickBot="1">
      <c r="A59" s="2110">
        <v>40</v>
      </c>
      <c r="B59" s="2079"/>
      <c r="C59" s="2078"/>
      <c r="D59" s="2079"/>
      <c r="E59" s="2079"/>
      <c r="F59" s="2079"/>
      <c r="G59" s="2110"/>
      <c r="H59" s="2110"/>
      <c r="I59" s="2110"/>
      <c r="J59" s="2110"/>
      <c r="K59" s="2090"/>
      <c r="L59" s="2079"/>
      <c r="M59" s="2079"/>
      <c r="N59" s="2079"/>
      <c r="O59" s="2145">
        <v>7359.3800000000019</v>
      </c>
      <c r="P59" s="2089"/>
      <c r="Q59" s="2145">
        <v>138121.31999999998</v>
      </c>
      <c r="R59" s="2089"/>
      <c r="S59" s="2146">
        <v>145480.69999999998</v>
      </c>
      <c r="T59" s="2089"/>
      <c r="U59" s="2147">
        <v>0</v>
      </c>
      <c r="V59" s="2089"/>
      <c r="W59" s="2147">
        <v>7359.3800000000019</v>
      </c>
    </row>
    <row r="60" spans="1:23" ht="12.75" thickTop="1">
      <c r="A60" s="2110">
        <v>41</v>
      </c>
      <c r="B60" s="2079"/>
      <c r="C60" s="2078"/>
      <c r="D60" s="2079"/>
      <c r="E60" s="2079"/>
      <c r="F60" s="2079"/>
      <c r="G60" s="2110"/>
      <c r="H60" s="2110"/>
      <c r="I60" s="2110"/>
      <c r="J60" s="2110"/>
      <c r="K60" s="2110"/>
      <c r="L60" s="2079"/>
      <c r="M60" s="2079"/>
      <c r="N60" s="2079"/>
      <c r="O60" s="2079"/>
      <c r="P60" s="2079"/>
      <c r="Q60" s="2079"/>
      <c r="R60" s="2079"/>
      <c r="S60" s="2079"/>
      <c r="T60" s="2079"/>
      <c r="U60" s="2079"/>
      <c r="V60" s="2079"/>
      <c r="W60" s="2079"/>
    </row>
    <row r="61" spans="1:23">
      <c r="A61" s="2110">
        <v>42</v>
      </c>
      <c r="B61" s="2088" t="s">
        <v>2751</v>
      </c>
      <c r="C61" s="2078"/>
      <c r="D61" s="2079"/>
      <c r="E61" s="2079"/>
      <c r="F61" s="2079"/>
      <c r="G61" s="2090"/>
      <c r="H61" s="2110"/>
      <c r="I61" s="2090"/>
      <c r="J61" s="2090"/>
      <c r="K61" s="2090"/>
      <c r="L61" s="2079"/>
      <c r="M61" s="2079"/>
      <c r="N61" s="2079"/>
      <c r="O61" s="2089"/>
      <c r="P61" s="2089"/>
      <c r="Q61" s="2089"/>
      <c r="R61" s="2089"/>
      <c r="S61" s="2089"/>
      <c r="T61" s="2089"/>
      <c r="U61" s="2089"/>
      <c r="V61" s="2089"/>
      <c r="W61" s="2089"/>
    </row>
    <row r="62" spans="1:23">
      <c r="A62" s="2110">
        <v>43</v>
      </c>
      <c r="B62" s="2079"/>
      <c r="C62" s="2078"/>
      <c r="D62" s="2079"/>
      <c r="E62" s="2079"/>
      <c r="F62" s="2079"/>
      <c r="G62" s="2090"/>
      <c r="H62" s="2110"/>
      <c r="I62" s="2090"/>
      <c r="J62" s="2090"/>
      <c r="K62" s="2090"/>
      <c r="L62" s="2079"/>
      <c r="M62" s="2079"/>
      <c r="N62" s="2079"/>
      <c r="O62" s="2089"/>
      <c r="P62" s="2089"/>
      <c r="Q62" s="2089"/>
      <c r="R62" s="2089"/>
      <c r="S62" s="2089"/>
      <c r="T62" s="2089"/>
      <c r="U62" s="2089"/>
      <c r="V62" s="2089"/>
      <c r="W62" s="2089"/>
    </row>
    <row r="63" spans="1:23">
      <c r="A63" s="2110">
        <v>44</v>
      </c>
      <c r="B63" s="2079"/>
      <c r="C63" s="2078">
        <v>427</v>
      </c>
      <c r="D63" s="2079"/>
      <c r="E63" s="2079" t="s">
        <v>2619</v>
      </c>
      <c r="F63" s="2079"/>
      <c r="G63" s="2090">
        <v>0</v>
      </c>
      <c r="H63" s="2110"/>
      <c r="I63" s="2090">
        <v>0</v>
      </c>
      <c r="J63" s="2090"/>
      <c r="K63" s="2090">
        <v>0</v>
      </c>
      <c r="L63" s="2079"/>
      <c r="M63" s="2091" t="s">
        <v>2752</v>
      </c>
      <c r="N63" s="2079"/>
      <c r="O63" s="2092">
        <v>0</v>
      </c>
      <c r="P63" s="2092"/>
      <c r="Q63" s="2092">
        <v>0</v>
      </c>
      <c r="R63" s="2092"/>
      <c r="S63" s="2092">
        <v>0</v>
      </c>
      <c r="T63" s="2092"/>
      <c r="U63" s="994">
        <v>0</v>
      </c>
      <c r="V63" s="994"/>
      <c r="W63" s="994">
        <v>0</v>
      </c>
    </row>
    <row r="64" spans="1:23" ht="12.75" thickBot="1">
      <c r="A64" s="2110">
        <v>45</v>
      </c>
      <c r="B64" s="2079"/>
      <c r="C64" s="2078"/>
      <c r="D64" s="2079"/>
      <c r="E64" s="2079"/>
      <c r="F64" s="2079"/>
      <c r="G64" s="2110"/>
      <c r="H64" s="2110"/>
      <c r="I64" s="2110"/>
      <c r="J64" s="2110"/>
      <c r="K64" s="2090"/>
      <c r="L64" s="2079"/>
      <c r="M64" s="2079"/>
      <c r="N64" s="2079"/>
      <c r="O64" s="2145">
        <v>0</v>
      </c>
      <c r="P64" s="2089"/>
      <c r="Q64" s="2145">
        <v>0</v>
      </c>
      <c r="R64" s="2089"/>
      <c r="S64" s="2146">
        <v>0</v>
      </c>
      <c r="T64" s="2089"/>
      <c r="U64" s="2147">
        <v>0</v>
      </c>
      <c r="V64" s="2089"/>
      <c r="W64" s="2147">
        <v>0</v>
      </c>
    </row>
    <row r="65" spans="1:23" ht="12.75" thickTop="1">
      <c r="A65" s="2110">
        <v>46</v>
      </c>
      <c r="B65" s="2079" t="s">
        <v>2753</v>
      </c>
      <c r="C65" s="2078"/>
      <c r="D65" s="2079"/>
      <c r="E65" s="2079"/>
      <c r="F65" s="2079"/>
      <c r="G65" s="2110"/>
      <c r="H65" s="2110"/>
      <c r="I65" s="2110"/>
      <c r="J65" s="2110"/>
      <c r="K65" s="2110"/>
      <c r="L65" s="2079"/>
      <c r="M65" s="2079"/>
      <c r="N65" s="2079"/>
      <c r="O65" s="2079"/>
      <c r="P65" s="2079"/>
      <c r="Q65" s="2079"/>
      <c r="R65" s="2079"/>
      <c r="S65" s="2079"/>
      <c r="T65" s="2079"/>
      <c r="U65" s="2079"/>
      <c r="V65" s="2079"/>
      <c r="W65" s="2079"/>
    </row>
  </sheetData>
  <mergeCells count="6">
    <mergeCell ref="G15:K15"/>
    <mergeCell ref="U10:W10"/>
    <mergeCell ref="U11:W11"/>
    <mergeCell ref="U12:W12"/>
    <mergeCell ref="U13:W13"/>
    <mergeCell ref="O14:W14"/>
  </mergeCells>
  <pageMargins left="0.75" right="0.5" top="0.75" bottom="0.5" header="0.25" footer="0.25"/>
  <pageSetup scale="66"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W65"/>
  <sheetViews>
    <sheetView view="pageBreakPreview" topLeftCell="A3" zoomScale="60" zoomScaleNormal="100" workbookViewId="0">
      <selection sqref="A1:XFD1048576"/>
    </sheetView>
  </sheetViews>
  <sheetFormatPr defaultRowHeight="12"/>
  <cols>
    <col min="1" max="1" width="4" style="991" customWidth="1"/>
    <col min="2" max="2" width="3" style="991" customWidth="1"/>
    <col min="3" max="3" width="10.85546875" style="991" customWidth="1"/>
    <col min="4" max="4" width="2.28515625" style="991" customWidth="1"/>
    <col min="5" max="5" width="33.7109375" style="991" customWidth="1"/>
    <col min="6" max="6" width="2.28515625" style="991" customWidth="1"/>
    <col min="7" max="7" width="18" style="991" bestFit="1" customWidth="1"/>
    <col min="8" max="8" width="2.28515625" style="991" customWidth="1"/>
    <col min="9" max="9" width="12.7109375" style="991" customWidth="1"/>
    <col min="10" max="10" width="2.28515625" style="991" customWidth="1"/>
    <col min="11" max="11" width="9.7109375" style="991" customWidth="1"/>
    <col min="12" max="12" width="2.28515625" style="991" customWidth="1"/>
    <col min="13" max="13" width="19.140625" style="991" bestFit="1" customWidth="1"/>
    <col min="14" max="14" width="2.28515625" style="991" customWidth="1"/>
    <col min="15" max="15" width="18" style="991" bestFit="1" customWidth="1"/>
    <col min="16" max="16" width="2.28515625" style="991" customWidth="1"/>
    <col min="17" max="17" width="11.7109375" style="991" customWidth="1"/>
    <col min="18" max="18" width="4.85546875" style="991" customWidth="1"/>
    <col min="19" max="19" width="9.28515625" style="991" bestFit="1" customWidth="1"/>
    <col min="20" max="20" width="2.28515625" style="991" customWidth="1"/>
    <col min="21" max="21" width="5.7109375" style="991" bestFit="1" customWidth="1"/>
    <col min="22" max="22" width="2.28515625" style="991" customWidth="1"/>
    <col min="23" max="23" width="9.85546875" style="991" customWidth="1"/>
    <col min="24" max="16384" width="9.140625" style="991"/>
  </cols>
  <sheetData>
    <row r="1" spans="1:23">
      <c r="A1" s="2079"/>
      <c r="B1" s="2079"/>
      <c r="C1" s="2078"/>
      <c r="D1" s="2079"/>
      <c r="E1" s="2079"/>
      <c r="F1" s="2079"/>
      <c r="G1" s="2110"/>
      <c r="H1" s="2110"/>
      <c r="I1" s="2110"/>
      <c r="J1" s="2110"/>
      <c r="K1" s="2110"/>
      <c r="L1" s="2079"/>
      <c r="M1" s="2079"/>
      <c r="N1" s="2079"/>
      <c r="O1" s="2079"/>
      <c r="P1" s="2079"/>
      <c r="Q1" s="2079"/>
      <c r="R1" s="2079"/>
      <c r="S1" s="2079"/>
      <c r="T1" s="2079"/>
      <c r="U1" s="2079"/>
      <c r="V1" s="2079"/>
      <c r="W1" s="2078" t="s">
        <v>1209</v>
      </c>
    </row>
    <row r="2" spans="1:23">
      <c r="A2" s="2080" t="s">
        <v>2716</v>
      </c>
      <c r="B2" s="2079"/>
      <c r="C2" s="2078"/>
      <c r="D2" s="2079"/>
      <c r="E2" s="2079"/>
      <c r="F2" s="2079"/>
      <c r="G2" s="2110"/>
      <c r="H2" s="2137"/>
      <c r="I2" s="2137" t="s">
        <v>911</v>
      </c>
      <c r="J2" s="2137"/>
      <c r="K2" s="2137"/>
      <c r="L2" s="2138"/>
      <c r="M2" s="2079"/>
      <c r="N2" s="2079"/>
      <c r="O2" s="2079"/>
      <c r="P2" s="2079"/>
      <c r="Q2" s="2079"/>
      <c r="R2" s="2079"/>
      <c r="S2" s="2078"/>
      <c r="T2" s="2079"/>
      <c r="U2" s="2079"/>
      <c r="V2" s="2079"/>
      <c r="W2" s="2078"/>
    </row>
    <row r="3" spans="1:23">
      <c r="A3" s="2080"/>
      <c r="B3" s="2079"/>
      <c r="C3" s="2078"/>
      <c r="D3" s="2079"/>
      <c r="E3" s="2079"/>
      <c r="F3" s="2079"/>
      <c r="G3" s="2110"/>
      <c r="H3" s="2137"/>
      <c r="I3" s="2137"/>
      <c r="J3" s="2137"/>
      <c r="K3" s="2137"/>
      <c r="L3" s="2138"/>
      <c r="M3" s="2079"/>
      <c r="N3" s="2079"/>
      <c r="O3" s="2079"/>
      <c r="P3" s="2079"/>
      <c r="Q3" s="2079"/>
      <c r="R3" s="2079"/>
      <c r="S3" s="2080"/>
      <c r="T3" s="2079"/>
      <c r="U3" s="2079"/>
      <c r="V3" s="2079"/>
      <c r="W3" s="2078" t="s">
        <v>2717</v>
      </c>
    </row>
    <row r="4" spans="1:23">
      <c r="A4" s="2079" t="s">
        <v>2644</v>
      </c>
      <c r="B4" s="2080"/>
      <c r="C4" s="2080"/>
      <c r="D4" s="2079"/>
      <c r="E4" s="2079"/>
      <c r="F4" s="2079"/>
      <c r="G4" s="2110"/>
      <c r="H4" s="2137"/>
      <c r="I4" s="2137"/>
      <c r="J4" s="2137"/>
      <c r="K4" s="2137"/>
      <c r="L4" s="2138"/>
      <c r="M4" s="2079"/>
      <c r="N4" s="2079"/>
      <c r="O4" s="2079"/>
      <c r="P4" s="2079"/>
      <c r="Q4" s="2079"/>
      <c r="R4" s="2079"/>
      <c r="S4" s="2078"/>
      <c r="T4" s="2079"/>
      <c r="U4" s="2079"/>
      <c r="V4" s="2079"/>
      <c r="W4" s="2078" t="s">
        <v>2774</v>
      </c>
    </row>
    <row r="5" spans="1:23">
      <c r="A5" s="2080" t="s">
        <v>2719</v>
      </c>
      <c r="B5" s="2079"/>
      <c r="C5" s="2078"/>
      <c r="D5" s="2079"/>
      <c r="E5" s="2079"/>
      <c r="F5" s="2080"/>
      <c r="G5" s="2110"/>
      <c r="H5" s="2137"/>
      <c r="I5" s="2137"/>
      <c r="J5" s="2137"/>
      <c r="K5" s="2137"/>
      <c r="L5" s="2138"/>
      <c r="M5" s="2079"/>
      <c r="N5" s="2079"/>
      <c r="O5" s="2079"/>
      <c r="P5" s="2079"/>
      <c r="Q5" s="2079"/>
      <c r="R5" s="2079"/>
      <c r="S5" s="2078"/>
      <c r="T5" s="2079"/>
      <c r="U5" s="2079"/>
      <c r="V5" s="2079"/>
      <c r="W5" s="2078"/>
    </row>
    <row r="6" spans="1:23">
      <c r="A6" s="2080" t="s">
        <v>1935</v>
      </c>
      <c r="B6" s="2079"/>
      <c r="C6" s="2078"/>
      <c r="D6" s="2079"/>
      <c r="E6" s="2139"/>
      <c r="F6" s="2080"/>
      <c r="G6" s="2110"/>
      <c r="H6" s="2137"/>
      <c r="I6" s="2137"/>
      <c r="J6" s="2137"/>
      <c r="K6" s="2137"/>
      <c r="L6" s="2138"/>
      <c r="M6" s="2079"/>
      <c r="N6" s="2079"/>
      <c r="O6" s="2079"/>
      <c r="P6" s="2079"/>
      <c r="Q6" s="2079"/>
      <c r="R6" s="2079"/>
      <c r="S6" s="2080"/>
      <c r="T6" s="2079"/>
      <c r="U6" s="2079"/>
      <c r="V6" s="2079"/>
      <c r="W6" s="1011" t="s">
        <v>2950</v>
      </c>
    </row>
    <row r="7" spans="1:23">
      <c r="A7" s="2080" t="s">
        <v>1092</v>
      </c>
      <c r="B7" s="2079"/>
      <c r="C7" s="2078"/>
      <c r="D7" s="2079"/>
      <c r="E7" s="2079"/>
      <c r="F7" s="2080"/>
      <c r="G7" s="2110"/>
      <c r="H7" s="2137"/>
      <c r="I7" s="2137"/>
      <c r="J7" s="2137"/>
      <c r="K7" s="2137"/>
      <c r="L7" s="2138"/>
      <c r="M7" s="2079"/>
      <c r="N7" s="2079"/>
      <c r="O7" s="2079"/>
      <c r="P7" s="2079"/>
      <c r="Q7" s="2079"/>
      <c r="R7" s="2079"/>
      <c r="S7" s="2078"/>
      <c r="T7" s="2079"/>
      <c r="U7" s="2079"/>
      <c r="V7" s="2079"/>
      <c r="W7" s="2078"/>
    </row>
    <row r="8" spans="1:23">
      <c r="A8" s="2080" t="s">
        <v>717</v>
      </c>
      <c r="B8" s="2079"/>
      <c r="C8" s="2078"/>
      <c r="D8" s="2079"/>
      <c r="E8" s="2079"/>
      <c r="F8" s="2080"/>
      <c r="G8" s="2110"/>
      <c r="H8" s="2137"/>
      <c r="I8" s="2137"/>
      <c r="J8" s="2137"/>
      <c r="K8" s="2137"/>
      <c r="L8" s="2138"/>
      <c r="M8" s="2079"/>
      <c r="N8" s="2079"/>
      <c r="O8" s="2079"/>
      <c r="P8" s="2079"/>
      <c r="Q8" s="2079"/>
      <c r="R8" s="2079"/>
      <c r="S8" s="2079"/>
      <c r="T8" s="2079"/>
      <c r="U8" s="2079"/>
      <c r="V8" s="2079"/>
      <c r="W8" s="2079"/>
    </row>
    <row r="9" spans="1:23">
      <c r="A9" s="2079"/>
      <c r="B9" s="2079"/>
      <c r="C9" s="2078"/>
      <c r="D9" s="2079"/>
      <c r="E9" s="2079"/>
      <c r="F9" s="2079"/>
      <c r="G9" s="2110"/>
      <c r="H9" s="2110"/>
      <c r="I9" s="2110"/>
      <c r="J9" s="2110"/>
      <c r="K9" s="2110"/>
      <c r="L9" s="2079"/>
      <c r="M9" s="2079"/>
      <c r="N9" s="2079"/>
      <c r="O9" s="2079"/>
      <c r="P9" s="2079"/>
      <c r="Q9" s="2079"/>
      <c r="R9" s="2079"/>
      <c r="S9" s="2079"/>
      <c r="T9" s="2079"/>
      <c r="U9" s="2079"/>
      <c r="V9" s="2079"/>
      <c r="W9" s="2079"/>
    </row>
    <row r="10" spans="1:23">
      <c r="A10" s="2079" t="s">
        <v>2720</v>
      </c>
      <c r="B10" s="2079"/>
      <c r="C10" s="2078"/>
      <c r="D10" s="2079"/>
      <c r="E10" s="2079"/>
      <c r="F10" s="2079"/>
      <c r="G10" s="2110"/>
      <c r="H10" s="2110"/>
      <c r="I10" s="2110"/>
      <c r="J10" s="2110"/>
      <c r="K10" s="2110"/>
      <c r="L10" s="2079"/>
      <c r="M10" s="2079"/>
      <c r="N10" s="2079"/>
      <c r="O10" s="2079"/>
      <c r="P10" s="2079"/>
      <c r="Q10" s="2079"/>
      <c r="R10" s="2079"/>
      <c r="S10" s="2079"/>
      <c r="T10" s="2079"/>
      <c r="U10" s="2318" t="s">
        <v>2956</v>
      </c>
      <c r="V10" s="2318"/>
      <c r="W10" s="2318"/>
    </row>
    <row r="11" spans="1:23">
      <c r="A11" s="2080" t="s">
        <v>2721</v>
      </c>
      <c r="B11" s="2079"/>
      <c r="C11" s="2078"/>
      <c r="D11" s="2079"/>
      <c r="E11" s="2079"/>
      <c r="F11" s="2079"/>
      <c r="G11" s="2110"/>
      <c r="H11" s="2110"/>
      <c r="I11" s="2110"/>
      <c r="J11" s="2110"/>
      <c r="K11" s="2110"/>
      <c r="L11" s="2079"/>
      <c r="M11" s="2079"/>
      <c r="N11" s="2079"/>
      <c r="O11" s="2079"/>
      <c r="P11" s="2079"/>
      <c r="Q11" s="2079"/>
      <c r="R11" s="2079"/>
      <c r="S11" s="2079"/>
      <c r="T11" s="2079"/>
      <c r="U11" s="2317" t="s">
        <v>2722</v>
      </c>
      <c r="V11" s="2317"/>
      <c r="W11" s="2317"/>
    </row>
    <row r="12" spans="1:23">
      <c r="A12" s="2140"/>
      <c r="B12" s="2140"/>
      <c r="C12" s="2141"/>
      <c r="D12" s="2140"/>
      <c r="E12" s="2140"/>
      <c r="F12" s="2140"/>
      <c r="G12" s="2142"/>
      <c r="H12" s="2142"/>
      <c r="I12" s="2142"/>
      <c r="J12" s="2142"/>
      <c r="K12" s="2142"/>
      <c r="L12" s="2140"/>
      <c r="M12" s="2140"/>
      <c r="N12" s="2140"/>
      <c r="O12" s="2140"/>
      <c r="P12" s="2140"/>
      <c r="Q12" s="2140"/>
      <c r="R12" s="2140"/>
      <c r="S12" s="2140"/>
      <c r="T12" s="2140"/>
      <c r="U12" s="2319"/>
      <c r="V12" s="2319"/>
      <c r="W12" s="2319"/>
    </row>
    <row r="13" spans="1:23">
      <c r="A13" s="2082"/>
      <c r="B13" s="2082"/>
      <c r="C13" s="2083"/>
      <c r="D13" s="2082"/>
      <c r="E13" s="2082"/>
      <c r="F13" s="2082"/>
      <c r="G13" s="2084">
        <v>-1</v>
      </c>
      <c r="H13" s="2084"/>
      <c r="I13" s="2084">
        <v>-2</v>
      </c>
      <c r="J13" s="2084"/>
      <c r="K13" s="2084">
        <v>-3</v>
      </c>
      <c r="L13" s="2082"/>
      <c r="M13" s="2084">
        <v>-4</v>
      </c>
      <c r="N13" s="2082"/>
      <c r="O13" s="2084">
        <v>-5</v>
      </c>
      <c r="P13" s="2082"/>
      <c r="Q13" s="2084">
        <v>-6</v>
      </c>
      <c r="R13" s="2082"/>
      <c r="S13" s="2084">
        <v>-7</v>
      </c>
      <c r="T13" s="2082"/>
      <c r="U13" s="2320">
        <v>-8</v>
      </c>
      <c r="V13" s="2320"/>
      <c r="W13" s="2320"/>
    </row>
    <row r="14" spans="1:23">
      <c r="A14" s="2082"/>
      <c r="B14" s="2082"/>
      <c r="C14" s="2083"/>
      <c r="D14" s="2082"/>
      <c r="E14" s="2082"/>
      <c r="F14" s="2082"/>
      <c r="G14" s="2084"/>
      <c r="H14" s="2084"/>
      <c r="I14" s="2084"/>
      <c r="J14" s="2084"/>
      <c r="K14" s="2084"/>
      <c r="L14" s="2082"/>
      <c r="M14" s="2084"/>
      <c r="N14" s="2082"/>
      <c r="O14" s="2321" t="s">
        <v>2775</v>
      </c>
      <c r="P14" s="2321"/>
      <c r="Q14" s="2321"/>
      <c r="R14" s="2321"/>
      <c r="S14" s="2321"/>
      <c r="T14" s="2321"/>
      <c r="U14" s="2321"/>
      <c r="V14" s="2321"/>
      <c r="W14" s="2321"/>
    </row>
    <row r="15" spans="1:23">
      <c r="A15" s="2079"/>
      <c r="B15" s="2079"/>
      <c r="C15" s="2078"/>
      <c r="D15" s="2079"/>
      <c r="E15" s="2079"/>
      <c r="F15" s="2079"/>
      <c r="G15" s="2317" t="s">
        <v>2724</v>
      </c>
      <c r="H15" s="2317"/>
      <c r="I15" s="2317"/>
      <c r="J15" s="2317"/>
      <c r="K15" s="2317"/>
      <c r="L15" s="2143"/>
      <c r="M15" s="2143"/>
      <c r="N15" s="2143"/>
      <c r="O15" s="2143"/>
      <c r="P15" s="2140"/>
      <c r="Q15" s="2142" t="s">
        <v>2725</v>
      </c>
      <c r="R15" s="2140"/>
      <c r="S15" s="2140"/>
      <c r="T15" s="2079"/>
      <c r="U15" s="2143"/>
      <c r="V15" s="2142"/>
      <c r="W15" s="2142"/>
    </row>
    <row r="16" spans="1:23">
      <c r="A16" s="2079"/>
      <c r="B16" s="2079"/>
      <c r="C16" s="2110" t="s">
        <v>2726</v>
      </c>
      <c r="D16" s="2079"/>
      <c r="E16" s="2079"/>
      <c r="F16" s="2079"/>
      <c r="G16" s="2110"/>
      <c r="H16" s="2110"/>
      <c r="I16" s="2110" t="s">
        <v>1170</v>
      </c>
      <c r="J16" s="2110"/>
      <c r="K16" s="2110"/>
      <c r="L16" s="2079"/>
      <c r="M16" s="2110" t="s">
        <v>731</v>
      </c>
      <c r="N16" s="2079"/>
      <c r="O16" s="2110"/>
      <c r="P16" s="2079"/>
      <c r="Q16" s="2110" t="s">
        <v>1170</v>
      </c>
      <c r="R16" s="2079"/>
      <c r="S16" s="2110"/>
      <c r="T16" s="2079"/>
      <c r="U16" s="2110"/>
      <c r="V16" s="2079"/>
      <c r="W16" s="2110"/>
    </row>
    <row r="17" spans="1:23">
      <c r="A17" s="2110" t="s">
        <v>53</v>
      </c>
      <c r="B17" s="2079"/>
      <c r="C17" s="2110" t="s">
        <v>2727</v>
      </c>
      <c r="D17" s="2079"/>
      <c r="E17" s="2079"/>
      <c r="F17" s="2085"/>
      <c r="G17" s="2086"/>
      <c r="H17" s="2086"/>
      <c r="I17" s="2086" t="s">
        <v>2728</v>
      </c>
      <c r="J17" s="2086"/>
      <c r="K17" s="2086"/>
      <c r="L17" s="2085"/>
      <c r="M17" s="2110" t="s">
        <v>2729</v>
      </c>
      <c r="N17" s="2085"/>
      <c r="O17" s="2086"/>
      <c r="P17" s="2085"/>
      <c r="Q17" s="2086" t="s">
        <v>2728</v>
      </c>
      <c r="R17" s="2085"/>
      <c r="S17" s="2081"/>
      <c r="T17" s="2085"/>
      <c r="U17" s="2087">
        <v>0</v>
      </c>
      <c r="V17" s="2085"/>
      <c r="W17" s="2087">
        <v>1</v>
      </c>
    </row>
    <row r="18" spans="1:23">
      <c r="A18" s="2142" t="s">
        <v>730</v>
      </c>
      <c r="B18" s="2143"/>
      <c r="C18" s="2142" t="s">
        <v>730</v>
      </c>
      <c r="D18" s="2143"/>
      <c r="E18" s="2142" t="s">
        <v>731</v>
      </c>
      <c r="F18" s="2143"/>
      <c r="G18" s="2144" t="s">
        <v>2956</v>
      </c>
      <c r="H18" s="2142"/>
      <c r="I18" s="2142" t="s">
        <v>2730</v>
      </c>
      <c r="J18" s="2142"/>
      <c r="K18" s="2142" t="s">
        <v>81</v>
      </c>
      <c r="L18" s="2143"/>
      <c r="M18" s="2142" t="s">
        <v>2731</v>
      </c>
      <c r="N18" s="2143"/>
      <c r="O18" s="2144" t="s">
        <v>2956</v>
      </c>
      <c r="P18" s="2143"/>
      <c r="Q18" s="2142" t="s">
        <v>2730</v>
      </c>
      <c r="R18" s="2143"/>
      <c r="S18" s="2142" t="s">
        <v>81</v>
      </c>
      <c r="T18" s="2143"/>
      <c r="U18" s="2142" t="s">
        <v>498</v>
      </c>
      <c r="V18" s="2143"/>
      <c r="W18" s="2142" t="s">
        <v>670</v>
      </c>
    </row>
    <row r="19" spans="1:23">
      <c r="A19" s="2079"/>
      <c r="B19" s="2079"/>
      <c r="C19" s="2078"/>
      <c r="D19" s="2079"/>
      <c r="E19" s="2079"/>
      <c r="F19" s="2079"/>
      <c r="G19" s="2110"/>
      <c r="H19" s="2110"/>
      <c r="I19" s="2110"/>
      <c r="J19" s="2110"/>
      <c r="K19" s="2110"/>
      <c r="L19" s="2079"/>
      <c r="M19" s="2079"/>
      <c r="N19" s="2079"/>
      <c r="O19" s="2079"/>
      <c r="P19" s="2079"/>
      <c r="Q19" s="2079"/>
      <c r="R19" s="2079"/>
      <c r="S19" s="2079"/>
      <c r="T19" s="2079"/>
      <c r="U19" s="2079"/>
      <c r="V19" s="2079"/>
      <c r="W19" s="2079"/>
    </row>
    <row r="20" spans="1:23">
      <c r="A20" s="2110">
        <v>1</v>
      </c>
      <c r="B20" s="2088" t="s">
        <v>2732</v>
      </c>
      <c r="C20" s="2078"/>
      <c r="D20" s="2079"/>
      <c r="E20" s="2079"/>
      <c r="F20" s="2079"/>
      <c r="G20" s="2110"/>
      <c r="H20" s="2110"/>
      <c r="I20" s="2110"/>
      <c r="J20" s="2110"/>
      <c r="K20" s="2110"/>
      <c r="L20" s="2079"/>
      <c r="M20" s="2079"/>
      <c r="N20" s="2079"/>
      <c r="O20" s="2089"/>
      <c r="P20" s="2089"/>
      <c r="Q20" s="2089"/>
      <c r="R20" s="2089"/>
      <c r="S20" s="2089"/>
      <c r="T20" s="2089"/>
      <c r="U20" s="2089"/>
      <c r="V20" s="2089"/>
      <c r="W20" s="2089"/>
    </row>
    <row r="21" spans="1:23">
      <c r="A21" s="2110">
        <v>2</v>
      </c>
      <c r="B21" s="2079"/>
      <c r="C21" s="2078">
        <v>403</v>
      </c>
      <c r="D21" s="2079"/>
      <c r="E21" s="2079" t="s">
        <v>379</v>
      </c>
      <c r="F21" s="2079"/>
      <c r="G21" s="2090">
        <v>1.1776814590227782E-2</v>
      </c>
      <c r="H21" s="2110"/>
      <c r="I21" s="2090">
        <v>0.98822318540977228</v>
      </c>
      <c r="J21" s="2090"/>
      <c r="K21" s="2090">
        <v>1</v>
      </c>
      <c r="L21" s="2079"/>
      <c r="M21" s="2091" t="s">
        <v>347</v>
      </c>
      <c r="N21" s="2079"/>
      <c r="O21" s="2092">
        <v>3757.06</v>
      </c>
      <c r="P21" s="2092"/>
      <c r="Q21" s="2089">
        <v>315264.69</v>
      </c>
      <c r="R21" s="2092"/>
      <c r="S21" s="2092">
        <v>319021.75</v>
      </c>
      <c r="T21" s="2092"/>
      <c r="U21" s="2089">
        <v>0</v>
      </c>
      <c r="V21" s="2089"/>
      <c r="W21" s="2089">
        <v>3757.06</v>
      </c>
    </row>
    <row r="22" spans="1:23">
      <c r="A22" s="2110">
        <v>3</v>
      </c>
      <c r="B22" s="2079"/>
      <c r="C22" s="2078">
        <v>408</v>
      </c>
      <c r="D22" s="2079"/>
      <c r="E22" s="2079" t="s">
        <v>25</v>
      </c>
      <c r="F22" s="2079"/>
      <c r="G22" s="2090">
        <v>1.2088172552737933E-2</v>
      </c>
      <c r="H22" s="2110"/>
      <c r="I22" s="2090">
        <v>0.98791182744726203</v>
      </c>
      <c r="J22" s="2090"/>
      <c r="K22" s="2090">
        <v>1</v>
      </c>
      <c r="L22" s="2079"/>
      <c r="M22" s="2091" t="s">
        <v>347</v>
      </c>
      <c r="N22" s="2079"/>
      <c r="O22" s="2092">
        <v>-0.5099999999999536</v>
      </c>
      <c r="P22" s="2089"/>
      <c r="Q22" s="2089">
        <v>-41.679999999995097</v>
      </c>
      <c r="R22" s="2089"/>
      <c r="S22" s="2092">
        <v>-42.189999999995052</v>
      </c>
      <c r="T22" s="2089"/>
      <c r="U22" s="2089">
        <v>0</v>
      </c>
      <c r="V22" s="2089"/>
      <c r="W22" s="2089">
        <v>-0.5099999999999536</v>
      </c>
    </row>
    <row r="23" spans="1:23">
      <c r="A23" s="2110">
        <v>4</v>
      </c>
      <c r="B23" s="2079"/>
      <c r="C23" s="2078">
        <v>409</v>
      </c>
      <c r="D23" s="2079"/>
      <c r="E23" s="2079" t="s">
        <v>2733</v>
      </c>
      <c r="F23" s="2079"/>
      <c r="G23" s="2090">
        <v>1.21E-2</v>
      </c>
      <c r="H23" s="2110"/>
      <c r="I23" s="2090">
        <v>0.98790000000000011</v>
      </c>
      <c r="J23" s="2090"/>
      <c r="K23" s="2090">
        <v>1</v>
      </c>
      <c r="L23" s="2079"/>
      <c r="M23" s="2091" t="s">
        <v>347</v>
      </c>
      <c r="N23" s="2079"/>
      <c r="O23" s="2092">
        <v>1.21</v>
      </c>
      <c r="P23" s="2089"/>
      <c r="Q23" s="2089">
        <v>98.79</v>
      </c>
      <c r="R23" s="2089"/>
      <c r="S23" s="2092">
        <v>100</v>
      </c>
      <c r="T23" s="2089"/>
      <c r="U23" s="2089">
        <v>0</v>
      </c>
      <c r="V23" s="2089"/>
      <c r="W23" s="2089">
        <v>1.21</v>
      </c>
    </row>
    <row r="24" spans="1:23">
      <c r="A24" s="2110">
        <v>5</v>
      </c>
      <c r="B24" s="2079"/>
      <c r="C24" s="2078">
        <v>410</v>
      </c>
      <c r="D24" s="2079"/>
      <c r="E24" s="2079" t="s">
        <v>2734</v>
      </c>
      <c r="F24" s="2079"/>
      <c r="G24" s="2090">
        <v>1.2112832616093952E-2</v>
      </c>
      <c r="H24" s="2110"/>
      <c r="I24" s="2090">
        <v>0.98788716738390592</v>
      </c>
      <c r="J24" s="2090"/>
      <c r="K24" s="2090">
        <v>1</v>
      </c>
      <c r="L24" s="2079"/>
      <c r="M24" s="2091" t="s">
        <v>347</v>
      </c>
      <c r="N24" s="2079"/>
      <c r="O24" s="2092">
        <v>247.58</v>
      </c>
      <c r="P24" s="2089"/>
      <c r="Q24" s="2089">
        <v>20191.899999999998</v>
      </c>
      <c r="R24" s="2089"/>
      <c r="S24" s="2092">
        <v>20439.48</v>
      </c>
      <c r="T24" s="2089"/>
      <c r="U24" s="2089">
        <v>0</v>
      </c>
      <c r="V24" s="2089"/>
      <c r="W24" s="2089">
        <v>247.58</v>
      </c>
    </row>
    <row r="25" spans="1:23">
      <c r="A25" s="2110">
        <v>6</v>
      </c>
      <c r="B25" s="2079"/>
      <c r="C25" s="2078" t="s">
        <v>2735</v>
      </c>
      <c r="D25" s="2079"/>
      <c r="E25" s="2079" t="s">
        <v>530</v>
      </c>
      <c r="F25" s="2079"/>
      <c r="G25" s="2090">
        <v>1.2113881371051875E-2</v>
      </c>
      <c r="H25" s="2110"/>
      <c r="I25" s="2090">
        <v>0.98788611862894815</v>
      </c>
      <c r="J25" s="2090"/>
      <c r="K25" s="2090">
        <v>1</v>
      </c>
      <c r="L25" s="2079"/>
      <c r="M25" s="2091" t="s">
        <v>347</v>
      </c>
      <c r="N25" s="2079"/>
      <c r="O25" s="2092">
        <v>-40.06</v>
      </c>
      <c r="P25" s="2089"/>
      <c r="Q25" s="2089">
        <v>-3266.8900000000003</v>
      </c>
      <c r="R25" s="2089"/>
      <c r="S25" s="2092">
        <v>-3306.9500000000003</v>
      </c>
      <c r="T25" s="2089"/>
      <c r="U25" s="2089">
        <v>0</v>
      </c>
      <c r="V25" s="2089"/>
      <c r="W25" s="2089">
        <v>-40.06</v>
      </c>
    </row>
    <row r="26" spans="1:23">
      <c r="A26" s="2110">
        <v>7</v>
      </c>
      <c r="B26" s="2079"/>
      <c r="C26" s="2078">
        <v>427</v>
      </c>
      <c r="D26" s="2079"/>
      <c r="E26" s="2079" t="s">
        <v>2619</v>
      </c>
      <c r="F26" s="2079"/>
      <c r="G26" s="2090">
        <v>-55.880794701988293</v>
      </c>
      <c r="H26" s="2110"/>
      <c r="I26" s="2090">
        <v>56.880794701988293</v>
      </c>
      <c r="J26" s="2090"/>
      <c r="K26" s="2090">
        <v>1</v>
      </c>
      <c r="L26" s="2079"/>
      <c r="M26" s="2091" t="s">
        <v>347</v>
      </c>
      <c r="N26" s="2079"/>
      <c r="O26" s="2092">
        <v>1181.32</v>
      </c>
      <c r="P26" s="2089"/>
      <c r="Q26" s="2089">
        <v>-1202.4599999999994</v>
      </c>
      <c r="R26" s="2089"/>
      <c r="S26" s="2092">
        <v>-21.139999999999418</v>
      </c>
      <c r="T26" s="2089"/>
      <c r="U26" s="2089">
        <v>0</v>
      </c>
      <c r="V26" s="2089"/>
      <c r="W26" s="2089">
        <v>1181.32</v>
      </c>
    </row>
    <row r="27" spans="1:23">
      <c r="A27" s="2110">
        <v>8</v>
      </c>
      <c r="B27" s="2079"/>
      <c r="C27" s="2078" t="s">
        <v>2736</v>
      </c>
      <c r="D27" s="2079"/>
      <c r="E27" s="2079" t="s">
        <v>2737</v>
      </c>
      <c r="F27" s="2079"/>
      <c r="G27" s="2090">
        <v>1.2112964289624125E-2</v>
      </c>
      <c r="H27" s="2110"/>
      <c r="I27" s="2090">
        <v>0.98788703571037584</v>
      </c>
      <c r="J27" s="2090"/>
      <c r="K27" s="2090">
        <v>1</v>
      </c>
      <c r="L27" s="2079"/>
      <c r="M27" s="2091" t="s">
        <v>347</v>
      </c>
      <c r="N27" s="2091"/>
      <c r="O27" s="2092">
        <v>3881.44</v>
      </c>
      <c r="P27" s="2092"/>
      <c r="Q27" s="2089">
        <v>316555.40000000002</v>
      </c>
      <c r="R27" s="2092"/>
      <c r="S27" s="2092">
        <v>320436.84000000003</v>
      </c>
      <c r="T27" s="2092"/>
      <c r="U27" s="2089">
        <v>0</v>
      </c>
      <c r="V27" s="2089"/>
      <c r="W27" s="2089">
        <v>3881.44</v>
      </c>
    </row>
    <row r="28" spans="1:23">
      <c r="A28" s="2110">
        <v>9</v>
      </c>
      <c r="B28" s="2079"/>
      <c r="C28" s="2078" t="s">
        <v>2002</v>
      </c>
      <c r="D28" s="2079"/>
      <c r="E28" s="2079" t="s">
        <v>2738</v>
      </c>
      <c r="F28" s="2079"/>
      <c r="G28" s="2090">
        <v>1.2112960666838937E-2</v>
      </c>
      <c r="H28" s="2110"/>
      <c r="I28" s="2090">
        <v>0.98788703933316113</v>
      </c>
      <c r="J28" s="2090"/>
      <c r="K28" s="2090">
        <v>1</v>
      </c>
      <c r="L28" s="2079"/>
      <c r="M28" s="2091" t="s">
        <v>347</v>
      </c>
      <c r="N28" s="2079"/>
      <c r="O28" s="2092">
        <v>8391.5899999999983</v>
      </c>
      <c r="P28" s="2089"/>
      <c r="Q28" s="2089">
        <v>684386.19000000006</v>
      </c>
      <c r="R28" s="2089"/>
      <c r="S28" s="2092">
        <v>692777.78</v>
      </c>
      <c r="T28" s="2089"/>
      <c r="U28" s="2089">
        <v>0</v>
      </c>
      <c r="V28" s="2089"/>
      <c r="W28" s="2089">
        <v>8391.5899999999983</v>
      </c>
    </row>
    <row r="29" spans="1:23">
      <c r="A29" s="2110">
        <v>10</v>
      </c>
      <c r="B29" s="2079"/>
      <c r="C29" s="2078" t="s">
        <v>1991</v>
      </c>
      <c r="D29" s="2079"/>
      <c r="E29" s="2079" t="s">
        <v>2739</v>
      </c>
      <c r="F29" s="2079"/>
      <c r="G29" s="2090">
        <v>1.2113018418680543E-2</v>
      </c>
      <c r="H29" s="2110"/>
      <c r="I29" s="2090">
        <v>0.98788698158131949</v>
      </c>
      <c r="J29" s="2090"/>
      <c r="K29" s="2090">
        <v>1</v>
      </c>
      <c r="L29" s="2079"/>
      <c r="M29" s="2091" t="s">
        <v>347</v>
      </c>
      <c r="N29" s="2079"/>
      <c r="O29" s="2092">
        <v>949</v>
      </c>
      <c r="P29" s="2089"/>
      <c r="Q29" s="2089">
        <v>77396.460000000021</v>
      </c>
      <c r="R29" s="2089"/>
      <c r="S29" s="2092">
        <v>78345.460000000021</v>
      </c>
      <c r="T29" s="2089"/>
      <c r="U29" s="2089">
        <v>0</v>
      </c>
      <c r="V29" s="2089"/>
      <c r="W29" s="2089">
        <v>949</v>
      </c>
    </row>
    <row r="30" spans="1:23">
      <c r="A30" s="2110">
        <v>11</v>
      </c>
      <c r="B30" s="2079"/>
      <c r="C30" s="2078" t="s">
        <v>2056</v>
      </c>
      <c r="D30" s="2079"/>
      <c r="E30" s="2079" t="s">
        <v>2740</v>
      </c>
      <c r="F30" s="2079"/>
      <c r="G30" s="2090">
        <v>1.2113028666936431E-2</v>
      </c>
      <c r="H30" s="2110"/>
      <c r="I30" s="2090">
        <v>0.98788697133306369</v>
      </c>
      <c r="J30" s="2090"/>
      <c r="K30" s="2090">
        <v>1</v>
      </c>
      <c r="L30" s="2079"/>
      <c r="M30" s="2091" t="s">
        <v>347</v>
      </c>
      <c r="N30" s="2079"/>
      <c r="O30" s="2092">
        <v>922.29</v>
      </c>
      <c r="P30" s="2089"/>
      <c r="Q30" s="2089">
        <v>75218.040000000008</v>
      </c>
      <c r="R30" s="2089"/>
      <c r="S30" s="2092">
        <v>76140.33</v>
      </c>
      <c r="T30" s="2089"/>
      <c r="U30" s="2089">
        <v>0</v>
      </c>
      <c r="V30" s="2089"/>
      <c r="W30" s="2089">
        <v>922.29</v>
      </c>
    </row>
    <row r="31" spans="1:23">
      <c r="A31" s="2110">
        <v>12</v>
      </c>
      <c r="B31" s="2079"/>
      <c r="C31" s="2078" t="s">
        <v>2063</v>
      </c>
      <c r="D31" s="2079"/>
      <c r="E31" s="2079" t="s">
        <v>1248</v>
      </c>
      <c r="F31" s="2079"/>
      <c r="G31" s="2090">
        <v>0</v>
      </c>
      <c r="H31" s="2110"/>
      <c r="I31" s="2090">
        <v>0</v>
      </c>
      <c r="J31" s="2090"/>
      <c r="K31" s="2090">
        <v>0</v>
      </c>
      <c r="L31" s="2079"/>
      <c r="M31" s="2091" t="s">
        <v>347</v>
      </c>
      <c r="N31" s="2079"/>
      <c r="O31" s="2092">
        <v>0</v>
      </c>
      <c r="P31" s="2089"/>
      <c r="Q31" s="2089">
        <v>0</v>
      </c>
      <c r="R31" s="2089"/>
      <c r="S31" s="2092">
        <v>0</v>
      </c>
      <c r="T31" s="2089"/>
      <c r="U31" s="2089">
        <v>0</v>
      </c>
      <c r="V31" s="2089"/>
      <c r="W31" s="2089">
        <v>0</v>
      </c>
    </row>
    <row r="32" spans="1:23">
      <c r="A32" s="2110">
        <v>13</v>
      </c>
      <c r="B32" s="2079"/>
      <c r="C32" s="2078" t="s">
        <v>1981</v>
      </c>
      <c r="D32" s="2079"/>
      <c r="E32" s="2079" t="s">
        <v>1250</v>
      </c>
      <c r="F32" s="2079"/>
      <c r="G32" s="2090">
        <v>1.2112875043086004E-2</v>
      </c>
      <c r="H32" s="2110"/>
      <c r="I32" s="2090">
        <v>0.987887124956914</v>
      </c>
      <c r="J32" s="2090"/>
      <c r="K32" s="2090">
        <v>1</v>
      </c>
      <c r="L32" s="2079"/>
      <c r="M32" s="2091" t="s">
        <v>347</v>
      </c>
      <c r="N32" s="2079"/>
      <c r="O32" s="2092">
        <v>1429.9099999999999</v>
      </c>
      <c r="P32" s="2089"/>
      <c r="Q32" s="2089">
        <v>116618.86</v>
      </c>
      <c r="R32" s="2089"/>
      <c r="S32" s="2092">
        <v>118048.77</v>
      </c>
      <c r="T32" s="2089"/>
      <c r="U32" s="2089">
        <v>0</v>
      </c>
      <c r="V32" s="2089"/>
      <c r="W32" s="2089">
        <v>1429.9099999999999</v>
      </c>
    </row>
    <row r="33" spans="1:23">
      <c r="A33" s="2110">
        <v>14</v>
      </c>
      <c r="B33" s="2079"/>
      <c r="C33" s="2078" t="s">
        <v>2741</v>
      </c>
      <c r="D33" s="2079"/>
      <c r="E33" s="2079" t="s">
        <v>2742</v>
      </c>
      <c r="F33" s="2079"/>
      <c r="G33" s="2090">
        <v>1.2113127001067236E-2</v>
      </c>
      <c r="H33" s="2110"/>
      <c r="I33" s="2090">
        <v>0.98788687299893274</v>
      </c>
      <c r="J33" s="2090"/>
      <c r="K33" s="2090">
        <v>1</v>
      </c>
      <c r="L33" s="2079"/>
      <c r="M33" s="2091" t="s">
        <v>347</v>
      </c>
      <c r="N33" s="2079"/>
      <c r="O33" s="2092">
        <v>45.4</v>
      </c>
      <c r="P33" s="2089"/>
      <c r="Q33" s="2089">
        <v>3702.6</v>
      </c>
      <c r="R33" s="2089"/>
      <c r="S33" s="2092">
        <v>3748</v>
      </c>
      <c r="T33" s="2089"/>
      <c r="U33" s="2089">
        <v>0</v>
      </c>
      <c r="V33" s="2089"/>
      <c r="W33" s="2089">
        <v>45.4</v>
      </c>
    </row>
    <row r="34" spans="1:23">
      <c r="A34" s="2110">
        <v>15</v>
      </c>
      <c r="B34" s="2079"/>
      <c r="C34" s="2078" t="s">
        <v>2076</v>
      </c>
      <c r="D34" s="2079"/>
      <c r="E34" s="2079" t="s">
        <v>2519</v>
      </c>
      <c r="F34" s="2079"/>
      <c r="G34" s="2090">
        <v>1.2111425111021397E-2</v>
      </c>
      <c r="H34" s="2110"/>
      <c r="I34" s="2090">
        <v>0.98788857488897852</v>
      </c>
      <c r="J34" s="2090"/>
      <c r="K34" s="2090">
        <v>1</v>
      </c>
      <c r="L34" s="2079"/>
      <c r="M34" s="2091" t="s">
        <v>347</v>
      </c>
      <c r="N34" s="2079"/>
      <c r="O34" s="2092">
        <v>3.6</v>
      </c>
      <c r="P34" s="2089"/>
      <c r="Q34" s="2089">
        <v>293.64</v>
      </c>
      <c r="R34" s="2089"/>
      <c r="S34" s="2092">
        <v>297.24</v>
      </c>
      <c r="T34" s="2089"/>
      <c r="U34" s="2089">
        <v>0</v>
      </c>
      <c r="V34" s="2089"/>
      <c r="W34" s="2089">
        <v>3.6</v>
      </c>
    </row>
    <row r="35" spans="1:23">
      <c r="A35" s="2110">
        <v>16</v>
      </c>
      <c r="B35" s="2079"/>
      <c r="C35" s="2078" t="s">
        <v>2743</v>
      </c>
      <c r="D35" s="2079"/>
      <c r="E35" s="2079" t="s">
        <v>2523</v>
      </c>
      <c r="F35" s="2079"/>
      <c r="G35" s="2090">
        <v>1.2112945385243034E-2</v>
      </c>
      <c r="H35" s="2110"/>
      <c r="I35" s="2090">
        <v>0.9878870546147569</v>
      </c>
      <c r="J35" s="2090"/>
      <c r="K35" s="2090">
        <v>1</v>
      </c>
      <c r="L35" s="2079"/>
      <c r="M35" s="2091" t="s">
        <v>347</v>
      </c>
      <c r="N35" s="2079"/>
      <c r="O35" s="2092">
        <v>2340.0700000000002</v>
      </c>
      <c r="P35" s="2089"/>
      <c r="Q35" s="2089">
        <v>190847.46</v>
      </c>
      <c r="R35" s="2089"/>
      <c r="S35" s="2092">
        <v>193187.53</v>
      </c>
      <c r="T35" s="2089"/>
      <c r="U35" s="2089">
        <v>0</v>
      </c>
      <c r="V35" s="2089"/>
      <c r="W35" s="2089">
        <v>2340.0700000000002</v>
      </c>
    </row>
    <row r="36" spans="1:23">
      <c r="A36" s="2110">
        <v>17</v>
      </c>
      <c r="B36" s="2079"/>
      <c r="C36" s="2078" t="s">
        <v>2015</v>
      </c>
      <c r="D36" s="2079"/>
      <c r="E36" s="2079" t="s">
        <v>2744</v>
      </c>
      <c r="F36" s="2079"/>
      <c r="G36" s="2090">
        <v>1.2113047089174617E-2</v>
      </c>
      <c r="H36" s="2110"/>
      <c r="I36" s="2090">
        <v>0.98788695291082529</v>
      </c>
      <c r="J36" s="2090"/>
      <c r="K36" s="2090">
        <v>1</v>
      </c>
      <c r="L36" s="2079"/>
      <c r="M36" s="2091" t="s">
        <v>347</v>
      </c>
      <c r="N36" s="2079"/>
      <c r="O36" s="2092">
        <v>-322.33</v>
      </c>
      <c r="P36" s="2089"/>
      <c r="Q36" s="2089">
        <v>-26287.82</v>
      </c>
      <c r="R36" s="2089"/>
      <c r="S36" s="2092">
        <v>-26610.15</v>
      </c>
      <c r="T36" s="2089"/>
      <c r="U36" s="2089">
        <v>0</v>
      </c>
      <c r="V36" s="2089"/>
      <c r="W36" s="2089">
        <v>-322.33</v>
      </c>
    </row>
    <row r="37" spans="1:23">
      <c r="A37" s="2110">
        <v>18</v>
      </c>
      <c r="B37" s="2079"/>
      <c r="C37" s="2078" t="s">
        <v>1984</v>
      </c>
      <c r="D37" s="2079"/>
      <c r="E37" s="2079" t="s">
        <v>1253</v>
      </c>
      <c r="F37" s="2079"/>
      <c r="G37" s="2090">
        <v>1.2109826334682791E-2</v>
      </c>
      <c r="H37" s="2110"/>
      <c r="I37" s="2090">
        <v>0.98789017366531717</v>
      </c>
      <c r="J37" s="2090"/>
      <c r="K37" s="2090">
        <v>1</v>
      </c>
      <c r="L37" s="2079"/>
      <c r="M37" s="2091" t="s">
        <v>347</v>
      </c>
      <c r="N37" s="2079"/>
      <c r="O37" s="2092">
        <v>13.73</v>
      </c>
      <c r="P37" s="2089"/>
      <c r="Q37" s="2089">
        <v>1120.06</v>
      </c>
      <c r="R37" s="2089"/>
      <c r="S37" s="2092">
        <v>1133.79</v>
      </c>
      <c r="T37" s="2089"/>
      <c r="U37" s="2089">
        <v>0</v>
      </c>
      <c r="V37" s="2089"/>
      <c r="W37" s="2089">
        <v>13.73</v>
      </c>
    </row>
    <row r="38" spans="1:23">
      <c r="A38" s="2110">
        <v>19</v>
      </c>
      <c r="B38" s="2079"/>
      <c r="C38" s="2078" t="s">
        <v>1998</v>
      </c>
      <c r="D38" s="2079"/>
      <c r="E38" s="2079" t="s">
        <v>2535</v>
      </c>
      <c r="F38" s="2079"/>
      <c r="G38" s="2090">
        <v>1.2112922928067538E-2</v>
      </c>
      <c r="H38" s="2110"/>
      <c r="I38" s="2090">
        <v>0.98788707707193257</v>
      </c>
      <c r="J38" s="2090"/>
      <c r="K38" s="2090">
        <v>1</v>
      </c>
      <c r="L38" s="2079"/>
      <c r="M38" s="2091" t="s">
        <v>347</v>
      </c>
      <c r="N38" s="2079"/>
      <c r="O38" s="2092">
        <v>1638.2399999999996</v>
      </c>
      <c r="P38" s="2089"/>
      <c r="Q38" s="2089">
        <v>133609.05000000002</v>
      </c>
      <c r="R38" s="2089"/>
      <c r="S38" s="2092">
        <v>135247.29</v>
      </c>
      <c r="T38" s="2089"/>
      <c r="U38" s="2089">
        <v>0</v>
      </c>
      <c r="V38" s="2089"/>
      <c r="W38" s="2089">
        <v>1638.2399999999996</v>
      </c>
    </row>
    <row r="39" spans="1:23" ht="12.75" thickBot="1">
      <c r="A39" s="2110">
        <v>20</v>
      </c>
      <c r="B39" s="2079"/>
      <c r="C39" s="2078"/>
      <c r="D39" s="2079"/>
      <c r="E39" s="2079"/>
      <c r="F39" s="2079"/>
      <c r="G39" s="2090"/>
      <c r="H39" s="2110"/>
      <c r="I39" s="2110"/>
      <c r="J39" s="2110"/>
      <c r="K39" s="2110"/>
      <c r="L39" s="2079"/>
      <c r="M39" s="2079"/>
      <c r="N39" s="2079"/>
      <c r="O39" s="2093">
        <v>24439.539999999994</v>
      </c>
      <c r="P39" s="2089"/>
      <c r="Q39" s="2093">
        <v>1904504.29</v>
      </c>
      <c r="R39" s="2089"/>
      <c r="S39" s="2093">
        <v>1928943.8300000003</v>
      </c>
      <c r="T39" s="2089"/>
      <c r="U39" s="2094">
        <v>0</v>
      </c>
      <c r="V39" s="2089"/>
      <c r="W39" s="2094">
        <v>24439.539999999994</v>
      </c>
    </row>
    <row r="40" spans="1:23" ht="12.75" thickTop="1">
      <c r="A40" s="2110">
        <v>21</v>
      </c>
      <c r="B40" s="2079"/>
      <c r="C40" s="2078"/>
      <c r="D40" s="2079"/>
      <c r="E40" s="2079"/>
      <c r="F40" s="2079"/>
      <c r="G40" s="2090"/>
      <c r="H40" s="2110"/>
      <c r="I40" s="2110"/>
      <c r="J40" s="2110"/>
      <c r="K40" s="2110"/>
      <c r="L40" s="2079"/>
      <c r="M40" s="2079"/>
      <c r="N40" s="2079"/>
      <c r="O40" s="2089"/>
      <c r="P40" s="2089"/>
      <c r="Q40" s="2089"/>
      <c r="R40" s="2089"/>
      <c r="S40" s="2089"/>
      <c r="T40" s="2089"/>
      <c r="U40" s="2089"/>
      <c r="V40" s="2089"/>
      <c r="W40" s="2089"/>
    </row>
    <row r="41" spans="1:23">
      <c r="A41" s="2110">
        <v>22</v>
      </c>
      <c r="B41" s="2088" t="s">
        <v>2745</v>
      </c>
      <c r="C41" s="2078"/>
      <c r="D41" s="2079"/>
      <c r="E41" s="2079"/>
      <c r="F41" s="2079"/>
      <c r="G41" s="2090"/>
      <c r="H41" s="2110"/>
      <c r="I41" s="2090"/>
      <c r="J41" s="2090"/>
      <c r="K41" s="2090"/>
      <c r="L41" s="2079"/>
      <c r="M41" s="2079"/>
      <c r="N41" s="2079"/>
      <c r="O41" s="2089"/>
      <c r="P41" s="2089"/>
      <c r="Q41" s="2089"/>
      <c r="R41" s="2089"/>
      <c r="S41" s="2089"/>
      <c r="T41" s="2089"/>
      <c r="U41" s="2089"/>
      <c r="V41" s="2089"/>
      <c r="W41" s="2089"/>
    </row>
    <row r="42" spans="1:23">
      <c r="A42" s="2110">
        <v>23</v>
      </c>
      <c r="B42" s="2079"/>
      <c r="C42" s="2078"/>
      <c r="D42" s="2079"/>
      <c r="E42" s="2079"/>
      <c r="F42" s="2079"/>
      <c r="G42" s="2090"/>
      <c r="H42" s="2110"/>
      <c r="I42" s="2090"/>
      <c r="J42" s="2090"/>
      <c r="K42" s="2090"/>
      <c r="L42" s="2079"/>
      <c r="M42" s="2079"/>
      <c r="N42" s="2079"/>
      <c r="O42" s="2089"/>
      <c r="P42" s="2089"/>
      <c r="Q42" s="2089"/>
      <c r="R42" s="2089"/>
      <c r="S42" s="2089"/>
      <c r="T42" s="2089"/>
      <c r="U42" s="2089"/>
      <c r="V42" s="2089"/>
      <c r="W42" s="2089"/>
    </row>
    <row r="43" spans="1:23">
      <c r="A43" s="2110">
        <v>24</v>
      </c>
      <c r="B43" s="2079"/>
      <c r="C43" s="2078">
        <v>403</v>
      </c>
      <c r="D43" s="2079"/>
      <c r="E43" s="2079" t="s">
        <v>2746</v>
      </c>
      <c r="F43" s="2079"/>
      <c r="G43" s="2090">
        <v>4.4019642649472703E-2</v>
      </c>
      <c r="H43" s="2110"/>
      <c r="I43" s="2090">
        <v>0.95598035735052722</v>
      </c>
      <c r="J43" s="2090"/>
      <c r="K43" s="2090">
        <v>1</v>
      </c>
      <c r="L43" s="2079"/>
      <c r="M43" s="2091" t="s">
        <v>347</v>
      </c>
      <c r="N43" s="2079"/>
      <c r="O43" s="2092">
        <v>1290.74</v>
      </c>
      <c r="P43" s="2092"/>
      <c r="Q43" s="2092">
        <v>28031.169999999995</v>
      </c>
      <c r="R43" s="2092"/>
      <c r="S43" s="2092">
        <v>29321.909999999996</v>
      </c>
      <c r="T43" s="2092"/>
      <c r="U43" s="994">
        <v>0</v>
      </c>
      <c r="V43" s="994"/>
      <c r="W43" s="994">
        <v>1290.74</v>
      </c>
    </row>
    <row r="44" spans="1:23">
      <c r="A44" s="2110">
        <v>25</v>
      </c>
      <c r="B44" s="2079"/>
      <c r="C44" s="2078">
        <v>408</v>
      </c>
      <c r="D44" s="2079"/>
      <c r="E44" s="2079" t="s">
        <v>25</v>
      </c>
      <c r="F44" s="2079"/>
      <c r="G44" s="2090">
        <v>5.1855483889575907E-2</v>
      </c>
      <c r="H44" s="2110"/>
      <c r="I44" s="2090">
        <v>0.94814451611042416</v>
      </c>
      <c r="J44" s="2090"/>
      <c r="K44" s="2090">
        <v>1</v>
      </c>
      <c r="L44" s="2079"/>
      <c r="M44" s="2091" t="s">
        <v>347</v>
      </c>
      <c r="N44" s="2079"/>
      <c r="O44" s="2092">
        <v>1150.6400000000001</v>
      </c>
      <c r="P44" s="2089"/>
      <c r="Q44" s="2092">
        <v>21038.720000000001</v>
      </c>
      <c r="R44" s="2089"/>
      <c r="S44" s="2092">
        <v>22189.360000000001</v>
      </c>
      <c r="T44" s="2089"/>
      <c r="U44" s="994">
        <v>0</v>
      </c>
      <c r="V44" s="994"/>
      <c r="W44" s="994">
        <v>1150.6400000000001</v>
      </c>
    </row>
    <row r="45" spans="1:23">
      <c r="A45" s="2110">
        <v>26</v>
      </c>
      <c r="B45" s="2079"/>
      <c r="C45" s="2078">
        <v>410</v>
      </c>
      <c r="D45" s="2079"/>
      <c r="E45" s="2079" t="s">
        <v>2734</v>
      </c>
      <c r="F45" s="2079"/>
      <c r="G45" s="2090">
        <v>5.2476787710855094E-2</v>
      </c>
      <c r="H45" s="2110"/>
      <c r="I45" s="2090">
        <v>0.94752321228914493</v>
      </c>
      <c r="J45" s="2090"/>
      <c r="K45" s="2090">
        <v>1</v>
      </c>
      <c r="L45" s="2079"/>
      <c r="M45" s="2091" t="s">
        <v>347</v>
      </c>
      <c r="N45" s="2079"/>
      <c r="O45" s="2092">
        <v>172.72000000000003</v>
      </c>
      <c r="P45" s="2089"/>
      <c r="Q45" s="2092">
        <v>3118.6400000000003</v>
      </c>
      <c r="R45" s="2089"/>
      <c r="S45" s="2092">
        <v>3291.36</v>
      </c>
      <c r="T45" s="2089"/>
      <c r="U45" s="994">
        <v>0</v>
      </c>
      <c r="V45" s="994"/>
      <c r="W45" s="994">
        <v>172.72000000000003</v>
      </c>
    </row>
    <row r="46" spans="1:23">
      <c r="A46" s="2110">
        <v>27</v>
      </c>
      <c r="B46" s="2079"/>
      <c r="C46" s="2078" t="s">
        <v>2747</v>
      </c>
      <c r="D46" s="2079"/>
      <c r="E46" s="2079" t="s">
        <v>25</v>
      </c>
      <c r="F46" s="2079"/>
      <c r="G46" s="2090">
        <v>0</v>
      </c>
      <c r="H46" s="2110"/>
      <c r="I46" s="2090">
        <v>0</v>
      </c>
      <c r="J46" s="2090"/>
      <c r="K46" s="2090">
        <v>0</v>
      </c>
      <c r="L46" s="2079"/>
      <c r="M46" s="2091" t="s">
        <v>347</v>
      </c>
      <c r="N46" s="2079"/>
      <c r="O46" s="2092">
        <v>0</v>
      </c>
      <c r="P46" s="2089"/>
      <c r="Q46" s="2092">
        <v>0</v>
      </c>
      <c r="R46" s="2089"/>
      <c r="S46" s="2092">
        <v>0</v>
      </c>
      <c r="T46" s="2089"/>
      <c r="U46" s="994">
        <v>0</v>
      </c>
      <c r="V46" s="994"/>
      <c r="W46" s="994">
        <v>0</v>
      </c>
    </row>
    <row r="47" spans="1:23">
      <c r="A47" s="2110">
        <v>28</v>
      </c>
      <c r="B47" s="2079"/>
      <c r="C47" s="2078">
        <v>427</v>
      </c>
      <c r="D47" s="2079"/>
      <c r="E47" s="2079" t="s">
        <v>2619</v>
      </c>
      <c r="F47" s="2079"/>
      <c r="G47" s="2090">
        <v>5.1744186046511632E-2</v>
      </c>
      <c r="H47" s="2110"/>
      <c r="I47" s="2090">
        <v>0.94825581395348835</v>
      </c>
      <c r="J47" s="2090"/>
      <c r="K47" s="2090">
        <v>1</v>
      </c>
      <c r="L47" s="2079"/>
      <c r="M47" s="2091" t="s">
        <v>347</v>
      </c>
      <c r="N47" s="2079"/>
      <c r="O47" s="2092">
        <v>0.89</v>
      </c>
      <c r="P47" s="2089"/>
      <c r="Q47" s="2092">
        <v>16.309999999999999</v>
      </c>
      <c r="R47" s="2089"/>
      <c r="S47" s="2092">
        <v>17.2</v>
      </c>
      <c r="T47" s="2089"/>
      <c r="U47" s="994">
        <v>0</v>
      </c>
      <c r="V47" s="994"/>
      <c r="W47" s="994">
        <v>0.89</v>
      </c>
    </row>
    <row r="48" spans="1:23">
      <c r="A48" s="2110">
        <v>29</v>
      </c>
      <c r="B48" s="2079"/>
      <c r="C48" s="2078" t="s">
        <v>2736</v>
      </c>
      <c r="D48" s="2079"/>
      <c r="E48" s="2079" t="s">
        <v>2737</v>
      </c>
      <c r="F48" s="2079"/>
      <c r="G48" s="2090">
        <v>5.2475987401944479E-2</v>
      </c>
      <c r="H48" s="2110"/>
      <c r="I48" s="2090">
        <v>0.94752401259805552</v>
      </c>
      <c r="J48" s="2090"/>
      <c r="K48" s="2090">
        <v>1</v>
      </c>
      <c r="L48" s="2079"/>
      <c r="M48" s="2091" t="s">
        <v>347</v>
      </c>
      <c r="N48" s="2091"/>
      <c r="O48" s="2092">
        <v>4023.7799999999997</v>
      </c>
      <c r="P48" s="2089"/>
      <c r="Q48" s="2092">
        <v>72654.720000000001</v>
      </c>
      <c r="R48" s="2089"/>
      <c r="S48" s="2092">
        <v>76678.5</v>
      </c>
      <c r="T48" s="2089"/>
      <c r="U48" s="994">
        <v>0</v>
      </c>
      <c r="V48" s="994"/>
      <c r="W48" s="994">
        <v>4023.7799999999997</v>
      </c>
    </row>
    <row r="49" spans="1:23">
      <c r="A49" s="2110">
        <v>30</v>
      </c>
      <c r="B49" s="2079"/>
      <c r="C49" s="2078" t="s">
        <v>2002</v>
      </c>
      <c r="D49" s="2079"/>
      <c r="E49" s="2079" t="s">
        <v>2738</v>
      </c>
      <c r="F49" s="2079"/>
      <c r="G49" s="2090">
        <v>5.1833740831295848E-2</v>
      </c>
      <c r="H49" s="2110"/>
      <c r="I49" s="2090">
        <v>0.94816625916870423</v>
      </c>
      <c r="J49" s="2090"/>
      <c r="K49" s="2090">
        <v>1</v>
      </c>
      <c r="L49" s="2079"/>
      <c r="M49" s="2091" t="s">
        <v>347</v>
      </c>
      <c r="N49" s="2079"/>
      <c r="O49" s="2092">
        <v>-4.24</v>
      </c>
      <c r="P49" s="2089"/>
      <c r="Q49" s="2092">
        <v>-77.56</v>
      </c>
      <c r="R49" s="2089"/>
      <c r="S49" s="2092">
        <v>-81.8</v>
      </c>
      <c r="T49" s="2089"/>
      <c r="U49" s="994">
        <v>0</v>
      </c>
      <c r="V49" s="994"/>
      <c r="W49" s="994">
        <v>-4.24</v>
      </c>
    </row>
    <row r="50" spans="1:23">
      <c r="A50" s="2110">
        <v>31</v>
      </c>
      <c r="B50" s="2079"/>
      <c r="C50" s="2078" t="s">
        <v>1991</v>
      </c>
      <c r="D50" s="2079"/>
      <c r="E50" s="2079" t="s">
        <v>2739</v>
      </c>
      <c r="F50" s="2079"/>
      <c r="G50" s="2090">
        <v>5.1773582329043041E-2</v>
      </c>
      <c r="H50" s="2110"/>
      <c r="I50" s="2090">
        <v>0.94822641767095683</v>
      </c>
      <c r="J50" s="2090"/>
      <c r="K50" s="2090">
        <v>1</v>
      </c>
      <c r="L50" s="2079"/>
      <c r="M50" s="2091" t="s">
        <v>347</v>
      </c>
      <c r="N50" s="2079"/>
      <c r="O50" s="2092">
        <v>30.33</v>
      </c>
      <c r="P50" s="2089"/>
      <c r="Q50" s="2092">
        <v>555.49</v>
      </c>
      <c r="R50" s="2089"/>
      <c r="S50" s="2092">
        <v>585.82000000000005</v>
      </c>
      <c r="T50" s="2089"/>
      <c r="U50" s="994">
        <v>0</v>
      </c>
      <c r="V50" s="994"/>
      <c r="W50" s="994">
        <v>30.33</v>
      </c>
    </row>
    <row r="51" spans="1:23">
      <c r="A51" s="2110">
        <v>32</v>
      </c>
      <c r="B51" s="2079"/>
      <c r="C51" s="2078" t="s">
        <v>2052</v>
      </c>
      <c r="D51" s="2079"/>
      <c r="E51" s="2079" t="s">
        <v>2748</v>
      </c>
      <c r="F51" s="2079"/>
      <c r="G51" s="2090">
        <v>0</v>
      </c>
      <c r="H51" s="2110"/>
      <c r="I51" s="2090">
        <v>0</v>
      </c>
      <c r="J51" s="2090"/>
      <c r="K51" s="2090">
        <v>0</v>
      </c>
      <c r="L51" s="2079"/>
      <c r="M51" s="2091" t="s">
        <v>347</v>
      </c>
      <c r="N51" s="2079"/>
      <c r="O51" s="2092">
        <v>0</v>
      </c>
      <c r="P51" s="2089"/>
      <c r="Q51" s="2092">
        <v>0</v>
      </c>
      <c r="R51" s="2089"/>
      <c r="S51" s="2092">
        <v>0</v>
      </c>
      <c r="T51" s="2089"/>
      <c r="U51" s="994">
        <v>0</v>
      </c>
      <c r="V51" s="994"/>
      <c r="W51" s="994">
        <v>0</v>
      </c>
    </row>
    <row r="52" spans="1:23">
      <c r="A52" s="2110">
        <v>33</v>
      </c>
      <c r="B52" s="2079"/>
      <c r="C52" s="2078" t="s">
        <v>2063</v>
      </c>
      <c r="D52" s="2079"/>
      <c r="E52" s="2079" t="s">
        <v>1248</v>
      </c>
      <c r="F52" s="2079"/>
      <c r="G52" s="2090">
        <v>5.1797215318421116E-2</v>
      </c>
      <c r="H52" s="2110"/>
      <c r="I52" s="2090">
        <v>0.94820278468157881</v>
      </c>
      <c r="J52" s="2090"/>
      <c r="K52" s="2090">
        <v>1</v>
      </c>
      <c r="L52" s="2079"/>
      <c r="M52" s="2091" t="s">
        <v>347</v>
      </c>
      <c r="N52" s="2079"/>
      <c r="O52" s="2092">
        <v>96.91</v>
      </c>
      <c r="P52" s="2089"/>
      <c r="Q52" s="2092">
        <v>1774.04</v>
      </c>
      <c r="R52" s="2089"/>
      <c r="S52" s="2092">
        <v>1870.95</v>
      </c>
      <c r="T52" s="2089"/>
      <c r="U52" s="994">
        <v>0</v>
      </c>
      <c r="V52" s="994"/>
      <c r="W52" s="994">
        <v>96.91</v>
      </c>
    </row>
    <row r="53" spans="1:23">
      <c r="A53" s="2110">
        <v>34</v>
      </c>
      <c r="B53" s="2079"/>
      <c r="C53" s="2078">
        <v>635</v>
      </c>
      <c r="D53" s="2079"/>
      <c r="E53" s="2079" t="s">
        <v>2749</v>
      </c>
      <c r="F53" s="2079"/>
      <c r="G53" s="2090">
        <v>0</v>
      </c>
      <c r="H53" s="2110"/>
      <c r="I53" s="2090">
        <v>0</v>
      </c>
      <c r="J53" s="2090"/>
      <c r="K53" s="2090">
        <v>0</v>
      </c>
      <c r="L53" s="2079"/>
      <c r="M53" s="2091" t="s">
        <v>347</v>
      </c>
      <c r="N53" s="2079"/>
      <c r="O53" s="2092">
        <v>0</v>
      </c>
      <c r="P53" s="2089"/>
      <c r="Q53" s="2092">
        <v>0</v>
      </c>
      <c r="R53" s="2089"/>
      <c r="S53" s="2092">
        <v>0</v>
      </c>
      <c r="T53" s="2089"/>
      <c r="U53" s="994">
        <v>0</v>
      </c>
      <c r="V53" s="994"/>
      <c r="W53" s="994">
        <v>0</v>
      </c>
    </row>
    <row r="54" spans="1:23">
      <c r="A54" s="2110">
        <v>35</v>
      </c>
      <c r="B54" s="2079"/>
      <c r="C54" s="2078" t="s">
        <v>1981</v>
      </c>
      <c r="D54" s="2079"/>
      <c r="E54" s="2079" t="s">
        <v>1250</v>
      </c>
      <c r="F54" s="2079"/>
      <c r="G54" s="2090">
        <v>5.1796557926908536E-2</v>
      </c>
      <c r="H54" s="2110"/>
      <c r="I54" s="2090">
        <v>0.94820344207309148</v>
      </c>
      <c r="J54" s="2090"/>
      <c r="K54" s="2090">
        <v>1</v>
      </c>
      <c r="L54" s="2079"/>
      <c r="M54" s="2091" t="s">
        <v>347</v>
      </c>
      <c r="N54" s="2079"/>
      <c r="O54" s="2092">
        <v>438.26</v>
      </c>
      <c r="P54" s="2089"/>
      <c r="Q54" s="2092">
        <v>8022.92</v>
      </c>
      <c r="R54" s="2089"/>
      <c r="S54" s="2092">
        <v>8461.18</v>
      </c>
      <c r="T54" s="2089"/>
      <c r="U54" s="994">
        <v>0</v>
      </c>
      <c r="V54" s="994"/>
      <c r="W54" s="994">
        <v>438.26</v>
      </c>
    </row>
    <row r="55" spans="1:23">
      <c r="A55" s="2110">
        <v>36</v>
      </c>
      <c r="B55" s="2079"/>
      <c r="C55" s="2078" t="s">
        <v>2074</v>
      </c>
      <c r="D55" s="2079"/>
      <c r="E55" s="2079" t="s">
        <v>2517</v>
      </c>
      <c r="F55" s="2079"/>
      <c r="G55" s="2090">
        <v>5.1813657034411147E-2</v>
      </c>
      <c r="H55" s="2110"/>
      <c r="I55" s="2090">
        <v>0.94818634296558879</v>
      </c>
      <c r="J55" s="2090"/>
      <c r="K55" s="2090">
        <v>1</v>
      </c>
      <c r="L55" s="2079"/>
      <c r="M55" s="2091" t="s">
        <v>347</v>
      </c>
      <c r="N55" s="2079"/>
      <c r="O55" s="2092">
        <v>14.47</v>
      </c>
      <c r="P55" s="2089"/>
      <c r="Q55" s="2092">
        <v>264.79999999999995</v>
      </c>
      <c r="R55" s="2089"/>
      <c r="S55" s="2092">
        <v>279.27</v>
      </c>
      <c r="T55" s="2089"/>
      <c r="U55" s="994">
        <v>0</v>
      </c>
      <c r="V55" s="994"/>
      <c r="W55" s="994">
        <v>14.47</v>
      </c>
    </row>
    <row r="56" spans="1:23">
      <c r="A56" s="2110">
        <v>37</v>
      </c>
      <c r="B56" s="2079"/>
      <c r="C56" s="2078" t="s">
        <v>2076</v>
      </c>
      <c r="D56" s="2079"/>
      <c r="E56" s="2079" t="s">
        <v>1251</v>
      </c>
      <c r="F56" s="2079"/>
      <c r="G56" s="2090">
        <v>5.1795559716683946E-2</v>
      </c>
      <c r="H56" s="2110"/>
      <c r="I56" s="2090">
        <v>0.94820444028331607</v>
      </c>
      <c r="J56" s="2090"/>
      <c r="K56" s="2090">
        <v>1</v>
      </c>
      <c r="L56" s="2079"/>
      <c r="M56" s="2091" t="s">
        <v>347</v>
      </c>
      <c r="N56" s="2079"/>
      <c r="O56" s="2092">
        <v>1069.9299999999998</v>
      </c>
      <c r="P56" s="2089"/>
      <c r="Q56" s="2092">
        <v>19586.86</v>
      </c>
      <c r="R56" s="2089"/>
      <c r="S56" s="2092">
        <v>20656.79</v>
      </c>
      <c r="T56" s="2089"/>
      <c r="U56" s="994">
        <v>0</v>
      </c>
      <c r="V56" s="994"/>
      <c r="W56" s="994">
        <v>1069.9299999999998</v>
      </c>
    </row>
    <row r="57" spans="1:23">
      <c r="A57" s="2110">
        <v>38</v>
      </c>
      <c r="B57" s="2079"/>
      <c r="C57" s="2078" t="s">
        <v>2071</v>
      </c>
      <c r="D57" s="2079"/>
      <c r="E57" s="2079" t="s">
        <v>2750</v>
      </c>
      <c r="F57" s="2079"/>
      <c r="G57" s="2090">
        <v>5.1795175364969422E-2</v>
      </c>
      <c r="H57" s="2110"/>
      <c r="I57" s="2090">
        <v>0.94820482463503064</v>
      </c>
      <c r="J57" s="2090"/>
      <c r="K57" s="2090">
        <v>1</v>
      </c>
      <c r="L57" s="2079"/>
      <c r="M57" s="2091" t="s">
        <v>347</v>
      </c>
      <c r="N57" s="2079"/>
      <c r="O57" s="2092">
        <v>175.87</v>
      </c>
      <c r="P57" s="2089"/>
      <c r="Q57" s="2092">
        <v>3219.62</v>
      </c>
      <c r="R57" s="2089"/>
      <c r="S57" s="2092">
        <v>3395.49</v>
      </c>
      <c r="T57" s="2089"/>
      <c r="U57" s="994">
        <v>0</v>
      </c>
      <c r="V57" s="994"/>
      <c r="W57" s="994">
        <v>175.87</v>
      </c>
    </row>
    <row r="58" spans="1:23">
      <c r="A58" s="2110">
        <v>39</v>
      </c>
      <c r="B58" s="2079"/>
      <c r="C58" s="2078" t="s">
        <v>1998</v>
      </c>
      <c r="D58" s="2079"/>
      <c r="E58" s="2079" t="s">
        <v>2535</v>
      </c>
      <c r="F58" s="2079"/>
      <c r="G58" s="2090">
        <v>5.1831364592539106E-2</v>
      </c>
      <c r="H58" s="2110"/>
      <c r="I58" s="2090">
        <v>0.94816863540746088</v>
      </c>
      <c r="J58" s="2090"/>
      <c r="K58" s="2090">
        <v>1</v>
      </c>
      <c r="L58" s="2079"/>
      <c r="M58" s="2091" t="s">
        <v>347</v>
      </c>
      <c r="N58" s="2079"/>
      <c r="O58" s="2092">
        <v>1041.0200000000002</v>
      </c>
      <c r="P58" s="2089"/>
      <c r="Q58" s="2092">
        <v>19043.730000000007</v>
      </c>
      <c r="R58" s="2089"/>
      <c r="S58" s="2092">
        <v>20084.750000000007</v>
      </c>
      <c r="T58" s="2089"/>
      <c r="U58" s="994">
        <v>0</v>
      </c>
      <c r="V58" s="994"/>
      <c r="W58" s="994">
        <v>1041.0200000000002</v>
      </c>
    </row>
    <row r="59" spans="1:23" ht="12.75" thickBot="1">
      <c r="A59" s="2110">
        <v>40</v>
      </c>
      <c r="B59" s="2079"/>
      <c r="C59" s="2078"/>
      <c r="D59" s="2079"/>
      <c r="E59" s="2079"/>
      <c r="F59" s="2079"/>
      <c r="G59" s="2110"/>
      <c r="H59" s="2110"/>
      <c r="I59" s="2110"/>
      <c r="J59" s="2110"/>
      <c r="K59" s="2090"/>
      <c r="L59" s="2079"/>
      <c r="M59" s="2079"/>
      <c r="N59" s="2079"/>
      <c r="O59" s="2145">
        <v>9501.3200000000015</v>
      </c>
      <c r="P59" s="2089"/>
      <c r="Q59" s="2145">
        <v>177249.46</v>
      </c>
      <c r="R59" s="2089"/>
      <c r="S59" s="2146">
        <v>186750.78</v>
      </c>
      <c r="T59" s="2089"/>
      <c r="U59" s="2147">
        <v>0</v>
      </c>
      <c r="V59" s="2089"/>
      <c r="W59" s="2147">
        <v>9501.3200000000015</v>
      </c>
    </row>
    <row r="60" spans="1:23" ht="12.75" thickTop="1">
      <c r="A60" s="2110">
        <v>41</v>
      </c>
      <c r="B60" s="2079"/>
      <c r="C60" s="2078"/>
      <c r="D60" s="2079"/>
      <c r="E60" s="2079"/>
      <c r="F60" s="2079"/>
      <c r="G60" s="2110"/>
      <c r="H60" s="2110"/>
      <c r="I60" s="2110"/>
      <c r="J60" s="2110"/>
      <c r="K60" s="2110"/>
      <c r="L60" s="2079"/>
      <c r="M60" s="2079"/>
      <c r="N60" s="2079"/>
      <c r="O60" s="2079"/>
      <c r="P60" s="2079"/>
      <c r="Q60" s="2079"/>
      <c r="R60" s="2079"/>
      <c r="S60" s="2079"/>
      <c r="T60" s="2079"/>
      <c r="U60" s="2079"/>
      <c r="V60" s="2079"/>
      <c r="W60" s="2079"/>
    </row>
    <row r="61" spans="1:23">
      <c r="A61" s="2110">
        <v>42</v>
      </c>
      <c r="B61" s="2088" t="s">
        <v>2751</v>
      </c>
      <c r="C61" s="2078"/>
      <c r="D61" s="2079"/>
      <c r="E61" s="2079"/>
      <c r="F61" s="2079"/>
      <c r="G61" s="2090"/>
      <c r="H61" s="2110"/>
      <c r="I61" s="2090"/>
      <c r="J61" s="2090"/>
      <c r="K61" s="2090"/>
      <c r="L61" s="2079"/>
      <c r="M61" s="2079"/>
      <c r="N61" s="2079"/>
      <c r="O61" s="2089"/>
      <c r="P61" s="2089"/>
      <c r="Q61" s="2089"/>
      <c r="R61" s="2089"/>
      <c r="S61" s="2089"/>
      <c r="T61" s="2089"/>
      <c r="U61" s="2089"/>
      <c r="V61" s="2089"/>
      <c r="W61" s="2089"/>
    </row>
    <row r="62" spans="1:23">
      <c r="A62" s="2110">
        <v>43</v>
      </c>
      <c r="B62" s="2079"/>
      <c r="C62" s="2078"/>
      <c r="D62" s="2079"/>
      <c r="E62" s="2079"/>
      <c r="F62" s="2079"/>
      <c r="G62" s="2090"/>
      <c r="H62" s="2110"/>
      <c r="I62" s="2090"/>
      <c r="J62" s="2090"/>
      <c r="K62" s="2090"/>
      <c r="L62" s="2079"/>
      <c r="M62" s="2079"/>
      <c r="N62" s="2079"/>
      <c r="O62" s="2089"/>
      <c r="P62" s="2089"/>
      <c r="Q62" s="2089"/>
      <c r="R62" s="2089"/>
      <c r="S62" s="2089"/>
      <c r="T62" s="2089"/>
      <c r="U62" s="2089"/>
      <c r="V62" s="2089"/>
      <c r="W62" s="2089"/>
    </row>
    <row r="63" spans="1:23">
      <c r="A63" s="2110">
        <v>44</v>
      </c>
      <c r="B63" s="2079"/>
      <c r="C63" s="2078">
        <v>427</v>
      </c>
      <c r="D63" s="2079"/>
      <c r="E63" s="2079" t="s">
        <v>2619</v>
      </c>
      <c r="F63" s="2079"/>
      <c r="G63" s="2090">
        <v>9.2955179864158358E-3</v>
      </c>
      <c r="H63" s="2110"/>
      <c r="I63" s="2090">
        <v>0.99070448201358408</v>
      </c>
      <c r="J63" s="2090"/>
      <c r="K63" s="2090">
        <v>1</v>
      </c>
      <c r="L63" s="2079"/>
      <c r="M63" s="2091" t="s">
        <v>2752</v>
      </c>
      <c r="N63" s="2079"/>
      <c r="O63" s="2092">
        <v>29552.49</v>
      </c>
      <c r="P63" s="2092"/>
      <c r="Q63" s="2092">
        <v>3149666.7899999996</v>
      </c>
      <c r="R63" s="2092"/>
      <c r="S63" s="2092">
        <v>3179219.28</v>
      </c>
      <c r="T63" s="2092"/>
      <c r="U63" s="994">
        <v>0</v>
      </c>
      <c r="V63" s="994"/>
      <c r="W63" s="994">
        <v>29552.49</v>
      </c>
    </row>
    <row r="64" spans="1:23" ht="12.75" thickBot="1">
      <c r="A64" s="2110">
        <v>45</v>
      </c>
      <c r="B64" s="2079"/>
      <c r="C64" s="2078"/>
      <c r="D64" s="2079"/>
      <c r="E64" s="2079"/>
      <c r="F64" s="2079"/>
      <c r="G64" s="2110"/>
      <c r="H64" s="2110"/>
      <c r="I64" s="2110"/>
      <c r="J64" s="2110"/>
      <c r="K64" s="2090"/>
      <c r="L64" s="2079"/>
      <c r="M64" s="2079"/>
      <c r="N64" s="2079"/>
      <c r="O64" s="2145">
        <v>29552.49</v>
      </c>
      <c r="P64" s="2089"/>
      <c r="Q64" s="2145">
        <v>3149666.7899999996</v>
      </c>
      <c r="R64" s="2089"/>
      <c r="S64" s="2146">
        <v>3179219.28</v>
      </c>
      <c r="T64" s="2089"/>
      <c r="U64" s="2147">
        <v>0</v>
      </c>
      <c r="V64" s="2089"/>
      <c r="W64" s="2147">
        <v>29552.49</v>
      </c>
    </row>
    <row r="65" spans="1:23" ht="12.75" thickTop="1">
      <c r="A65" s="2110">
        <v>46</v>
      </c>
      <c r="B65" s="2079" t="s">
        <v>2753</v>
      </c>
      <c r="C65" s="2078"/>
      <c r="D65" s="2079"/>
      <c r="E65" s="2079"/>
      <c r="F65" s="2079"/>
      <c r="G65" s="2110"/>
      <c r="H65" s="2110"/>
      <c r="I65" s="2110"/>
      <c r="J65" s="2110"/>
      <c r="K65" s="2110"/>
      <c r="L65" s="2079"/>
      <c r="M65" s="2079"/>
      <c r="N65" s="2079"/>
      <c r="O65" s="2079"/>
      <c r="P65" s="2079"/>
      <c r="Q65" s="2079"/>
      <c r="R65" s="2079"/>
      <c r="S65" s="2079"/>
      <c r="T65" s="2079"/>
      <c r="U65" s="2079"/>
      <c r="V65" s="2079"/>
      <c r="W65" s="2079"/>
    </row>
  </sheetData>
  <mergeCells count="6">
    <mergeCell ref="G15:K15"/>
    <mergeCell ref="U10:W10"/>
    <mergeCell ref="U11:W11"/>
    <mergeCell ref="U12:W12"/>
    <mergeCell ref="U13:W13"/>
    <mergeCell ref="O14:W14"/>
  </mergeCells>
  <pageMargins left="0.75" right="0.5" top="0.75" bottom="0.5" header="0.25" footer="0.25"/>
  <pageSetup scale="66"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W65"/>
  <sheetViews>
    <sheetView view="pageBreakPreview" zoomScale="60" zoomScaleNormal="100" workbookViewId="0">
      <selection sqref="A1:XFD1048576"/>
    </sheetView>
  </sheetViews>
  <sheetFormatPr defaultRowHeight="12"/>
  <cols>
    <col min="1" max="1" width="4" style="991" customWidth="1"/>
    <col min="2" max="2" width="3" style="991" customWidth="1"/>
    <col min="3" max="3" width="10.85546875" style="991" customWidth="1"/>
    <col min="4" max="4" width="2.28515625" style="991" customWidth="1"/>
    <col min="5" max="5" width="33.7109375" style="991" customWidth="1"/>
    <col min="6" max="6" width="2.28515625" style="991" customWidth="1"/>
    <col min="7" max="7" width="18" style="991" bestFit="1" customWidth="1"/>
    <col min="8" max="8" width="2.28515625" style="991" customWidth="1"/>
    <col min="9" max="9" width="12.7109375" style="991" customWidth="1"/>
    <col min="10" max="10" width="2.28515625" style="991" customWidth="1"/>
    <col min="11" max="11" width="9.7109375" style="991" customWidth="1"/>
    <col min="12" max="12" width="2.28515625" style="991" customWidth="1"/>
    <col min="13" max="13" width="19.140625" style="991" bestFit="1" customWidth="1"/>
    <col min="14" max="14" width="2.28515625" style="991" customWidth="1"/>
    <col min="15" max="15" width="18" style="991" bestFit="1" customWidth="1"/>
    <col min="16" max="16" width="2.28515625" style="991" customWidth="1"/>
    <col min="17" max="17" width="11.7109375" style="991" customWidth="1"/>
    <col min="18" max="18" width="4.85546875" style="991" customWidth="1"/>
    <col min="19" max="19" width="9.28515625" style="991" bestFit="1" customWidth="1"/>
    <col min="20" max="20" width="2.28515625" style="991" customWidth="1"/>
    <col min="21" max="21" width="5.7109375" style="991" bestFit="1" customWidth="1"/>
    <col min="22" max="22" width="2.28515625" style="991" customWidth="1"/>
    <col min="23" max="23" width="9.85546875" style="991" customWidth="1"/>
    <col min="24" max="16384" width="9.140625" style="991"/>
  </cols>
  <sheetData>
    <row r="1" spans="1:23">
      <c r="A1" s="2079"/>
      <c r="B1" s="2079"/>
      <c r="C1" s="2078"/>
      <c r="D1" s="2079"/>
      <c r="E1" s="2079"/>
      <c r="F1" s="2079"/>
      <c r="G1" s="2110"/>
      <c r="H1" s="2110"/>
      <c r="I1" s="2110"/>
      <c r="J1" s="2110"/>
      <c r="K1" s="2110"/>
      <c r="L1" s="2079"/>
      <c r="M1" s="2079"/>
      <c r="N1" s="2079"/>
      <c r="O1" s="2079"/>
      <c r="P1" s="2079"/>
      <c r="Q1" s="2079"/>
      <c r="R1" s="2079"/>
      <c r="S1" s="2079"/>
      <c r="T1" s="2079"/>
      <c r="U1" s="2079"/>
      <c r="V1" s="2079"/>
      <c r="W1" s="2078" t="s">
        <v>1209</v>
      </c>
    </row>
    <row r="2" spans="1:23">
      <c r="A2" s="2080" t="s">
        <v>2716</v>
      </c>
      <c r="B2" s="2079"/>
      <c r="C2" s="2078"/>
      <c r="D2" s="2079"/>
      <c r="E2" s="2079"/>
      <c r="F2" s="2079"/>
      <c r="G2" s="2110"/>
      <c r="H2" s="2137"/>
      <c r="I2" s="2137" t="s">
        <v>911</v>
      </c>
      <c r="J2" s="2137"/>
      <c r="K2" s="2137"/>
      <c r="L2" s="2138"/>
      <c r="M2" s="2079"/>
      <c r="N2" s="2079"/>
      <c r="O2" s="2079"/>
      <c r="P2" s="2079"/>
      <c r="Q2" s="2079"/>
      <c r="R2" s="2079"/>
      <c r="S2" s="2078"/>
      <c r="T2" s="2079"/>
      <c r="U2" s="2079"/>
      <c r="V2" s="2079"/>
      <c r="W2" s="2078"/>
    </row>
    <row r="3" spans="1:23">
      <c r="A3" s="2080"/>
      <c r="B3" s="2079"/>
      <c r="C3" s="2078"/>
      <c r="D3" s="2079"/>
      <c r="E3" s="2079"/>
      <c r="F3" s="2079"/>
      <c r="G3" s="2110"/>
      <c r="H3" s="2137"/>
      <c r="I3" s="2137"/>
      <c r="J3" s="2137"/>
      <c r="K3" s="2137"/>
      <c r="L3" s="2138"/>
      <c r="M3" s="2079"/>
      <c r="N3" s="2079"/>
      <c r="O3" s="2079"/>
      <c r="P3" s="2079"/>
      <c r="Q3" s="2079"/>
      <c r="R3" s="2079"/>
      <c r="S3" s="2080"/>
      <c r="T3" s="2079"/>
      <c r="U3" s="2079"/>
      <c r="V3" s="2079"/>
      <c r="W3" s="2078" t="s">
        <v>2717</v>
      </c>
    </row>
    <row r="4" spans="1:23">
      <c r="A4" s="2079" t="s">
        <v>2644</v>
      </c>
      <c r="B4" s="2080"/>
      <c r="C4" s="2080"/>
      <c r="D4" s="2079"/>
      <c r="E4" s="2079"/>
      <c r="F4" s="2079"/>
      <c r="G4" s="2110"/>
      <c r="H4" s="2137"/>
      <c r="I4" s="2137"/>
      <c r="J4" s="2137"/>
      <c r="K4" s="2137"/>
      <c r="L4" s="2138"/>
      <c r="M4" s="2079"/>
      <c r="N4" s="2079"/>
      <c r="O4" s="2079"/>
      <c r="P4" s="2079"/>
      <c r="Q4" s="2079"/>
      <c r="R4" s="2079"/>
      <c r="S4" s="2078"/>
      <c r="T4" s="2079"/>
      <c r="U4" s="2079"/>
      <c r="V4" s="2079"/>
      <c r="W4" s="2078" t="s">
        <v>2776</v>
      </c>
    </row>
    <row r="5" spans="1:23">
      <c r="A5" s="2080" t="s">
        <v>2719</v>
      </c>
      <c r="B5" s="2079"/>
      <c r="C5" s="2078"/>
      <c r="D5" s="2079"/>
      <c r="E5" s="2079"/>
      <c r="F5" s="2080"/>
      <c r="G5" s="2110"/>
      <c r="H5" s="2137"/>
      <c r="I5" s="2137"/>
      <c r="J5" s="2137"/>
      <c r="K5" s="2137"/>
      <c r="L5" s="2138"/>
      <c r="M5" s="2079"/>
      <c r="N5" s="2079"/>
      <c r="O5" s="2079"/>
      <c r="P5" s="2079"/>
      <c r="Q5" s="2079"/>
      <c r="R5" s="2079"/>
      <c r="S5" s="2078"/>
      <c r="T5" s="2079"/>
      <c r="U5" s="2079"/>
      <c r="V5" s="2079"/>
      <c r="W5" s="2078"/>
    </row>
    <row r="6" spans="1:23">
      <c r="A6" s="2080" t="s">
        <v>1935</v>
      </c>
      <c r="B6" s="2079"/>
      <c r="C6" s="2078"/>
      <c r="D6" s="2079"/>
      <c r="E6" s="2139"/>
      <c r="F6" s="2080"/>
      <c r="G6" s="2110"/>
      <c r="H6" s="2137"/>
      <c r="I6" s="2137"/>
      <c r="J6" s="2137"/>
      <c r="K6" s="2137"/>
      <c r="L6" s="2138"/>
      <c r="M6" s="2079"/>
      <c r="N6" s="2079"/>
      <c r="O6" s="2079"/>
      <c r="P6" s="2079"/>
      <c r="Q6" s="2079"/>
      <c r="R6" s="2079"/>
      <c r="S6" s="2080"/>
      <c r="T6" s="2079"/>
      <c r="U6" s="2079"/>
      <c r="V6" s="2079"/>
      <c r="W6" s="1011" t="s">
        <v>2950</v>
      </c>
    </row>
    <row r="7" spans="1:23">
      <c r="A7" s="2080" t="s">
        <v>1092</v>
      </c>
      <c r="B7" s="2079"/>
      <c r="C7" s="2078"/>
      <c r="D7" s="2079"/>
      <c r="E7" s="2079"/>
      <c r="F7" s="2080"/>
      <c r="G7" s="2110"/>
      <c r="H7" s="2137"/>
      <c r="I7" s="2137"/>
      <c r="J7" s="2137"/>
      <c r="K7" s="2137"/>
      <c r="L7" s="2138"/>
      <c r="M7" s="2079"/>
      <c r="N7" s="2079"/>
      <c r="O7" s="2079"/>
      <c r="P7" s="2079"/>
      <c r="Q7" s="2079"/>
      <c r="R7" s="2079"/>
      <c r="S7" s="2078"/>
      <c r="T7" s="2079"/>
      <c r="U7" s="2079"/>
      <c r="V7" s="2079"/>
      <c r="W7" s="2078"/>
    </row>
    <row r="8" spans="1:23">
      <c r="A8" s="2080" t="s">
        <v>717</v>
      </c>
      <c r="B8" s="2079"/>
      <c r="C8" s="2078"/>
      <c r="D8" s="2079"/>
      <c r="E8" s="2079"/>
      <c r="F8" s="2080"/>
      <c r="G8" s="2110"/>
      <c r="H8" s="2137"/>
      <c r="I8" s="2137"/>
      <c r="J8" s="2137"/>
      <c r="K8" s="2137"/>
      <c r="L8" s="2138"/>
      <c r="M8" s="2079"/>
      <c r="N8" s="2079"/>
      <c r="O8" s="2079"/>
      <c r="P8" s="2079"/>
      <c r="Q8" s="2079"/>
      <c r="R8" s="2079"/>
      <c r="S8" s="2079"/>
      <c r="T8" s="2079"/>
      <c r="U8" s="2079"/>
      <c r="V8" s="2079"/>
      <c r="W8" s="2079"/>
    </row>
    <row r="9" spans="1:23">
      <c r="A9" s="2079"/>
      <c r="B9" s="2079"/>
      <c r="C9" s="2078"/>
      <c r="D9" s="2079"/>
      <c r="E9" s="2079"/>
      <c r="F9" s="2079"/>
      <c r="G9" s="2110"/>
      <c r="H9" s="2110"/>
      <c r="I9" s="2110"/>
      <c r="J9" s="2110"/>
      <c r="K9" s="2110"/>
      <c r="L9" s="2079"/>
      <c r="M9" s="2079"/>
      <c r="N9" s="2079"/>
      <c r="O9" s="2079"/>
      <c r="P9" s="2079"/>
      <c r="Q9" s="2079"/>
      <c r="R9" s="2079"/>
      <c r="S9" s="2079"/>
      <c r="T9" s="2079"/>
      <c r="U9" s="2079"/>
      <c r="V9" s="2079"/>
      <c r="W9" s="2079"/>
    </row>
    <row r="10" spans="1:23">
      <c r="A10" s="2079" t="s">
        <v>2720</v>
      </c>
      <c r="B10" s="2079"/>
      <c r="C10" s="2078"/>
      <c r="D10" s="2079"/>
      <c r="E10" s="2079"/>
      <c r="F10" s="2079"/>
      <c r="G10" s="2110"/>
      <c r="H10" s="2110"/>
      <c r="I10" s="2110"/>
      <c r="J10" s="2110"/>
      <c r="K10" s="2110"/>
      <c r="L10" s="2079"/>
      <c r="M10" s="2079"/>
      <c r="N10" s="2079"/>
      <c r="O10" s="2079"/>
      <c r="P10" s="2079"/>
      <c r="Q10" s="2079"/>
      <c r="R10" s="2079"/>
      <c r="S10" s="2079"/>
      <c r="T10" s="2079"/>
      <c r="U10" s="2318" t="s">
        <v>2956</v>
      </c>
      <c r="V10" s="2318"/>
      <c r="W10" s="2318"/>
    </row>
    <row r="11" spans="1:23">
      <c r="A11" s="2080" t="s">
        <v>2721</v>
      </c>
      <c r="B11" s="2079"/>
      <c r="C11" s="2078"/>
      <c r="D11" s="2079"/>
      <c r="E11" s="2079"/>
      <c r="F11" s="2079"/>
      <c r="G11" s="2110"/>
      <c r="H11" s="2110"/>
      <c r="I11" s="2110"/>
      <c r="J11" s="2110"/>
      <c r="K11" s="2110"/>
      <c r="L11" s="2079"/>
      <c r="M11" s="2079"/>
      <c r="N11" s="2079"/>
      <c r="O11" s="2079"/>
      <c r="P11" s="2079"/>
      <c r="Q11" s="2079"/>
      <c r="R11" s="2079"/>
      <c r="S11" s="2079"/>
      <c r="T11" s="2079"/>
      <c r="U11" s="2317" t="s">
        <v>2722</v>
      </c>
      <c r="V11" s="2317"/>
      <c r="W11" s="2317"/>
    </row>
    <row r="12" spans="1:23">
      <c r="A12" s="2140"/>
      <c r="B12" s="2140"/>
      <c r="C12" s="2141"/>
      <c r="D12" s="2140"/>
      <c r="E12" s="2140"/>
      <c r="F12" s="2140"/>
      <c r="G12" s="2142"/>
      <c r="H12" s="2142"/>
      <c r="I12" s="2142"/>
      <c r="J12" s="2142"/>
      <c r="K12" s="2142"/>
      <c r="L12" s="2140"/>
      <c r="M12" s="2140"/>
      <c r="N12" s="2140"/>
      <c r="O12" s="2140"/>
      <c r="P12" s="2140"/>
      <c r="Q12" s="2140"/>
      <c r="R12" s="2140"/>
      <c r="S12" s="2140"/>
      <c r="T12" s="2140"/>
      <c r="U12" s="2319"/>
      <c r="V12" s="2319"/>
      <c r="W12" s="2319"/>
    </row>
    <row r="13" spans="1:23">
      <c r="A13" s="2082"/>
      <c r="B13" s="2082"/>
      <c r="C13" s="2083"/>
      <c r="D13" s="2082"/>
      <c r="E13" s="2082"/>
      <c r="F13" s="2082"/>
      <c r="G13" s="2084">
        <v>-1</v>
      </c>
      <c r="H13" s="2084"/>
      <c r="I13" s="2084">
        <v>-2</v>
      </c>
      <c r="J13" s="2084"/>
      <c r="K13" s="2084">
        <v>-3</v>
      </c>
      <c r="L13" s="2082"/>
      <c r="M13" s="2084">
        <v>-4</v>
      </c>
      <c r="N13" s="2082"/>
      <c r="O13" s="2084">
        <v>-5</v>
      </c>
      <c r="P13" s="2082"/>
      <c r="Q13" s="2084">
        <v>-6</v>
      </c>
      <c r="R13" s="2082"/>
      <c r="S13" s="2084">
        <v>-7</v>
      </c>
      <c r="T13" s="2082"/>
      <c r="U13" s="2320">
        <v>-8</v>
      </c>
      <c r="V13" s="2320"/>
      <c r="W13" s="2320"/>
    </row>
    <row r="14" spans="1:23">
      <c r="A14" s="2082"/>
      <c r="B14" s="2082"/>
      <c r="C14" s="2083"/>
      <c r="D14" s="2082"/>
      <c r="E14" s="2082"/>
      <c r="F14" s="2082"/>
      <c r="G14" s="2084"/>
      <c r="H14" s="2084"/>
      <c r="I14" s="2084"/>
      <c r="J14" s="2084"/>
      <c r="K14" s="2084"/>
      <c r="L14" s="2082"/>
      <c r="M14" s="2084"/>
      <c r="N14" s="2082"/>
      <c r="O14" s="2321" t="s">
        <v>2777</v>
      </c>
      <c r="P14" s="2321"/>
      <c r="Q14" s="2321"/>
      <c r="R14" s="2321"/>
      <c r="S14" s="2321"/>
      <c r="T14" s="2321"/>
      <c r="U14" s="2321"/>
      <c r="V14" s="2321"/>
      <c r="W14" s="2321"/>
    </row>
    <row r="15" spans="1:23">
      <c r="A15" s="2079"/>
      <c r="B15" s="2079"/>
      <c r="C15" s="2078"/>
      <c r="D15" s="2079"/>
      <c r="E15" s="2079"/>
      <c r="F15" s="2079"/>
      <c r="G15" s="2317" t="s">
        <v>2724</v>
      </c>
      <c r="H15" s="2317"/>
      <c r="I15" s="2317"/>
      <c r="J15" s="2317"/>
      <c r="K15" s="2317"/>
      <c r="L15" s="2143"/>
      <c r="M15" s="2143"/>
      <c r="N15" s="2143"/>
      <c r="O15" s="2143"/>
      <c r="P15" s="2140"/>
      <c r="Q15" s="2142" t="s">
        <v>2725</v>
      </c>
      <c r="R15" s="2140"/>
      <c r="S15" s="2140"/>
      <c r="T15" s="2079"/>
      <c r="U15" s="2143"/>
      <c r="V15" s="2142"/>
      <c r="W15" s="2142"/>
    </row>
    <row r="16" spans="1:23">
      <c r="A16" s="2079"/>
      <c r="B16" s="2079"/>
      <c r="C16" s="2110" t="s">
        <v>2726</v>
      </c>
      <c r="D16" s="2079"/>
      <c r="E16" s="2079"/>
      <c r="F16" s="2079"/>
      <c r="G16" s="2110"/>
      <c r="H16" s="2110"/>
      <c r="I16" s="2110" t="s">
        <v>1170</v>
      </c>
      <c r="J16" s="2110"/>
      <c r="K16" s="2110"/>
      <c r="L16" s="2079"/>
      <c r="M16" s="2110" t="s">
        <v>731</v>
      </c>
      <c r="N16" s="2079"/>
      <c r="O16" s="2110"/>
      <c r="P16" s="2079"/>
      <c r="Q16" s="2110" t="s">
        <v>1170</v>
      </c>
      <c r="R16" s="2079"/>
      <c r="S16" s="2110"/>
      <c r="T16" s="2079"/>
      <c r="U16" s="2110"/>
      <c r="V16" s="2079"/>
      <c r="W16" s="2110"/>
    </row>
    <row r="17" spans="1:23">
      <c r="A17" s="2110" t="s">
        <v>53</v>
      </c>
      <c r="B17" s="2079"/>
      <c r="C17" s="2110" t="s">
        <v>2727</v>
      </c>
      <c r="D17" s="2079"/>
      <c r="E17" s="2079"/>
      <c r="F17" s="2085"/>
      <c r="G17" s="2086"/>
      <c r="H17" s="2086"/>
      <c r="I17" s="2086" t="s">
        <v>2728</v>
      </c>
      <c r="J17" s="2086"/>
      <c r="K17" s="2086"/>
      <c r="L17" s="2085"/>
      <c r="M17" s="2110" t="s">
        <v>2729</v>
      </c>
      <c r="N17" s="2085"/>
      <c r="O17" s="2086"/>
      <c r="P17" s="2085"/>
      <c r="Q17" s="2086" t="s">
        <v>2728</v>
      </c>
      <c r="R17" s="2085"/>
      <c r="S17" s="2081"/>
      <c r="T17" s="2085"/>
      <c r="U17" s="2087">
        <v>0</v>
      </c>
      <c r="V17" s="2085"/>
      <c r="W17" s="2087">
        <v>1</v>
      </c>
    </row>
    <row r="18" spans="1:23">
      <c r="A18" s="2142" t="s">
        <v>730</v>
      </c>
      <c r="B18" s="2143"/>
      <c r="C18" s="2142" t="s">
        <v>730</v>
      </c>
      <c r="D18" s="2143"/>
      <c r="E18" s="2142" t="s">
        <v>731</v>
      </c>
      <c r="F18" s="2143"/>
      <c r="G18" s="2144" t="s">
        <v>2956</v>
      </c>
      <c r="H18" s="2142"/>
      <c r="I18" s="2142" t="s">
        <v>2730</v>
      </c>
      <c r="J18" s="2142"/>
      <c r="K18" s="2142" t="s">
        <v>81</v>
      </c>
      <c r="L18" s="2143"/>
      <c r="M18" s="2142" t="s">
        <v>2731</v>
      </c>
      <c r="N18" s="2143"/>
      <c r="O18" s="2144" t="s">
        <v>2956</v>
      </c>
      <c r="P18" s="2143"/>
      <c r="Q18" s="2142" t="s">
        <v>2730</v>
      </c>
      <c r="R18" s="2143"/>
      <c r="S18" s="2142" t="s">
        <v>81</v>
      </c>
      <c r="T18" s="2143"/>
      <c r="U18" s="2142" t="s">
        <v>498</v>
      </c>
      <c r="V18" s="2143"/>
      <c r="W18" s="2142" t="s">
        <v>670</v>
      </c>
    </row>
    <row r="19" spans="1:23">
      <c r="A19" s="2079"/>
      <c r="B19" s="2079"/>
      <c r="C19" s="2078"/>
      <c r="D19" s="2079"/>
      <c r="E19" s="2079"/>
      <c r="F19" s="2079"/>
      <c r="G19" s="2110"/>
      <c r="H19" s="2110"/>
      <c r="I19" s="2110"/>
      <c r="J19" s="2110"/>
      <c r="K19" s="2110"/>
      <c r="L19" s="2079"/>
      <c r="M19" s="2079"/>
      <c r="N19" s="2079"/>
      <c r="O19" s="2079"/>
      <c r="P19" s="2079"/>
      <c r="Q19" s="2079"/>
      <c r="R19" s="2079"/>
      <c r="S19" s="2079"/>
      <c r="T19" s="2079"/>
      <c r="U19" s="2079"/>
      <c r="V19" s="2079"/>
      <c r="W19" s="2079"/>
    </row>
    <row r="20" spans="1:23">
      <c r="A20" s="2110">
        <v>1</v>
      </c>
      <c r="B20" s="2088" t="s">
        <v>2732</v>
      </c>
      <c r="C20" s="2078"/>
      <c r="D20" s="2079"/>
      <c r="E20" s="2079"/>
      <c r="F20" s="2079"/>
      <c r="G20" s="2110"/>
      <c r="H20" s="2110"/>
      <c r="I20" s="2110"/>
      <c r="J20" s="2110"/>
      <c r="K20" s="2110"/>
      <c r="L20" s="2079"/>
      <c r="M20" s="2079"/>
      <c r="N20" s="2079"/>
      <c r="O20" s="2089"/>
      <c r="P20" s="2089"/>
      <c r="Q20" s="2089"/>
      <c r="R20" s="2089"/>
      <c r="S20" s="2089"/>
      <c r="T20" s="2089"/>
      <c r="U20" s="2089"/>
      <c r="V20" s="2089"/>
      <c r="W20" s="2089"/>
    </row>
    <row r="21" spans="1:23">
      <c r="A21" s="2110">
        <v>2</v>
      </c>
      <c r="B21" s="2079"/>
      <c r="C21" s="2078">
        <v>403</v>
      </c>
      <c r="D21" s="2079"/>
      <c r="E21" s="2079" t="s">
        <v>379</v>
      </c>
      <c r="F21" s="2079"/>
      <c r="G21" s="2090">
        <v>1.1909438820320866E-2</v>
      </c>
      <c r="H21" s="2110"/>
      <c r="I21" s="2090">
        <v>0.98809056117967919</v>
      </c>
      <c r="J21" s="2090"/>
      <c r="K21" s="2090">
        <v>1</v>
      </c>
      <c r="L21" s="2079"/>
      <c r="M21" s="2091" t="s">
        <v>347</v>
      </c>
      <c r="N21" s="2079"/>
      <c r="O21" s="2092">
        <v>46272.88</v>
      </c>
      <c r="P21" s="2092"/>
      <c r="Q21" s="2089">
        <v>3839122.6199999996</v>
      </c>
      <c r="R21" s="2092"/>
      <c r="S21" s="2092">
        <v>3885395.4999999995</v>
      </c>
      <c r="T21" s="2092"/>
      <c r="U21" s="2089">
        <v>0</v>
      </c>
      <c r="V21" s="2089"/>
      <c r="W21" s="2089">
        <v>46272.88</v>
      </c>
    </row>
    <row r="22" spans="1:23">
      <c r="A22" s="2110">
        <v>3</v>
      </c>
      <c r="B22" s="2079"/>
      <c r="C22" s="2078">
        <v>408</v>
      </c>
      <c r="D22" s="2079"/>
      <c r="E22" s="2079" t="s">
        <v>25</v>
      </c>
      <c r="F22" s="2079"/>
      <c r="G22" s="2090">
        <v>1.2265685564228905E-2</v>
      </c>
      <c r="H22" s="2110"/>
      <c r="I22" s="2090">
        <v>0.9877343144357712</v>
      </c>
      <c r="J22" s="2090"/>
      <c r="K22" s="2090">
        <v>1</v>
      </c>
      <c r="L22" s="2079"/>
      <c r="M22" s="2091" t="s">
        <v>347</v>
      </c>
      <c r="N22" s="2079"/>
      <c r="O22" s="2092">
        <v>4893.16</v>
      </c>
      <c r="P22" s="2089"/>
      <c r="Q22" s="2089">
        <v>394037.66000000003</v>
      </c>
      <c r="R22" s="2089"/>
      <c r="S22" s="2092">
        <v>398930.82</v>
      </c>
      <c r="T22" s="2089"/>
      <c r="U22" s="2089">
        <v>0</v>
      </c>
      <c r="V22" s="2089"/>
      <c r="W22" s="2089">
        <v>4893.16</v>
      </c>
    </row>
    <row r="23" spans="1:23">
      <c r="A23" s="2110">
        <v>4</v>
      </c>
      <c r="B23" s="2079"/>
      <c r="C23" s="2078">
        <v>409</v>
      </c>
      <c r="D23" s="2079"/>
      <c r="E23" s="2079" t="s">
        <v>2733</v>
      </c>
      <c r="F23" s="2079"/>
      <c r="G23" s="2090">
        <v>1.21E-2</v>
      </c>
      <c r="H23" s="2110"/>
      <c r="I23" s="2090">
        <v>0.98790000000000011</v>
      </c>
      <c r="J23" s="2090"/>
      <c r="K23" s="2090">
        <v>1</v>
      </c>
      <c r="L23" s="2079"/>
      <c r="M23" s="2091" t="s">
        <v>347</v>
      </c>
      <c r="N23" s="2079"/>
      <c r="O23" s="2092">
        <v>1.21</v>
      </c>
      <c r="P23" s="2089"/>
      <c r="Q23" s="2089">
        <v>98.79</v>
      </c>
      <c r="R23" s="2089"/>
      <c r="S23" s="2092">
        <v>100</v>
      </c>
      <c r="T23" s="2089"/>
      <c r="U23" s="2089">
        <v>0</v>
      </c>
      <c r="V23" s="2089"/>
      <c r="W23" s="2089">
        <v>1.21</v>
      </c>
    </row>
    <row r="24" spans="1:23">
      <c r="A24" s="2110">
        <v>5</v>
      </c>
      <c r="B24" s="2079"/>
      <c r="C24" s="2078">
        <v>410</v>
      </c>
      <c r="D24" s="2079"/>
      <c r="E24" s="2079" t="s">
        <v>2734</v>
      </c>
      <c r="F24" s="2079"/>
      <c r="G24" s="2090">
        <v>1.2112832616093952E-2</v>
      </c>
      <c r="H24" s="2110"/>
      <c r="I24" s="2090">
        <v>0.98788716738390592</v>
      </c>
      <c r="J24" s="2090"/>
      <c r="K24" s="2090">
        <v>1</v>
      </c>
      <c r="L24" s="2079"/>
      <c r="M24" s="2091" t="s">
        <v>347</v>
      </c>
      <c r="N24" s="2079"/>
      <c r="O24" s="2092">
        <v>247.58</v>
      </c>
      <c r="P24" s="2089"/>
      <c r="Q24" s="2089">
        <v>20191.899999999998</v>
      </c>
      <c r="R24" s="2089"/>
      <c r="S24" s="2092">
        <v>20439.48</v>
      </c>
      <c r="T24" s="2089"/>
      <c r="U24" s="2089">
        <v>0</v>
      </c>
      <c r="V24" s="2089"/>
      <c r="W24" s="2089">
        <v>247.58</v>
      </c>
    </row>
    <row r="25" spans="1:23">
      <c r="A25" s="2110">
        <v>6</v>
      </c>
      <c r="B25" s="2079"/>
      <c r="C25" s="2078" t="s">
        <v>2735</v>
      </c>
      <c r="D25" s="2079"/>
      <c r="E25" s="2079" t="s">
        <v>530</v>
      </c>
      <c r="F25" s="2079"/>
      <c r="G25" s="2090">
        <v>1.2184233255389244E-2</v>
      </c>
      <c r="H25" s="2110"/>
      <c r="I25" s="2090">
        <v>0.9878157667446108</v>
      </c>
      <c r="J25" s="2090"/>
      <c r="K25" s="2090">
        <v>1</v>
      </c>
      <c r="L25" s="2079"/>
      <c r="M25" s="2091" t="s">
        <v>347</v>
      </c>
      <c r="N25" s="2079"/>
      <c r="O25" s="2092">
        <v>-225.57</v>
      </c>
      <c r="P25" s="2089"/>
      <c r="Q25" s="2089">
        <v>-18287.699999999997</v>
      </c>
      <c r="R25" s="2089"/>
      <c r="S25" s="2092">
        <v>-18513.269999999997</v>
      </c>
      <c r="T25" s="2089"/>
      <c r="U25" s="2089">
        <v>0</v>
      </c>
      <c r="V25" s="2089"/>
      <c r="W25" s="2089">
        <v>-225.57</v>
      </c>
    </row>
    <row r="26" spans="1:23">
      <c r="A26" s="2110">
        <v>7</v>
      </c>
      <c r="B26" s="2079"/>
      <c r="C26" s="2078">
        <v>427</v>
      </c>
      <c r="D26" s="2079"/>
      <c r="E26" s="2079" t="s">
        <v>2619</v>
      </c>
      <c r="F26" s="2079"/>
      <c r="G26" s="2090">
        <v>-1.9919992535746849</v>
      </c>
      <c r="H26" s="2110"/>
      <c r="I26" s="2090">
        <v>2.9919992535746847</v>
      </c>
      <c r="J26" s="2090"/>
      <c r="K26" s="2090">
        <v>1</v>
      </c>
      <c r="L26" s="2079"/>
      <c r="M26" s="2091" t="s">
        <v>347</v>
      </c>
      <c r="N26" s="2079"/>
      <c r="O26" s="2092">
        <v>4269.95</v>
      </c>
      <c r="P26" s="2089"/>
      <c r="Q26" s="2089">
        <v>-6413.4999999999918</v>
      </c>
      <c r="R26" s="2089"/>
      <c r="S26" s="2092">
        <v>-2143.549999999992</v>
      </c>
      <c r="T26" s="2089"/>
      <c r="U26" s="2089">
        <v>0</v>
      </c>
      <c r="V26" s="2089"/>
      <c r="W26" s="2089">
        <v>4269.95</v>
      </c>
    </row>
    <row r="27" spans="1:23">
      <c r="A27" s="2110">
        <v>8</v>
      </c>
      <c r="B27" s="2079"/>
      <c r="C27" s="2078" t="s">
        <v>2736</v>
      </c>
      <c r="D27" s="2079"/>
      <c r="E27" s="2079" t="s">
        <v>2737</v>
      </c>
      <c r="F27" s="2079"/>
      <c r="G27" s="2090">
        <v>1.224098338250469E-2</v>
      </c>
      <c r="H27" s="2110"/>
      <c r="I27" s="2090">
        <v>0.98775901661749543</v>
      </c>
      <c r="J27" s="2090"/>
      <c r="K27" s="2090">
        <v>1</v>
      </c>
      <c r="L27" s="2079"/>
      <c r="M27" s="2091" t="s">
        <v>347</v>
      </c>
      <c r="N27" s="2091"/>
      <c r="O27" s="2092">
        <v>54368.389999999992</v>
      </c>
      <c r="P27" s="2092"/>
      <c r="Q27" s="2089">
        <v>4387136.7</v>
      </c>
      <c r="R27" s="2092"/>
      <c r="S27" s="2092">
        <v>4441505.09</v>
      </c>
      <c r="T27" s="2092"/>
      <c r="U27" s="2089">
        <v>0</v>
      </c>
      <c r="V27" s="2089"/>
      <c r="W27" s="2089">
        <v>54368.389999999992</v>
      </c>
    </row>
    <row r="28" spans="1:23">
      <c r="A28" s="2110">
        <v>9</v>
      </c>
      <c r="B28" s="2079"/>
      <c r="C28" s="2078" t="s">
        <v>2002</v>
      </c>
      <c r="D28" s="2079"/>
      <c r="E28" s="2079" t="s">
        <v>2738</v>
      </c>
      <c r="F28" s="2079"/>
      <c r="G28" s="2090">
        <v>1.2244724043564184E-2</v>
      </c>
      <c r="H28" s="2110"/>
      <c r="I28" s="2090">
        <v>0.98775527595643586</v>
      </c>
      <c r="J28" s="2090"/>
      <c r="K28" s="2090">
        <v>1</v>
      </c>
      <c r="L28" s="2079"/>
      <c r="M28" s="2091" t="s">
        <v>347</v>
      </c>
      <c r="N28" s="2079"/>
      <c r="O28" s="2092">
        <v>75690.89</v>
      </c>
      <c r="P28" s="2089"/>
      <c r="Q28" s="2089">
        <v>6105819.5900000017</v>
      </c>
      <c r="R28" s="2089"/>
      <c r="S28" s="2092">
        <v>6181510.4800000014</v>
      </c>
      <c r="T28" s="2089"/>
      <c r="U28" s="2089">
        <v>0</v>
      </c>
      <c r="V28" s="2089"/>
      <c r="W28" s="2089">
        <v>75690.89</v>
      </c>
    </row>
    <row r="29" spans="1:23">
      <c r="A29" s="2110">
        <v>10</v>
      </c>
      <c r="B29" s="2079"/>
      <c r="C29" s="2078" t="s">
        <v>1991</v>
      </c>
      <c r="D29" s="2079"/>
      <c r="E29" s="2079" t="s">
        <v>2739</v>
      </c>
      <c r="F29" s="2079"/>
      <c r="G29" s="2090">
        <v>1.2246418146316839E-2</v>
      </c>
      <c r="H29" s="2110"/>
      <c r="I29" s="2090">
        <v>0.98775358185368323</v>
      </c>
      <c r="J29" s="2090"/>
      <c r="K29" s="2090">
        <v>1</v>
      </c>
      <c r="L29" s="2079"/>
      <c r="M29" s="2091" t="s">
        <v>347</v>
      </c>
      <c r="N29" s="2079"/>
      <c r="O29" s="2092">
        <v>10677.47</v>
      </c>
      <c r="P29" s="2089"/>
      <c r="Q29" s="2089">
        <v>861207.67000000016</v>
      </c>
      <c r="R29" s="2089"/>
      <c r="S29" s="2092">
        <v>871885.14000000013</v>
      </c>
      <c r="T29" s="2089"/>
      <c r="U29" s="2089">
        <v>0</v>
      </c>
      <c r="V29" s="2089"/>
      <c r="W29" s="2089">
        <v>10677.47</v>
      </c>
    </row>
    <row r="30" spans="1:23">
      <c r="A30" s="2110">
        <v>11</v>
      </c>
      <c r="B30" s="2079"/>
      <c r="C30" s="2078" t="s">
        <v>2056</v>
      </c>
      <c r="D30" s="2079"/>
      <c r="E30" s="2079" t="s">
        <v>2740</v>
      </c>
      <c r="F30" s="2079"/>
      <c r="G30" s="2090">
        <v>1.2233486566285673E-2</v>
      </c>
      <c r="H30" s="2110"/>
      <c r="I30" s="2090">
        <v>0.98776651343371424</v>
      </c>
      <c r="J30" s="2090"/>
      <c r="K30" s="2090">
        <v>1</v>
      </c>
      <c r="L30" s="2079"/>
      <c r="M30" s="2091" t="s">
        <v>347</v>
      </c>
      <c r="N30" s="2079"/>
      <c r="O30" s="2092">
        <v>9007.0299999999988</v>
      </c>
      <c r="P30" s="2089"/>
      <c r="Q30" s="2089">
        <v>727253.2300000001</v>
      </c>
      <c r="R30" s="2089"/>
      <c r="S30" s="2092">
        <v>736260.26000000013</v>
      </c>
      <c r="T30" s="2089"/>
      <c r="U30" s="2089">
        <v>0</v>
      </c>
      <c r="V30" s="2089"/>
      <c r="W30" s="2089">
        <v>9007.0299999999988</v>
      </c>
    </row>
    <row r="31" spans="1:23">
      <c r="A31" s="2110">
        <v>12</v>
      </c>
      <c r="B31" s="2079"/>
      <c r="C31" s="2078" t="s">
        <v>2063</v>
      </c>
      <c r="D31" s="2079"/>
      <c r="E31" s="2079" t="s">
        <v>1248</v>
      </c>
      <c r="F31" s="2079"/>
      <c r="G31" s="2090">
        <v>1.2267865005568649E-2</v>
      </c>
      <c r="H31" s="2110"/>
      <c r="I31" s="2090">
        <v>0.98773213499443135</v>
      </c>
      <c r="J31" s="2090"/>
      <c r="K31" s="2090">
        <v>1</v>
      </c>
      <c r="L31" s="2079"/>
      <c r="M31" s="2091" t="s">
        <v>347</v>
      </c>
      <c r="N31" s="2079"/>
      <c r="O31" s="2092">
        <v>-284.19</v>
      </c>
      <c r="P31" s="2089"/>
      <c r="Q31" s="2089">
        <v>-22881.210000000003</v>
      </c>
      <c r="R31" s="2089"/>
      <c r="S31" s="2092">
        <v>-23165.4</v>
      </c>
      <c r="T31" s="2089"/>
      <c r="U31" s="2089">
        <v>0</v>
      </c>
      <c r="V31" s="2089"/>
      <c r="W31" s="2089">
        <v>-284.19</v>
      </c>
    </row>
    <row r="32" spans="1:23">
      <c r="A32" s="2110">
        <v>13</v>
      </c>
      <c r="B32" s="2079"/>
      <c r="C32" s="2078" t="s">
        <v>1981</v>
      </c>
      <c r="D32" s="2079"/>
      <c r="E32" s="2079" t="s">
        <v>1250</v>
      </c>
      <c r="F32" s="2079"/>
      <c r="G32" s="2090">
        <v>1.2233937673556173E-2</v>
      </c>
      <c r="H32" s="2110"/>
      <c r="I32" s="2090">
        <v>0.98776606232644393</v>
      </c>
      <c r="J32" s="2090"/>
      <c r="K32" s="2090">
        <v>1</v>
      </c>
      <c r="L32" s="2079"/>
      <c r="M32" s="2091" t="s">
        <v>347</v>
      </c>
      <c r="N32" s="2079"/>
      <c r="O32" s="2092">
        <v>16307.679999999998</v>
      </c>
      <c r="P32" s="2089"/>
      <c r="Q32" s="2089">
        <v>1316679.33</v>
      </c>
      <c r="R32" s="2089"/>
      <c r="S32" s="2092">
        <v>1332987.01</v>
      </c>
      <c r="T32" s="2089"/>
      <c r="U32" s="2089">
        <v>0</v>
      </c>
      <c r="V32" s="2089"/>
      <c r="W32" s="2089">
        <v>16307.679999999998</v>
      </c>
    </row>
    <row r="33" spans="1:23">
      <c r="A33" s="2110">
        <v>14</v>
      </c>
      <c r="B33" s="2079"/>
      <c r="C33" s="2078" t="s">
        <v>2741</v>
      </c>
      <c r="D33" s="2079"/>
      <c r="E33" s="2079" t="s">
        <v>2742</v>
      </c>
      <c r="F33" s="2079"/>
      <c r="G33" s="2090">
        <v>1.2230249260667509E-2</v>
      </c>
      <c r="H33" s="2110"/>
      <c r="I33" s="2090">
        <v>0.98776975073933238</v>
      </c>
      <c r="J33" s="2090"/>
      <c r="K33" s="2090">
        <v>1</v>
      </c>
      <c r="L33" s="2079"/>
      <c r="M33" s="2091" t="s">
        <v>347</v>
      </c>
      <c r="N33" s="2079"/>
      <c r="O33" s="2092">
        <v>289.48999999999995</v>
      </c>
      <c r="P33" s="2089"/>
      <c r="Q33" s="2089">
        <v>23380.51</v>
      </c>
      <c r="R33" s="2089"/>
      <c r="S33" s="2092">
        <v>23670</v>
      </c>
      <c r="T33" s="2089"/>
      <c r="U33" s="2089">
        <v>0</v>
      </c>
      <c r="V33" s="2089"/>
      <c r="W33" s="2089">
        <v>289.48999999999995</v>
      </c>
    </row>
    <row r="34" spans="1:23">
      <c r="A34" s="2110">
        <v>15</v>
      </c>
      <c r="B34" s="2079"/>
      <c r="C34" s="2078" t="s">
        <v>2076</v>
      </c>
      <c r="D34" s="2079"/>
      <c r="E34" s="2079" t="s">
        <v>2519</v>
      </c>
      <c r="F34" s="2079"/>
      <c r="G34" s="2090">
        <v>1.2264013606166801E-2</v>
      </c>
      <c r="H34" s="2110"/>
      <c r="I34" s="2090">
        <v>0.9877359863938332</v>
      </c>
      <c r="J34" s="2090"/>
      <c r="K34" s="2090">
        <v>1</v>
      </c>
      <c r="L34" s="2079"/>
      <c r="M34" s="2091" t="s">
        <v>347</v>
      </c>
      <c r="N34" s="2079"/>
      <c r="O34" s="2092">
        <v>69.079999999999984</v>
      </c>
      <c r="P34" s="2089"/>
      <c r="Q34" s="2089">
        <v>5563.66</v>
      </c>
      <c r="R34" s="2089"/>
      <c r="S34" s="2092">
        <v>5632.74</v>
      </c>
      <c r="T34" s="2089"/>
      <c r="U34" s="2089">
        <v>0</v>
      </c>
      <c r="V34" s="2089"/>
      <c r="W34" s="2089">
        <v>69.079999999999984</v>
      </c>
    </row>
    <row r="35" spans="1:23">
      <c r="A35" s="2110">
        <v>16</v>
      </c>
      <c r="B35" s="2079"/>
      <c r="C35" s="2078" t="s">
        <v>2743</v>
      </c>
      <c r="D35" s="2079"/>
      <c r="E35" s="2079" t="s">
        <v>2523</v>
      </c>
      <c r="F35" s="2079"/>
      <c r="G35" s="2090">
        <v>1.2241111865777443E-2</v>
      </c>
      <c r="H35" s="2110"/>
      <c r="I35" s="2090">
        <v>0.98775888813422263</v>
      </c>
      <c r="J35" s="2090"/>
      <c r="K35" s="2090">
        <v>1</v>
      </c>
      <c r="L35" s="2079"/>
      <c r="M35" s="2091" t="s">
        <v>347</v>
      </c>
      <c r="N35" s="2079"/>
      <c r="O35" s="2092">
        <v>27326.42</v>
      </c>
      <c r="P35" s="2089"/>
      <c r="Q35" s="2089">
        <v>2205021.4499999997</v>
      </c>
      <c r="R35" s="2089"/>
      <c r="S35" s="2092">
        <v>2232347.8699999996</v>
      </c>
      <c r="T35" s="2089"/>
      <c r="U35" s="2089">
        <v>0</v>
      </c>
      <c r="V35" s="2089"/>
      <c r="W35" s="2089">
        <v>27326.42</v>
      </c>
    </row>
    <row r="36" spans="1:23">
      <c r="A36" s="2110">
        <v>17</v>
      </c>
      <c r="B36" s="2079"/>
      <c r="C36" s="2078" t="s">
        <v>2015</v>
      </c>
      <c r="D36" s="2079"/>
      <c r="E36" s="2079" t="s">
        <v>2744</v>
      </c>
      <c r="F36" s="2079"/>
      <c r="G36" s="2090">
        <v>1.2198322474642743E-2</v>
      </c>
      <c r="H36" s="2110"/>
      <c r="I36" s="2090">
        <v>0.98780167752535719</v>
      </c>
      <c r="J36" s="2090"/>
      <c r="K36" s="2090">
        <v>1</v>
      </c>
      <c r="L36" s="2079"/>
      <c r="M36" s="2091" t="s">
        <v>347</v>
      </c>
      <c r="N36" s="2079"/>
      <c r="O36" s="2092">
        <v>5979.64</v>
      </c>
      <c r="P36" s="2089"/>
      <c r="Q36" s="2089">
        <v>484222.18999999994</v>
      </c>
      <c r="R36" s="2089"/>
      <c r="S36" s="2092">
        <v>490201.82999999996</v>
      </c>
      <c r="T36" s="2089"/>
      <c r="U36" s="2089">
        <v>0</v>
      </c>
      <c r="V36" s="2089"/>
      <c r="W36" s="2089">
        <v>5979.64</v>
      </c>
    </row>
    <row r="37" spans="1:23">
      <c r="A37" s="2110">
        <v>18</v>
      </c>
      <c r="B37" s="2079"/>
      <c r="C37" s="2078" t="s">
        <v>1984</v>
      </c>
      <c r="D37" s="2079"/>
      <c r="E37" s="2079" t="s">
        <v>1253</v>
      </c>
      <c r="F37" s="2079"/>
      <c r="G37" s="2090">
        <v>1.2239730974441018E-2</v>
      </c>
      <c r="H37" s="2110"/>
      <c r="I37" s="2090">
        <v>0.98776026902555891</v>
      </c>
      <c r="J37" s="2090"/>
      <c r="K37" s="2090">
        <v>1</v>
      </c>
      <c r="L37" s="2079"/>
      <c r="M37" s="2091" t="s">
        <v>347</v>
      </c>
      <c r="N37" s="2079"/>
      <c r="O37" s="2092">
        <v>173.35999999999999</v>
      </c>
      <c r="P37" s="2089"/>
      <c r="Q37" s="2089">
        <v>13990.349999999999</v>
      </c>
      <c r="R37" s="2089"/>
      <c r="S37" s="2092">
        <v>14163.71</v>
      </c>
      <c r="T37" s="2089"/>
      <c r="U37" s="2089">
        <v>0</v>
      </c>
      <c r="V37" s="2089"/>
      <c r="W37" s="2089">
        <v>173.35999999999999</v>
      </c>
    </row>
    <row r="38" spans="1:23">
      <c r="A38" s="2110">
        <v>19</v>
      </c>
      <c r="B38" s="2079"/>
      <c r="C38" s="2078" t="s">
        <v>1998</v>
      </c>
      <c r="D38" s="2079"/>
      <c r="E38" s="2079" t="s">
        <v>2535</v>
      </c>
      <c r="F38" s="2079"/>
      <c r="G38" s="2090">
        <v>1.2241925710313763E-2</v>
      </c>
      <c r="H38" s="2110"/>
      <c r="I38" s="2090">
        <v>0.98775807428968632</v>
      </c>
      <c r="J38" s="2090"/>
      <c r="K38" s="2090">
        <v>1</v>
      </c>
      <c r="L38" s="2079"/>
      <c r="M38" s="2091" t="s">
        <v>347</v>
      </c>
      <c r="N38" s="2079"/>
      <c r="O38" s="2092">
        <v>20646.159999999996</v>
      </c>
      <c r="P38" s="2089"/>
      <c r="Q38" s="2089">
        <v>1665866.28</v>
      </c>
      <c r="R38" s="2089"/>
      <c r="S38" s="2092">
        <v>1686512.44</v>
      </c>
      <c r="T38" s="2089"/>
      <c r="U38" s="2089">
        <v>0</v>
      </c>
      <c r="V38" s="2089"/>
      <c r="W38" s="2089">
        <v>20646.159999999996</v>
      </c>
    </row>
    <row r="39" spans="1:23" ht="12.75" thickBot="1">
      <c r="A39" s="2110">
        <v>20</v>
      </c>
      <c r="B39" s="2079"/>
      <c r="C39" s="2078"/>
      <c r="D39" s="2079"/>
      <c r="E39" s="2079"/>
      <c r="F39" s="2079"/>
      <c r="G39" s="2090"/>
      <c r="H39" s="2110"/>
      <c r="I39" s="2110"/>
      <c r="J39" s="2110"/>
      <c r="K39" s="2110"/>
      <c r="L39" s="2079"/>
      <c r="M39" s="2079"/>
      <c r="N39" s="2079"/>
      <c r="O39" s="2093">
        <v>275710.62999999995</v>
      </c>
      <c r="P39" s="2089"/>
      <c r="Q39" s="2093">
        <v>22002009.520000003</v>
      </c>
      <c r="R39" s="2089"/>
      <c r="S39" s="2093">
        <v>22277720.150000002</v>
      </c>
      <c r="T39" s="2089"/>
      <c r="U39" s="2094">
        <v>0</v>
      </c>
      <c r="V39" s="2089"/>
      <c r="W39" s="2094">
        <v>275710.62999999995</v>
      </c>
    </row>
    <row r="40" spans="1:23" ht="12.75" thickTop="1">
      <c r="A40" s="2110">
        <v>21</v>
      </c>
      <c r="B40" s="2079"/>
      <c r="C40" s="2078"/>
      <c r="D40" s="2079"/>
      <c r="E40" s="2079"/>
      <c r="F40" s="2079"/>
      <c r="G40" s="2090"/>
      <c r="H40" s="2110"/>
      <c r="I40" s="2110"/>
      <c r="J40" s="2110"/>
      <c r="K40" s="2110"/>
      <c r="L40" s="2079"/>
      <c r="M40" s="2079"/>
      <c r="N40" s="2079"/>
      <c r="O40" s="2089">
        <v>0</v>
      </c>
      <c r="P40" s="2089"/>
      <c r="Q40" s="2089"/>
      <c r="R40" s="2089"/>
      <c r="S40" s="2089">
        <v>0</v>
      </c>
      <c r="T40" s="2089"/>
      <c r="U40" s="2089"/>
      <c r="V40" s="2089"/>
      <c r="W40" s="2089"/>
    </row>
    <row r="41" spans="1:23">
      <c r="A41" s="2110">
        <v>22</v>
      </c>
      <c r="B41" s="2088" t="s">
        <v>2745</v>
      </c>
      <c r="C41" s="2078"/>
      <c r="D41" s="2079"/>
      <c r="E41" s="2079"/>
      <c r="F41" s="2079"/>
      <c r="G41" s="2090"/>
      <c r="H41" s="2110"/>
      <c r="I41" s="2090"/>
      <c r="J41" s="2090"/>
      <c r="K41" s="2090"/>
      <c r="L41" s="2079"/>
      <c r="M41" s="2079"/>
      <c r="N41" s="2079"/>
      <c r="O41" s="2089"/>
      <c r="P41" s="2089"/>
      <c r="Q41" s="2089"/>
      <c r="R41" s="2089"/>
      <c r="S41" s="2089"/>
      <c r="T41" s="2089"/>
      <c r="U41" s="2089"/>
      <c r="V41" s="2089"/>
      <c r="W41" s="2089"/>
    </row>
    <row r="42" spans="1:23">
      <c r="A42" s="2110">
        <v>23</v>
      </c>
      <c r="B42" s="2079"/>
      <c r="C42" s="2078"/>
      <c r="D42" s="2079"/>
      <c r="E42" s="2079"/>
      <c r="F42" s="2079"/>
      <c r="G42" s="2090"/>
      <c r="H42" s="2110"/>
      <c r="I42" s="2090"/>
      <c r="J42" s="2090"/>
      <c r="K42" s="2090"/>
      <c r="L42" s="2079"/>
      <c r="M42" s="2079"/>
      <c r="N42" s="2079"/>
      <c r="O42" s="2089"/>
      <c r="P42" s="2089"/>
      <c r="Q42" s="2089"/>
      <c r="R42" s="2089"/>
      <c r="S42" s="2089"/>
      <c r="T42" s="2089"/>
      <c r="U42" s="2089"/>
      <c r="V42" s="2089"/>
      <c r="W42" s="2089"/>
    </row>
    <row r="43" spans="1:23">
      <c r="A43" s="2110">
        <v>24</v>
      </c>
      <c r="B43" s="2079"/>
      <c r="C43" s="2078">
        <v>403</v>
      </c>
      <c r="D43" s="2079"/>
      <c r="E43" s="2079" t="s">
        <v>2746</v>
      </c>
      <c r="F43" s="2079"/>
      <c r="G43" s="2090">
        <v>4.5402210572306194E-2</v>
      </c>
      <c r="H43" s="2110"/>
      <c r="I43" s="2090">
        <v>0.9545977894276938</v>
      </c>
      <c r="J43" s="2090"/>
      <c r="K43" s="2090">
        <v>1</v>
      </c>
      <c r="L43" s="2079"/>
      <c r="M43" s="2091" t="s">
        <v>347</v>
      </c>
      <c r="N43" s="2079"/>
      <c r="O43" s="2092">
        <v>18461.88</v>
      </c>
      <c r="P43" s="2092"/>
      <c r="Q43" s="2092">
        <v>388167.65999999992</v>
      </c>
      <c r="R43" s="2092"/>
      <c r="S43" s="2092">
        <v>406629.53999999992</v>
      </c>
      <c r="T43" s="2092"/>
      <c r="U43" s="994">
        <v>0</v>
      </c>
      <c r="V43" s="994"/>
      <c r="W43" s="994">
        <v>18461.88</v>
      </c>
    </row>
    <row r="44" spans="1:23">
      <c r="A44" s="2110">
        <v>25</v>
      </c>
      <c r="B44" s="2079"/>
      <c r="C44" s="2078">
        <v>408</v>
      </c>
      <c r="D44" s="2079"/>
      <c r="E44" s="2079" t="s">
        <v>25</v>
      </c>
      <c r="F44" s="2079"/>
      <c r="G44" s="2090">
        <v>5.2217844125049019E-2</v>
      </c>
      <c r="H44" s="2110"/>
      <c r="I44" s="2090">
        <v>0.94778215587495096</v>
      </c>
      <c r="J44" s="2090"/>
      <c r="K44" s="2090">
        <v>1</v>
      </c>
      <c r="L44" s="2079"/>
      <c r="M44" s="2091" t="s">
        <v>347</v>
      </c>
      <c r="N44" s="2079"/>
      <c r="O44" s="2092">
        <v>14217.059999999998</v>
      </c>
      <c r="P44" s="2089"/>
      <c r="Q44" s="2092">
        <v>258047.34000000003</v>
      </c>
      <c r="R44" s="2089"/>
      <c r="S44" s="2092">
        <v>272264.40000000002</v>
      </c>
      <c r="T44" s="2089"/>
      <c r="U44" s="994">
        <v>0</v>
      </c>
      <c r="V44" s="994"/>
      <c r="W44" s="994">
        <v>14217.059999999998</v>
      </c>
    </row>
    <row r="45" spans="1:23">
      <c r="A45" s="2110">
        <v>26</v>
      </c>
      <c r="B45" s="2079"/>
      <c r="C45" s="2078">
        <v>410</v>
      </c>
      <c r="D45" s="2079"/>
      <c r="E45" s="2079" t="s">
        <v>2734</v>
      </c>
      <c r="F45" s="2079"/>
      <c r="G45" s="2090">
        <v>5.2476787710855094E-2</v>
      </c>
      <c r="H45" s="2110"/>
      <c r="I45" s="2090">
        <v>0.94752321228914493</v>
      </c>
      <c r="J45" s="2090"/>
      <c r="K45" s="2090">
        <v>1</v>
      </c>
      <c r="L45" s="2079"/>
      <c r="M45" s="2091" t="s">
        <v>347</v>
      </c>
      <c r="N45" s="2079"/>
      <c r="O45" s="2092">
        <v>172.72000000000003</v>
      </c>
      <c r="P45" s="2089"/>
      <c r="Q45" s="2092">
        <v>3118.6400000000003</v>
      </c>
      <c r="R45" s="2089"/>
      <c r="S45" s="2092">
        <v>3291.36</v>
      </c>
      <c r="T45" s="2089"/>
      <c r="U45" s="994">
        <v>0</v>
      </c>
      <c r="V45" s="994"/>
      <c r="W45" s="994">
        <v>172.72000000000003</v>
      </c>
    </row>
    <row r="46" spans="1:23">
      <c r="A46" s="2110">
        <v>27</v>
      </c>
      <c r="B46" s="2079"/>
      <c r="C46" s="2078" t="s">
        <v>2747</v>
      </c>
      <c r="D46" s="2079"/>
      <c r="E46" s="2079" t="s">
        <v>25</v>
      </c>
      <c r="F46" s="2079"/>
      <c r="G46" s="2090">
        <v>5.2195555555555558E-2</v>
      </c>
      <c r="H46" s="2110"/>
      <c r="I46" s="2090">
        <v>0.94780444444444445</v>
      </c>
      <c r="J46" s="2090"/>
      <c r="K46" s="2090">
        <v>1</v>
      </c>
      <c r="L46" s="2079"/>
      <c r="M46" s="2091" t="s">
        <v>347</v>
      </c>
      <c r="N46" s="2079"/>
      <c r="O46" s="2092">
        <v>-234.88</v>
      </c>
      <c r="P46" s="2089"/>
      <c r="Q46" s="2092">
        <v>-4265.12</v>
      </c>
      <c r="R46" s="2089"/>
      <c r="S46" s="2092">
        <v>-4500</v>
      </c>
      <c r="T46" s="2089"/>
      <c r="U46" s="994">
        <v>0</v>
      </c>
      <c r="V46" s="994"/>
      <c r="W46" s="994">
        <v>-234.88</v>
      </c>
    </row>
    <row r="47" spans="1:23">
      <c r="A47" s="2110">
        <v>28</v>
      </c>
      <c r="B47" s="2079"/>
      <c r="C47" s="2078">
        <v>427</v>
      </c>
      <c r="D47" s="2079"/>
      <c r="E47" s="2079" t="s">
        <v>2619</v>
      </c>
      <c r="F47" s="2079"/>
      <c r="G47" s="2090">
        <v>5.2029784715082412E-2</v>
      </c>
      <c r="H47" s="2110"/>
      <c r="I47" s="2090">
        <v>0.94797021528491765</v>
      </c>
      <c r="J47" s="2090"/>
      <c r="K47" s="2090">
        <v>1</v>
      </c>
      <c r="L47" s="2079"/>
      <c r="M47" s="2091" t="s">
        <v>347</v>
      </c>
      <c r="N47" s="2079"/>
      <c r="O47" s="2092">
        <v>16.7</v>
      </c>
      <c r="P47" s="2089"/>
      <c r="Q47" s="2092">
        <v>304.27</v>
      </c>
      <c r="R47" s="2089"/>
      <c r="S47" s="2092">
        <v>320.96999999999997</v>
      </c>
      <c r="T47" s="2089"/>
      <c r="U47" s="994">
        <v>0</v>
      </c>
      <c r="V47" s="994"/>
      <c r="W47" s="994">
        <v>16.7</v>
      </c>
    </row>
    <row r="48" spans="1:23">
      <c r="A48" s="2110">
        <v>29</v>
      </c>
      <c r="B48" s="2079"/>
      <c r="C48" s="2078" t="s">
        <v>2736</v>
      </c>
      <c r="D48" s="2079"/>
      <c r="E48" s="2079" t="s">
        <v>2737</v>
      </c>
      <c r="F48" s="2079"/>
      <c r="G48" s="2090">
        <v>5.2731932466928887E-2</v>
      </c>
      <c r="H48" s="2110"/>
      <c r="I48" s="2090">
        <v>0.94726806753307125</v>
      </c>
      <c r="J48" s="2090"/>
      <c r="K48" s="2090">
        <v>1</v>
      </c>
      <c r="L48" s="2079"/>
      <c r="M48" s="2091" t="s">
        <v>347</v>
      </c>
      <c r="N48" s="2091"/>
      <c r="O48" s="2092">
        <v>37414.81</v>
      </c>
      <c r="P48" s="2089"/>
      <c r="Q48" s="2092">
        <v>672113.71</v>
      </c>
      <c r="R48" s="2089"/>
      <c r="S48" s="2092">
        <v>709528.5199999999</v>
      </c>
      <c r="T48" s="2089"/>
      <c r="U48" s="994">
        <v>0</v>
      </c>
      <c r="V48" s="994"/>
      <c r="W48" s="994">
        <v>37414.81</v>
      </c>
    </row>
    <row r="49" spans="1:23">
      <c r="A49" s="2110">
        <v>30</v>
      </c>
      <c r="B49" s="2079"/>
      <c r="C49" s="2078" t="s">
        <v>2002</v>
      </c>
      <c r="D49" s="2079"/>
      <c r="E49" s="2079" t="s">
        <v>2738</v>
      </c>
      <c r="F49" s="2079"/>
      <c r="G49" s="2090">
        <v>5.2149660579908434E-2</v>
      </c>
      <c r="H49" s="2110"/>
      <c r="I49" s="2090">
        <v>0.94785033942009156</v>
      </c>
      <c r="J49" s="2090"/>
      <c r="K49" s="2090">
        <v>1</v>
      </c>
      <c r="L49" s="2079"/>
      <c r="M49" s="2091" t="s">
        <v>347</v>
      </c>
      <c r="N49" s="2079"/>
      <c r="O49" s="2092">
        <v>247.75</v>
      </c>
      <c r="P49" s="2089"/>
      <c r="Q49" s="2092">
        <v>4503</v>
      </c>
      <c r="R49" s="2089"/>
      <c r="S49" s="2092">
        <v>4750.75</v>
      </c>
      <c r="T49" s="2089"/>
      <c r="U49" s="994">
        <v>0</v>
      </c>
      <c r="V49" s="994"/>
      <c r="W49" s="994">
        <v>247.75</v>
      </c>
    </row>
    <row r="50" spans="1:23">
      <c r="A50" s="2110">
        <v>31</v>
      </c>
      <c r="B50" s="2079"/>
      <c r="C50" s="2078" t="s">
        <v>1991</v>
      </c>
      <c r="D50" s="2079"/>
      <c r="E50" s="2079" t="s">
        <v>2739</v>
      </c>
      <c r="F50" s="2079"/>
      <c r="G50" s="2090">
        <v>4.9505627398497204E-2</v>
      </c>
      <c r="H50" s="2110"/>
      <c r="I50" s="2090">
        <v>0.95049437260150282</v>
      </c>
      <c r="J50" s="2090"/>
      <c r="K50" s="2090">
        <v>1</v>
      </c>
      <c r="L50" s="2079"/>
      <c r="M50" s="2091" t="s">
        <v>347</v>
      </c>
      <c r="N50" s="2079"/>
      <c r="O50" s="2092">
        <v>383.78</v>
      </c>
      <c r="P50" s="2089"/>
      <c r="Q50" s="2092">
        <v>7368.47</v>
      </c>
      <c r="R50" s="2089"/>
      <c r="S50" s="2092">
        <v>7752.25</v>
      </c>
      <c r="T50" s="2089"/>
      <c r="U50" s="994">
        <v>0</v>
      </c>
      <c r="V50" s="994"/>
      <c r="W50" s="994">
        <v>383.78</v>
      </c>
    </row>
    <row r="51" spans="1:23">
      <c r="A51" s="2110">
        <v>32</v>
      </c>
      <c r="B51" s="2079"/>
      <c r="C51" s="2078" t="s">
        <v>2052</v>
      </c>
      <c r="D51" s="2079"/>
      <c r="E51" s="2079" t="s">
        <v>2748</v>
      </c>
      <c r="F51" s="2079"/>
      <c r="G51" s="2090">
        <v>0</v>
      </c>
      <c r="H51" s="2110"/>
      <c r="I51" s="2090">
        <v>0</v>
      </c>
      <c r="J51" s="2090"/>
      <c r="K51" s="2090">
        <v>0</v>
      </c>
      <c r="L51" s="2079"/>
      <c r="M51" s="2091" t="s">
        <v>347</v>
      </c>
      <c r="N51" s="2079"/>
      <c r="O51" s="2092">
        <v>0.14000000000001478</v>
      </c>
      <c r="P51" s="2089"/>
      <c r="Q51" s="2092">
        <v>-0.14000000000001478</v>
      </c>
      <c r="R51" s="2089"/>
      <c r="S51" s="2092">
        <v>0</v>
      </c>
      <c r="T51" s="2089"/>
      <c r="U51" s="994">
        <v>0</v>
      </c>
      <c r="V51" s="994"/>
      <c r="W51" s="994">
        <v>0.14000000000001478</v>
      </c>
    </row>
    <row r="52" spans="1:23">
      <c r="A52" s="2110">
        <v>33</v>
      </c>
      <c r="B52" s="2079"/>
      <c r="C52" s="2078" t="s">
        <v>2063</v>
      </c>
      <c r="D52" s="2079"/>
      <c r="E52" s="2079" t="s">
        <v>1248</v>
      </c>
      <c r="F52" s="2079"/>
      <c r="G52" s="2090">
        <v>5.1890897337079488E-2</v>
      </c>
      <c r="H52" s="2110"/>
      <c r="I52" s="2090">
        <v>0.94810910266292059</v>
      </c>
      <c r="J52" s="2090"/>
      <c r="K52" s="2090">
        <v>1</v>
      </c>
      <c r="L52" s="2079"/>
      <c r="M52" s="2091" t="s">
        <v>347</v>
      </c>
      <c r="N52" s="2079"/>
      <c r="O52" s="2092">
        <v>104.35</v>
      </c>
      <c r="P52" s="2089"/>
      <c r="Q52" s="2092">
        <v>1906.6000000000001</v>
      </c>
      <c r="R52" s="2089"/>
      <c r="S52" s="2092">
        <v>2010.95</v>
      </c>
      <c r="T52" s="2089"/>
      <c r="U52" s="994">
        <v>0</v>
      </c>
      <c r="V52" s="994"/>
      <c r="W52" s="994">
        <v>104.35</v>
      </c>
    </row>
    <row r="53" spans="1:23">
      <c r="A53" s="2110">
        <v>34</v>
      </c>
      <c r="B53" s="2079"/>
      <c r="C53" s="2078">
        <v>635</v>
      </c>
      <c r="D53" s="2079"/>
      <c r="E53" s="2079" t="s">
        <v>2749</v>
      </c>
      <c r="F53" s="2079"/>
      <c r="G53" s="2090">
        <v>0</v>
      </c>
      <c r="H53" s="2110"/>
      <c r="I53" s="2090">
        <v>0</v>
      </c>
      <c r="J53" s="2090"/>
      <c r="K53" s="2090">
        <v>0</v>
      </c>
      <c r="L53" s="2079"/>
      <c r="M53" s="2091" t="s">
        <v>347</v>
      </c>
      <c r="N53" s="2079"/>
      <c r="O53" s="2092">
        <v>0.65000000000003411</v>
      </c>
      <c r="P53" s="2089"/>
      <c r="Q53" s="2092">
        <v>-0.65000000000003411</v>
      </c>
      <c r="R53" s="2089"/>
      <c r="S53" s="2092">
        <v>0</v>
      </c>
      <c r="T53" s="2089"/>
      <c r="U53" s="994">
        <v>0</v>
      </c>
      <c r="V53" s="994"/>
      <c r="W53" s="994">
        <v>0.65000000000003411</v>
      </c>
    </row>
    <row r="54" spans="1:23">
      <c r="A54" s="2110">
        <v>35</v>
      </c>
      <c r="B54" s="2079"/>
      <c r="C54" s="2078" t="s">
        <v>1981</v>
      </c>
      <c r="D54" s="2079"/>
      <c r="E54" s="2079" t="s">
        <v>1250</v>
      </c>
      <c r="F54" s="2079"/>
      <c r="G54" s="2090">
        <v>5.2036857520648801E-2</v>
      </c>
      <c r="H54" s="2110"/>
      <c r="I54" s="2090">
        <v>0.94796314247935121</v>
      </c>
      <c r="J54" s="2090"/>
      <c r="K54" s="2090">
        <v>1</v>
      </c>
      <c r="L54" s="2079"/>
      <c r="M54" s="2091" t="s">
        <v>347</v>
      </c>
      <c r="N54" s="2079"/>
      <c r="O54" s="2092">
        <v>1253.4299999999998</v>
      </c>
      <c r="P54" s="2089"/>
      <c r="Q54" s="2092">
        <v>22833.919999999998</v>
      </c>
      <c r="R54" s="2089"/>
      <c r="S54" s="2092">
        <v>24087.35</v>
      </c>
      <c r="T54" s="2089"/>
      <c r="U54" s="994">
        <v>0</v>
      </c>
      <c r="V54" s="994"/>
      <c r="W54" s="994">
        <v>1253.4299999999998</v>
      </c>
    </row>
    <row r="55" spans="1:23">
      <c r="A55" s="2110">
        <v>36</v>
      </c>
      <c r="B55" s="2079"/>
      <c r="C55" s="2078" t="s">
        <v>2074</v>
      </c>
      <c r="D55" s="2079"/>
      <c r="E55" s="2079" t="s">
        <v>2517</v>
      </c>
      <c r="F55" s="2079"/>
      <c r="G55" s="2090">
        <v>5.2095306513409961E-2</v>
      </c>
      <c r="H55" s="2110"/>
      <c r="I55" s="2090">
        <v>0.94790469348659001</v>
      </c>
      <c r="J55" s="2090"/>
      <c r="K55" s="2090">
        <v>1</v>
      </c>
      <c r="L55" s="2079"/>
      <c r="M55" s="2091" t="s">
        <v>347</v>
      </c>
      <c r="N55" s="2079"/>
      <c r="O55" s="2092">
        <v>43.51</v>
      </c>
      <c r="P55" s="2089"/>
      <c r="Q55" s="2092">
        <v>791.68999999999994</v>
      </c>
      <c r="R55" s="2089"/>
      <c r="S55" s="2092">
        <v>835.19999999999993</v>
      </c>
      <c r="T55" s="2089"/>
      <c r="U55" s="994">
        <v>0</v>
      </c>
      <c r="V55" s="994"/>
      <c r="W55" s="994">
        <v>43.51</v>
      </c>
    </row>
    <row r="56" spans="1:23">
      <c r="A56" s="2110">
        <v>37</v>
      </c>
      <c r="B56" s="2079"/>
      <c r="C56" s="2078" t="s">
        <v>2076</v>
      </c>
      <c r="D56" s="2079"/>
      <c r="E56" s="2079" t="s">
        <v>1251</v>
      </c>
      <c r="F56" s="2079"/>
      <c r="G56" s="2090">
        <v>5.2078266752052287E-2</v>
      </c>
      <c r="H56" s="2110"/>
      <c r="I56" s="2090">
        <v>0.94792173324794771</v>
      </c>
      <c r="J56" s="2090"/>
      <c r="K56" s="2090">
        <v>1</v>
      </c>
      <c r="L56" s="2079"/>
      <c r="M56" s="2091" t="s">
        <v>347</v>
      </c>
      <c r="N56" s="2079"/>
      <c r="O56" s="2092">
        <v>14284.289999999999</v>
      </c>
      <c r="P56" s="2089"/>
      <c r="Q56" s="2092">
        <v>260000.75999999998</v>
      </c>
      <c r="R56" s="2089"/>
      <c r="S56" s="2092">
        <v>274285.05</v>
      </c>
      <c r="T56" s="2089"/>
      <c r="U56" s="994">
        <v>0</v>
      </c>
      <c r="V56" s="994"/>
      <c r="W56" s="994">
        <v>14284.289999999999</v>
      </c>
    </row>
    <row r="57" spans="1:23">
      <c r="A57" s="2110">
        <v>38</v>
      </c>
      <c r="B57" s="2079"/>
      <c r="C57" s="2078" t="s">
        <v>2071</v>
      </c>
      <c r="D57" s="2079"/>
      <c r="E57" s="2079" t="s">
        <v>2750</v>
      </c>
      <c r="F57" s="2079"/>
      <c r="G57" s="2090">
        <v>5.1212223251115421E-2</v>
      </c>
      <c r="H57" s="2110"/>
      <c r="I57" s="2090">
        <v>0.94878777674888459</v>
      </c>
      <c r="J57" s="2090"/>
      <c r="K57" s="2090">
        <v>1</v>
      </c>
      <c r="L57" s="2079"/>
      <c r="M57" s="2091" t="s">
        <v>347</v>
      </c>
      <c r="N57" s="2079"/>
      <c r="O57" s="2092">
        <v>243.34</v>
      </c>
      <c r="P57" s="2089"/>
      <c r="Q57" s="2092">
        <v>4508.2599999999993</v>
      </c>
      <c r="R57" s="2089"/>
      <c r="S57" s="2092">
        <v>4751.5999999999995</v>
      </c>
      <c r="T57" s="2089"/>
      <c r="U57" s="994">
        <v>0</v>
      </c>
      <c r="V57" s="994"/>
      <c r="W57" s="994">
        <v>243.34</v>
      </c>
    </row>
    <row r="58" spans="1:23">
      <c r="A58" s="2110">
        <v>39</v>
      </c>
      <c r="B58" s="2079"/>
      <c r="C58" s="2078" t="s">
        <v>1998</v>
      </c>
      <c r="D58" s="2079"/>
      <c r="E58" s="2079" t="s">
        <v>2535</v>
      </c>
      <c r="F58" s="2079"/>
      <c r="G58" s="2090">
        <v>5.2084748459313761E-2</v>
      </c>
      <c r="H58" s="2110"/>
      <c r="I58" s="2090">
        <v>0.94791525154068623</v>
      </c>
      <c r="J58" s="2090"/>
      <c r="K58" s="2090">
        <v>1</v>
      </c>
      <c r="L58" s="2079"/>
      <c r="M58" s="2091" t="s">
        <v>347</v>
      </c>
      <c r="N58" s="2079"/>
      <c r="O58" s="2092">
        <v>7169.4500000000007</v>
      </c>
      <c r="P58" s="2089"/>
      <c r="Q58" s="2092">
        <v>130480.24999999999</v>
      </c>
      <c r="R58" s="2089"/>
      <c r="S58" s="2092">
        <v>137649.69999999998</v>
      </c>
      <c r="T58" s="2089"/>
      <c r="U58" s="994">
        <v>0</v>
      </c>
      <c r="V58" s="994"/>
      <c r="W58" s="994">
        <v>7169.4500000000007</v>
      </c>
    </row>
    <row r="59" spans="1:23" ht="12.75" thickBot="1">
      <c r="A59" s="2110">
        <v>40</v>
      </c>
      <c r="B59" s="2079"/>
      <c r="C59" s="2078"/>
      <c r="D59" s="2079"/>
      <c r="E59" s="2079"/>
      <c r="F59" s="2079"/>
      <c r="G59" s="2110"/>
      <c r="H59" s="2110"/>
      <c r="I59" s="2110"/>
      <c r="J59" s="2110"/>
      <c r="K59" s="2090"/>
      <c r="L59" s="2079"/>
      <c r="M59" s="2079"/>
      <c r="N59" s="2079"/>
      <c r="O59" s="2145">
        <v>93778.979999999967</v>
      </c>
      <c r="P59" s="2089"/>
      <c r="Q59" s="2145">
        <v>1749878.6600000001</v>
      </c>
      <c r="R59" s="2089"/>
      <c r="S59" s="2146">
        <v>1843657.64</v>
      </c>
      <c r="T59" s="2089"/>
      <c r="U59" s="2147">
        <v>0</v>
      </c>
      <c r="V59" s="2089"/>
      <c r="W59" s="2147">
        <v>93778.979999999967</v>
      </c>
    </row>
    <row r="60" spans="1:23" ht="12.75" thickTop="1">
      <c r="A60" s="2110">
        <v>41</v>
      </c>
      <c r="B60" s="2079"/>
      <c r="C60" s="2078"/>
      <c r="D60" s="2079"/>
      <c r="E60" s="2079"/>
      <c r="F60" s="2079"/>
      <c r="G60" s="2110"/>
      <c r="H60" s="2110"/>
      <c r="I60" s="2110"/>
      <c r="J60" s="2110"/>
      <c r="K60" s="2110"/>
      <c r="L60" s="2079"/>
      <c r="M60" s="2079"/>
      <c r="N60" s="2079"/>
      <c r="O60" s="2079">
        <v>0</v>
      </c>
      <c r="P60" s="2079"/>
      <c r="Q60" s="2079"/>
      <c r="R60" s="2079"/>
      <c r="S60" s="2079">
        <v>0</v>
      </c>
      <c r="T60" s="2079"/>
      <c r="U60" s="2079"/>
      <c r="V60" s="2079"/>
      <c r="W60" s="2079"/>
    </row>
    <row r="61" spans="1:23">
      <c r="A61" s="2110">
        <v>42</v>
      </c>
      <c r="B61" s="2088" t="s">
        <v>2751</v>
      </c>
      <c r="C61" s="2078"/>
      <c r="D61" s="2079"/>
      <c r="E61" s="2079"/>
      <c r="F61" s="2079"/>
      <c r="G61" s="2090"/>
      <c r="H61" s="2110"/>
      <c r="I61" s="2090"/>
      <c r="J61" s="2090"/>
      <c r="K61" s="2090"/>
      <c r="L61" s="2079"/>
      <c r="M61" s="2079"/>
      <c r="N61" s="2079"/>
      <c r="O61" s="2089"/>
      <c r="P61" s="2089"/>
      <c r="Q61" s="2089"/>
      <c r="R61" s="2089"/>
      <c r="S61" s="2089"/>
      <c r="T61" s="2089"/>
      <c r="U61" s="2089"/>
      <c r="V61" s="2089"/>
      <c r="W61" s="2089"/>
    </row>
    <row r="62" spans="1:23">
      <c r="A62" s="2110">
        <v>43</v>
      </c>
      <c r="B62" s="2079"/>
      <c r="C62" s="2078"/>
      <c r="D62" s="2079"/>
      <c r="E62" s="2079"/>
      <c r="F62" s="2079"/>
      <c r="G62" s="2090"/>
      <c r="H62" s="2110"/>
      <c r="I62" s="2090"/>
      <c r="J62" s="2090"/>
      <c r="K62" s="2090"/>
      <c r="L62" s="2079"/>
      <c r="M62" s="2079"/>
      <c r="N62" s="2079"/>
      <c r="O62" s="2089"/>
      <c r="P62" s="2089"/>
      <c r="Q62" s="2089"/>
      <c r="R62" s="2089"/>
      <c r="S62" s="2089"/>
      <c r="T62" s="2089"/>
      <c r="U62" s="2089"/>
      <c r="V62" s="2089"/>
      <c r="W62" s="2089"/>
    </row>
    <row r="63" spans="1:23">
      <c r="A63" s="2110">
        <v>44</v>
      </c>
      <c r="B63" s="2079"/>
      <c r="C63" s="2078">
        <v>427</v>
      </c>
      <c r="D63" s="2079"/>
      <c r="E63" s="2079" t="s">
        <v>2619</v>
      </c>
      <c r="F63" s="2079"/>
      <c r="G63" s="2090">
        <v>8.8286400477859163E-3</v>
      </c>
      <c r="H63" s="2110"/>
      <c r="I63" s="2090">
        <v>0.99117135995221406</v>
      </c>
      <c r="J63" s="2090"/>
      <c r="K63" s="2090">
        <v>1</v>
      </c>
      <c r="L63" s="2079"/>
      <c r="M63" s="2091" t="s">
        <v>2752</v>
      </c>
      <c r="N63" s="2079"/>
      <c r="O63" s="2092">
        <v>106913.75</v>
      </c>
      <c r="P63" s="2092"/>
      <c r="Q63" s="2092">
        <v>12002963.810000001</v>
      </c>
      <c r="R63" s="2092"/>
      <c r="S63" s="2092">
        <v>12109877.560000001</v>
      </c>
      <c r="T63" s="2092"/>
      <c r="U63" s="994">
        <v>0</v>
      </c>
      <c r="V63" s="994"/>
      <c r="W63" s="994">
        <v>106913.75</v>
      </c>
    </row>
    <row r="64" spans="1:23" ht="12.75" thickBot="1">
      <c r="A64" s="2110">
        <v>45</v>
      </c>
      <c r="B64" s="2079"/>
      <c r="C64" s="2078"/>
      <c r="D64" s="2079"/>
      <c r="E64" s="2079"/>
      <c r="F64" s="2079"/>
      <c r="G64" s="2110"/>
      <c r="H64" s="2110"/>
      <c r="I64" s="2110"/>
      <c r="J64" s="2110"/>
      <c r="K64" s="2090"/>
      <c r="L64" s="2079"/>
      <c r="M64" s="2079"/>
      <c r="N64" s="2079"/>
      <c r="O64" s="2145">
        <v>106913.75</v>
      </c>
      <c r="P64" s="2089"/>
      <c r="Q64" s="2145">
        <v>12002963.810000001</v>
      </c>
      <c r="R64" s="2089"/>
      <c r="S64" s="2146">
        <v>12109877.560000001</v>
      </c>
      <c r="T64" s="2089"/>
      <c r="U64" s="2147">
        <v>0</v>
      </c>
      <c r="V64" s="2089"/>
      <c r="W64" s="2147">
        <v>106913.75</v>
      </c>
    </row>
    <row r="65" spans="1:23" ht="12.75" thickTop="1">
      <c r="A65" s="2110">
        <v>46</v>
      </c>
      <c r="B65" s="2079" t="s">
        <v>2753</v>
      </c>
      <c r="C65" s="2078"/>
      <c r="D65" s="2079"/>
      <c r="E65" s="2079"/>
      <c r="F65" s="2079"/>
      <c r="G65" s="2110"/>
      <c r="H65" s="2110"/>
      <c r="I65" s="2110"/>
      <c r="J65" s="2110"/>
      <c r="K65" s="2110"/>
      <c r="L65" s="2079"/>
      <c r="M65" s="2079"/>
      <c r="N65" s="2079"/>
      <c r="O65" s="2079">
        <v>0</v>
      </c>
      <c r="P65" s="2079"/>
      <c r="Q65" s="2079"/>
      <c r="R65" s="2079"/>
      <c r="S65" s="2079">
        <v>0</v>
      </c>
      <c r="T65" s="2079"/>
      <c r="U65" s="2079"/>
      <c r="V65" s="2079"/>
      <c r="W65" s="2079"/>
    </row>
  </sheetData>
  <mergeCells count="6">
    <mergeCell ref="G15:K15"/>
    <mergeCell ref="U10:W10"/>
    <mergeCell ref="U11:W11"/>
    <mergeCell ref="U12:W12"/>
    <mergeCell ref="U13:W13"/>
    <mergeCell ref="O14:W14"/>
  </mergeCells>
  <pageMargins left="0.75" right="0.5" top="0.75" bottom="0.5" header="0.25" footer="0.25"/>
  <pageSetup scale="66"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37"/>
  <dimension ref="A1:I317"/>
  <sheetViews>
    <sheetView view="pageBreakPreview" zoomScale="60" zoomScaleNormal="100" workbookViewId="0">
      <selection sqref="A1:XFD1048576"/>
    </sheetView>
  </sheetViews>
  <sheetFormatPr defaultColWidth="10.85546875" defaultRowHeight="11.25"/>
  <cols>
    <col min="1" max="1" width="6.28515625" style="204" customWidth="1"/>
    <col min="2" max="2" width="35" style="1202" customWidth="1"/>
    <col min="3" max="7" width="10.7109375" style="204" customWidth="1"/>
    <col min="8" max="16384" width="10.85546875" style="204"/>
  </cols>
  <sheetData>
    <row r="1" spans="1:7" ht="12">
      <c r="A1" s="1182" t="s">
        <v>872</v>
      </c>
      <c r="B1" s="1196"/>
      <c r="C1" s="1182"/>
      <c r="E1" s="345" t="s">
        <v>1209</v>
      </c>
      <c r="G1" s="1182"/>
    </row>
    <row r="2" spans="1:7" ht="12">
      <c r="A2" s="1182" t="s">
        <v>2644</v>
      </c>
      <c r="B2" s="1196"/>
      <c r="C2" s="1182"/>
      <c r="E2" s="345" t="s">
        <v>873</v>
      </c>
      <c r="G2" s="1182"/>
    </row>
    <row r="3" spans="1:7" ht="12">
      <c r="A3" s="1182" t="s">
        <v>2645</v>
      </c>
      <c r="B3" s="1197"/>
      <c r="C3" s="1182"/>
      <c r="E3" s="140" t="s">
        <v>766</v>
      </c>
      <c r="G3" s="1182"/>
    </row>
    <row r="4" spans="1:7" ht="12">
      <c r="A4" s="1182" t="s">
        <v>1935</v>
      </c>
      <c r="B4" s="1197"/>
      <c r="C4" s="1182"/>
      <c r="E4" s="345" t="s">
        <v>2948</v>
      </c>
      <c r="G4" s="1182"/>
    </row>
    <row r="5" spans="1:7" ht="12">
      <c r="A5" s="121" t="s">
        <v>1343</v>
      </c>
      <c r="B5" s="1196"/>
      <c r="C5" s="1182"/>
      <c r="E5" s="345" t="s">
        <v>874</v>
      </c>
      <c r="G5" s="1182"/>
    </row>
    <row r="6" spans="1:7">
      <c r="A6" s="1182" t="s">
        <v>580</v>
      </c>
      <c r="B6" s="1197"/>
      <c r="C6" s="1182"/>
      <c r="D6" s="1182"/>
      <c r="E6" s="1182"/>
      <c r="F6" s="1182"/>
      <c r="G6" s="1182"/>
    </row>
    <row r="7" spans="1:7" ht="12.75" customHeight="1" thickBot="1">
      <c r="A7" s="1183"/>
      <c r="B7" s="1198"/>
      <c r="C7" s="1183"/>
      <c r="D7" s="1183"/>
      <c r="E7" s="1183"/>
      <c r="F7" s="1183"/>
      <c r="G7" s="1183"/>
    </row>
    <row r="8" spans="1:7">
      <c r="A8" s="1120"/>
      <c r="B8" s="1199" t="s">
        <v>914</v>
      </c>
      <c r="C8" s="1184" t="s">
        <v>915</v>
      </c>
      <c r="D8" s="1184" t="s">
        <v>916</v>
      </c>
      <c r="E8" s="1184">
        <v>-4</v>
      </c>
      <c r="F8" s="1184">
        <v>-5</v>
      </c>
      <c r="G8" s="1184">
        <v>-6</v>
      </c>
    </row>
    <row r="9" spans="1:7">
      <c r="A9" s="1123" t="s">
        <v>53</v>
      </c>
      <c r="B9" s="1199"/>
      <c r="C9" s="1123" t="s">
        <v>74</v>
      </c>
      <c r="D9" s="1123" t="s">
        <v>728</v>
      </c>
      <c r="E9" s="1123" t="s">
        <v>869</v>
      </c>
      <c r="F9" s="1122" t="s">
        <v>974</v>
      </c>
      <c r="G9" s="1123" t="s">
        <v>974</v>
      </c>
    </row>
    <row r="10" spans="1:7">
      <c r="A10" s="811" t="s">
        <v>730</v>
      </c>
      <c r="B10" s="1200" t="s">
        <v>975</v>
      </c>
      <c r="C10" s="1185" t="s">
        <v>870</v>
      </c>
      <c r="D10" s="1185" t="s">
        <v>733</v>
      </c>
      <c r="E10" s="1185" t="s">
        <v>527</v>
      </c>
      <c r="F10" s="811" t="s">
        <v>977</v>
      </c>
      <c r="G10" s="1185" t="s">
        <v>978</v>
      </c>
    </row>
    <row r="11" spans="1:7">
      <c r="A11" s="1126">
        <v>1</v>
      </c>
      <c r="B11" s="1201" t="s">
        <v>979</v>
      </c>
      <c r="C11" s="1186"/>
      <c r="D11" s="1186"/>
      <c r="E11" s="1186"/>
      <c r="F11" s="1186"/>
      <c r="G11" s="1186"/>
    </row>
    <row r="12" spans="1:7">
      <c r="A12" s="1126">
        <v>2</v>
      </c>
      <c r="B12" s="1202" t="s">
        <v>563</v>
      </c>
      <c r="C12" s="724">
        <v>35.28</v>
      </c>
      <c r="D12" s="724"/>
      <c r="E12" s="723">
        <v>35.28</v>
      </c>
      <c r="F12" s="1176" t="s">
        <v>560</v>
      </c>
      <c r="G12" s="1187" t="s">
        <v>560</v>
      </c>
    </row>
    <row r="13" spans="1:7">
      <c r="A13" s="1126">
        <v>3</v>
      </c>
      <c r="B13" s="1202" t="s">
        <v>564</v>
      </c>
      <c r="C13" s="724">
        <v>0</v>
      </c>
      <c r="D13" s="724"/>
      <c r="E13" s="723">
        <v>0</v>
      </c>
      <c r="F13" s="1176" t="s">
        <v>560</v>
      </c>
      <c r="G13" s="1187" t="s">
        <v>560</v>
      </c>
    </row>
    <row r="14" spans="1:7">
      <c r="A14" s="1126">
        <v>4</v>
      </c>
      <c r="B14" s="1202" t="s">
        <v>565</v>
      </c>
      <c r="C14" s="724"/>
      <c r="D14" s="724"/>
      <c r="E14" s="723">
        <v>0</v>
      </c>
      <c r="F14" s="1176" t="s">
        <v>560</v>
      </c>
      <c r="G14" s="1187" t="s">
        <v>560</v>
      </c>
    </row>
    <row r="15" spans="1:7">
      <c r="A15" s="1126">
        <v>5</v>
      </c>
      <c r="B15" s="1201" t="s">
        <v>566</v>
      </c>
      <c r="C15" s="724"/>
      <c r="D15" s="724"/>
      <c r="E15" s="723"/>
      <c r="F15" s="1176" t="s">
        <v>560</v>
      </c>
      <c r="G15" s="1187" t="s">
        <v>560</v>
      </c>
    </row>
    <row r="16" spans="1:7">
      <c r="A16" s="1126">
        <v>6</v>
      </c>
      <c r="B16" s="1202" t="s">
        <v>567</v>
      </c>
      <c r="C16" s="724"/>
      <c r="D16" s="724"/>
      <c r="E16" s="723">
        <v>0</v>
      </c>
      <c r="F16" s="1176" t="s">
        <v>560</v>
      </c>
      <c r="G16" s="1187" t="s">
        <v>560</v>
      </c>
    </row>
    <row r="17" spans="1:7">
      <c r="A17" s="1126">
        <v>7</v>
      </c>
      <c r="B17" s="1202" t="s">
        <v>568</v>
      </c>
      <c r="C17" s="724">
        <v>0</v>
      </c>
      <c r="D17" s="724"/>
      <c r="E17" s="723">
        <v>0</v>
      </c>
      <c r="F17" s="1176" t="s">
        <v>560</v>
      </c>
      <c r="G17" s="1187" t="s">
        <v>560</v>
      </c>
    </row>
    <row r="18" spans="1:7">
      <c r="A18" s="1126">
        <v>8</v>
      </c>
      <c r="B18" s="1203" t="s">
        <v>354</v>
      </c>
      <c r="C18" s="724">
        <v>0</v>
      </c>
      <c r="D18" s="724"/>
      <c r="E18" s="723">
        <v>0</v>
      </c>
      <c r="F18" s="1176"/>
      <c r="G18" s="1187"/>
    </row>
    <row r="19" spans="1:7">
      <c r="A19" s="1126">
        <v>9</v>
      </c>
      <c r="B19" s="1202" t="s">
        <v>569</v>
      </c>
      <c r="C19" s="724">
        <v>8175.58</v>
      </c>
      <c r="D19" s="724">
        <v>2980.5555555555557</v>
      </c>
      <c r="E19" s="723">
        <v>11156.135555555556</v>
      </c>
      <c r="F19" s="1176" t="s">
        <v>560</v>
      </c>
      <c r="G19" s="1187" t="s">
        <v>560</v>
      </c>
    </row>
    <row r="20" spans="1:7">
      <c r="A20" s="1126">
        <v>10</v>
      </c>
      <c r="B20" s="1202" t="s">
        <v>570</v>
      </c>
      <c r="C20" s="724">
        <v>57044.18</v>
      </c>
      <c r="D20" s="724">
        <v>11111.111111111111</v>
      </c>
      <c r="E20" s="723">
        <v>68155.291111111117</v>
      </c>
      <c r="F20" s="1176" t="s">
        <v>560</v>
      </c>
      <c r="G20" s="1187" t="s">
        <v>560</v>
      </c>
    </row>
    <row r="21" spans="1:7">
      <c r="A21" s="1126">
        <v>11</v>
      </c>
      <c r="B21" s="1202" t="s">
        <v>571</v>
      </c>
      <c r="C21" s="724"/>
      <c r="D21" s="724"/>
      <c r="E21" s="723">
        <v>0</v>
      </c>
      <c r="F21" s="1176" t="s">
        <v>560</v>
      </c>
      <c r="G21" s="1187" t="s">
        <v>560</v>
      </c>
    </row>
    <row r="22" spans="1:7">
      <c r="A22" s="1126">
        <v>12</v>
      </c>
      <c r="B22" s="1202" t="s">
        <v>1104</v>
      </c>
      <c r="C22" s="724">
        <v>1978.36</v>
      </c>
      <c r="D22" s="724"/>
      <c r="E22" s="723">
        <v>1978.36</v>
      </c>
      <c r="F22" s="1176" t="s">
        <v>560</v>
      </c>
      <c r="G22" s="1187" t="s">
        <v>560</v>
      </c>
    </row>
    <row r="23" spans="1:7">
      <c r="A23" s="1126">
        <v>13</v>
      </c>
      <c r="B23" s="1202" t="s">
        <v>1105</v>
      </c>
      <c r="C23" s="724">
        <v>949.64</v>
      </c>
      <c r="D23" s="724">
        <v>16200</v>
      </c>
      <c r="E23" s="723">
        <v>17149.64</v>
      </c>
      <c r="F23" s="1176" t="s">
        <v>560</v>
      </c>
      <c r="G23" s="1187" t="s">
        <v>560</v>
      </c>
    </row>
    <row r="24" spans="1:7">
      <c r="A24" s="1126">
        <v>14</v>
      </c>
      <c r="B24" s="1202" t="s">
        <v>1106</v>
      </c>
      <c r="C24" s="724"/>
      <c r="D24" s="724"/>
      <c r="E24" s="723">
        <v>0</v>
      </c>
      <c r="F24" s="1176" t="s">
        <v>560</v>
      </c>
      <c r="G24" s="1187" t="s">
        <v>560</v>
      </c>
    </row>
    <row r="25" spans="1:7">
      <c r="A25" s="1126">
        <v>15</v>
      </c>
      <c r="B25" s="1202" t="s">
        <v>1107</v>
      </c>
      <c r="C25" s="724">
        <v>79.44</v>
      </c>
      <c r="D25" s="724"/>
      <c r="E25" s="723">
        <v>79.44</v>
      </c>
      <c r="F25" s="1176" t="s">
        <v>560</v>
      </c>
      <c r="G25" s="1187" t="s">
        <v>560</v>
      </c>
    </row>
    <row r="26" spans="1:7">
      <c r="A26" s="1126">
        <v>16</v>
      </c>
      <c r="B26" s="1201" t="s">
        <v>1108</v>
      </c>
      <c r="C26" s="724"/>
      <c r="D26" s="724"/>
      <c r="E26" s="723"/>
      <c r="F26" s="1176" t="s">
        <v>560</v>
      </c>
      <c r="G26" s="1187" t="s">
        <v>560</v>
      </c>
    </row>
    <row r="27" spans="1:7">
      <c r="A27" s="1126">
        <v>17</v>
      </c>
      <c r="B27" s="1202" t="s">
        <v>1109</v>
      </c>
      <c r="C27" s="724"/>
      <c r="D27" s="724"/>
      <c r="E27" s="723">
        <v>0</v>
      </c>
      <c r="F27" s="1176" t="s">
        <v>560</v>
      </c>
      <c r="G27" s="1187" t="s">
        <v>560</v>
      </c>
    </row>
    <row r="28" spans="1:7">
      <c r="A28" s="1126">
        <v>18</v>
      </c>
      <c r="B28" s="1202" t="s">
        <v>1110</v>
      </c>
      <c r="C28" s="724">
        <v>19730.580000000002</v>
      </c>
      <c r="D28" s="724"/>
      <c r="E28" s="723">
        <v>19730.580000000002</v>
      </c>
      <c r="F28" s="1176" t="s">
        <v>560</v>
      </c>
      <c r="G28" s="1187" t="s">
        <v>560</v>
      </c>
    </row>
    <row r="29" spans="1:7">
      <c r="A29" s="1126">
        <v>19</v>
      </c>
      <c r="B29" s="1202" t="s">
        <v>1111</v>
      </c>
      <c r="C29" s="724"/>
      <c r="D29" s="724"/>
      <c r="E29" s="723">
        <v>0</v>
      </c>
      <c r="F29" s="1176" t="s">
        <v>560</v>
      </c>
      <c r="G29" s="1187" t="s">
        <v>560</v>
      </c>
    </row>
    <row r="30" spans="1:7">
      <c r="A30" s="1126">
        <v>20</v>
      </c>
      <c r="B30" s="1202" t="s">
        <v>1112</v>
      </c>
      <c r="C30" s="724">
        <v>13791.36</v>
      </c>
      <c r="D30" s="724">
        <v>1388.8888888888887</v>
      </c>
      <c r="E30" s="723">
        <v>15180.248888888889</v>
      </c>
      <c r="F30" s="1176"/>
      <c r="G30" s="1187" t="s">
        <v>560</v>
      </c>
    </row>
    <row r="31" spans="1:7">
      <c r="A31" s="1126">
        <v>21</v>
      </c>
      <c r="B31" s="1202" t="s">
        <v>1113</v>
      </c>
      <c r="C31" s="724">
        <v>484.2</v>
      </c>
      <c r="D31" s="724"/>
      <c r="E31" s="723">
        <v>484.2</v>
      </c>
      <c r="F31" s="1176" t="s">
        <v>560</v>
      </c>
      <c r="G31" s="1187" t="s">
        <v>560</v>
      </c>
    </row>
    <row r="32" spans="1:7">
      <c r="A32" s="1126">
        <v>22</v>
      </c>
      <c r="B32" s="1201" t="s">
        <v>922</v>
      </c>
      <c r="C32" s="724"/>
      <c r="D32" s="724"/>
      <c r="E32" s="723"/>
      <c r="F32" s="1176" t="s">
        <v>560</v>
      </c>
      <c r="G32" s="1187" t="s">
        <v>560</v>
      </c>
    </row>
    <row r="33" spans="1:7">
      <c r="A33" s="1126">
        <v>23</v>
      </c>
      <c r="B33" s="1202" t="s">
        <v>791</v>
      </c>
      <c r="C33" s="724"/>
      <c r="D33" s="724"/>
      <c r="E33" s="723"/>
      <c r="F33" s="1176" t="s">
        <v>560</v>
      </c>
      <c r="G33" s="1187" t="s">
        <v>560</v>
      </c>
    </row>
    <row r="34" spans="1:7">
      <c r="A34" s="1126">
        <v>24</v>
      </c>
      <c r="B34" s="1203" t="s">
        <v>353</v>
      </c>
      <c r="C34" s="724">
        <v>4735.28</v>
      </c>
      <c r="D34" s="724"/>
      <c r="E34" s="723">
        <v>4735.28</v>
      </c>
      <c r="F34" s="1176"/>
      <c r="G34" s="1187" t="s">
        <v>560</v>
      </c>
    </row>
    <row r="35" spans="1:7">
      <c r="A35" s="1126">
        <v>25</v>
      </c>
      <c r="B35" s="1203" t="s">
        <v>1655</v>
      </c>
      <c r="C35" s="724">
        <v>24.3</v>
      </c>
      <c r="D35" s="724"/>
      <c r="E35" s="723">
        <v>24.3</v>
      </c>
      <c r="F35" s="1176"/>
      <c r="G35" s="1187"/>
    </row>
    <row r="36" spans="1:7">
      <c r="A36" s="1126">
        <v>26</v>
      </c>
      <c r="B36" s="1202" t="s">
        <v>1508</v>
      </c>
      <c r="C36" s="724">
        <v>55489.31</v>
      </c>
      <c r="D36" s="724">
        <v>31568.055555555562</v>
      </c>
      <c r="E36" s="723">
        <v>87057.36555555556</v>
      </c>
      <c r="F36" s="1176" t="s">
        <v>560</v>
      </c>
      <c r="G36" s="1187" t="s">
        <v>560</v>
      </c>
    </row>
    <row r="37" spans="1:7">
      <c r="A37" s="1126">
        <v>27</v>
      </c>
      <c r="B37" s="1202" t="s">
        <v>1509</v>
      </c>
      <c r="C37" s="724">
        <v>1949.72</v>
      </c>
      <c r="D37" s="724"/>
      <c r="E37" s="723">
        <v>1949.72</v>
      </c>
      <c r="F37" s="1176" t="s">
        <v>560</v>
      </c>
      <c r="G37" s="1187" t="s">
        <v>560</v>
      </c>
    </row>
    <row r="38" spans="1:7">
      <c r="A38" s="1126">
        <v>28</v>
      </c>
      <c r="B38" s="1202" t="s">
        <v>1510</v>
      </c>
      <c r="C38" s="724">
        <v>7.44</v>
      </c>
      <c r="D38" s="724"/>
      <c r="E38" s="723">
        <v>7.44</v>
      </c>
      <c r="F38" s="1176"/>
      <c r="G38" s="1187" t="s">
        <v>560</v>
      </c>
    </row>
    <row r="39" spans="1:7">
      <c r="A39" s="1126">
        <v>29</v>
      </c>
      <c r="B39" s="1202" t="s">
        <v>1407</v>
      </c>
      <c r="C39" s="724">
        <v>352.74</v>
      </c>
      <c r="D39" s="724"/>
      <c r="E39" s="723">
        <v>352.74</v>
      </c>
      <c r="F39" s="1176" t="s">
        <v>560</v>
      </c>
      <c r="G39" s="1187" t="s">
        <v>560</v>
      </c>
    </row>
    <row r="40" spans="1:7">
      <c r="A40" s="1126">
        <v>30</v>
      </c>
      <c r="B40" s="1201" t="s">
        <v>1291</v>
      </c>
      <c r="C40" s="724"/>
      <c r="D40" s="724"/>
      <c r="E40" s="723"/>
      <c r="F40" s="1176"/>
      <c r="G40" s="1187"/>
    </row>
    <row r="41" spans="1:7">
      <c r="A41" s="1126">
        <v>31</v>
      </c>
      <c r="B41" s="1202" t="s">
        <v>2300</v>
      </c>
      <c r="C41" s="724">
        <v>6</v>
      </c>
      <c r="D41" s="724"/>
      <c r="E41" s="723">
        <v>6</v>
      </c>
      <c r="F41" s="1176"/>
      <c r="G41" s="1187"/>
    </row>
    <row r="42" spans="1:7">
      <c r="A42" s="1126">
        <v>32</v>
      </c>
      <c r="B42" s="1127" t="s">
        <v>150</v>
      </c>
      <c r="C42" s="195">
        <v>0</v>
      </c>
      <c r="D42" s="195"/>
      <c r="E42" s="723">
        <v>0</v>
      </c>
      <c r="F42" s="1176"/>
      <c r="G42" s="1187"/>
    </row>
    <row r="43" spans="1:7">
      <c r="A43" s="1126">
        <v>33</v>
      </c>
      <c r="B43" s="1203" t="s">
        <v>356</v>
      </c>
      <c r="C43" s="724">
        <v>0</v>
      </c>
      <c r="D43" s="724"/>
      <c r="E43" s="723">
        <v>0</v>
      </c>
      <c r="F43" s="1176"/>
      <c r="G43" s="1187"/>
    </row>
    <row r="44" spans="1:7">
      <c r="A44" s="1126">
        <v>34</v>
      </c>
      <c r="B44" s="1127" t="s">
        <v>397</v>
      </c>
      <c r="C44" s="195">
        <v>0</v>
      </c>
      <c r="D44" s="195"/>
      <c r="E44" s="723">
        <v>0</v>
      </c>
      <c r="F44" s="1176"/>
      <c r="G44" s="1187"/>
    </row>
    <row r="45" spans="1:7">
      <c r="A45" s="1126">
        <v>35</v>
      </c>
      <c r="B45" s="1203" t="s">
        <v>355</v>
      </c>
      <c r="C45" s="724">
        <v>226.8</v>
      </c>
      <c r="D45" s="724"/>
      <c r="E45" s="723">
        <v>226.8</v>
      </c>
      <c r="F45" s="1176"/>
      <c r="G45" s="1187"/>
    </row>
    <row r="46" spans="1:7">
      <c r="A46" s="1126">
        <v>36</v>
      </c>
      <c r="B46" s="1203" t="s">
        <v>1832</v>
      </c>
      <c r="C46" s="724">
        <v>0</v>
      </c>
      <c r="D46" s="724"/>
      <c r="E46" s="723">
        <v>0</v>
      </c>
      <c r="F46" s="1176"/>
      <c r="G46" s="1187"/>
    </row>
    <row r="47" spans="1:7">
      <c r="A47" s="1126">
        <v>37</v>
      </c>
      <c r="B47" s="1203" t="s">
        <v>371</v>
      </c>
      <c r="C47" s="724">
        <v>0</v>
      </c>
      <c r="D47" s="724"/>
      <c r="E47" s="723">
        <v>0</v>
      </c>
      <c r="F47" s="1176"/>
      <c r="G47" s="1187"/>
    </row>
    <row r="48" spans="1:7">
      <c r="A48" s="1126">
        <v>38</v>
      </c>
      <c r="B48" s="1202" t="s">
        <v>1508</v>
      </c>
      <c r="C48" s="724">
        <v>130.44</v>
      </c>
      <c r="D48" s="724"/>
      <c r="E48" s="723">
        <v>130.44</v>
      </c>
      <c r="F48" s="1176"/>
      <c r="G48" s="1187"/>
    </row>
    <row r="49" spans="1:9">
      <c r="A49" s="1126">
        <v>39</v>
      </c>
      <c r="B49" s="1203" t="s">
        <v>372</v>
      </c>
      <c r="C49" s="724">
        <v>0</v>
      </c>
      <c r="D49" s="724"/>
      <c r="E49" s="723">
        <v>0</v>
      </c>
      <c r="F49" s="1176"/>
      <c r="G49" s="1187"/>
    </row>
    <row r="50" spans="1:9">
      <c r="A50" s="1126">
        <v>40</v>
      </c>
      <c r="B50" s="1201" t="s">
        <v>1172</v>
      </c>
      <c r="C50" s="724"/>
      <c r="D50" s="724"/>
      <c r="E50" s="723"/>
      <c r="F50" s="1176" t="s">
        <v>560</v>
      </c>
      <c r="G50" s="1187" t="s">
        <v>560</v>
      </c>
    </row>
    <row r="51" spans="1:9">
      <c r="A51" s="1126">
        <v>41</v>
      </c>
      <c r="B51" s="1023" t="s">
        <v>752</v>
      </c>
      <c r="C51" s="724"/>
      <c r="D51" s="724"/>
      <c r="E51" s="723">
        <v>0</v>
      </c>
      <c r="F51" s="1176" t="s">
        <v>560</v>
      </c>
      <c r="G51" s="1187" t="s">
        <v>560</v>
      </c>
    </row>
    <row r="52" spans="1:9">
      <c r="A52" s="1126">
        <v>42</v>
      </c>
      <c r="B52" s="1023" t="s">
        <v>753</v>
      </c>
      <c r="C52" s="724">
        <v>74961.63</v>
      </c>
      <c r="D52" s="724">
        <v>406.25</v>
      </c>
      <c r="E52" s="723">
        <v>75367.88</v>
      </c>
      <c r="F52" s="1176" t="s">
        <v>560</v>
      </c>
      <c r="G52" s="1187"/>
    </row>
    <row r="53" spans="1:9">
      <c r="A53" s="1126">
        <v>43</v>
      </c>
      <c r="B53" s="1023" t="s">
        <v>754</v>
      </c>
      <c r="C53" s="724">
        <v>47236.4</v>
      </c>
      <c r="D53" s="724">
        <v>2313.6666666666661</v>
      </c>
      <c r="E53" s="723">
        <v>49550.066666666666</v>
      </c>
      <c r="F53" s="1176" t="s">
        <v>560</v>
      </c>
      <c r="G53" s="1187" t="s">
        <v>560</v>
      </c>
    </row>
    <row r="54" spans="1:9">
      <c r="A54" s="1126">
        <v>44</v>
      </c>
      <c r="B54" s="1023" t="s">
        <v>755</v>
      </c>
      <c r="C54" s="724">
        <v>18433.3</v>
      </c>
      <c r="D54" s="724">
        <v>704.6</v>
      </c>
      <c r="E54" s="723">
        <v>19137.899999999998</v>
      </c>
      <c r="F54" s="1176"/>
      <c r="G54" s="1187"/>
    </row>
    <row r="55" spans="1:9">
      <c r="A55" s="1126">
        <v>45</v>
      </c>
      <c r="B55" s="1023" t="s">
        <v>756</v>
      </c>
      <c r="C55" s="724"/>
      <c r="D55" s="724"/>
      <c r="E55" s="723">
        <v>0</v>
      </c>
      <c r="F55" s="1176"/>
      <c r="G55" s="1187"/>
    </row>
    <row r="56" spans="1:9">
      <c r="A56" s="1126">
        <v>46</v>
      </c>
      <c r="B56" s="1023" t="s">
        <v>757</v>
      </c>
      <c r="C56" s="724">
        <v>2294.08</v>
      </c>
      <c r="D56" s="724"/>
      <c r="E56" s="723">
        <v>2294.08</v>
      </c>
      <c r="F56" s="1176"/>
      <c r="G56" s="1187"/>
    </row>
    <row r="57" spans="1:9">
      <c r="A57" s="1126">
        <v>47</v>
      </c>
      <c r="B57" s="1128" t="s">
        <v>758</v>
      </c>
      <c r="C57" s="724">
        <v>1558.32</v>
      </c>
      <c r="D57" s="724"/>
      <c r="E57" s="723">
        <v>1558.32</v>
      </c>
      <c r="F57" s="1176"/>
      <c r="G57" s="1187"/>
    </row>
    <row r="58" spans="1:9">
      <c r="A58" s="1126">
        <v>48</v>
      </c>
      <c r="B58" s="1023" t="s">
        <v>759</v>
      </c>
      <c r="C58" s="724">
        <v>253.15</v>
      </c>
      <c r="D58" s="724"/>
      <c r="E58" s="723">
        <v>253.15</v>
      </c>
      <c r="F58" s="1176" t="s">
        <v>560</v>
      </c>
      <c r="G58" s="1187" t="s">
        <v>560</v>
      </c>
    </row>
    <row r="59" spans="1:9">
      <c r="A59" s="1126">
        <v>49</v>
      </c>
      <c r="B59" s="1023" t="s">
        <v>760</v>
      </c>
      <c r="C59" s="724">
        <v>41.22</v>
      </c>
      <c r="D59" s="724"/>
      <c r="E59" s="723">
        <v>41.22</v>
      </c>
      <c r="F59" s="1176" t="s">
        <v>560</v>
      </c>
      <c r="G59" s="1187" t="s">
        <v>560</v>
      </c>
    </row>
    <row r="60" spans="1:9">
      <c r="A60" s="1126">
        <v>50</v>
      </c>
      <c r="B60" s="1023" t="s">
        <v>761</v>
      </c>
      <c r="C60" s="724">
        <v>91.32</v>
      </c>
      <c r="D60" s="724"/>
      <c r="E60" s="723">
        <v>91.32</v>
      </c>
      <c r="F60" s="1176"/>
      <c r="G60" s="1187" t="s">
        <v>560</v>
      </c>
      <c r="H60" s="1204"/>
      <c r="I60" s="1204"/>
    </row>
    <row r="61" spans="1:9" ht="13.5">
      <c r="A61" s="1126">
        <v>51</v>
      </c>
      <c r="B61" s="1127" t="s">
        <v>1378</v>
      </c>
      <c r="C61" s="1188"/>
      <c r="D61" s="1188"/>
      <c r="E61" s="1188">
        <v>0</v>
      </c>
      <c r="F61" s="1189"/>
      <c r="G61" s="1190"/>
      <c r="H61" s="594"/>
      <c r="I61" s="594"/>
    </row>
    <row r="62" spans="1:9">
      <c r="A62" s="1126">
        <v>52</v>
      </c>
      <c r="B62" s="1202" t="s">
        <v>73</v>
      </c>
      <c r="C62" s="205">
        <v>310060.07</v>
      </c>
      <c r="D62" s="205">
        <v>66673.127777777787</v>
      </c>
      <c r="E62" s="205">
        <v>376733.19777777785</v>
      </c>
      <c r="F62" s="205"/>
      <c r="G62" s="1191" t="s">
        <v>877</v>
      </c>
      <c r="H62" s="1204"/>
      <c r="I62" s="1204"/>
    </row>
    <row r="63" spans="1:9" ht="13.5">
      <c r="A63" s="1126">
        <v>53</v>
      </c>
      <c r="B63" s="1202" t="s">
        <v>871</v>
      </c>
      <c r="C63" s="1192">
        <v>-97216.66</v>
      </c>
      <c r="D63" s="1192"/>
      <c r="E63" s="1192">
        <v>-97216.66</v>
      </c>
      <c r="F63" s="1187"/>
      <c r="G63" s="1192"/>
      <c r="H63" s="594"/>
      <c r="I63" s="594"/>
    </row>
    <row r="64" spans="1:9">
      <c r="A64" s="1126">
        <v>54</v>
      </c>
      <c r="C64" s="1187"/>
      <c r="D64" s="1187"/>
      <c r="E64" s="1187"/>
      <c r="F64" s="1187"/>
      <c r="G64" s="1187"/>
      <c r="H64" s="1204"/>
      <c r="I64" s="1204"/>
    </row>
    <row r="65" spans="1:9" ht="12" thickBot="1">
      <c r="A65" s="1126">
        <v>55</v>
      </c>
      <c r="B65" s="1205" t="s">
        <v>664</v>
      </c>
      <c r="C65" s="1193">
        <v>212843.41</v>
      </c>
      <c r="D65" s="1193">
        <v>66673.127777777787</v>
      </c>
      <c r="E65" s="1193">
        <v>279516.53777777788</v>
      </c>
      <c r="F65" s="1194"/>
      <c r="G65" s="1195" t="s">
        <v>877</v>
      </c>
      <c r="H65" s="1204"/>
      <c r="I65" s="1204"/>
    </row>
    <row r="66" spans="1:9" ht="12" thickTop="1">
      <c r="A66" s="1126"/>
      <c r="B66" s="1205"/>
      <c r="H66" s="1204"/>
      <c r="I66" s="1204"/>
    </row>
    <row r="67" spans="1:9">
      <c r="A67" s="1163"/>
      <c r="B67" s="1196"/>
      <c r="H67" s="1204"/>
      <c r="I67" s="1204"/>
    </row>
    <row r="68" spans="1:9">
      <c r="H68" s="1204"/>
      <c r="I68" s="1204"/>
    </row>
    <row r="70" spans="1:9">
      <c r="C70" s="195"/>
    </row>
    <row r="74" spans="1:9">
      <c r="A74" s="1186"/>
      <c r="B74" s="1205"/>
    </row>
    <row r="75" spans="1:9">
      <c r="A75" s="1186"/>
      <c r="B75" s="1205"/>
    </row>
    <row r="76" spans="1:9">
      <c r="A76" s="1186"/>
      <c r="B76" s="1205"/>
    </row>
    <row r="77" spans="1:9">
      <c r="A77" s="1186"/>
      <c r="B77" s="1205"/>
    </row>
    <row r="78" spans="1:9">
      <c r="A78" s="1186"/>
      <c r="B78" s="1205"/>
    </row>
    <row r="79" spans="1:9">
      <c r="A79" s="1186"/>
      <c r="B79" s="1205"/>
    </row>
    <row r="80" spans="1:9">
      <c r="A80" s="1186"/>
      <c r="B80" s="1205"/>
    </row>
    <row r="81" spans="1:2">
      <c r="A81" s="1186"/>
      <c r="B81" s="1205"/>
    </row>
    <row r="82" spans="1:2">
      <c r="A82" s="1186"/>
      <c r="B82" s="1205"/>
    </row>
    <row r="83" spans="1:2">
      <c r="A83" s="1186"/>
      <c r="B83" s="1205"/>
    </row>
    <row r="84" spans="1:2">
      <c r="A84" s="1186"/>
      <c r="B84" s="1205"/>
    </row>
    <row r="85" spans="1:2">
      <c r="A85" s="1186"/>
      <c r="B85" s="1205"/>
    </row>
    <row r="86" spans="1:2">
      <c r="A86" s="1186"/>
      <c r="B86" s="1205"/>
    </row>
    <row r="87" spans="1:2">
      <c r="A87" s="1186"/>
      <c r="B87" s="1205"/>
    </row>
    <row r="88" spans="1:2">
      <c r="A88" s="1186"/>
      <c r="B88" s="1205"/>
    </row>
    <row r="89" spans="1:2">
      <c r="A89" s="1186"/>
      <c r="B89" s="1205"/>
    </row>
    <row r="90" spans="1:2">
      <c r="A90" s="1186"/>
      <c r="B90" s="1205"/>
    </row>
    <row r="91" spans="1:2">
      <c r="A91" s="1186"/>
      <c r="B91" s="1205"/>
    </row>
    <row r="92" spans="1:2">
      <c r="A92" s="1186"/>
      <c r="B92" s="1205"/>
    </row>
    <row r="93" spans="1:2">
      <c r="A93" s="1186"/>
      <c r="B93" s="1205"/>
    </row>
    <row r="112" spans="1:2">
      <c r="A112" s="1186"/>
      <c r="B112" s="1205"/>
    </row>
    <row r="113" spans="1:2">
      <c r="A113" s="1186"/>
      <c r="B113" s="1205"/>
    </row>
    <row r="114" spans="1:2">
      <c r="A114" s="1186"/>
      <c r="B114" s="1205"/>
    </row>
    <row r="115" spans="1:2">
      <c r="A115" s="1186"/>
      <c r="B115" s="1205"/>
    </row>
    <row r="116" spans="1:2">
      <c r="A116" s="1186"/>
      <c r="B116" s="1205"/>
    </row>
    <row r="117" spans="1:2">
      <c r="A117" s="1186"/>
      <c r="B117" s="1205"/>
    </row>
    <row r="118" spans="1:2">
      <c r="A118" s="1186"/>
      <c r="B118" s="1205"/>
    </row>
    <row r="119" spans="1:2">
      <c r="A119" s="1186"/>
      <c r="B119" s="1205"/>
    </row>
    <row r="120" spans="1:2">
      <c r="A120" s="1186"/>
      <c r="B120" s="1205"/>
    </row>
    <row r="121" spans="1:2">
      <c r="A121" s="1186"/>
      <c r="B121" s="1205"/>
    </row>
    <row r="122" spans="1:2">
      <c r="A122" s="1186"/>
      <c r="B122" s="1205"/>
    </row>
    <row r="123" spans="1:2">
      <c r="A123" s="1186"/>
      <c r="B123" s="1205"/>
    </row>
    <row r="124" spans="1:2">
      <c r="A124" s="1186"/>
      <c r="B124" s="1205"/>
    </row>
    <row r="125" spans="1:2">
      <c r="A125" s="1186"/>
      <c r="B125" s="1205"/>
    </row>
    <row r="126" spans="1:2">
      <c r="A126" s="1186"/>
      <c r="B126" s="1205"/>
    </row>
    <row r="127" spans="1:2">
      <c r="A127" s="1186"/>
      <c r="B127" s="1205"/>
    </row>
    <row r="128" spans="1:2">
      <c r="A128" s="1186"/>
      <c r="B128" s="1205"/>
    </row>
    <row r="129" spans="1:2">
      <c r="A129" s="1186"/>
      <c r="B129" s="1205"/>
    </row>
    <row r="130" spans="1:2">
      <c r="A130" s="1186"/>
      <c r="B130" s="1205"/>
    </row>
    <row r="131" spans="1:2">
      <c r="A131" s="1186"/>
      <c r="B131" s="1205"/>
    </row>
    <row r="132" spans="1:2">
      <c r="A132" s="1186"/>
      <c r="B132" s="1205"/>
    </row>
    <row r="133" spans="1:2">
      <c r="A133" s="1186"/>
      <c r="B133" s="1205"/>
    </row>
    <row r="134" spans="1:2">
      <c r="A134" s="1186"/>
      <c r="B134" s="1205"/>
    </row>
    <row r="135" spans="1:2">
      <c r="A135" s="1186"/>
      <c r="B135" s="1205"/>
    </row>
    <row r="136" spans="1:2">
      <c r="A136" s="1186"/>
      <c r="B136" s="1205"/>
    </row>
    <row r="137" spans="1:2">
      <c r="A137" s="1186"/>
      <c r="B137" s="1205"/>
    </row>
    <row r="138" spans="1:2">
      <c r="A138" s="1186"/>
      <c r="B138" s="1205"/>
    </row>
    <row r="139" spans="1:2">
      <c r="A139" s="1186"/>
      <c r="B139" s="1205"/>
    </row>
    <row r="140" spans="1:2">
      <c r="A140" s="1186"/>
      <c r="B140" s="1205"/>
    </row>
    <row r="141" spans="1:2">
      <c r="A141" s="1186"/>
      <c r="B141" s="1205"/>
    </row>
    <row r="142" spans="1:2">
      <c r="A142" s="1186"/>
      <c r="B142" s="1205"/>
    </row>
    <row r="143" spans="1:2">
      <c r="A143" s="1129"/>
      <c r="B143" s="1206"/>
    </row>
    <row r="144" spans="1:2">
      <c r="A144" s="1129"/>
      <c r="B144" s="1206"/>
    </row>
    <row r="145" spans="1:2">
      <c r="A145" s="1129"/>
      <c r="B145" s="1206"/>
    </row>
    <row r="146" spans="1:2">
      <c r="A146" s="1129"/>
      <c r="B146" s="1206"/>
    </row>
    <row r="147" spans="1:2">
      <c r="A147" s="1129"/>
      <c r="B147" s="1206"/>
    </row>
    <row r="148" spans="1:2">
      <c r="A148" s="1186"/>
      <c r="B148" s="1205"/>
    </row>
    <row r="150" spans="1:2">
      <c r="A150" s="1186"/>
      <c r="B150" s="1205"/>
    </row>
    <row r="152" spans="1:2">
      <c r="A152" s="1186"/>
      <c r="B152" s="1205"/>
    </row>
    <row r="172" spans="1:2">
      <c r="A172" s="1186"/>
      <c r="B172" s="1205"/>
    </row>
    <row r="173" spans="1:2">
      <c r="A173" s="1186"/>
      <c r="B173" s="1205"/>
    </row>
    <row r="174" spans="1:2">
      <c r="A174" s="1186"/>
      <c r="B174" s="1205"/>
    </row>
    <row r="175" spans="1:2">
      <c r="A175" s="1186"/>
      <c r="B175" s="1205"/>
    </row>
    <row r="176" spans="1:2">
      <c r="A176" s="1186"/>
      <c r="B176" s="1205"/>
    </row>
    <row r="177" spans="1:2">
      <c r="A177" s="1129"/>
      <c r="B177" s="1206"/>
    </row>
    <row r="178" spans="1:2">
      <c r="A178" s="1186"/>
      <c r="B178" s="1205"/>
    </row>
    <row r="179" spans="1:2">
      <c r="A179" s="1186"/>
      <c r="B179" s="1205"/>
    </row>
    <row r="180" spans="1:2">
      <c r="A180" s="1186"/>
      <c r="B180" s="1205"/>
    </row>
    <row r="181" spans="1:2">
      <c r="A181" s="1186"/>
      <c r="B181" s="1205"/>
    </row>
    <row r="182" spans="1:2">
      <c r="A182" s="1186"/>
      <c r="B182" s="1205"/>
    </row>
    <row r="183" spans="1:2">
      <c r="A183" s="1186"/>
      <c r="B183" s="1205"/>
    </row>
    <row r="184" spans="1:2">
      <c r="A184" s="1186"/>
      <c r="B184" s="1205"/>
    </row>
    <row r="185" spans="1:2">
      <c r="A185" s="1186"/>
      <c r="B185" s="1205"/>
    </row>
    <row r="186" spans="1:2">
      <c r="A186" s="1186"/>
      <c r="B186" s="1205"/>
    </row>
    <row r="187" spans="1:2">
      <c r="A187" s="1186"/>
      <c r="B187" s="1205"/>
    </row>
    <row r="188" spans="1:2">
      <c r="A188" s="1186"/>
      <c r="B188" s="1205"/>
    </row>
    <row r="189" spans="1:2">
      <c r="A189" s="1186"/>
      <c r="B189" s="1205"/>
    </row>
    <row r="190" spans="1:2">
      <c r="A190" s="1186"/>
      <c r="B190" s="1205"/>
    </row>
    <row r="191" spans="1:2">
      <c r="A191" s="1186"/>
      <c r="B191" s="1205"/>
    </row>
    <row r="192" spans="1:2">
      <c r="A192" s="1186"/>
      <c r="B192" s="1205"/>
    </row>
    <row r="193" spans="1:2">
      <c r="A193" s="1186"/>
      <c r="B193" s="1205"/>
    </row>
    <row r="194" spans="1:2">
      <c r="A194" s="1186"/>
      <c r="B194" s="1205"/>
    </row>
    <row r="195" spans="1:2">
      <c r="A195" s="1186"/>
      <c r="B195" s="1205"/>
    </row>
    <row r="196" spans="1:2">
      <c r="A196" s="1186"/>
      <c r="B196" s="1205"/>
    </row>
    <row r="197" spans="1:2">
      <c r="A197" s="1186"/>
      <c r="B197" s="1205"/>
    </row>
    <row r="198" spans="1:2">
      <c r="A198" s="1186"/>
      <c r="B198" s="1205"/>
    </row>
    <row r="199" spans="1:2">
      <c r="A199" s="1186"/>
      <c r="B199" s="1205"/>
    </row>
    <row r="200" spans="1:2">
      <c r="A200" s="1186"/>
      <c r="B200" s="1205"/>
    </row>
    <row r="201" spans="1:2">
      <c r="A201" s="1186"/>
      <c r="B201" s="1205"/>
    </row>
    <row r="202" spans="1:2">
      <c r="A202" s="1186"/>
      <c r="B202" s="1205"/>
    </row>
    <row r="203" spans="1:2">
      <c r="A203" s="1186"/>
      <c r="B203" s="1205"/>
    </row>
    <row r="204" spans="1:2">
      <c r="A204" s="1186"/>
      <c r="B204" s="1205"/>
    </row>
    <row r="205" spans="1:2">
      <c r="A205" s="1186"/>
      <c r="B205" s="1205"/>
    </row>
    <row r="206" spans="1:2">
      <c r="A206" s="1186"/>
      <c r="B206" s="1205"/>
    </row>
    <row r="207" spans="1:2">
      <c r="A207" s="1186"/>
      <c r="B207" s="1205"/>
    </row>
    <row r="208" spans="1:2">
      <c r="A208" s="1186"/>
      <c r="B208" s="1205"/>
    </row>
    <row r="210" spans="1:2">
      <c r="A210" s="1186"/>
      <c r="B210" s="1205"/>
    </row>
    <row r="212" spans="1:2">
      <c r="A212" s="1186"/>
      <c r="B212" s="1205"/>
    </row>
    <row r="246" spans="1:1">
      <c r="A246" s="1182"/>
    </row>
    <row r="263" spans="1:1">
      <c r="A263" s="1129"/>
    </row>
    <row r="264" spans="1:1">
      <c r="A264" s="1129"/>
    </row>
    <row r="265" spans="1:1">
      <c r="A265" s="1129"/>
    </row>
    <row r="266" spans="1:1">
      <c r="A266" s="1129"/>
    </row>
    <row r="267" spans="1:1">
      <c r="A267" s="1129"/>
    </row>
    <row r="268" spans="1:1">
      <c r="A268" s="1129"/>
    </row>
    <row r="269" spans="1:1">
      <c r="A269" s="1129"/>
    </row>
    <row r="270" spans="1:1">
      <c r="A270" s="1129"/>
    </row>
    <row r="271" spans="1:1">
      <c r="A271" s="1129"/>
    </row>
    <row r="272" spans="1:1">
      <c r="A272" s="1129"/>
    </row>
    <row r="273" spans="1:1">
      <c r="A273" s="1129"/>
    </row>
    <row r="274" spans="1:1">
      <c r="A274" s="1129"/>
    </row>
    <row r="275" spans="1:1">
      <c r="A275" s="1129"/>
    </row>
    <row r="276" spans="1:1">
      <c r="A276" s="1129"/>
    </row>
    <row r="277" spans="1:1">
      <c r="A277" s="1129"/>
    </row>
    <row r="278" spans="1:1">
      <c r="A278" s="1129"/>
    </row>
    <row r="279" spans="1:1">
      <c r="A279" s="1129"/>
    </row>
    <row r="280" spans="1:1">
      <c r="A280" s="1129"/>
    </row>
    <row r="281" spans="1:1">
      <c r="A281" s="1129"/>
    </row>
    <row r="282" spans="1:1">
      <c r="A282" s="1129"/>
    </row>
    <row r="283" spans="1:1">
      <c r="A283" s="1129"/>
    </row>
    <row r="284" spans="1:1">
      <c r="A284" s="1129"/>
    </row>
    <row r="285" spans="1:1">
      <c r="A285" s="1129"/>
    </row>
    <row r="286" spans="1:1">
      <c r="A286" s="1129"/>
    </row>
    <row r="287" spans="1:1">
      <c r="A287" s="1129"/>
    </row>
    <row r="288" spans="1:1">
      <c r="A288" s="1129"/>
    </row>
    <row r="289" spans="1:1">
      <c r="A289" s="1129"/>
    </row>
    <row r="290" spans="1:1">
      <c r="A290" s="1129"/>
    </row>
    <row r="291" spans="1:1">
      <c r="A291" s="1129"/>
    </row>
    <row r="292" spans="1:1">
      <c r="A292" s="1129"/>
    </row>
    <row r="293" spans="1:1">
      <c r="A293" s="1129"/>
    </row>
    <row r="294" spans="1:1">
      <c r="A294" s="1129"/>
    </row>
    <row r="295" spans="1:1">
      <c r="A295" s="1129"/>
    </row>
    <row r="296" spans="1:1">
      <c r="A296" s="1129"/>
    </row>
    <row r="297" spans="1:1">
      <c r="A297" s="1129"/>
    </row>
    <row r="298" spans="1:1">
      <c r="A298" s="1129"/>
    </row>
    <row r="299" spans="1:1">
      <c r="A299" s="1129"/>
    </row>
    <row r="300" spans="1:1">
      <c r="A300" s="1129"/>
    </row>
    <row r="301" spans="1:1">
      <c r="A301" s="1129"/>
    </row>
    <row r="302" spans="1:1">
      <c r="A302" s="1129"/>
    </row>
    <row r="303" spans="1:1">
      <c r="A303" s="1129"/>
    </row>
    <row r="304" spans="1:1">
      <c r="A304" s="1129"/>
    </row>
    <row r="305" spans="1:1">
      <c r="A305" s="1129"/>
    </row>
    <row r="306" spans="1:1">
      <c r="A306" s="1129"/>
    </row>
    <row r="307" spans="1:1">
      <c r="A307" s="1129"/>
    </row>
    <row r="308" spans="1:1">
      <c r="A308" s="1129"/>
    </row>
    <row r="309" spans="1:1">
      <c r="A309" s="1129"/>
    </row>
    <row r="310" spans="1:1">
      <c r="A310" s="1129"/>
    </row>
    <row r="311" spans="1:1">
      <c r="A311" s="1129"/>
    </row>
    <row r="312" spans="1:1">
      <c r="A312" s="1129"/>
    </row>
    <row r="313" spans="1:1">
      <c r="A313" s="1129"/>
    </row>
    <row r="314" spans="1:1">
      <c r="A314" s="1129"/>
    </row>
    <row r="315" spans="1:1">
      <c r="A315" s="1129"/>
    </row>
    <row r="316" spans="1:1">
      <c r="A316" s="1129"/>
    </row>
    <row r="317" spans="1:1">
      <c r="A317" s="1129"/>
    </row>
  </sheetData>
  <phoneticPr fontId="27" type="noConversion"/>
  <pageMargins left="0.75" right="0.5" top="0.75" bottom="0.5" header="0.25" footer="0.25"/>
  <pageSetup scale="95" fitToHeight="3"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38">
    <pageSetUpPr fitToPage="1"/>
  </sheetPr>
  <dimension ref="A1:K154"/>
  <sheetViews>
    <sheetView view="pageBreakPreview" zoomScale="60" zoomScaleNormal="100" workbookViewId="0">
      <selection sqref="A1:XFD1048576"/>
    </sheetView>
  </sheetViews>
  <sheetFormatPr defaultColWidth="10.85546875" defaultRowHeight="12"/>
  <cols>
    <col min="1" max="1" width="6" style="211" customWidth="1"/>
    <col min="2" max="2" width="11.85546875" style="211" customWidth="1"/>
    <col min="3" max="3" width="24" style="211" customWidth="1"/>
    <col min="4" max="5" width="12.85546875" style="211" customWidth="1"/>
    <col min="6" max="6" width="14.28515625" style="211" customWidth="1"/>
    <col min="7" max="8" width="12.85546875" style="211" customWidth="1"/>
    <col min="9" max="16384" width="10.85546875" style="211"/>
  </cols>
  <sheetData>
    <row r="1" spans="1:8">
      <c r="A1" s="203" t="s">
        <v>665</v>
      </c>
      <c r="B1" s="203"/>
      <c r="C1" s="203"/>
      <c r="E1" s="203"/>
      <c r="F1" s="345" t="s">
        <v>1209</v>
      </c>
      <c r="G1" s="203"/>
      <c r="H1" s="203"/>
    </row>
    <row r="2" spans="1:8">
      <c r="A2" s="203"/>
      <c r="B2" s="203"/>
      <c r="C2" s="203"/>
      <c r="E2" s="203"/>
      <c r="F2" s="345" t="s">
        <v>666</v>
      </c>
      <c r="G2" s="203"/>
      <c r="H2" s="203"/>
    </row>
    <row r="3" spans="1:8">
      <c r="A3" s="203" t="s">
        <v>2644</v>
      </c>
      <c r="B3" s="203"/>
      <c r="C3" s="203"/>
      <c r="E3" s="203"/>
      <c r="F3" s="140" t="s">
        <v>766</v>
      </c>
      <c r="G3" s="345"/>
      <c r="H3" s="203"/>
    </row>
    <row r="4" spans="1:8">
      <c r="A4" s="203" t="s">
        <v>2645</v>
      </c>
      <c r="B4" s="203"/>
      <c r="C4" s="140"/>
      <c r="E4" s="203"/>
      <c r="F4" s="345" t="s">
        <v>2948</v>
      </c>
      <c r="G4" s="203"/>
      <c r="H4" s="203"/>
    </row>
    <row r="5" spans="1:8">
      <c r="A5" s="203" t="s">
        <v>1935</v>
      </c>
      <c r="B5" s="203"/>
      <c r="C5" s="203"/>
      <c r="E5" s="203"/>
      <c r="G5" s="203"/>
      <c r="H5" s="203"/>
    </row>
    <row r="6" spans="1:8">
      <c r="A6" s="140" t="s">
        <v>1343</v>
      </c>
      <c r="B6" s="203"/>
      <c r="C6" s="203"/>
      <c r="D6" s="203"/>
      <c r="E6" s="203"/>
      <c r="F6" s="203" t="s">
        <v>60</v>
      </c>
      <c r="G6" s="203"/>
      <c r="H6" s="203"/>
    </row>
    <row r="7" spans="1:8">
      <c r="A7" s="203" t="s">
        <v>683</v>
      </c>
      <c r="B7" s="203"/>
      <c r="C7" s="203"/>
      <c r="D7" s="203"/>
      <c r="E7" s="203"/>
      <c r="F7" s="203"/>
      <c r="G7" s="203"/>
      <c r="H7" s="203"/>
    </row>
    <row r="8" spans="1:8">
      <c r="A8" s="2301" t="s">
        <v>751</v>
      </c>
      <c r="B8" s="2305"/>
      <c r="C8" s="2305"/>
      <c r="D8" s="2305"/>
      <c r="E8" s="2305"/>
      <c r="F8" s="2305"/>
      <c r="G8" s="2305"/>
      <c r="H8" s="2305"/>
    </row>
    <row r="9" spans="1:8">
      <c r="A9" s="2305"/>
      <c r="B9" s="2305"/>
      <c r="C9" s="2305"/>
      <c r="D9" s="2305"/>
      <c r="E9" s="2305"/>
      <c r="F9" s="2305"/>
      <c r="G9" s="2305"/>
      <c r="H9" s="2305"/>
    </row>
    <row r="10" spans="1:8" ht="12.75" thickBot="1">
      <c r="A10" s="283"/>
      <c r="B10" s="283"/>
      <c r="C10" s="283"/>
      <c r="D10" s="283"/>
      <c r="E10" s="283"/>
      <c r="F10" s="283"/>
      <c r="G10" s="283"/>
      <c r="H10" s="283"/>
    </row>
    <row r="11" spans="1:8">
      <c r="A11" s="203"/>
      <c r="B11" s="210" t="s">
        <v>914</v>
      </c>
      <c r="C11" s="210"/>
      <c r="D11" s="262" t="s">
        <v>915</v>
      </c>
      <c r="E11" s="262" t="s">
        <v>916</v>
      </c>
      <c r="F11" s="262" t="s">
        <v>917</v>
      </c>
      <c r="G11" s="262" t="s">
        <v>526</v>
      </c>
      <c r="H11" s="262" t="s">
        <v>76</v>
      </c>
    </row>
    <row r="12" spans="1:8">
      <c r="A12" s="203"/>
      <c r="B12" s="210"/>
      <c r="C12" s="210"/>
      <c r="D12" s="262" t="s">
        <v>61</v>
      </c>
      <c r="E12" s="203"/>
      <c r="F12" s="262" t="s">
        <v>62</v>
      </c>
      <c r="G12" s="203"/>
      <c r="H12" s="203"/>
    </row>
    <row r="13" spans="1:8">
      <c r="A13" s="210" t="s">
        <v>53</v>
      </c>
      <c r="B13" s="987" t="s">
        <v>560</v>
      </c>
      <c r="C13" s="210"/>
      <c r="D13" s="262" t="s">
        <v>63</v>
      </c>
      <c r="E13" s="262" t="s">
        <v>64</v>
      </c>
      <c r="F13" s="262" t="s">
        <v>65</v>
      </c>
      <c r="G13" s="203"/>
      <c r="H13" s="203"/>
    </row>
    <row r="14" spans="1:8">
      <c r="A14" s="810" t="s">
        <v>730</v>
      </c>
      <c r="B14" s="810" t="s">
        <v>731</v>
      </c>
      <c r="C14" s="810"/>
      <c r="D14" s="809" t="s">
        <v>66</v>
      </c>
      <c r="E14" s="809" t="s">
        <v>67</v>
      </c>
      <c r="F14" s="809" t="s">
        <v>883</v>
      </c>
      <c r="G14" s="809" t="s">
        <v>1170</v>
      </c>
      <c r="H14" s="809" t="s">
        <v>81</v>
      </c>
    </row>
    <row r="15" spans="1:8">
      <c r="A15" s="2013">
        <v>1</v>
      </c>
      <c r="B15" s="203" t="s">
        <v>1295</v>
      </c>
      <c r="D15" s="227"/>
      <c r="E15" s="227"/>
      <c r="F15" s="227"/>
      <c r="G15" s="227"/>
      <c r="H15" s="227"/>
    </row>
    <row r="16" spans="1:8">
      <c r="A16" s="222">
        <v>2</v>
      </c>
      <c r="B16" s="211" t="s">
        <v>74</v>
      </c>
      <c r="D16" s="227"/>
      <c r="E16" s="227"/>
      <c r="F16" s="227"/>
      <c r="G16" s="227"/>
      <c r="H16" s="212"/>
    </row>
    <row r="17" spans="1:8">
      <c r="A17" s="222">
        <v>3</v>
      </c>
      <c r="B17" s="211" t="s">
        <v>1789</v>
      </c>
      <c r="D17" s="227"/>
      <c r="E17" s="227"/>
      <c r="F17" s="227"/>
      <c r="G17" s="227"/>
      <c r="H17" s="212"/>
    </row>
    <row r="18" spans="1:8">
      <c r="A18" s="222">
        <v>4</v>
      </c>
      <c r="B18" s="211" t="s">
        <v>884</v>
      </c>
      <c r="D18" s="299"/>
      <c r="E18" s="299"/>
      <c r="F18" s="299"/>
      <c r="G18" s="299"/>
      <c r="H18" s="299"/>
    </row>
    <row r="19" spans="1:8">
      <c r="A19" s="222">
        <v>5</v>
      </c>
      <c r="D19" s="227"/>
      <c r="E19" s="227"/>
      <c r="F19" s="227"/>
      <c r="G19" s="227"/>
      <c r="H19" s="227"/>
    </row>
    <row r="20" spans="1:8">
      <c r="A20" s="222">
        <v>6</v>
      </c>
      <c r="B20" s="211" t="s">
        <v>1718</v>
      </c>
      <c r="D20" s="212"/>
      <c r="E20" s="212"/>
      <c r="F20" s="212"/>
      <c r="G20" s="212"/>
      <c r="H20" s="212"/>
    </row>
    <row r="21" spans="1:8">
      <c r="A21" s="222">
        <v>7</v>
      </c>
      <c r="B21" s="937" t="s">
        <v>1793</v>
      </c>
      <c r="D21" s="212"/>
      <c r="E21" s="212"/>
      <c r="F21" s="212"/>
      <c r="G21" s="212"/>
      <c r="H21" s="212"/>
    </row>
    <row r="22" spans="1:8">
      <c r="A22" s="222">
        <v>8</v>
      </c>
      <c r="B22" s="937" t="s">
        <v>1757</v>
      </c>
      <c r="C22" s="937"/>
      <c r="D22" s="212"/>
      <c r="E22" s="212"/>
      <c r="F22" s="212"/>
      <c r="G22" s="212"/>
      <c r="H22" s="212"/>
    </row>
    <row r="23" spans="1:8">
      <c r="A23" s="222">
        <v>9</v>
      </c>
      <c r="B23" s="937" t="s">
        <v>1762</v>
      </c>
      <c r="C23" s="937"/>
      <c r="D23" s="212"/>
      <c r="E23" s="212"/>
      <c r="F23" s="212"/>
      <c r="G23" s="212"/>
      <c r="H23" s="212"/>
    </row>
    <row r="24" spans="1:8">
      <c r="A24" s="222">
        <v>10</v>
      </c>
      <c r="B24" s="937" t="s">
        <v>762</v>
      </c>
      <c r="C24" s="937"/>
      <c r="D24" s="212"/>
      <c r="E24" s="212"/>
      <c r="F24" s="212"/>
      <c r="G24" s="212"/>
      <c r="H24" s="212"/>
    </row>
    <row r="25" spans="1:8">
      <c r="A25" s="222">
        <v>11</v>
      </c>
      <c r="B25" s="937" t="s">
        <v>10</v>
      </c>
      <c r="C25" s="937"/>
      <c r="D25" s="212"/>
      <c r="E25" s="212"/>
      <c r="F25" s="212"/>
      <c r="G25" s="212"/>
      <c r="H25" s="212"/>
    </row>
    <row r="26" spans="1:8">
      <c r="A26" s="222">
        <v>12</v>
      </c>
      <c r="B26" s="2322" t="s">
        <v>1463</v>
      </c>
      <c r="C26" s="2322"/>
      <c r="D26" s="271"/>
      <c r="E26" s="271"/>
      <c r="F26" s="271"/>
      <c r="G26" s="271"/>
      <c r="H26" s="271"/>
    </row>
    <row r="27" spans="1:8">
      <c r="A27" s="222">
        <v>13</v>
      </c>
      <c r="B27" s="211" t="s">
        <v>506</v>
      </c>
      <c r="D27" s="271"/>
      <c r="E27" s="271"/>
      <c r="F27" s="271"/>
      <c r="G27" s="271"/>
      <c r="H27" s="271"/>
    </row>
    <row r="28" spans="1:8">
      <c r="A28" s="222">
        <v>14</v>
      </c>
      <c r="D28" s="227"/>
      <c r="E28" s="227"/>
      <c r="F28" s="227"/>
      <c r="G28" s="227"/>
      <c r="H28" s="227"/>
    </row>
    <row r="29" spans="1:8">
      <c r="A29" s="222">
        <v>15</v>
      </c>
      <c r="B29" s="211" t="s">
        <v>507</v>
      </c>
      <c r="D29" s="212"/>
      <c r="E29" s="212"/>
      <c r="F29" s="212"/>
      <c r="G29" s="212"/>
      <c r="H29" s="212"/>
    </row>
    <row r="30" spans="1:8">
      <c r="A30" s="222">
        <v>16</v>
      </c>
      <c r="B30" s="2322" t="s">
        <v>762</v>
      </c>
      <c r="C30" s="2322"/>
    </row>
    <row r="31" spans="1:8">
      <c r="A31" s="222">
        <v>17</v>
      </c>
      <c r="B31" s="937" t="s">
        <v>508</v>
      </c>
      <c r="C31" s="937"/>
      <c r="D31" s="271"/>
      <c r="E31" s="271"/>
      <c r="F31" s="271"/>
      <c r="G31" s="271"/>
      <c r="H31" s="271"/>
    </row>
    <row r="32" spans="1:8">
      <c r="A32" s="222">
        <v>18</v>
      </c>
      <c r="B32" s="211" t="s">
        <v>27</v>
      </c>
      <c r="D32" s="722"/>
      <c r="E32" s="722"/>
      <c r="F32" s="722"/>
      <c r="G32" s="722"/>
      <c r="H32" s="722"/>
    </row>
    <row r="33" spans="1:9">
      <c r="A33" s="222">
        <v>19</v>
      </c>
      <c r="D33" s="227"/>
      <c r="E33" s="227"/>
      <c r="F33" s="227"/>
      <c r="G33" s="227"/>
      <c r="H33" s="227"/>
    </row>
    <row r="34" spans="1:9" ht="12.75" thickBot="1">
      <c r="A34" s="222">
        <v>20</v>
      </c>
      <c r="B34" s="211" t="s">
        <v>509</v>
      </c>
      <c r="D34" s="273"/>
      <c r="E34" s="273"/>
      <c r="F34" s="273"/>
      <c r="G34" s="273"/>
      <c r="H34" s="273"/>
    </row>
    <row r="35" spans="1:9" ht="12.75" thickTop="1">
      <c r="A35" s="222">
        <v>21</v>
      </c>
      <c r="D35" s="224"/>
      <c r="E35" s="224"/>
      <c r="F35" s="224"/>
      <c r="G35" s="224"/>
      <c r="H35" s="224"/>
    </row>
    <row r="36" spans="1:9">
      <c r="A36" s="222">
        <v>22</v>
      </c>
      <c r="B36" s="291" t="s">
        <v>1300</v>
      </c>
    </row>
    <row r="37" spans="1:9" ht="12.75">
      <c r="A37" s="222">
        <v>23</v>
      </c>
      <c r="B37" s="211" t="s">
        <v>1015</v>
      </c>
      <c r="D37" s="1207">
        <v>92193.25</v>
      </c>
      <c r="E37" s="202">
        <v>18054.23</v>
      </c>
      <c r="F37" s="212">
        <v>5952.9500000000035</v>
      </c>
      <c r="G37" s="202">
        <v>256.38</v>
      </c>
      <c r="H37" s="212">
        <v>116456.81</v>
      </c>
    </row>
    <row r="38" spans="1:9">
      <c r="A38" s="222">
        <v>24</v>
      </c>
      <c r="B38" s="211" t="s">
        <v>1792</v>
      </c>
      <c r="D38" s="212"/>
      <c r="E38" s="212"/>
      <c r="F38" s="212">
        <v>0</v>
      </c>
      <c r="G38" s="212"/>
      <c r="H38" s="212"/>
    </row>
    <row r="39" spans="1:9">
      <c r="A39" s="222">
        <v>25</v>
      </c>
      <c r="B39" s="211" t="s">
        <v>884</v>
      </c>
      <c r="D39" s="299">
        <v>92193.25</v>
      </c>
      <c r="E39" s="299">
        <v>18054.23</v>
      </c>
      <c r="F39" s="299">
        <v>5952.9500000000035</v>
      </c>
      <c r="G39" s="299">
        <v>256.38</v>
      </c>
      <c r="H39" s="299">
        <v>116456.81</v>
      </c>
    </row>
    <row r="40" spans="1:9">
      <c r="A40" s="222">
        <v>26</v>
      </c>
      <c r="D40" s="227"/>
      <c r="E40" s="227"/>
      <c r="F40" s="227"/>
      <c r="G40" s="227"/>
      <c r="H40" s="227"/>
    </row>
    <row r="41" spans="1:9">
      <c r="A41" s="222">
        <v>27</v>
      </c>
      <c r="B41" s="211" t="s">
        <v>1718</v>
      </c>
      <c r="D41" s="212"/>
      <c r="E41" s="212"/>
      <c r="F41" s="212"/>
      <c r="G41" s="212"/>
      <c r="H41" s="212"/>
      <c r="I41" s="1208"/>
    </row>
    <row r="42" spans="1:9">
      <c r="A42" s="222">
        <v>28</v>
      </c>
      <c r="B42" s="937" t="s">
        <v>2946</v>
      </c>
      <c r="C42" s="937"/>
      <c r="D42" s="212">
        <v>-5189.0957499999931</v>
      </c>
      <c r="E42" s="212"/>
      <c r="F42" s="212"/>
      <c r="G42" s="212"/>
      <c r="H42" s="212">
        <v>-5189.0957499999931</v>
      </c>
      <c r="I42" s="1208"/>
    </row>
    <row r="43" spans="1:9">
      <c r="A43" s="222">
        <v>29</v>
      </c>
      <c r="B43" s="937" t="s">
        <v>1842</v>
      </c>
      <c r="C43" s="937"/>
      <c r="D43" s="212"/>
      <c r="E43" s="212"/>
      <c r="G43" s="212"/>
      <c r="H43" s="212">
        <v>0</v>
      </c>
      <c r="I43" s="1208"/>
    </row>
    <row r="44" spans="1:9">
      <c r="A44" s="222">
        <v>30</v>
      </c>
      <c r="B44" s="937" t="s">
        <v>762</v>
      </c>
      <c r="C44" s="937"/>
      <c r="D44" s="212"/>
      <c r="E44" s="212"/>
      <c r="F44" s="212"/>
      <c r="G44" s="212"/>
      <c r="H44" s="212">
        <v>0</v>
      </c>
    </row>
    <row r="45" spans="1:9">
      <c r="A45" s="222">
        <v>31</v>
      </c>
      <c r="B45" s="937" t="s">
        <v>10</v>
      </c>
      <c r="C45" s="937"/>
      <c r="D45" s="212"/>
      <c r="E45" s="212">
        <v>690.66005583749995</v>
      </c>
      <c r="F45" s="212"/>
      <c r="G45" s="212"/>
      <c r="H45" s="212">
        <v>690.66005583749995</v>
      </c>
    </row>
    <row r="46" spans="1:9" ht="22.5" customHeight="1">
      <c r="A46" s="222">
        <v>32</v>
      </c>
      <c r="B46" s="2322" t="s">
        <v>1462</v>
      </c>
      <c r="C46" s="2322"/>
      <c r="D46" s="271">
        <v>410.18714999999037</v>
      </c>
      <c r="E46" s="271"/>
      <c r="F46" s="271"/>
      <c r="G46" s="271"/>
      <c r="H46" s="271">
        <v>410.18714999999037</v>
      </c>
    </row>
    <row r="47" spans="1:9">
      <c r="A47" s="222">
        <v>33</v>
      </c>
      <c r="B47" s="211" t="s">
        <v>506</v>
      </c>
      <c r="D47" s="271">
        <v>-4778.9086000000025</v>
      </c>
      <c r="E47" s="271">
        <v>690.66005583749995</v>
      </c>
      <c r="F47" s="271">
        <v>0</v>
      </c>
      <c r="G47" s="271">
        <v>0</v>
      </c>
      <c r="H47" s="271">
        <v>-4088.2485441625026</v>
      </c>
      <c r="I47" s="202"/>
    </row>
    <row r="48" spans="1:9">
      <c r="A48" s="222">
        <v>34</v>
      </c>
      <c r="D48" s="227"/>
      <c r="E48" s="227"/>
      <c r="F48" s="227"/>
      <c r="G48" s="227"/>
      <c r="H48" s="227"/>
    </row>
    <row r="49" spans="1:11">
      <c r="A49" s="222">
        <v>35</v>
      </c>
      <c r="B49" s="211" t="s">
        <v>507</v>
      </c>
      <c r="D49" s="212">
        <v>87414.341400000005</v>
      </c>
      <c r="E49" s="212">
        <v>18744.890055837499</v>
      </c>
      <c r="F49" s="212">
        <v>5952.9500000000035</v>
      </c>
      <c r="G49" s="212">
        <v>256.38</v>
      </c>
      <c r="H49" s="212">
        <v>112368.56145583751</v>
      </c>
    </row>
    <row r="50" spans="1:11">
      <c r="A50" s="222"/>
      <c r="B50" s="211" t="s">
        <v>3233</v>
      </c>
      <c r="D50" s="212"/>
      <c r="E50" s="212">
        <v>3192.3764947439995</v>
      </c>
      <c r="F50" s="212"/>
      <c r="G50" s="212"/>
      <c r="H50" s="212">
        <v>3192.3764947439995</v>
      </c>
    </row>
    <row r="51" spans="1:11" ht="12" customHeight="1">
      <c r="A51" s="222">
        <v>36</v>
      </c>
      <c r="B51" s="2322" t="s">
        <v>762</v>
      </c>
      <c r="C51" s="2322"/>
      <c r="F51" s="310">
        <v>31836.562959410974</v>
      </c>
      <c r="H51" s="212">
        <v>31836.562959410974</v>
      </c>
    </row>
    <row r="52" spans="1:11">
      <c r="A52" s="222">
        <v>37</v>
      </c>
      <c r="B52" s="937" t="s">
        <v>508</v>
      </c>
      <c r="C52" s="937"/>
      <c r="D52" s="271">
        <v>21276</v>
      </c>
      <c r="E52" s="271">
        <v>0</v>
      </c>
      <c r="F52" s="271">
        <v>0</v>
      </c>
      <c r="G52" s="271">
        <v>0</v>
      </c>
      <c r="H52" s="271">
        <v>21276</v>
      </c>
    </row>
    <row r="53" spans="1:11">
      <c r="A53" s="222">
        <v>38</v>
      </c>
      <c r="B53" s="937" t="s">
        <v>27</v>
      </c>
      <c r="C53" s="937"/>
      <c r="D53" s="306">
        <v>21276</v>
      </c>
      <c r="E53" s="306">
        <v>3192.3764947439995</v>
      </c>
      <c r="F53" s="306">
        <v>31836.562959410974</v>
      </c>
      <c r="G53" s="306">
        <v>0</v>
      </c>
      <c r="H53" s="306">
        <v>56304.93945415497</v>
      </c>
    </row>
    <row r="54" spans="1:11">
      <c r="A54" s="222">
        <v>39</v>
      </c>
      <c r="D54" s="227"/>
      <c r="E54" s="227"/>
      <c r="F54" s="227"/>
      <c r="G54" s="227"/>
      <c r="H54" s="227"/>
    </row>
    <row r="55" spans="1:11" ht="12.75" thickBot="1">
      <c r="A55" s="222">
        <v>40</v>
      </c>
      <c r="B55" s="211" t="s">
        <v>509</v>
      </c>
      <c r="D55" s="273">
        <v>108690.3414</v>
      </c>
      <c r="E55" s="273">
        <v>21937.266550581498</v>
      </c>
      <c r="F55" s="273">
        <v>37789.512959410975</v>
      </c>
      <c r="G55" s="273">
        <v>256.38</v>
      </c>
      <c r="H55" s="273">
        <v>168673.50090999249</v>
      </c>
      <c r="I55" s="310"/>
      <c r="K55" s="310"/>
    </row>
    <row r="56" spans="1:11" ht="12.75" thickTop="1">
      <c r="A56" s="222">
        <v>41</v>
      </c>
      <c r="D56" s="227"/>
      <c r="E56" s="227"/>
      <c r="F56" s="227"/>
      <c r="G56" s="227"/>
      <c r="H56" s="227"/>
      <c r="J56" s="202"/>
    </row>
    <row r="57" spans="1:11">
      <c r="A57" s="1209"/>
    </row>
    <row r="58" spans="1:11">
      <c r="A58" s="1209"/>
      <c r="D58" s="310"/>
    </row>
    <row r="59" spans="1:11">
      <c r="A59" s="1209"/>
    </row>
    <row r="60" spans="1:11">
      <c r="A60" s="1209"/>
    </row>
    <row r="61" spans="1:11">
      <c r="A61" s="1209"/>
    </row>
    <row r="62" spans="1:11">
      <c r="A62" s="1209"/>
    </row>
    <row r="63" spans="1:11">
      <c r="A63" s="1209"/>
    </row>
    <row r="64" spans="1:11">
      <c r="A64" s="1209"/>
    </row>
    <row r="65" spans="1:10">
      <c r="A65" s="1209"/>
      <c r="I65" s="1208"/>
    </row>
    <row r="66" spans="1:10">
      <c r="A66" s="1209"/>
    </row>
    <row r="67" spans="1:10" ht="12" customHeight="1">
      <c r="A67" s="1209"/>
    </row>
    <row r="68" spans="1:10">
      <c r="A68" s="1209"/>
      <c r="I68" s="202"/>
    </row>
    <row r="69" spans="1:10">
      <c r="A69" s="1209"/>
    </row>
    <row r="70" spans="1:10">
      <c r="A70" s="1209"/>
    </row>
    <row r="71" spans="1:10">
      <c r="A71" s="1209"/>
    </row>
    <row r="72" spans="1:10">
      <c r="A72" s="1209"/>
    </row>
    <row r="73" spans="1:10">
      <c r="A73" s="1209"/>
      <c r="J73" s="310"/>
    </row>
    <row r="74" spans="1:10">
      <c r="A74" s="1209"/>
    </row>
    <row r="75" spans="1:10">
      <c r="A75" s="1209"/>
    </row>
    <row r="76" spans="1:10">
      <c r="A76" s="1209"/>
    </row>
    <row r="77" spans="1:10">
      <c r="A77" s="210"/>
      <c r="B77" s="203"/>
    </row>
    <row r="78" spans="1:10">
      <c r="A78" s="256"/>
      <c r="B78" s="281"/>
      <c r="C78" s="281"/>
      <c r="D78" s="281"/>
      <c r="E78" s="281"/>
      <c r="F78" s="281"/>
      <c r="G78" s="281"/>
      <c r="H78" s="281"/>
    </row>
    <row r="81" spans="1:8">
      <c r="D81" s="310"/>
      <c r="E81" s="310"/>
      <c r="F81" s="310"/>
      <c r="G81" s="310"/>
      <c r="H81" s="310"/>
    </row>
    <row r="83" spans="1:8">
      <c r="A83" s="203"/>
    </row>
    <row r="100" spans="1:1">
      <c r="A100" s="286"/>
    </row>
    <row r="101" spans="1:1">
      <c r="A101" s="286"/>
    </row>
    <row r="102" spans="1:1">
      <c r="A102" s="286"/>
    </row>
    <row r="103" spans="1:1">
      <c r="A103" s="286"/>
    </row>
    <row r="104" spans="1:1">
      <c r="A104" s="286"/>
    </row>
    <row r="105" spans="1:1">
      <c r="A105" s="286"/>
    </row>
    <row r="106" spans="1:1">
      <c r="A106" s="286"/>
    </row>
    <row r="107" spans="1:1">
      <c r="A107" s="286"/>
    </row>
    <row r="108" spans="1:1">
      <c r="A108" s="286"/>
    </row>
    <row r="109" spans="1:1">
      <c r="A109" s="286"/>
    </row>
    <row r="110" spans="1:1">
      <c r="A110" s="286"/>
    </row>
    <row r="111" spans="1:1">
      <c r="A111" s="286"/>
    </row>
    <row r="112" spans="1:1">
      <c r="A112" s="286"/>
    </row>
    <row r="113" spans="1:1">
      <c r="A113" s="286"/>
    </row>
    <row r="114" spans="1:1">
      <c r="A114" s="286"/>
    </row>
    <row r="115" spans="1:1">
      <c r="A115" s="286"/>
    </row>
    <row r="116" spans="1:1">
      <c r="A116" s="286"/>
    </row>
    <row r="117" spans="1:1">
      <c r="A117" s="286"/>
    </row>
    <row r="118" spans="1:1">
      <c r="A118" s="286"/>
    </row>
    <row r="119" spans="1:1">
      <c r="A119" s="286"/>
    </row>
    <row r="120" spans="1:1">
      <c r="A120" s="286"/>
    </row>
    <row r="121" spans="1:1">
      <c r="A121" s="286"/>
    </row>
    <row r="122" spans="1:1">
      <c r="A122" s="286"/>
    </row>
    <row r="123" spans="1:1">
      <c r="A123" s="286"/>
    </row>
    <row r="124" spans="1:1">
      <c r="A124" s="286"/>
    </row>
    <row r="125" spans="1:1">
      <c r="A125" s="286"/>
    </row>
    <row r="126" spans="1:1">
      <c r="A126" s="286"/>
    </row>
    <row r="127" spans="1:1">
      <c r="A127" s="286"/>
    </row>
    <row r="128" spans="1:1">
      <c r="A128" s="286"/>
    </row>
    <row r="129" spans="1:1">
      <c r="A129" s="286"/>
    </row>
    <row r="130" spans="1:1">
      <c r="A130" s="286"/>
    </row>
    <row r="131" spans="1:1">
      <c r="A131" s="286"/>
    </row>
    <row r="132" spans="1:1">
      <c r="A132" s="286"/>
    </row>
    <row r="133" spans="1:1">
      <c r="A133" s="286"/>
    </row>
    <row r="134" spans="1:1">
      <c r="A134" s="286"/>
    </row>
    <row r="135" spans="1:1">
      <c r="A135" s="286"/>
    </row>
    <row r="136" spans="1:1">
      <c r="A136" s="286"/>
    </row>
    <row r="137" spans="1:1">
      <c r="A137" s="286"/>
    </row>
    <row r="138" spans="1:1">
      <c r="A138" s="286"/>
    </row>
    <row r="139" spans="1:1">
      <c r="A139" s="286"/>
    </row>
    <row r="140" spans="1:1">
      <c r="A140" s="286"/>
    </row>
    <row r="141" spans="1:1">
      <c r="A141" s="286"/>
    </row>
    <row r="142" spans="1:1">
      <c r="A142" s="286"/>
    </row>
    <row r="143" spans="1:1">
      <c r="A143" s="286"/>
    </row>
    <row r="144" spans="1:1">
      <c r="A144" s="286"/>
    </row>
    <row r="145" spans="1:1">
      <c r="A145" s="286"/>
    </row>
    <row r="146" spans="1:1">
      <c r="A146" s="286"/>
    </row>
    <row r="147" spans="1:1">
      <c r="A147" s="286"/>
    </row>
    <row r="148" spans="1:1">
      <c r="A148" s="286"/>
    </row>
    <row r="149" spans="1:1">
      <c r="A149" s="286"/>
    </row>
    <row r="150" spans="1:1">
      <c r="A150" s="286"/>
    </row>
    <row r="151" spans="1:1">
      <c r="A151" s="286"/>
    </row>
    <row r="152" spans="1:1">
      <c r="A152" s="286"/>
    </row>
    <row r="153" spans="1:1">
      <c r="A153" s="286"/>
    </row>
    <row r="154" spans="1:1">
      <c r="A154" s="286"/>
    </row>
  </sheetData>
  <mergeCells count="5">
    <mergeCell ref="B30:C30"/>
    <mergeCell ref="A8:H9"/>
    <mergeCell ref="B46:C46"/>
    <mergeCell ref="B51:C51"/>
    <mergeCell ref="B26:C26"/>
  </mergeCells>
  <phoneticPr fontId="27" type="noConversion"/>
  <pageMargins left="0.75" right="0.5" top="0.75" bottom="0.5" header="0.25" footer="0.25"/>
  <pageSetup scale="87" fitToHeight="0"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40">
    <pageSetUpPr fitToPage="1"/>
  </sheetPr>
  <dimension ref="A1:H354"/>
  <sheetViews>
    <sheetView view="pageBreakPreview" zoomScale="60" zoomScaleNormal="100" workbookViewId="0">
      <selection sqref="A1:XFD1048576"/>
    </sheetView>
  </sheetViews>
  <sheetFormatPr defaultColWidth="10.85546875" defaultRowHeight="12.75"/>
  <cols>
    <col min="1" max="1" width="4.85546875" style="120" customWidth="1"/>
    <col min="2" max="2" width="26.28515625" style="120" customWidth="1"/>
    <col min="3" max="3" width="7" style="120" customWidth="1"/>
    <col min="4" max="4" width="14" style="211" customWidth="1"/>
    <col min="5" max="5" width="13.85546875" style="211" customWidth="1"/>
    <col min="6" max="6" width="15.42578125" style="211" customWidth="1"/>
    <col min="7" max="8" width="13.85546875" style="211" customWidth="1"/>
    <col min="9" max="16384" width="10.85546875" style="11"/>
  </cols>
  <sheetData>
    <row r="1" spans="1:8">
      <c r="A1" s="117" t="s">
        <v>480</v>
      </c>
      <c r="B1" s="117"/>
      <c r="C1" s="143"/>
      <c r="E1" s="203"/>
      <c r="F1" s="203" t="s">
        <v>1209</v>
      </c>
      <c r="G1" s="203"/>
      <c r="H1" s="203"/>
    </row>
    <row r="2" spans="1:8">
      <c r="A2" s="117"/>
      <c r="B2" s="117"/>
      <c r="C2" s="143"/>
      <c r="E2" s="203"/>
      <c r="F2" s="203" t="s">
        <v>1168</v>
      </c>
      <c r="G2" s="203"/>
      <c r="H2" s="203"/>
    </row>
    <row r="3" spans="1:8">
      <c r="A3" s="117" t="s">
        <v>2644</v>
      </c>
      <c r="B3" s="117"/>
      <c r="C3" s="143"/>
      <c r="E3" s="203"/>
      <c r="F3" s="140" t="s">
        <v>766</v>
      </c>
      <c r="G3" s="345"/>
      <c r="H3" s="203"/>
    </row>
    <row r="4" spans="1:8">
      <c r="A4" s="117" t="s">
        <v>2645</v>
      </c>
      <c r="B4" s="117"/>
      <c r="C4" s="144"/>
      <c r="E4" s="203"/>
      <c r="F4" s="345" t="s">
        <v>2948</v>
      </c>
      <c r="G4" s="203"/>
      <c r="H4" s="203"/>
    </row>
    <row r="5" spans="1:8">
      <c r="A5" s="117" t="s">
        <v>1935</v>
      </c>
      <c r="B5" s="117"/>
      <c r="C5" s="117"/>
      <c r="E5" s="203"/>
      <c r="G5" s="203"/>
      <c r="H5" s="203"/>
    </row>
    <row r="6" spans="1:8">
      <c r="A6" s="123" t="s">
        <v>683</v>
      </c>
      <c r="B6" s="117"/>
      <c r="C6" s="117"/>
      <c r="D6" s="203"/>
      <c r="E6" s="203"/>
      <c r="F6" s="203"/>
      <c r="G6" s="203"/>
      <c r="H6" s="203"/>
    </row>
    <row r="7" spans="1:8">
      <c r="A7" s="123" t="s">
        <v>1343</v>
      </c>
      <c r="B7" s="117"/>
      <c r="C7" s="117"/>
      <c r="D7" s="203"/>
      <c r="E7" s="203"/>
      <c r="F7" s="203"/>
      <c r="G7" s="203"/>
      <c r="H7" s="203"/>
    </row>
    <row r="8" spans="1:8">
      <c r="A8" s="117"/>
      <c r="B8" s="117"/>
      <c r="C8" s="117"/>
      <c r="D8" s="203"/>
      <c r="E8" s="203"/>
      <c r="F8" s="203"/>
      <c r="G8" s="203"/>
      <c r="H8" s="203"/>
    </row>
    <row r="9" spans="1:8">
      <c r="A9" s="2294" t="s">
        <v>667</v>
      </c>
      <c r="B9" s="2308"/>
      <c r="C9" s="2308"/>
      <c r="D9" s="2308"/>
      <c r="E9" s="2308"/>
      <c r="F9" s="2308"/>
      <c r="G9" s="2308"/>
      <c r="H9" s="2308"/>
    </row>
    <row r="10" spans="1:8">
      <c r="A10" s="2308"/>
      <c r="B10" s="2308"/>
      <c r="C10" s="2308"/>
      <c r="D10" s="2308"/>
      <c r="E10" s="2308"/>
      <c r="F10" s="2308"/>
      <c r="G10" s="2308"/>
      <c r="H10" s="2308"/>
    </row>
    <row r="11" spans="1:8" ht="13.5" thickBot="1">
      <c r="A11" s="124"/>
      <c r="B11" s="124"/>
      <c r="C11" s="194"/>
      <c r="D11" s="292"/>
      <c r="E11" s="292"/>
      <c r="F11" s="292"/>
      <c r="G11" s="292"/>
      <c r="H11" s="292"/>
    </row>
    <row r="12" spans="1:8">
      <c r="A12" s="127" t="s">
        <v>53</v>
      </c>
      <c r="B12" s="117"/>
      <c r="C12" s="117"/>
      <c r="D12" s="262" t="s">
        <v>81</v>
      </c>
      <c r="E12" s="262" t="s">
        <v>728</v>
      </c>
      <c r="F12" s="262" t="s">
        <v>728</v>
      </c>
      <c r="G12" s="203"/>
      <c r="H12" s="203"/>
    </row>
    <row r="13" spans="1:8">
      <c r="A13" s="806" t="s">
        <v>730</v>
      </c>
      <c r="B13" s="805" t="s">
        <v>731</v>
      </c>
      <c r="C13" s="805" t="s">
        <v>1056</v>
      </c>
      <c r="D13" s="810" t="s">
        <v>1293</v>
      </c>
      <c r="E13" s="810" t="s">
        <v>733</v>
      </c>
      <c r="F13" s="810" t="s">
        <v>869</v>
      </c>
      <c r="G13" s="809" t="s">
        <v>498</v>
      </c>
      <c r="H13" s="809" t="s">
        <v>670</v>
      </c>
    </row>
    <row r="14" spans="1:8">
      <c r="A14" s="999">
        <v>1</v>
      </c>
      <c r="B14" s="120" t="s">
        <v>1059</v>
      </c>
      <c r="C14" s="148" t="s">
        <v>923</v>
      </c>
      <c r="D14" s="346">
        <v>274513</v>
      </c>
      <c r="E14" s="346">
        <v>-100089</v>
      </c>
      <c r="F14" s="346">
        <v>174424</v>
      </c>
      <c r="G14" s="216"/>
      <c r="H14" s="216">
        <v>174424</v>
      </c>
    </row>
    <row r="15" spans="1:8">
      <c r="A15" s="999">
        <v>2</v>
      </c>
      <c r="C15" s="148"/>
      <c r="D15" s="347"/>
      <c r="E15" s="347"/>
      <c r="F15" s="347"/>
      <c r="G15" s="212"/>
      <c r="H15" s="212"/>
    </row>
    <row r="16" spans="1:8" s="32" customFormat="1">
      <c r="A16" s="265">
        <v>3</v>
      </c>
      <c r="B16" s="211" t="s">
        <v>662</v>
      </c>
      <c r="C16" s="262" t="s">
        <v>924</v>
      </c>
      <c r="D16" s="212">
        <v>105406</v>
      </c>
      <c r="E16" s="212">
        <v>-105406</v>
      </c>
      <c r="F16" s="770">
        <v>0</v>
      </c>
      <c r="G16" s="212"/>
      <c r="H16" s="212">
        <v>0</v>
      </c>
    </row>
    <row r="17" spans="1:8">
      <c r="A17" s="999">
        <v>4</v>
      </c>
      <c r="C17" s="117"/>
      <c r="D17" s="212"/>
      <c r="E17" s="212"/>
      <c r="F17" s="212"/>
      <c r="G17" s="212"/>
      <c r="H17" s="212"/>
    </row>
    <row r="18" spans="1:8">
      <c r="A18" s="999">
        <v>5</v>
      </c>
      <c r="B18" s="120" t="s">
        <v>516</v>
      </c>
      <c r="C18" s="801" t="s">
        <v>839</v>
      </c>
      <c r="D18" s="212"/>
      <c r="E18" s="212"/>
      <c r="F18" s="212" t="s">
        <v>560</v>
      </c>
      <c r="G18" s="212" t="s">
        <v>560</v>
      </c>
      <c r="H18" s="212" t="s">
        <v>560</v>
      </c>
    </row>
    <row r="19" spans="1:8">
      <c r="A19" s="999">
        <v>6</v>
      </c>
      <c r="C19" s="117"/>
      <c r="D19" s="212"/>
      <c r="E19" s="212"/>
      <c r="F19" s="212"/>
      <c r="G19" s="212"/>
      <c r="H19" s="212"/>
    </row>
    <row r="20" spans="1:8">
      <c r="A20" s="999">
        <v>7</v>
      </c>
      <c r="B20" s="120" t="s">
        <v>1141</v>
      </c>
      <c r="C20" s="801" t="s">
        <v>839</v>
      </c>
      <c r="D20" s="212"/>
      <c r="E20" s="212"/>
      <c r="F20" s="212" t="s">
        <v>560</v>
      </c>
      <c r="G20" s="212" t="s">
        <v>560</v>
      </c>
      <c r="H20" s="212" t="s">
        <v>560</v>
      </c>
    </row>
    <row r="21" spans="1:8">
      <c r="A21" s="999">
        <v>8</v>
      </c>
      <c r="B21" s="120" t="s">
        <v>1143</v>
      </c>
      <c r="C21" s="117"/>
      <c r="D21" s="212"/>
      <c r="E21" s="212"/>
      <c r="F21" s="212"/>
      <c r="G21" s="212"/>
      <c r="H21" s="212"/>
    </row>
    <row r="22" spans="1:8">
      <c r="A22" s="999">
        <v>9</v>
      </c>
      <c r="C22" s="117"/>
      <c r="D22" s="212"/>
      <c r="E22" s="212"/>
      <c r="F22" s="212"/>
      <c r="G22" s="212"/>
      <c r="H22" s="212"/>
    </row>
    <row r="23" spans="1:8">
      <c r="A23" s="999">
        <v>10</v>
      </c>
      <c r="B23" s="120" t="s">
        <v>663</v>
      </c>
      <c r="C23" s="801" t="s">
        <v>925</v>
      </c>
      <c r="D23" s="271">
        <v>0</v>
      </c>
      <c r="E23" s="271">
        <v>0</v>
      </c>
      <c r="F23" s="271">
        <v>0</v>
      </c>
      <c r="G23" s="271">
        <v>0</v>
      </c>
      <c r="H23" s="271">
        <v>0</v>
      </c>
    </row>
    <row r="24" spans="1:8">
      <c r="A24" s="999">
        <v>11</v>
      </c>
      <c r="C24" s="117"/>
    </row>
    <row r="25" spans="1:8" ht="13.5" thickBot="1">
      <c r="A25" s="999">
        <v>12</v>
      </c>
      <c r="B25" s="120" t="s">
        <v>1312</v>
      </c>
      <c r="C25" s="117"/>
      <c r="D25" s="273">
        <v>379919</v>
      </c>
      <c r="E25" s="273">
        <v>-205495</v>
      </c>
      <c r="F25" s="273">
        <v>174424</v>
      </c>
      <c r="G25" s="273">
        <v>0</v>
      </c>
      <c r="H25" s="273">
        <v>174424</v>
      </c>
    </row>
    <row r="26" spans="1:8" ht="13.5" thickTop="1">
      <c r="A26" s="127"/>
      <c r="B26" s="117"/>
      <c r="C26" s="117"/>
    </row>
    <row r="27" spans="1:8">
      <c r="A27" s="117"/>
      <c r="B27" s="117"/>
      <c r="C27" s="117"/>
    </row>
    <row r="28" spans="1:8">
      <c r="A28" s="117"/>
      <c r="B28" s="117"/>
      <c r="C28" s="117"/>
    </row>
    <row r="29" spans="1:8">
      <c r="A29" s="117"/>
      <c r="B29" s="117"/>
      <c r="C29" s="117"/>
    </row>
    <row r="30" spans="1:8">
      <c r="A30" s="117"/>
      <c r="B30" s="117"/>
      <c r="C30" s="117"/>
    </row>
    <row r="31" spans="1:8">
      <c r="A31" s="117"/>
      <c r="B31" s="117"/>
      <c r="C31" s="117"/>
    </row>
    <row r="32" spans="1:8">
      <c r="A32" s="117"/>
      <c r="B32" s="117"/>
      <c r="C32" s="117"/>
    </row>
    <row r="33" spans="1:8">
      <c r="A33" s="117"/>
      <c r="B33" s="117"/>
      <c r="C33" s="117"/>
    </row>
    <row r="42" spans="1:8">
      <c r="A42" s="120" t="s">
        <v>911</v>
      </c>
    </row>
    <row r="43" spans="1:8">
      <c r="B43" s="123" t="s">
        <v>1526</v>
      </c>
    </row>
    <row r="44" spans="1:8">
      <c r="B44" s="117" t="s">
        <v>3</v>
      </c>
    </row>
    <row r="47" spans="1:8">
      <c r="A47" s="189"/>
      <c r="B47" s="148"/>
      <c r="C47" s="148"/>
      <c r="D47" s="210"/>
      <c r="E47" s="210"/>
      <c r="F47" s="210"/>
      <c r="G47" s="210"/>
      <c r="H47" s="210"/>
    </row>
    <row r="54" spans="4:4">
      <c r="D54" s="327"/>
    </row>
    <row r="57" spans="4:4">
      <c r="D57" s="327"/>
    </row>
    <row r="180" spans="1:2">
      <c r="A180" s="138"/>
      <c r="B180" s="138"/>
    </row>
    <row r="181" spans="1:2">
      <c r="A181" s="138"/>
      <c r="B181" s="138"/>
    </row>
    <row r="182" spans="1:2">
      <c r="A182" s="138"/>
      <c r="B182" s="138"/>
    </row>
    <row r="183" spans="1:2">
      <c r="A183" s="138"/>
      <c r="B183" s="138"/>
    </row>
    <row r="184" spans="1:2">
      <c r="A184" s="138"/>
      <c r="B184" s="138"/>
    </row>
    <row r="214" spans="1:2">
      <c r="A214" s="138"/>
      <c r="B214" s="138"/>
    </row>
    <row r="283" spans="1:1">
      <c r="A283" s="117"/>
    </row>
    <row r="300" spans="1:1">
      <c r="A300" s="138"/>
    </row>
    <row r="301" spans="1:1">
      <c r="A301" s="138"/>
    </row>
    <row r="302" spans="1:1">
      <c r="A302" s="138"/>
    </row>
    <row r="303" spans="1:1">
      <c r="A303" s="138"/>
    </row>
    <row r="304" spans="1:1">
      <c r="A304" s="138"/>
    </row>
    <row r="305" spans="1:1">
      <c r="A305" s="138"/>
    </row>
    <row r="306" spans="1:1">
      <c r="A306" s="138"/>
    </row>
    <row r="307" spans="1:1">
      <c r="A307" s="138"/>
    </row>
    <row r="308" spans="1:1">
      <c r="A308" s="138"/>
    </row>
    <row r="309" spans="1:1">
      <c r="A309" s="138"/>
    </row>
    <row r="310" spans="1:1">
      <c r="A310" s="138"/>
    </row>
    <row r="311" spans="1:1">
      <c r="A311" s="138"/>
    </row>
    <row r="312" spans="1:1">
      <c r="A312" s="138"/>
    </row>
    <row r="313" spans="1:1">
      <c r="A313" s="138"/>
    </row>
    <row r="314" spans="1:1">
      <c r="A314" s="138"/>
    </row>
    <row r="315" spans="1:1">
      <c r="A315" s="138"/>
    </row>
    <row r="316" spans="1:1">
      <c r="A316" s="138"/>
    </row>
    <row r="317" spans="1:1">
      <c r="A317" s="138"/>
    </row>
    <row r="318" spans="1:1">
      <c r="A318" s="138"/>
    </row>
    <row r="319" spans="1:1">
      <c r="A319" s="138"/>
    </row>
    <row r="320" spans="1:1">
      <c r="A320" s="138"/>
    </row>
    <row r="321" spans="1:1">
      <c r="A321" s="138"/>
    </row>
    <row r="322" spans="1:1">
      <c r="A322" s="138"/>
    </row>
    <row r="323" spans="1:1">
      <c r="A323" s="138"/>
    </row>
    <row r="324" spans="1:1">
      <c r="A324" s="138"/>
    </row>
    <row r="325" spans="1:1">
      <c r="A325" s="138"/>
    </row>
    <row r="326" spans="1:1">
      <c r="A326" s="138"/>
    </row>
    <row r="327" spans="1:1">
      <c r="A327" s="138"/>
    </row>
    <row r="328" spans="1:1">
      <c r="A328" s="138"/>
    </row>
    <row r="329" spans="1:1">
      <c r="A329" s="138"/>
    </row>
    <row r="330" spans="1:1">
      <c r="A330" s="138"/>
    </row>
    <row r="331" spans="1:1">
      <c r="A331" s="138"/>
    </row>
    <row r="332" spans="1:1">
      <c r="A332" s="138"/>
    </row>
    <row r="333" spans="1:1">
      <c r="A333" s="138"/>
    </row>
    <row r="334" spans="1:1">
      <c r="A334" s="138"/>
    </row>
    <row r="335" spans="1:1">
      <c r="A335" s="138"/>
    </row>
    <row r="336" spans="1:1">
      <c r="A336" s="138"/>
    </row>
    <row r="337" spans="1:1">
      <c r="A337" s="138"/>
    </row>
    <row r="338" spans="1:1">
      <c r="A338" s="138"/>
    </row>
    <row r="339" spans="1:1">
      <c r="A339" s="138"/>
    </row>
    <row r="340" spans="1:1">
      <c r="A340" s="138"/>
    </row>
    <row r="341" spans="1:1">
      <c r="A341" s="138"/>
    </row>
    <row r="342" spans="1:1">
      <c r="A342" s="138"/>
    </row>
    <row r="343" spans="1:1">
      <c r="A343" s="138"/>
    </row>
    <row r="344" spans="1:1">
      <c r="A344" s="138"/>
    </row>
    <row r="345" spans="1:1">
      <c r="A345" s="138"/>
    </row>
    <row r="346" spans="1:1">
      <c r="A346" s="138"/>
    </row>
    <row r="347" spans="1:1">
      <c r="A347" s="138"/>
    </row>
    <row r="348" spans="1:1">
      <c r="A348" s="138"/>
    </row>
    <row r="349" spans="1:1">
      <c r="A349" s="138"/>
    </row>
    <row r="350" spans="1:1">
      <c r="A350" s="138"/>
    </row>
    <row r="351" spans="1:1">
      <c r="A351" s="138"/>
    </row>
    <row r="352" spans="1:1">
      <c r="A352" s="138"/>
    </row>
    <row r="353" spans="1:1">
      <c r="A353" s="138"/>
    </row>
    <row r="354" spans="1:1">
      <c r="A354" s="138"/>
    </row>
  </sheetData>
  <mergeCells count="1">
    <mergeCell ref="A9:H10"/>
  </mergeCells>
  <phoneticPr fontId="27" type="noConversion"/>
  <printOptions horizontalCentered="1"/>
  <pageMargins left="0.75" right="0.5" top="0.75" bottom="0.5" header="0.25" footer="0.25"/>
  <pageSetup scale="86" fitToHeight="0"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41">
    <pageSetUpPr fitToPage="1"/>
  </sheetPr>
  <dimension ref="A1:H372"/>
  <sheetViews>
    <sheetView view="pageBreakPreview" zoomScale="80" zoomScaleNormal="100" zoomScaleSheetLayoutView="80" workbookViewId="0">
      <selection activeCell="I1" sqref="I1:J1048576"/>
    </sheetView>
  </sheetViews>
  <sheetFormatPr defaultColWidth="10.85546875" defaultRowHeight="12.75"/>
  <cols>
    <col min="1" max="1" width="4.28515625" style="120" customWidth="1"/>
    <col min="2" max="2" width="42.42578125" style="120" customWidth="1"/>
    <col min="3" max="5" width="14.85546875" style="211" customWidth="1"/>
    <col min="6" max="6" width="10.140625" style="211" customWidth="1"/>
    <col min="7" max="7" width="12.28515625" style="211" customWidth="1"/>
    <col min="8" max="8" width="10.85546875" style="32"/>
    <col min="9" max="16384" width="10.85546875" style="11"/>
  </cols>
  <sheetData>
    <row r="1" spans="1:8" s="21" customFormat="1" ht="12">
      <c r="A1" s="117" t="s">
        <v>1070</v>
      </c>
      <c r="B1" s="117"/>
      <c r="C1" s="282"/>
      <c r="E1" s="203" t="s">
        <v>1209</v>
      </c>
      <c r="G1" s="203"/>
      <c r="H1" s="34"/>
    </row>
    <row r="2" spans="1:8" s="21" customFormat="1" ht="12">
      <c r="A2" s="117" t="s">
        <v>2644</v>
      </c>
      <c r="B2" s="117"/>
      <c r="C2" s="282"/>
      <c r="E2" s="203" t="s">
        <v>1169</v>
      </c>
      <c r="G2" s="203"/>
      <c r="H2" s="34"/>
    </row>
    <row r="3" spans="1:8" s="21" customFormat="1" ht="12">
      <c r="A3" s="117" t="s">
        <v>2645</v>
      </c>
      <c r="B3" s="117"/>
      <c r="C3" s="348"/>
      <c r="E3" s="140" t="s">
        <v>766</v>
      </c>
      <c r="G3" s="203"/>
      <c r="H3" s="34"/>
    </row>
    <row r="4" spans="1:8" s="21" customFormat="1" ht="12">
      <c r="A4" s="117" t="s">
        <v>1935</v>
      </c>
      <c r="B4" s="117"/>
      <c r="C4" s="203"/>
      <c r="E4" s="345" t="s">
        <v>2948</v>
      </c>
      <c r="G4" s="203"/>
      <c r="H4" s="34"/>
    </row>
    <row r="5" spans="1:8" s="21" customFormat="1" ht="12">
      <c r="A5" s="123" t="s">
        <v>683</v>
      </c>
      <c r="B5" s="117"/>
      <c r="C5" s="203"/>
      <c r="E5" s="203"/>
      <c r="G5" s="203"/>
      <c r="H5" s="34"/>
    </row>
    <row r="6" spans="1:8" s="21" customFormat="1" ht="12">
      <c r="A6" s="123" t="s">
        <v>1343</v>
      </c>
      <c r="B6" s="117"/>
      <c r="C6" s="203"/>
      <c r="D6" s="203"/>
      <c r="E6" s="203"/>
      <c r="F6" s="203"/>
      <c r="G6" s="203"/>
      <c r="H6" s="34"/>
    </row>
    <row r="7" spans="1:8" s="21" customFormat="1" ht="12">
      <c r="A7" s="117"/>
      <c r="B7" s="117"/>
      <c r="C7" s="203"/>
      <c r="D7" s="203"/>
      <c r="E7" s="203"/>
      <c r="F7" s="203"/>
      <c r="G7" s="203"/>
      <c r="H7" s="34"/>
    </row>
    <row r="8" spans="1:8" s="21" customFormat="1" ht="11.25">
      <c r="A8" s="2307" t="s">
        <v>813</v>
      </c>
      <c r="B8" s="2308"/>
      <c r="C8" s="2308"/>
      <c r="D8" s="2308"/>
      <c r="E8" s="2308"/>
      <c r="F8" s="2308"/>
      <c r="G8" s="2308"/>
      <c r="H8" s="34"/>
    </row>
    <row r="9" spans="1:8" s="21" customFormat="1" ht="11.25">
      <c r="A9" s="2308"/>
      <c r="B9" s="2308"/>
      <c r="C9" s="2308"/>
      <c r="D9" s="2308"/>
      <c r="E9" s="2308"/>
      <c r="F9" s="2308"/>
      <c r="G9" s="2308"/>
      <c r="H9" s="34"/>
    </row>
    <row r="10" spans="1:8" s="21" customFormat="1" thickBot="1">
      <c r="A10" s="124"/>
      <c r="B10" s="283"/>
      <c r="C10" s="283"/>
      <c r="D10" s="283"/>
      <c r="E10" s="283"/>
      <c r="F10" s="283"/>
      <c r="G10" s="283"/>
      <c r="H10" s="34"/>
    </row>
    <row r="11" spans="1:8" s="21" customFormat="1" ht="12">
      <c r="A11" s="127" t="s">
        <v>53</v>
      </c>
      <c r="B11" s="117"/>
      <c r="C11" s="262" t="s">
        <v>81</v>
      </c>
      <c r="D11" s="262" t="s">
        <v>728</v>
      </c>
      <c r="E11" s="262" t="s">
        <v>728</v>
      </c>
      <c r="F11" s="349" t="s">
        <v>56</v>
      </c>
      <c r="G11" s="203"/>
      <c r="H11" s="34"/>
    </row>
    <row r="12" spans="1:8" s="21" customFormat="1" ht="12">
      <c r="A12" s="806" t="s">
        <v>730</v>
      </c>
      <c r="B12" s="812"/>
      <c r="C12" s="809" t="s">
        <v>1293</v>
      </c>
      <c r="D12" s="813" t="s">
        <v>733</v>
      </c>
      <c r="E12" s="809" t="s">
        <v>869</v>
      </c>
      <c r="F12" s="813" t="s">
        <v>57</v>
      </c>
      <c r="G12" s="809" t="s">
        <v>670</v>
      </c>
      <c r="H12" s="34"/>
    </row>
    <row r="13" spans="1:8" s="21" customFormat="1" ht="12">
      <c r="A13" s="999">
        <v>1</v>
      </c>
      <c r="B13" s="464" t="s">
        <v>794</v>
      </c>
      <c r="C13" s="216">
        <v>400372.70000000019</v>
      </c>
      <c r="D13" s="216">
        <v>-207274.5551087705</v>
      </c>
      <c r="E13" s="216">
        <v>193097.14489122969</v>
      </c>
      <c r="F13" s="216">
        <v>277092.15386788169</v>
      </c>
      <c r="G13" s="216">
        <v>470190.29875911115</v>
      </c>
      <c r="H13" s="34"/>
    </row>
    <row r="14" spans="1:8" s="21" customFormat="1" ht="12">
      <c r="A14" s="999">
        <v>2</v>
      </c>
      <c r="B14" s="120" t="s">
        <v>795</v>
      </c>
      <c r="C14" s="287">
        <v>119897.98</v>
      </c>
      <c r="D14" s="271">
        <v>-119897.98</v>
      </c>
      <c r="E14" s="271">
        <v>0</v>
      </c>
      <c r="F14" s="271">
        <v>174424</v>
      </c>
      <c r="G14" s="287">
        <v>174423.87615498214</v>
      </c>
      <c r="H14" s="34"/>
    </row>
    <row r="15" spans="1:8" s="21" customFormat="1" ht="12">
      <c r="A15" s="999">
        <v>3</v>
      </c>
      <c r="B15" s="120"/>
      <c r="C15" s="211"/>
      <c r="D15" s="211"/>
      <c r="E15" s="211"/>
      <c r="F15" s="211"/>
      <c r="G15" s="211"/>
      <c r="H15" s="34"/>
    </row>
    <row r="16" spans="1:8" s="21" customFormat="1" ht="12">
      <c r="A16" s="999">
        <v>4</v>
      </c>
      <c r="B16" s="120" t="s">
        <v>511</v>
      </c>
      <c r="C16" s="212">
        <v>520270.68000000017</v>
      </c>
      <c r="D16" s="212">
        <v>-327173.53510877048</v>
      </c>
      <c r="E16" s="212">
        <v>193097.14489122969</v>
      </c>
      <c r="F16" s="212">
        <v>451516.15386788169</v>
      </c>
      <c r="G16" s="212">
        <v>644614.17491409322</v>
      </c>
      <c r="H16" s="34"/>
    </row>
    <row r="17" spans="1:8" s="21" customFormat="1" ht="12">
      <c r="A17" s="999">
        <v>5</v>
      </c>
      <c r="B17" s="120" t="s">
        <v>515</v>
      </c>
      <c r="C17" s="271">
        <v>91181.849999999991</v>
      </c>
      <c r="D17" s="271">
        <v>89908.869811828816</v>
      </c>
      <c r="E17" s="271">
        <v>181090.71981182881</v>
      </c>
      <c r="F17" s="271"/>
      <c r="G17" s="271">
        <v>181090.71981182881</v>
      </c>
      <c r="H17" s="34"/>
    </row>
    <row r="18" spans="1:8" s="21" customFormat="1" ht="12">
      <c r="A18" s="999">
        <v>6</v>
      </c>
      <c r="B18" s="120"/>
      <c r="C18" s="211"/>
      <c r="D18" s="211"/>
      <c r="E18" s="211"/>
      <c r="F18" s="211"/>
      <c r="G18" s="211"/>
      <c r="H18" s="34"/>
    </row>
    <row r="19" spans="1:8" s="21" customFormat="1" ht="12">
      <c r="A19" s="999">
        <v>7</v>
      </c>
      <c r="B19" s="120" t="s">
        <v>518</v>
      </c>
      <c r="C19" s="212">
        <v>429088.83000000019</v>
      </c>
      <c r="D19" s="212">
        <v>-417081.40492059931</v>
      </c>
      <c r="E19" s="212">
        <v>12007.425079400884</v>
      </c>
      <c r="F19" s="212">
        <v>451516.15386788169</v>
      </c>
      <c r="G19" s="212">
        <v>463523.45510226442</v>
      </c>
      <c r="H19" s="34"/>
    </row>
    <row r="20" spans="1:8" s="21" customFormat="1" ht="12">
      <c r="A20" s="999">
        <v>8</v>
      </c>
      <c r="B20" s="120"/>
      <c r="C20" s="212"/>
      <c r="D20" s="212"/>
      <c r="E20" s="212"/>
      <c r="F20" s="212"/>
      <c r="G20" s="212"/>
      <c r="H20" s="34"/>
    </row>
    <row r="21" spans="1:8" s="21" customFormat="1" ht="12">
      <c r="A21" s="999">
        <v>9</v>
      </c>
      <c r="B21" s="120" t="s">
        <v>1144</v>
      </c>
      <c r="C21" s="212"/>
      <c r="D21" s="212"/>
      <c r="E21" s="212"/>
      <c r="F21" s="212"/>
      <c r="G21" s="212"/>
      <c r="H21" s="34"/>
    </row>
    <row r="22" spans="1:8" s="21" customFormat="1" ht="12">
      <c r="A22" s="999">
        <v>10</v>
      </c>
      <c r="B22" s="120" t="s">
        <v>1310</v>
      </c>
      <c r="C22" s="212">
        <v>20305.25</v>
      </c>
      <c r="D22" s="212">
        <v>-20305.25</v>
      </c>
      <c r="E22" s="212">
        <v>0</v>
      </c>
      <c r="F22" s="212"/>
      <c r="G22" s="212"/>
      <c r="H22" s="34"/>
    </row>
    <row r="23" spans="1:8" s="21" customFormat="1" ht="12">
      <c r="A23" s="999">
        <v>11</v>
      </c>
      <c r="B23" s="120" t="s">
        <v>1311</v>
      </c>
      <c r="C23" s="222">
        <v>280111.17999999993</v>
      </c>
      <c r="D23" s="222">
        <v>-280111.17999999993</v>
      </c>
      <c r="E23" s="222">
        <v>0</v>
      </c>
      <c r="F23" s="222"/>
      <c r="G23" s="212"/>
      <c r="H23" s="34"/>
    </row>
    <row r="24" spans="1:8" s="21" customFormat="1" ht="12">
      <c r="A24" s="999">
        <v>12</v>
      </c>
      <c r="B24" s="595" t="s">
        <v>1914</v>
      </c>
      <c r="C24" s="765"/>
      <c r="D24" s="1364">
        <v>0</v>
      </c>
      <c r="E24" s="765">
        <v>0</v>
      </c>
      <c r="F24" s="765"/>
      <c r="G24" s="765">
        <v>0</v>
      </c>
      <c r="H24" s="34"/>
    </row>
    <row r="25" spans="1:8" s="21" customFormat="1" ht="12">
      <c r="A25" s="999">
        <v>13</v>
      </c>
      <c r="B25" s="120"/>
      <c r="C25" s="211"/>
      <c r="D25" s="211"/>
      <c r="E25" s="211"/>
      <c r="F25" s="211"/>
      <c r="G25" s="211"/>
      <c r="H25" s="34"/>
    </row>
    <row r="26" spans="1:8" s="21" customFormat="1" ht="12">
      <c r="A26" s="999">
        <v>14</v>
      </c>
      <c r="B26" s="120" t="s">
        <v>1313</v>
      </c>
      <c r="C26" s="271">
        <v>300416.42999999993</v>
      </c>
      <c r="D26" s="271">
        <v>-300416.42999999993</v>
      </c>
      <c r="E26" s="271">
        <v>0</v>
      </c>
      <c r="F26" s="271">
        <v>0</v>
      </c>
      <c r="G26" s="271">
        <v>0</v>
      </c>
      <c r="H26" s="34"/>
    </row>
    <row r="27" spans="1:8" s="21" customFormat="1" ht="12">
      <c r="A27" s="999">
        <v>15</v>
      </c>
      <c r="B27" s="120"/>
      <c r="C27" s="211"/>
      <c r="D27" s="211"/>
      <c r="E27" s="211"/>
      <c r="F27" s="211"/>
      <c r="G27" s="211"/>
      <c r="H27" s="34"/>
    </row>
    <row r="28" spans="1:8" s="21" customFormat="1" ht="12">
      <c r="A28" s="999">
        <v>16</v>
      </c>
      <c r="B28" s="120" t="s">
        <v>1315</v>
      </c>
      <c r="C28" s="212">
        <v>729505.26000000013</v>
      </c>
      <c r="D28" s="212">
        <v>-717497.83492059924</v>
      </c>
      <c r="E28" s="212">
        <v>12007.425079400884</v>
      </c>
      <c r="F28" s="212">
        <v>451516.15386788169</v>
      </c>
      <c r="G28" s="212">
        <v>463523.45510226442</v>
      </c>
      <c r="H28" s="34"/>
    </row>
    <row r="29" spans="1:8" s="21" customFormat="1" ht="12">
      <c r="A29" s="999">
        <v>17</v>
      </c>
      <c r="B29" s="120" t="s">
        <v>1380</v>
      </c>
      <c r="C29" s="271"/>
      <c r="D29" s="271"/>
      <c r="E29" s="271">
        <v>0</v>
      </c>
      <c r="F29" s="271"/>
      <c r="G29" s="271">
        <v>0</v>
      </c>
      <c r="H29" s="34"/>
    </row>
    <row r="30" spans="1:8" s="21" customFormat="1" ht="12">
      <c r="A30" s="999">
        <v>18</v>
      </c>
      <c r="B30" s="120"/>
      <c r="C30" s="211"/>
      <c r="D30" s="211"/>
      <c r="E30" s="211"/>
      <c r="F30" s="211"/>
      <c r="G30" s="211"/>
      <c r="H30" s="34"/>
    </row>
    <row r="31" spans="1:8" s="21" customFormat="1" ht="12">
      <c r="A31" s="999">
        <v>19</v>
      </c>
      <c r="B31" s="120" t="s">
        <v>1177</v>
      </c>
      <c r="C31" s="271">
        <v>729505.26000000013</v>
      </c>
      <c r="D31" s="271">
        <v>-717497.83492059924</v>
      </c>
      <c r="E31" s="271">
        <v>12007.425079400884</v>
      </c>
      <c r="F31" s="271">
        <v>451516.15386788169</v>
      </c>
      <c r="G31" s="271">
        <v>463523.45510226442</v>
      </c>
      <c r="H31" s="34"/>
    </row>
    <row r="32" spans="1:8" s="21" customFormat="1" ht="12">
      <c r="A32" s="999">
        <v>20</v>
      </c>
      <c r="B32" s="120" t="s">
        <v>1518</v>
      </c>
      <c r="C32" s="212">
        <v>40123</v>
      </c>
      <c r="D32" s="212">
        <v>-39462</v>
      </c>
      <c r="E32" s="212">
        <v>661</v>
      </c>
      <c r="F32" s="212">
        <v>24833</v>
      </c>
      <c r="G32" s="212">
        <v>25494</v>
      </c>
      <c r="H32" s="34"/>
    </row>
    <row r="33" spans="1:8" s="21" customFormat="1" ht="12">
      <c r="A33" s="999">
        <v>21</v>
      </c>
      <c r="B33" s="464" t="s">
        <v>618</v>
      </c>
      <c r="C33" s="212"/>
      <c r="D33" s="212"/>
      <c r="E33" s="212">
        <v>0</v>
      </c>
      <c r="F33" s="212"/>
      <c r="G33" s="212">
        <v>0</v>
      </c>
      <c r="H33" s="34"/>
    </row>
    <row r="34" spans="1:8" s="21" customFormat="1" ht="12">
      <c r="A34" s="999">
        <v>22</v>
      </c>
      <c r="B34" s="120" t="s">
        <v>879</v>
      </c>
      <c r="C34" s="271" t="s">
        <v>911</v>
      </c>
      <c r="D34" s="271" t="s">
        <v>911</v>
      </c>
      <c r="E34" s="271" t="s">
        <v>911</v>
      </c>
      <c r="F34" s="271" t="s">
        <v>911</v>
      </c>
      <c r="G34" s="271" t="s">
        <v>911</v>
      </c>
      <c r="H34" s="34"/>
    </row>
    <row r="35" spans="1:8" s="21" customFormat="1" ht="12">
      <c r="A35" s="999">
        <v>23</v>
      </c>
      <c r="B35" s="120"/>
      <c r="C35" s="211"/>
      <c r="D35" s="211"/>
      <c r="E35" s="211"/>
      <c r="F35" s="211"/>
      <c r="G35" s="211"/>
      <c r="H35" s="34"/>
    </row>
    <row r="36" spans="1:8" s="21" customFormat="1" ht="12">
      <c r="A36" s="999">
        <v>24</v>
      </c>
      <c r="B36" s="120" t="s">
        <v>584</v>
      </c>
      <c r="C36" s="271">
        <v>40123</v>
      </c>
      <c r="D36" s="271">
        <v>-39462</v>
      </c>
      <c r="E36" s="271">
        <v>661</v>
      </c>
      <c r="F36" s="271">
        <v>24833</v>
      </c>
      <c r="G36" s="271">
        <v>25494</v>
      </c>
      <c r="H36" s="34"/>
    </row>
    <row r="37" spans="1:8" s="21" customFormat="1" ht="12">
      <c r="A37" s="999">
        <v>25</v>
      </c>
      <c r="B37" s="120"/>
      <c r="C37" s="211"/>
      <c r="D37" s="211"/>
      <c r="E37" s="211"/>
      <c r="F37" s="211"/>
      <c r="G37" s="211"/>
      <c r="H37" s="34"/>
    </row>
    <row r="38" spans="1:8" s="21" customFormat="1" ht="12">
      <c r="A38" s="999">
        <v>26</v>
      </c>
      <c r="B38" s="464" t="s">
        <v>9</v>
      </c>
      <c r="C38" s="212">
        <v>689382.26000000013</v>
      </c>
      <c r="D38" s="212">
        <v>-678035.83492059924</v>
      </c>
      <c r="E38" s="212">
        <v>11346.425079400884</v>
      </c>
      <c r="F38" s="212">
        <v>426683.15386788169</v>
      </c>
      <c r="G38" s="212">
        <v>438029.45510226442</v>
      </c>
      <c r="H38" s="34"/>
    </row>
    <row r="39" spans="1:8" s="21" customFormat="1" ht="12">
      <c r="A39" s="999">
        <v>27</v>
      </c>
      <c r="B39" s="120" t="s">
        <v>588</v>
      </c>
      <c r="C39" s="350">
        <v>0.34</v>
      </c>
      <c r="D39" s="350">
        <v>0.34</v>
      </c>
      <c r="E39" s="350">
        <v>0.34</v>
      </c>
      <c r="F39" s="350">
        <v>0.34</v>
      </c>
      <c r="G39" s="350">
        <v>0.34</v>
      </c>
      <c r="H39" s="34"/>
    </row>
    <row r="40" spans="1:8" s="21" customFormat="1" ht="12">
      <c r="A40" s="999">
        <v>28</v>
      </c>
      <c r="B40" s="120" t="s">
        <v>1519</v>
      </c>
      <c r="C40" s="212">
        <v>234390</v>
      </c>
      <c r="D40" s="212">
        <v>-230532</v>
      </c>
      <c r="E40" s="212">
        <v>3858</v>
      </c>
      <c r="F40" s="212">
        <v>145072</v>
      </c>
      <c r="G40" s="212">
        <v>148930</v>
      </c>
      <c r="H40" s="34"/>
    </row>
    <row r="41" spans="1:8" s="21" customFormat="1" ht="12">
      <c r="A41" s="999">
        <v>29</v>
      </c>
      <c r="B41" s="120" t="s">
        <v>589</v>
      </c>
      <c r="C41" s="212"/>
      <c r="D41" s="212"/>
      <c r="E41" s="212"/>
      <c r="F41" s="212"/>
      <c r="G41" s="212"/>
      <c r="H41" s="34"/>
    </row>
    <row r="42" spans="1:8" s="21" customFormat="1" ht="12">
      <c r="A42" s="999">
        <v>30</v>
      </c>
      <c r="B42" s="120" t="s">
        <v>737</v>
      </c>
      <c r="C42" s="271">
        <v>0</v>
      </c>
      <c r="D42" s="271">
        <v>0</v>
      </c>
      <c r="E42" s="271">
        <v>0</v>
      </c>
      <c r="F42" s="271">
        <v>0</v>
      </c>
      <c r="G42" s="271">
        <v>0</v>
      </c>
      <c r="H42" s="34"/>
    </row>
    <row r="43" spans="1:8" s="21" customFormat="1" ht="12">
      <c r="A43" s="999">
        <v>31</v>
      </c>
      <c r="B43" s="120"/>
      <c r="C43" s="211"/>
      <c r="D43" s="211"/>
      <c r="E43" s="211"/>
      <c r="F43" s="211"/>
      <c r="G43" s="211"/>
      <c r="H43" s="34"/>
    </row>
    <row r="44" spans="1:8" s="21" customFormat="1" ht="12">
      <c r="A44" s="999">
        <v>32</v>
      </c>
      <c r="B44" s="120" t="s">
        <v>792</v>
      </c>
      <c r="C44" s="271">
        <v>234390</v>
      </c>
      <c r="D44" s="271">
        <v>-230532</v>
      </c>
      <c r="E44" s="271">
        <v>3858</v>
      </c>
      <c r="F44" s="271">
        <v>145072</v>
      </c>
      <c r="G44" s="271">
        <v>148930</v>
      </c>
      <c r="H44" s="34"/>
    </row>
    <row r="45" spans="1:8" s="21" customFormat="1" ht="12">
      <c r="A45" s="999">
        <v>33</v>
      </c>
      <c r="B45" s="120"/>
      <c r="C45" s="211"/>
      <c r="D45" s="211"/>
      <c r="E45" s="211"/>
      <c r="F45" s="211"/>
      <c r="G45" s="211"/>
      <c r="H45" s="34"/>
    </row>
    <row r="46" spans="1:8" s="21" customFormat="1" ht="12">
      <c r="A46" s="999">
        <v>34</v>
      </c>
      <c r="B46" s="120" t="s">
        <v>592</v>
      </c>
      <c r="C46" s="211"/>
      <c r="D46" s="211"/>
      <c r="E46" s="211"/>
      <c r="F46" s="211"/>
      <c r="G46" s="211"/>
      <c r="H46" s="34"/>
    </row>
    <row r="47" spans="1:8" s="21" customFormat="1" ht="12">
      <c r="A47" s="999">
        <v>35</v>
      </c>
      <c r="B47" s="120" t="s">
        <v>1520</v>
      </c>
      <c r="C47" s="212">
        <v>40123</v>
      </c>
      <c r="D47" s="212">
        <v>-39462</v>
      </c>
      <c r="E47" s="212">
        <v>661</v>
      </c>
      <c r="F47" s="212">
        <v>24833</v>
      </c>
      <c r="G47" s="212">
        <v>25494</v>
      </c>
      <c r="H47" s="34"/>
    </row>
    <row r="48" spans="1:8" s="21" customFormat="1" ht="12">
      <c r="A48" s="999">
        <v>36</v>
      </c>
      <c r="B48" s="120" t="s">
        <v>793</v>
      </c>
      <c r="C48" s="271">
        <v>234390</v>
      </c>
      <c r="D48" s="271">
        <v>-230532</v>
      </c>
      <c r="E48" s="271">
        <v>3858</v>
      </c>
      <c r="F48" s="271">
        <v>145072</v>
      </c>
      <c r="G48" s="271">
        <v>148930</v>
      </c>
      <c r="H48" s="34"/>
    </row>
    <row r="49" spans="1:8" s="21" customFormat="1" ht="12">
      <c r="A49" s="999">
        <v>37</v>
      </c>
      <c r="B49" s="120"/>
      <c r="C49" s="211"/>
      <c r="D49" s="211"/>
      <c r="E49" s="211"/>
      <c r="F49" s="211"/>
      <c r="G49" s="211"/>
      <c r="H49" s="34"/>
    </row>
    <row r="50" spans="1:8" s="21" customFormat="1" thickBot="1">
      <c r="A50" s="999">
        <v>38</v>
      </c>
      <c r="B50" s="120" t="s">
        <v>593</v>
      </c>
      <c r="C50" s="273">
        <v>274513</v>
      </c>
      <c r="D50" s="273">
        <v>-269994</v>
      </c>
      <c r="E50" s="273">
        <v>4519</v>
      </c>
      <c r="F50" s="273">
        <v>169905</v>
      </c>
      <c r="G50" s="273">
        <v>174424</v>
      </c>
      <c r="H50" s="34"/>
    </row>
    <row r="51" spans="1:8" s="21" customFormat="1" thickTop="1">
      <c r="A51" s="999">
        <v>39</v>
      </c>
      <c r="B51" s="120"/>
      <c r="C51" s="304"/>
      <c r="D51" s="304"/>
      <c r="E51" s="304"/>
      <c r="F51" s="304"/>
      <c r="G51" s="304"/>
      <c r="H51" s="34"/>
    </row>
    <row r="52" spans="1:8" s="21" customFormat="1" ht="14.25">
      <c r="A52" s="999"/>
      <c r="B52" s="2323"/>
      <c r="C52" s="2324"/>
      <c r="D52" s="2324"/>
      <c r="E52" s="2324"/>
      <c r="F52" s="2324"/>
      <c r="G52" s="2324"/>
      <c r="H52" s="34"/>
    </row>
    <row r="53" spans="1:8" s="21" customFormat="1" ht="12">
      <c r="A53" s="999"/>
      <c r="B53" s="120"/>
      <c r="C53" s="211"/>
      <c r="D53" s="211"/>
      <c r="E53" s="211"/>
      <c r="F53" s="211"/>
      <c r="G53" s="211"/>
      <c r="H53" s="34"/>
    </row>
    <row r="54" spans="1:8" s="21" customFormat="1" ht="12">
      <c r="A54" s="999"/>
      <c r="B54" s="120"/>
      <c r="C54" s="211"/>
      <c r="D54" s="211"/>
      <c r="E54" s="211"/>
      <c r="F54" s="211"/>
      <c r="G54" s="211"/>
      <c r="H54" s="34"/>
    </row>
    <row r="55" spans="1:8" s="21" customFormat="1" ht="12">
      <c r="A55" s="999"/>
      <c r="B55" s="120"/>
      <c r="C55" s="211"/>
      <c r="D55" s="211"/>
      <c r="E55" s="211"/>
      <c r="F55" s="211"/>
      <c r="G55" s="211"/>
      <c r="H55" s="34"/>
    </row>
    <row r="56" spans="1:8" s="21" customFormat="1" ht="12">
      <c r="A56" s="999"/>
      <c r="B56" s="120" t="s">
        <v>4</v>
      </c>
      <c r="C56" s="211"/>
      <c r="D56" s="211"/>
      <c r="E56" s="211"/>
      <c r="F56" s="211"/>
      <c r="G56" s="211"/>
      <c r="H56" s="34"/>
    </row>
    <row r="57" spans="1:8" s="21" customFormat="1" ht="12">
      <c r="A57" s="999"/>
      <c r="B57" s="120" t="s">
        <v>736</v>
      </c>
      <c r="C57" s="211"/>
      <c r="D57" s="211"/>
      <c r="E57" s="211"/>
      <c r="F57" s="211"/>
      <c r="G57" s="211"/>
      <c r="H57" s="34"/>
    </row>
    <row r="58" spans="1:8" s="21" customFormat="1" ht="12">
      <c r="A58" s="120"/>
      <c r="B58" s="120"/>
      <c r="C58" s="211"/>
      <c r="D58" s="211"/>
      <c r="E58" s="211"/>
      <c r="F58" s="211"/>
      <c r="G58" s="211"/>
      <c r="H58" s="34"/>
    </row>
    <row r="59" spans="1:8" s="21" customFormat="1" ht="12">
      <c r="A59" s="190"/>
      <c r="B59" s="153"/>
      <c r="C59" s="281"/>
      <c r="D59" s="281"/>
      <c r="E59" s="281"/>
      <c r="F59" s="281"/>
      <c r="G59" s="281"/>
      <c r="H59" s="34"/>
    </row>
    <row r="60" spans="1:8" s="21" customFormat="1" ht="12">
      <c r="A60" s="120"/>
      <c r="B60" s="120"/>
      <c r="C60" s="211"/>
      <c r="D60" s="211"/>
      <c r="E60" s="211"/>
      <c r="F60" s="211"/>
      <c r="G60" s="211"/>
      <c r="H60" s="34"/>
    </row>
    <row r="61" spans="1:8" s="21" customFormat="1" ht="12">
      <c r="A61" s="120"/>
      <c r="G61" s="211"/>
      <c r="H61" s="34"/>
    </row>
    <row r="62" spans="1:8" s="21" customFormat="1" ht="12">
      <c r="A62" s="120"/>
      <c r="G62" s="211"/>
      <c r="H62" s="34"/>
    </row>
    <row r="63" spans="1:8" s="21" customFormat="1" ht="12">
      <c r="A63" s="120"/>
      <c r="G63" s="211"/>
      <c r="H63" s="34"/>
    </row>
    <row r="64" spans="1:8" s="21" customFormat="1" ht="12">
      <c r="A64" s="120"/>
      <c r="G64" s="211"/>
      <c r="H64" s="34"/>
    </row>
    <row r="65" spans="1:8" s="21" customFormat="1" ht="12">
      <c r="A65" s="120"/>
      <c r="C65" s="45"/>
      <c r="G65" s="211"/>
      <c r="H65" s="34"/>
    </row>
    <row r="66" spans="1:8">
      <c r="B66" s="1020"/>
      <c r="C66" s="1027"/>
      <c r="D66" s="1020"/>
      <c r="E66" s="1020"/>
      <c r="F66" s="1020"/>
    </row>
    <row r="72" spans="1:8">
      <c r="D72" s="327"/>
    </row>
    <row r="75" spans="1:8">
      <c r="D75" s="327"/>
    </row>
    <row r="198" spans="1:2">
      <c r="A198" s="138"/>
      <c r="B198" s="138"/>
    </row>
    <row r="199" spans="1:2">
      <c r="A199" s="138"/>
      <c r="B199" s="138"/>
    </row>
    <row r="200" spans="1:2">
      <c r="A200" s="138"/>
      <c r="B200" s="138"/>
    </row>
    <row r="201" spans="1:2">
      <c r="A201" s="138"/>
      <c r="B201" s="138"/>
    </row>
    <row r="202" spans="1:2">
      <c r="A202" s="138"/>
      <c r="B202" s="138"/>
    </row>
    <row r="232" spans="1:2">
      <c r="A232" s="138"/>
      <c r="B232" s="138"/>
    </row>
    <row r="301" spans="1:1">
      <c r="A301" s="117"/>
    </row>
    <row r="318" spans="1:1">
      <c r="A318" s="138"/>
    </row>
    <row r="319" spans="1:1">
      <c r="A319" s="138"/>
    </row>
    <row r="320" spans="1:1">
      <c r="A320" s="138"/>
    </row>
    <row r="321" spans="1:1">
      <c r="A321" s="138"/>
    </row>
    <row r="322" spans="1:1">
      <c r="A322" s="138"/>
    </row>
    <row r="323" spans="1:1">
      <c r="A323" s="138"/>
    </row>
    <row r="324" spans="1:1">
      <c r="A324" s="138"/>
    </row>
    <row r="325" spans="1:1">
      <c r="A325" s="138"/>
    </row>
    <row r="326" spans="1:1">
      <c r="A326" s="138"/>
    </row>
    <row r="327" spans="1:1">
      <c r="A327" s="138"/>
    </row>
    <row r="328" spans="1:1">
      <c r="A328" s="138"/>
    </row>
    <row r="329" spans="1:1">
      <c r="A329" s="138"/>
    </row>
    <row r="330" spans="1:1">
      <c r="A330" s="138"/>
    </row>
    <row r="331" spans="1:1">
      <c r="A331" s="138"/>
    </row>
    <row r="332" spans="1:1">
      <c r="A332" s="138"/>
    </row>
    <row r="333" spans="1:1">
      <c r="A333" s="138"/>
    </row>
    <row r="334" spans="1:1">
      <c r="A334" s="138"/>
    </row>
    <row r="335" spans="1:1">
      <c r="A335" s="138"/>
    </row>
    <row r="336" spans="1:1">
      <c r="A336" s="138"/>
    </row>
    <row r="337" spans="1:1">
      <c r="A337" s="138"/>
    </row>
    <row r="338" spans="1:1">
      <c r="A338" s="138"/>
    </row>
    <row r="339" spans="1:1">
      <c r="A339" s="138"/>
    </row>
    <row r="340" spans="1:1">
      <c r="A340" s="138"/>
    </row>
    <row r="341" spans="1:1">
      <c r="A341" s="138"/>
    </row>
    <row r="342" spans="1:1">
      <c r="A342" s="138"/>
    </row>
    <row r="343" spans="1:1">
      <c r="A343" s="138"/>
    </row>
    <row r="344" spans="1:1">
      <c r="A344" s="138"/>
    </row>
    <row r="345" spans="1:1">
      <c r="A345" s="138"/>
    </row>
    <row r="346" spans="1:1">
      <c r="A346" s="138"/>
    </row>
    <row r="347" spans="1:1">
      <c r="A347" s="138"/>
    </row>
    <row r="348" spans="1:1">
      <c r="A348" s="138"/>
    </row>
    <row r="349" spans="1:1">
      <c r="A349" s="138"/>
    </row>
    <row r="350" spans="1:1">
      <c r="A350" s="138"/>
    </row>
    <row r="351" spans="1:1">
      <c r="A351" s="138"/>
    </row>
    <row r="352" spans="1:1">
      <c r="A352" s="138"/>
    </row>
    <row r="353" spans="1:1">
      <c r="A353" s="138"/>
    </row>
    <row r="354" spans="1:1">
      <c r="A354" s="138"/>
    </row>
    <row r="355" spans="1:1">
      <c r="A355" s="138"/>
    </row>
    <row r="356" spans="1:1">
      <c r="A356" s="138"/>
    </row>
    <row r="357" spans="1:1">
      <c r="A357" s="138"/>
    </row>
    <row r="358" spans="1:1">
      <c r="A358" s="138"/>
    </row>
    <row r="359" spans="1:1">
      <c r="A359" s="138"/>
    </row>
    <row r="360" spans="1:1">
      <c r="A360" s="138"/>
    </row>
    <row r="361" spans="1:1">
      <c r="A361" s="138"/>
    </row>
    <row r="362" spans="1:1">
      <c r="A362" s="138"/>
    </row>
    <row r="363" spans="1:1">
      <c r="A363" s="138"/>
    </row>
    <row r="364" spans="1:1">
      <c r="A364" s="138"/>
    </row>
    <row r="365" spans="1:1">
      <c r="A365" s="138"/>
    </row>
    <row r="366" spans="1:1">
      <c r="A366" s="138"/>
    </row>
    <row r="367" spans="1:1">
      <c r="A367" s="138"/>
    </row>
    <row r="368" spans="1:1">
      <c r="A368" s="138"/>
    </row>
    <row r="369" spans="1:1">
      <c r="A369" s="138"/>
    </row>
    <row r="370" spans="1:1">
      <c r="A370" s="138"/>
    </row>
    <row r="371" spans="1:1">
      <c r="A371" s="138"/>
    </row>
    <row r="372" spans="1:1">
      <c r="A372" s="138"/>
    </row>
  </sheetData>
  <mergeCells count="2">
    <mergeCell ref="A8:G9"/>
    <mergeCell ref="B52:G52"/>
  </mergeCells>
  <phoneticPr fontId="27" type="noConversion"/>
  <printOptions horizontalCentered="1"/>
  <pageMargins left="0.75" right="0.5" top="0.75" bottom="0.5" header="0.25" footer="0.25"/>
  <pageSetup scale="82" fitToHeight="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8">
    <pageSetUpPr fitToPage="1"/>
  </sheetPr>
  <dimension ref="A1:D101"/>
  <sheetViews>
    <sheetView view="pageBreakPreview" zoomScale="87" zoomScaleNormal="100" zoomScaleSheetLayoutView="87" workbookViewId="0">
      <selection activeCell="E3" sqref="E3"/>
    </sheetView>
  </sheetViews>
  <sheetFormatPr defaultColWidth="10.85546875" defaultRowHeight="12"/>
  <cols>
    <col min="1" max="1" width="7.85546875" style="991" customWidth="1"/>
    <col min="2" max="2" width="42.85546875" style="991" customWidth="1"/>
    <col min="3" max="3" width="17.85546875" style="991" customWidth="1"/>
    <col min="4" max="4" width="17.7109375" style="991" customWidth="1"/>
    <col min="5" max="16384" width="10.85546875" style="991"/>
  </cols>
  <sheetData>
    <row r="1" spans="1:4">
      <c r="A1" s="117" t="s">
        <v>503</v>
      </c>
      <c r="B1" s="1631"/>
      <c r="C1" s="117" t="s">
        <v>1209</v>
      </c>
      <c r="D1" s="117"/>
    </row>
    <row r="2" spans="1:4">
      <c r="A2" s="117" t="s">
        <v>624</v>
      </c>
      <c r="B2" s="118"/>
      <c r="C2" s="117"/>
      <c r="D2" s="117"/>
    </row>
    <row r="3" spans="1:4" ht="9" customHeight="1">
      <c r="A3" s="117"/>
      <c r="B3" s="118"/>
      <c r="C3" s="193" t="s">
        <v>625</v>
      </c>
      <c r="D3" s="117"/>
    </row>
    <row r="4" spans="1:4">
      <c r="A4" s="117" t="s">
        <v>2644</v>
      </c>
      <c r="B4" s="118"/>
      <c r="C4" s="123" t="s">
        <v>766</v>
      </c>
      <c r="D4" s="117"/>
    </row>
    <row r="5" spans="1:4">
      <c r="A5" s="117" t="s">
        <v>2645</v>
      </c>
      <c r="B5" s="118"/>
      <c r="C5" s="117" t="s">
        <v>2948</v>
      </c>
      <c r="D5" s="117"/>
    </row>
    <row r="6" spans="1:4">
      <c r="A6" s="117" t="s">
        <v>1935</v>
      </c>
      <c r="B6" s="118"/>
      <c r="D6" s="117"/>
    </row>
    <row r="7" spans="1:4" ht="10.5" customHeight="1">
      <c r="A7" s="117"/>
      <c r="B7" s="118"/>
      <c r="C7" s="117"/>
      <c r="D7" s="117"/>
    </row>
    <row r="8" spans="1:4" ht="12" customHeight="1">
      <c r="A8" s="2294" t="s">
        <v>2246</v>
      </c>
      <c r="B8" s="2294"/>
      <c r="C8" s="2294"/>
      <c r="D8" s="2294"/>
    </row>
    <row r="9" spans="1:4">
      <c r="A9" s="2294"/>
      <c r="B9" s="2294"/>
      <c r="C9" s="2294"/>
      <c r="D9" s="2294"/>
    </row>
    <row r="10" spans="1:4">
      <c r="A10" s="2294"/>
      <c r="B10" s="2294"/>
      <c r="C10" s="2294"/>
      <c r="D10" s="2294"/>
    </row>
    <row r="11" spans="1:4">
      <c r="A11" s="2294"/>
      <c r="B11" s="2294"/>
      <c r="C11" s="2294"/>
      <c r="D11" s="2294"/>
    </row>
    <row r="12" spans="1:4" ht="16.5" customHeight="1">
      <c r="A12" s="2294"/>
      <c r="B12" s="2294"/>
      <c r="C12" s="2294"/>
      <c r="D12" s="2294"/>
    </row>
    <row r="13" spans="1:4" ht="16.5" customHeight="1">
      <c r="A13" s="1757"/>
      <c r="B13" s="1757"/>
      <c r="C13" s="1757"/>
      <c r="D13" s="1757"/>
    </row>
    <row r="14" spans="1:4" ht="12.75" thickBot="1">
      <c r="A14" s="194"/>
      <c r="B14" s="1632"/>
      <c r="C14" s="194"/>
      <c r="D14" s="194"/>
    </row>
    <row r="15" spans="1:4" ht="14.25">
      <c r="A15" s="1623" t="s">
        <v>53</v>
      </c>
      <c r="B15" s="118"/>
      <c r="C15" s="147" t="s">
        <v>626</v>
      </c>
      <c r="D15" s="147"/>
    </row>
    <row r="16" spans="1:4">
      <c r="A16" s="1477" t="s">
        <v>730</v>
      </c>
      <c r="B16" s="1633" t="s">
        <v>731</v>
      </c>
      <c r="C16" s="1477" t="s">
        <v>498</v>
      </c>
      <c r="D16" s="1477" t="s">
        <v>499</v>
      </c>
    </row>
    <row r="17" spans="1:4">
      <c r="A17" s="1022">
        <v>1</v>
      </c>
      <c r="B17" s="1634" t="s">
        <v>2639</v>
      </c>
      <c r="C17" s="1635"/>
      <c r="D17" s="1635">
        <v>6397191</v>
      </c>
    </row>
    <row r="18" spans="1:4">
      <c r="A18" s="1022">
        <v>2</v>
      </c>
      <c r="B18" s="1634" t="s">
        <v>1538</v>
      </c>
      <c r="C18" s="1636"/>
      <c r="D18" s="1636">
        <v>497565</v>
      </c>
    </row>
    <row r="19" spans="1:4">
      <c r="A19" s="1022">
        <v>3</v>
      </c>
      <c r="B19" s="1634" t="s">
        <v>1537</v>
      </c>
      <c r="C19" s="1636"/>
      <c r="D19" s="1636"/>
    </row>
    <row r="20" spans="1:4">
      <c r="A20" s="1022">
        <v>4</v>
      </c>
      <c r="B20" s="1634" t="s">
        <v>2247</v>
      </c>
      <c r="C20" s="1636"/>
      <c r="D20" s="1636"/>
    </row>
    <row r="21" spans="1:4">
      <c r="A21" s="1022">
        <v>5</v>
      </c>
      <c r="B21" s="1637" t="s">
        <v>2248</v>
      </c>
      <c r="C21" s="1638"/>
      <c r="D21" s="1638">
        <v>6894756</v>
      </c>
    </row>
    <row r="22" spans="1:4">
      <c r="A22" s="1022">
        <v>6</v>
      </c>
      <c r="B22" s="1634" t="s">
        <v>1538</v>
      </c>
      <c r="C22" s="1639"/>
      <c r="D22" s="1639">
        <v>156425</v>
      </c>
    </row>
    <row r="23" spans="1:4">
      <c r="A23" s="1022">
        <v>7</v>
      </c>
      <c r="B23" s="1634" t="s">
        <v>1537</v>
      </c>
      <c r="C23" s="1639"/>
      <c r="D23" s="1639"/>
    </row>
    <row r="24" spans="1:4">
      <c r="A24" s="1022">
        <v>8</v>
      </c>
      <c r="B24" s="1634" t="s">
        <v>2247</v>
      </c>
      <c r="C24" s="1639"/>
      <c r="D24" s="1639"/>
    </row>
    <row r="25" spans="1:4">
      <c r="A25" s="1022">
        <v>9</v>
      </c>
      <c r="B25" s="1637" t="s">
        <v>2249</v>
      </c>
      <c r="C25" s="1640"/>
      <c r="D25" s="1638">
        <v>7051181</v>
      </c>
    </row>
    <row r="26" spans="1:4">
      <c r="A26" s="1022">
        <v>10</v>
      </c>
      <c r="B26" s="1634" t="s">
        <v>1538</v>
      </c>
      <c r="C26" s="1636"/>
      <c r="D26" s="1636">
        <v>178675</v>
      </c>
    </row>
    <row r="27" spans="1:4">
      <c r="A27" s="1022">
        <v>11</v>
      </c>
      <c r="B27" s="1634" t="s">
        <v>1537</v>
      </c>
      <c r="C27" s="1636"/>
      <c r="D27" s="1636">
        <v>-4551</v>
      </c>
    </row>
    <row r="28" spans="1:4">
      <c r="A28" s="1022">
        <v>12</v>
      </c>
      <c r="B28" s="1634" t="s">
        <v>2247</v>
      </c>
      <c r="C28" s="1636"/>
      <c r="D28" s="1636">
        <v>-1</v>
      </c>
    </row>
    <row r="29" spans="1:4">
      <c r="A29" s="1022">
        <v>13</v>
      </c>
      <c r="B29" s="1637" t="s">
        <v>2250</v>
      </c>
      <c r="C29" s="1638"/>
      <c r="D29" s="1638">
        <v>7225304</v>
      </c>
    </row>
    <row r="30" spans="1:4">
      <c r="A30" s="1022">
        <v>14</v>
      </c>
      <c r="B30" s="1634" t="s">
        <v>1538</v>
      </c>
      <c r="C30" s="1639"/>
      <c r="D30" s="1639">
        <v>88573</v>
      </c>
    </row>
    <row r="31" spans="1:4">
      <c r="A31" s="1022">
        <v>15</v>
      </c>
      <c r="B31" s="1634" t="s">
        <v>1537</v>
      </c>
      <c r="C31" s="1639"/>
      <c r="D31" s="1639">
        <v>-27174</v>
      </c>
    </row>
    <row r="32" spans="1:4">
      <c r="A32" s="1022">
        <v>16</v>
      </c>
      <c r="B32" s="1634" t="s">
        <v>2247</v>
      </c>
      <c r="C32" s="1639"/>
      <c r="D32" s="1639"/>
    </row>
    <row r="33" spans="1:4">
      <c r="A33" s="1022">
        <v>17</v>
      </c>
      <c r="B33" s="1637" t="s">
        <v>2251</v>
      </c>
      <c r="C33" s="1640"/>
      <c r="D33" s="1638">
        <v>7286703</v>
      </c>
    </row>
    <row r="34" spans="1:4">
      <c r="A34" s="1022">
        <v>18</v>
      </c>
      <c r="B34" s="1634" t="s">
        <v>1538</v>
      </c>
      <c r="C34" s="1636"/>
      <c r="D34" s="1639">
        <v>210521</v>
      </c>
    </row>
    <row r="35" spans="1:4">
      <c r="A35" s="1022">
        <v>19</v>
      </c>
      <c r="B35" s="1634" t="s">
        <v>1537</v>
      </c>
      <c r="C35" s="1636"/>
      <c r="D35" s="1639">
        <v>-60425</v>
      </c>
    </row>
    <row r="36" spans="1:4">
      <c r="A36" s="1022">
        <v>20</v>
      </c>
      <c r="B36" s="1634" t="s">
        <v>2247</v>
      </c>
      <c r="C36" s="1636"/>
      <c r="D36" s="1639"/>
    </row>
    <row r="37" spans="1:4">
      <c r="A37" s="1022">
        <v>21</v>
      </c>
      <c r="B37" s="1637" t="s">
        <v>2252</v>
      </c>
      <c r="C37" s="1638"/>
      <c r="D37" s="1638">
        <v>7436799</v>
      </c>
    </row>
    <row r="38" spans="1:4">
      <c r="A38" s="1022">
        <v>22</v>
      </c>
      <c r="B38" s="1634" t="s">
        <v>1538</v>
      </c>
      <c r="C38" s="1639"/>
      <c r="D38" s="1639">
        <v>593992</v>
      </c>
    </row>
    <row r="39" spans="1:4">
      <c r="A39" s="1022">
        <v>23</v>
      </c>
      <c r="B39" s="1634" t="s">
        <v>1537</v>
      </c>
      <c r="C39" s="1639"/>
      <c r="D39" s="1639">
        <v>-74867</v>
      </c>
    </row>
    <row r="40" spans="1:4">
      <c r="A40" s="1022">
        <v>24</v>
      </c>
      <c r="B40" s="1634" t="s">
        <v>2247</v>
      </c>
      <c r="C40" s="1639"/>
      <c r="D40" s="1639">
        <v>-150096</v>
      </c>
    </row>
    <row r="41" spans="1:4">
      <c r="A41" s="1022">
        <v>25</v>
      </c>
      <c r="B41" s="1637" t="s">
        <v>2253</v>
      </c>
      <c r="C41" s="1640"/>
      <c r="D41" s="1638">
        <v>7805828</v>
      </c>
    </row>
    <row r="42" spans="1:4">
      <c r="A42" s="1022">
        <v>26</v>
      </c>
      <c r="B42" s="1634" t="s">
        <v>1538</v>
      </c>
      <c r="C42" s="1636"/>
      <c r="D42" s="1639">
        <v>147637</v>
      </c>
    </row>
    <row r="43" spans="1:4">
      <c r="A43" s="1022">
        <v>27</v>
      </c>
      <c r="B43" s="1634" t="s">
        <v>1537</v>
      </c>
      <c r="C43" s="1636"/>
      <c r="D43" s="1639">
        <v>-29299</v>
      </c>
    </row>
    <row r="44" spans="1:4">
      <c r="A44" s="1022">
        <v>28</v>
      </c>
      <c r="B44" s="1634" t="s">
        <v>2247</v>
      </c>
      <c r="C44" s="1636"/>
      <c r="D44" s="1639">
        <v>-1</v>
      </c>
    </row>
    <row r="45" spans="1:4">
      <c r="A45" s="1022">
        <v>29</v>
      </c>
      <c r="B45" s="1637" t="s">
        <v>2254</v>
      </c>
      <c r="C45" s="1638"/>
      <c r="D45" s="1638">
        <v>7924165</v>
      </c>
    </row>
    <row r="46" spans="1:4">
      <c r="A46" s="1022">
        <v>30</v>
      </c>
      <c r="B46" s="1634" t="s">
        <v>1538</v>
      </c>
      <c r="C46" s="1639"/>
      <c r="D46" s="1639">
        <v>570086</v>
      </c>
    </row>
    <row r="47" spans="1:4">
      <c r="A47" s="1022">
        <v>31</v>
      </c>
      <c r="B47" s="1634" t="s">
        <v>1537</v>
      </c>
      <c r="C47" s="1639"/>
      <c r="D47" s="1639">
        <v>-123014</v>
      </c>
    </row>
    <row r="48" spans="1:4">
      <c r="A48" s="1022">
        <v>32</v>
      </c>
      <c r="B48" s="1634" t="s">
        <v>2247</v>
      </c>
      <c r="C48" s="1639"/>
      <c r="D48" s="1639"/>
    </row>
    <row r="49" spans="1:4">
      <c r="A49" s="1022">
        <v>33</v>
      </c>
      <c r="B49" s="1637" t="s">
        <v>2255</v>
      </c>
      <c r="C49" s="1640"/>
      <c r="D49" s="1638">
        <v>8371237</v>
      </c>
    </row>
    <row r="50" spans="1:4">
      <c r="A50" s="1641"/>
      <c r="B50" s="1634"/>
      <c r="C50" s="1642"/>
      <c r="D50" s="1642"/>
    </row>
    <row r="51" spans="1:4">
      <c r="A51" s="1641"/>
      <c r="B51" s="1634"/>
      <c r="C51" s="1642"/>
      <c r="D51" s="1642"/>
    </row>
    <row r="52" spans="1:4">
      <c r="A52" s="1641"/>
      <c r="B52" s="1634"/>
      <c r="C52" s="1642"/>
      <c r="D52" s="1642"/>
    </row>
    <row r="53" spans="1:4">
      <c r="A53" s="1641"/>
      <c r="B53" s="1634"/>
      <c r="C53" s="1642"/>
      <c r="D53" s="1642"/>
    </row>
    <row r="54" spans="1:4" ht="14.25">
      <c r="A54" s="1641"/>
      <c r="B54" s="1643"/>
      <c r="C54" s="1642"/>
      <c r="D54" s="1642"/>
    </row>
    <row r="55" spans="1:4" ht="14.25">
      <c r="A55" s="1641"/>
      <c r="B55" s="1644"/>
      <c r="C55" s="1645"/>
      <c r="D55" s="1645"/>
    </row>
    <row r="56" spans="1:4" ht="14.25">
      <c r="A56" s="1641"/>
      <c r="B56" s="1644"/>
      <c r="C56" s="1646"/>
      <c r="D56" s="1646"/>
    </row>
    <row r="57" spans="1:4">
      <c r="A57" s="1641"/>
      <c r="B57" s="1647"/>
      <c r="C57" s="1646"/>
      <c r="D57" s="1646"/>
    </row>
    <row r="58" spans="1:4">
      <c r="A58" s="1641"/>
      <c r="B58" s="1647"/>
      <c r="C58" s="1645"/>
      <c r="D58" s="1645"/>
    </row>
    <row r="59" spans="1:4">
      <c r="A59" s="1641"/>
      <c r="B59" s="1647"/>
      <c r="C59" s="1645"/>
      <c r="D59" s="1645"/>
    </row>
    <row r="60" spans="1:4">
      <c r="A60" s="1641"/>
      <c r="B60" s="1647"/>
      <c r="C60" s="1646"/>
      <c r="D60" s="1646"/>
    </row>
    <row r="61" spans="1:4">
      <c r="A61" s="1641"/>
      <c r="B61" s="1647"/>
      <c r="C61" s="1645"/>
      <c r="D61" s="1645"/>
    </row>
    <row r="62" spans="1:4">
      <c r="A62" s="1641"/>
      <c r="B62" s="1647"/>
      <c r="C62" s="1646"/>
      <c r="D62" s="1646"/>
    </row>
    <row r="63" spans="1:4">
      <c r="A63" s="1641"/>
      <c r="B63" s="1647"/>
      <c r="C63" s="1646"/>
      <c r="D63" s="1646"/>
    </row>
    <row r="64" spans="1:4">
      <c r="A64" s="1648"/>
      <c r="B64" s="1649"/>
      <c r="C64" s="1645"/>
      <c r="D64" s="1645"/>
    </row>
    <row r="65" spans="1:4">
      <c r="A65" s="1648"/>
      <c r="B65" s="1649"/>
      <c r="C65" s="1645"/>
      <c r="D65" s="1645"/>
    </row>
    <row r="66" spans="1:4">
      <c r="A66" s="1648"/>
      <c r="B66" s="1649"/>
      <c r="C66" s="1646"/>
      <c r="D66" s="1646"/>
    </row>
    <row r="67" spans="1:4">
      <c r="A67" s="1000"/>
      <c r="B67" s="1349"/>
      <c r="C67" s="1349"/>
      <c r="D67" s="1349"/>
    </row>
    <row r="87" spans="1:1">
      <c r="A87" s="1108"/>
    </row>
    <row r="88" spans="1:1">
      <c r="A88" s="1108"/>
    </row>
    <row r="89" spans="1:1">
      <c r="A89" s="1108"/>
    </row>
    <row r="90" spans="1:1">
      <c r="A90" s="1108"/>
    </row>
    <row r="91" spans="1:1">
      <c r="A91" s="1108"/>
    </row>
    <row r="92" spans="1:1">
      <c r="A92" s="1108"/>
    </row>
    <row r="93" spans="1:1">
      <c r="A93" s="1108"/>
    </row>
    <row r="94" spans="1:1">
      <c r="A94" s="1108"/>
    </row>
    <row r="95" spans="1:1">
      <c r="A95" s="1108"/>
    </row>
    <row r="96" spans="1:1">
      <c r="A96" s="1108"/>
    </row>
    <row r="97" spans="1:1">
      <c r="A97" s="1108"/>
    </row>
    <row r="98" spans="1:1">
      <c r="A98" s="1108"/>
    </row>
    <row r="99" spans="1:1">
      <c r="A99" s="1108"/>
    </row>
    <row r="100" spans="1:1">
      <c r="A100" s="1108"/>
    </row>
    <row r="101" spans="1:1">
      <c r="A101" s="1108"/>
    </row>
  </sheetData>
  <mergeCells count="1">
    <mergeCell ref="A8:D12"/>
  </mergeCells>
  <phoneticPr fontId="27" type="noConversion"/>
  <printOptions horizontalCentered="1"/>
  <pageMargins left="0.75" right="0.5" top="0.75" bottom="0.5" header="0.25" footer="0.25"/>
  <pageSetup orientation="portrait" r:id="rId1"/>
  <headerFooter alignWithMargins="0">
    <oddFooter xml:space="preserve">&amp;C&amp;"Garmond (W1),Bold"
</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54">
    <pageSetUpPr fitToPage="1"/>
  </sheetPr>
  <dimension ref="A1:H361"/>
  <sheetViews>
    <sheetView view="pageBreakPreview" zoomScale="60" zoomScaleNormal="100" workbookViewId="0">
      <selection sqref="A1:XFD1048576"/>
    </sheetView>
  </sheetViews>
  <sheetFormatPr defaultColWidth="10.85546875" defaultRowHeight="12.75"/>
  <cols>
    <col min="1" max="1" width="4.42578125" style="120" customWidth="1"/>
    <col min="2" max="2" width="31.28515625" style="120" customWidth="1"/>
    <col min="3" max="3" width="12.85546875" style="120" customWidth="1"/>
    <col min="4" max="4" width="12.140625" style="120" customWidth="1"/>
    <col min="5" max="5" width="12" style="120" customWidth="1"/>
    <col min="6" max="6" width="11.42578125" style="120" customWidth="1"/>
    <col min="7" max="7" width="12.28515625" style="120" customWidth="1"/>
    <col min="8" max="8" width="10.85546875" style="120"/>
    <col min="9" max="16384" width="10.85546875" style="11"/>
  </cols>
  <sheetData>
    <row r="1" spans="1:8" s="21" customFormat="1" ht="12">
      <c r="A1" s="117" t="s">
        <v>366</v>
      </c>
      <c r="B1" s="117"/>
      <c r="C1" s="143"/>
      <c r="E1" s="117" t="s">
        <v>1209</v>
      </c>
      <c r="G1" s="117"/>
      <c r="H1" s="120"/>
    </row>
    <row r="2" spans="1:8" s="21" customFormat="1" ht="12">
      <c r="A2" s="117"/>
      <c r="B2" s="117"/>
      <c r="C2" s="143"/>
      <c r="E2" s="117" t="s">
        <v>1167</v>
      </c>
      <c r="G2" s="117"/>
      <c r="H2" s="120"/>
    </row>
    <row r="3" spans="1:8" s="21" customFormat="1" ht="12">
      <c r="A3" s="117" t="s">
        <v>2644</v>
      </c>
      <c r="B3" s="117"/>
      <c r="C3" s="143"/>
      <c r="E3" s="140" t="s">
        <v>766</v>
      </c>
      <c r="G3" s="117"/>
      <c r="H3" s="120"/>
    </row>
    <row r="4" spans="1:8" s="21" customFormat="1" ht="12">
      <c r="A4" s="117" t="s">
        <v>2645</v>
      </c>
      <c r="B4" s="117"/>
      <c r="C4" s="144"/>
      <c r="E4" s="345" t="s">
        <v>2948</v>
      </c>
      <c r="G4" s="117"/>
      <c r="H4" s="120"/>
    </row>
    <row r="5" spans="1:8" s="21" customFormat="1" ht="12">
      <c r="A5" s="117" t="s">
        <v>1935</v>
      </c>
      <c r="B5" s="117"/>
      <c r="C5" s="117"/>
      <c r="E5" s="117" t="s">
        <v>5</v>
      </c>
      <c r="G5" s="117"/>
      <c r="H5" s="120"/>
    </row>
    <row r="6" spans="1:8" s="21" customFormat="1" ht="12">
      <c r="A6" s="123" t="s">
        <v>683</v>
      </c>
      <c r="B6" s="117"/>
      <c r="C6" s="117"/>
      <c r="D6" s="117"/>
      <c r="E6" s="117" t="s">
        <v>1503</v>
      </c>
      <c r="F6" s="117"/>
      <c r="G6" s="117"/>
      <c r="H6" s="120"/>
    </row>
    <row r="7" spans="1:8" s="21" customFormat="1" ht="12">
      <c r="A7" s="123" t="s">
        <v>1343</v>
      </c>
      <c r="B7" s="117"/>
      <c r="C7" s="117"/>
      <c r="D7" s="117"/>
      <c r="E7" s="120"/>
      <c r="F7" s="117"/>
      <c r="G7" s="117"/>
      <c r="H7" s="120"/>
    </row>
    <row r="8" spans="1:8" s="21" customFormat="1" ht="12">
      <c r="A8" s="117"/>
      <c r="B8" s="117"/>
      <c r="C8" s="117"/>
      <c r="D8" s="117"/>
      <c r="E8" s="117"/>
      <c r="F8" s="117"/>
      <c r="G8" s="117"/>
      <c r="H8" s="120"/>
    </row>
    <row r="9" spans="1:8" s="21" customFormat="1" ht="12">
      <c r="A9" s="2307" t="s">
        <v>621</v>
      </c>
      <c r="B9" s="2297"/>
      <c r="C9" s="2297"/>
      <c r="D9" s="2297"/>
      <c r="E9" s="2297"/>
      <c r="F9" s="2297"/>
      <c r="G9" s="2297"/>
      <c r="H9" s="120"/>
    </row>
    <row r="10" spans="1:8" s="21" customFormat="1" ht="12">
      <c r="A10" s="2297"/>
      <c r="B10" s="2297"/>
      <c r="C10" s="2297"/>
      <c r="D10" s="2297"/>
      <c r="E10" s="2297"/>
      <c r="F10" s="2297"/>
      <c r="G10" s="2297"/>
      <c r="H10" s="120"/>
    </row>
    <row r="11" spans="1:8" s="21" customFormat="1" ht="3" customHeight="1">
      <c r="A11" s="2297"/>
      <c r="B11" s="2297"/>
      <c r="C11" s="2297"/>
      <c r="D11" s="2297"/>
      <c r="E11" s="2297"/>
      <c r="F11" s="2297"/>
      <c r="G11" s="2297"/>
      <c r="H11" s="120"/>
    </row>
    <row r="12" spans="1:8" s="21" customFormat="1" ht="12" hidden="1">
      <c r="A12" s="2297"/>
      <c r="B12" s="2297"/>
      <c r="C12" s="2297"/>
      <c r="D12" s="2297"/>
      <c r="E12" s="2297"/>
      <c r="F12" s="2297"/>
      <c r="G12" s="2297"/>
      <c r="H12" s="120"/>
    </row>
    <row r="13" spans="1:8" s="21" customFormat="1" thickBot="1">
      <c r="A13" s="124"/>
      <c r="B13" s="124"/>
      <c r="C13" s="124"/>
      <c r="D13" s="124"/>
      <c r="E13" s="124"/>
      <c r="F13" s="124"/>
      <c r="G13" s="124"/>
      <c r="H13" s="120"/>
    </row>
    <row r="14" spans="1:8" s="21" customFormat="1" ht="12">
      <c r="A14" s="127" t="s">
        <v>53</v>
      </c>
      <c r="B14" s="117"/>
      <c r="C14" s="148" t="s">
        <v>81</v>
      </c>
      <c r="D14" s="148" t="s">
        <v>728</v>
      </c>
      <c r="E14" s="148" t="s">
        <v>728</v>
      </c>
      <c r="F14" s="193"/>
      <c r="G14" s="193"/>
      <c r="H14" s="120"/>
    </row>
    <row r="15" spans="1:8" s="21" customFormat="1" ht="12">
      <c r="A15" s="806" t="s">
        <v>730</v>
      </c>
      <c r="B15" s="805" t="s">
        <v>731</v>
      </c>
      <c r="C15" s="805" t="s">
        <v>1293</v>
      </c>
      <c r="D15" s="805" t="s">
        <v>733</v>
      </c>
      <c r="E15" s="805" t="s">
        <v>869</v>
      </c>
      <c r="F15" s="805" t="s">
        <v>498</v>
      </c>
      <c r="G15" s="805" t="s">
        <v>499</v>
      </c>
      <c r="H15" s="120"/>
    </row>
    <row r="16" spans="1:8" s="21" customFormat="1" ht="12">
      <c r="A16" s="153">
        <v>1</v>
      </c>
      <c r="B16" s="120" t="s">
        <v>512</v>
      </c>
      <c r="C16" s="181"/>
      <c r="D16" s="181"/>
      <c r="E16" s="181">
        <v>0</v>
      </c>
      <c r="F16" s="181"/>
      <c r="G16" s="181"/>
      <c r="H16" s="120"/>
    </row>
    <row r="17" spans="1:8" s="21" customFormat="1" ht="12">
      <c r="A17" s="153">
        <v>2</v>
      </c>
      <c r="B17" s="120"/>
      <c r="C17" s="150"/>
      <c r="D17" s="150"/>
      <c r="E17" s="150"/>
      <c r="F17" s="150"/>
      <c r="G17" s="150"/>
      <c r="H17" s="120"/>
    </row>
    <row r="18" spans="1:8" s="21" customFormat="1" ht="12">
      <c r="A18" s="153">
        <v>3</v>
      </c>
      <c r="B18" s="120" t="s">
        <v>517</v>
      </c>
      <c r="C18" s="150"/>
      <c r="D18" s="150"/>
      <c r="E18" s="150">
        <v>0</v>
      </c>
      <c r="F18" s="150"/>
      <c r="G18" s="150"/>
      <c r="H18" s="120"/>
    </row>
    <row r="19" spans="1:8" s="21" customFormat="1" ht="12">
      <c r="A19" s="153">
        <v>4</v>
      </c>
      <c r="B19" s="120" t="s">
        <v>1140</v>
      </c>
      <c r="C19" s="150"/>
      <c r="D19" s="150"/>
      <c r="E19" s="150"/>
      <c r="F19" s="150"/>
      <c r="G19" s="150"/>
      <c r="H19" s="120"/>
    </row>
    <row r="20" spans="1:8" s="21" customFormat="1" ht="12">
      <c r="A20" s="153">
        <v>5</v>
      </c>
      <c r="B20" s="120"/>
      <c r="C20" s="150"/>
      <c r="D20" s="150"/>
      <c r="E20" s="150"/>
      <c r="F20" s="150"/>
      <c r="G20" s="150"/>
      <c r="H20" s="120"/>
    </row>
    <row r="21" spans="1:8" s="21" customFormat="1" ht="12">
      <c r="A21" s="153">
        <v>6</v>
      </c>
      <c r="B21" s="120" t="s">
        <v>1309</v>
      </c>
      <c r="C21" s="150">
        <v>789.69999999999993</v>
      </c>
      <c r="D21" s="150">
        <v>4984.1613676418665</v>
      </c>
      <c r="E21" s="150">
        <v>5773.8613676418663</v>
      </c>
      <c r="F21" s="150">
        <v>0</v>
      </c>
      <c r="G21" s="150">
        <v>5773.8613676418663</v>
      </c>
      <c r="H21" s="120"/>
    </row>
    <row r="22" spans="1:8" s="21" customFormat="1" ht="12">
      <c r="A22" s="153">
        <v>7</v>
      </c>
      <c r="B22" s="120"/>
      <c r="C22" s="150"/>
      <c r="D22" s="150"/>
      <c r="E22" s="150"/>
      <c r="F22" s="150"/>
      <c r="G22" s="150"/>
      <c r="H22" s="120"/>
    </row>
    <row r="23" spans="1:8" s="21" customFormat="1" ht="12">
      <c r="A23" s="153">
        <v>8</v>
      </c>
      <c r="B23" s="464" t="s">
        <v>598</v>
      </c>
      <c r="C23" s="150">
        <v>111210.4</v>
      </c>
      <c r="D23" s="150">
        <v>64106.458444186952</v>
      </c>
      <c r="E23" s="150">
        <v>175316.85844418695</v>
      </c>
      <c r="F23" s="150"/>
      <c r="G23" s="150">
        <v>175316.85844418695</v>
      </c>
      <c r="H23" s="120"/>
    </row>
    <row r="24" spans="1:8" s="21" customFormat="1" ht="12">
      <c r="A24" s="153">
        <v>9</v>
      </c>
      <c r="B24" s="120"/>
      <c r="C24" s="150"/>
      <c r="D24" s="150"/>
      <c r="E24" s="150"/>
      <c r="F24" s="150"/>
      <c r="G24" s="150"/>
      <c r="H24" s="120"/>
    </row>
    <row r="25" spans="1:8" s="21" customFormat="1" ht="12">
      <c r="A25" s="153">
        <v>10</v>
      </c>
      <c r="B25" s="464" t="s">
        <v>55</v>
      </c>
      <c r="C25" s="150">
        <v>-20818.25</v>
      </c>
      <c r="D25" s="150">
        <v>20818.25</v>
      </c>
      <c r="E25" s="150">
        <v>0</v>
      </c>
      <c r="F25" s="150"/>
      <c r="G25" s="150"/>
      <c r="H25" s="120"/>
    </row>
    <row r="26" spans="1:8" s="21" customFormat="1" ht="12">
      <c r="A26" s="153">
        <v>11</v>
      </c>
      <c r="B26" s="120"/>
      <c r="C26" s="150"/>
      <c r="D26" s="150"/>
      <c r="E26" s="150"/>
      <c r="F26" s="150"/>
      <c r="G26" s="150"/>
      <c r="H26" s="120"/>
    </row>
    <row r="27" spans="1:8" s="21" customFormat="1" ht="12">
      <c r="A27" s="153">
        <v>12</v>
      </c>
      <c r="B27" s="120" t="s">
        <v>1379</v>
      </c>
      <c r="C27" s="167"/>
      <c r="D27" s="150"/>
      <c r="E27" s="150"/>
      <c r="F27" s="150"/>
      <c r="G27" s="150"/>
      <c r="H27" s="120"/>
    </row>
    <row r="28" spans="1:8" s="21" customFormat="1" ht="12">
      <c r="A28" s="153">
        <v>13</v>
      </c>
      <c r="B28" s="120" t="s">
        <v>1175</v>
      </c>
      <c r="C28" s="182">
        <v>0</v>
      </c>
      <c r="D28" s="182">
        <v>0</v>
      </c>
      <c r="E28" s="182">
        <v>0</v>
      </c>
      <c r="F28" s="182">
        <v>0</v>
      </c>
      <c r="G28" s="182">
        <v>0</v>
      </c>
      <c r="H28" s="120"/>
    </row>
    <row r="29" spans="1:8" s="21" customFormat="1" ht="12">
      <c r="A29" s="153">
        <v>14</v>
      </c>
      <c r="B29" s="120"/>
      <c r="C29" s="120"/>
      <c r="D29" s="120"/>
      <c r="E29" s="120"/>
      <c r="F29" s="120"/>
      <c r="G29" s="120"/>
      <c r="H29" s="120"/>
    </row>
    <row r="30" spans="1:8" s="21" customFormat="1" thickBot="1">
      <c r="A30" s="153">
        <v>15</v>
      </c>
      <c r="B30" s="120" t="s">
        <v>912</v>
      </c>
      <c r="C30" s="187">
        <v>91181.849999999991</v>
      </c>
      <c r="D30" s="187">
        <v>89908.869811828816</v>
      </c>
      <c r="E30" s="187">
        <v>181090.71981182881</v>
      </c>
      <c r="F30" s="187">
        <v>0</v>
      </c>
      <c r="G30" s="187">
        <v>181090.71981182881</v>
      </c>
      <c r="H30" s="120"/>
    </row>
    <row r="31" spans="1:8" s="21" customFormat="1" thickTop="1">
      <c r="A31" s="153">
        <v>16</v>
      </c>
      <c r="B31" s="120"/>
      <c r="C31" s="120"/>
      <c r="D31" s="120"/>
      <c r="E31" s="120"/>
      <c r="F31" s="120"/>
      <c r="G31" s="158"/>
      <c r="H31" s="120"/>
    </row>
    <row r="32" spans="1:8" s="21" customFormat="1" ht="12">
      <c r="A32" s="153">
        <v>17</v>
      </c>
      <c r="B32" s="134" t="s">
        <v>581</v>
      </c>
      <c r="C32" s="120"/>
      <c r="D32" s="120"/>
      <c r="E32" s="120"/>
      <c r="F32" s="120"/>
      <c r="G32" s="120"/>
      <c r="H32" s="120"/>
    </row>
    <row r="33" spans="1:8" s="21" customFormat="1" ht="12">
      <c r="A33" s="153">
        <v>18</v>
      </c>
      <c r="B33" s="134" t="s">
        <v>582</v>
      </c>
      <c r="C33" s="120"/>
      <c r="D33" s="120"/>
      <c r="E33" s="120"/>
      <c r="F33" s="120"/>
      <c r="G33" s="120"/>
      <c r="H33" s="120"/>
    </row>
    <row r="34" spans="1:8" s="21" customFormat="1" ht="12">
      <c r="A34" s="153">
        <v>19</v>
      </c>
      <c r="B34" s="120"/>
      <c r="C34" s="117"/>
      <c r="D34" s="117"/>
      <c r="E34" s="117"/>
      <c r="F34" s="127" t="s">
        <v>81</v>
      </c>
      <c r="G34" s="127" t="s">
        <v>583</v>
      </c>
      <c r="H34" s="120"/>
    </row>
    <row r="35" spans="1:8" s="21" customFormat="1" ht="12">
      <c r="A35" s="153">
        <v>20</v>
      </c>
      <c r="B35" s="120"/>
      <c r="C35" s="117"/>
      <c r="D35" s="117"/>
      <c r="E35" s="117"/>
      <c r="F35" s="127" t="s">
        <v>616</v>
      </c>
      <c r="G35" s="127" t="s">
        <v>616</v>
      </c>
      <c r="H35" s="120"/>
    </row>
    <row r="36" spans="1:8" s="21" customFormat="1" ht="14.25">
      <c r="A36" s="153">
        <v>21</v>
      </c>
      <c r="B36" s="753" t="s">
        <v>586</v>
      </c>
      <c r="C36" s="128" t="s">
        <v>978</v>
      </c>
      <c r="D36" s="128" t="s">
        <v>587</v>
      </c>
      <c r="E36" s="128" t="s">
        <v>615</v>
      </c>
      <c r="F36" s="128" t="s">
        <v>615</v>
      </c>
      <c r="G36" s="128" t="s">
        <v>615</v>
      </c>
      <c r="H36" s="120"/>
    </row>
    <row r="37" spans="1:8" s="21" customFormat="1" ht="12">
      <c r="A37" s="153">
        <v>22</v>
      </c>
      <c r="B37" s="120"/>
      <c r="C37" s="120"/>
      <c r="D37" s="120"/>
      <c r="E37" s="120"/>
      <c r="F37" s="120"/>
      <c r="G37" s="120"/>
      <c r="H37" s="120"/>
    </row>
    <row r="38" spans="1:8" s="21" customFormat="1" ht="12">
      <c r="A38" s="153">
        <v>23</v>
      </c>
      <c r="B38" s="120" t="s">
        <v>514</v>
      </c>
      <c r="C38" s="181"/>
      <c r="D38" s="352"/>
      <c r="E38" s="181"/>
      <c r="F38" s="181"/>
      <c r="G38" s="181"/>
      <c r="H38" s="120"/>
    </row>
    <row r="39" spans="1:8" s="21" customFormat="1" ht="12">
      <c r="A39" s="153">
        <v>24</v>
      </c>
      <c r="B39" s="120"/>
      <c r="C39" s="150"/>
      <c r="D39" s="150"/>
      <c r="E39" s="150"/>
      <c r="F39" s="150"/>
      <c r="G39" s="150"/>
      <c r="H39" s="120"/>
    </row>
    <row r="40" spans="1:8" s="21" customFormat="1" ht="12">
      <c r="A40" s="153">
        <v>25</v>
      </c>
      <c r="B40" s="120" t="s">
        <v>660</v>
      </c>
      <c r="C40" s="150"/>
      <c r="D40" s="150"/>
      <c r="E40" s="150"/>
      <c r="F40" s="150"/>
      <c r="G40" s="150"/>
      <c r="H40" s="120"/>
    </row>
    <row r="41" spans="1:8" s="21" customFormat="1" ht="12">
      <c r="A41" s="153">
        <v>26</v>
      </c>
      <c r="B41" s="120" t="s">
        <v>661</v>
      </c>
      <c r="C41" s="150"/>
      <c r="D41" s="150"/>
      <c r="E41" s="150"/>
      <c r="F41" s="150"/>
      <c r="G41" s="167"/>
      <c r="H41" s="120"/>
    </row>
    <row r="42" spans="1:8" s="21" customFormat="1" ht="12">
      <c r="A42" s="153">
        <v>27</v>
      </c>
      <c r="B42" s="120"/>
      <c r="C42" s="150"/>
      <c r="D42" s="150"/>
      <c r="E42" s="150"/>
      <c r="F42" s="150"/>
      <c r="G42" s="150"/>
      <c r="H42" s="120"/>
    </row>
    <row r="43" spans="1:8" s="21" customFormat="1" ht="14.25">
      <c r="A43" s="153">
        <v>28</v>
      </c>
      <c r="B43" s="120" t="s">
        <v>591</v>
      </c>
      <c r="C43" s="188"/>
      <c r="D43" s="188"/>
      <c r="E43" s="188"/>
      <c r="F43" s="188"/>
      <c r="G43" s="353"/>
      <c r="H43" s="120"/>
    </row>
    <row r="44" spans="1:8" s="21" customFormat="1" ht="12">
      <c r="A44" s="153">
        <v>29</v>
      </c>
      <c r="B44" s="120"/>
      <c r="C44" s="120"/>
      <c r="D44" s="120"/>
      <c r="E44" s="120"/>
      <c r="F44" s="120"/>
      <c r="G44" s="120"/>
      <c r="H44" s="120"/>
    </row>
    <row r="45" spans="1:8" s="21" customFormat="1" ht="14.25">
      <c r="A45" s="153">
        <v>30</v>
      </c>
      <c r="B45" s="120" t="s">
        <v>1299</v>
      </c>
      <c r="C45" s="183"/>
      <c r="D45" s="183"/>
      <c r="E45" s="183"/>
      <c r="F45" s="183"/>
      <c r="G45" s="183"/>
      <c r="H45" s="120"/>
    </row>
    <row r="46" spans="1:8" s="21" customFormat="1" ht="12">
      <c r="A46" s="153">
        <v>31</v>
      </c>
      <c r="B46" s="120"/>
      <c r="C46" s="120"/>
      <c r="D46" s="120"/>
      <c r="E46" s="120"/>
      <c r="F46" s="120"/>
      <c r="G46" s="120"/>
      <c r="H46" s="120"/>
    </row>
    <row r="47" spans="1:8" s="21" customFormat="1" ht="12">
      <c r="A47" s="153">
        <v>32</v>
      </c>
      <c r="B47" s="120" t="s">
        <v>858</v>
      </c>
      <c r="C47" s="120"/>
      <c r="D47" s="120"/>
      <c r="E47" s="120"/>
      <c r="F47" s="120"/>
      <c r="G47" s="120"/>
      <c r="H47" s="120"/>
    </row>
    <row r="48" spans="1:8" s="21" customFormat="1" ht="12">
      <c r="A48" s="153">
        <v>33</v>
      </c>
      <c r="B48" s="120"/>
      <c r="C48" s="120"/>
      <c r="D48" s="120"/>
      <c r="E48" s="120"/>
      <c r="F48" s="120"/>
      <c r="G48" s="120"/>
      <c r="H48" s="120"/>
    </row>
    <row r="49" spans="1:8" s="21" customFormat="1" ht="14.25">
      <c r="A49" s="153">
        <v>34</v>
      </c>
      <c r="B49" s="120" t="s">
        <v>859</v>
      </c>
      <c r="C49" s="188"/>
      <c r="D49" s="120"/>
      <c r="E49" s="120"/>
      <c r="F49" s="120"/>
      <c r="G49" s="120"/>
      <c r="H49" s="120"/>
    </row>
    <row r="50" spans="1:8" s="21" customFormat="1" ht="12">
      <c r="A50" s="153">
        <v>35</v>
      </c>
      <c r="B50" s="120"/>
      <c r="C50" s="120"/>
      <c r="D50" s="120"/>
      <c r="E50" s="120"/>
      <c r="F50" s="120"/>
      <c r="G50" s="120"/>
      <c r="H50" s="120"/>
    </row>
    <row r="51" spans="1:8" s="21" customFormat="1" ht="14.25">
      <c r="A51" s="153">
        <v>36</v>
      </c>
      <c r="B51" s="120" t="s">
        <v>735</v>
      </c>
      <c r="C51" s="183"/>
      <c r="D51" s="120"/>
      <c r="E51" s="120"/>
      <c r="F51" s="120"/>
      <c r="G51" s="120"/>
      <c r="H51" s="120"/>
    </row>
    <row r="52" spans="1:8" s="21" customFormat="1" ht="12">
      <c r="A52" s="148"/>
      <c r="B52" s="120"/>
      <c r="C52" s="120"/>
      <c r="D52" s="120"/>
      <c r="E52" s="120"/>
      <c r="F52" s="120"/>
      <c r="G52" s="120"/>
      <c r="H52" s="120"/>
    </row>
    <row r="53" spans="1:8" s="21" customFormat="1" ht="12">
      <c r="A53" s="153"/>
      <c r="B53" s="120"/>
      <c r="C53" s="120"/>
      <c r="D53" s="120"/>
      <c r="E53" s="120"/>
      <c r="F53" s="120"/>
      <c r="G53" s="120"/>
      <c r="H53" s="120"/>
    </row>
    <row r="54" spans="1:8" s="21" customFormat="1" ht="12">
      <c r="A54" s="153"/>
      <c r="B54" s="120"/>
      <c r="C54" s="120"/>
      <c r="D54" s="120"/>
      <c r="E54" s="120"/>
      <c r="F54" s="120"/>
      <c r="G54" s="120"/>
      <c r="H54" s="120"/>
    </row>
    <row r="55" spans="1:8" s="21" customFormat="1" ht="12">
      <c r="A55" s="120"/>
      <c r="B55" s="120"/>
      <c r="C55" s="120"/>
      <c r="D55" s="120"/>
      <c r="E55" s="120"/>
      <c r="F55" s="120"/>
      <c r="G55" s="120"/>
      <c r="H55" s="120"/>
    </row>
    <row r="56" spans="1:8" s="21" customFormat="1" ht="12">
      <c r="A56" s="120"/>
      <c r="B56" s="120"/>
      <c r="C56" s="120"/>
      <c r="D56" s="120"/>
      <c r="E56" s="120"/>
      <c r="F56" s="120"/>
      <c r="G56" s="120"/>
      <c r="H56" s="120"/>
    </row>
    <row r="57" spans="1:8" s="21" customFormat="1" ht="12">
      <c r="A57" s="120"/>
      <c r="B57" s="120"/>
      <c r="C57" s="120"/>
      <c r="D57" s="120"/>
      <c r="E57" s="120"/>
      <c r="F57" s="120"/>
      <c r="G57" s="120"/>
      <c r="H57" s="120"/>
    </row>
    <row r="58" spans="1:8" s="21" customFormat="1" ht="12">
      <c r="A58" s="120"/>
      <c r="B58" s="120"/>
      <c r="C58" s="120"/>
      <c r="D58" s="120"/>
      <c r="E58" s="120"/>
      <c r="F58" s="120"/>
      <c r="G58" s="120"/>
      <c r="H58" s="120"/>
    </row>
    <row r="59" spans="1:8" s="21" customFormat="1" ht="12">
      <c r="A59" s="120"/>
      <c r="B59" s="120"/>
      <c r="C59" s="120"/>
      <c r="D59" s="120"/>
      <c r="E59" s="120"/>
      <c r="F59" s="120"/>
      <c r="G59" s="120"/>
      <c r="H59" s="120"/>
    </row>
    <row r="60" spans="1:8" s="21" customFormat="1" ht="12">
      <c r="A60" s="120"/>
      <c r="B60" s="120"/>
      <c r="C60" s="120"/>
      <c r="D60" s="120"/>
      <c r="E60" s="120"/>
      <c r="F60" s="120"/>
      <c r="G60" s="120"/>
      <c r="H60" s="120"/>
    </row>
    <row r="61" spans="1:8" s="21" customFormat="1" ht="12">
      <c r="A61" s="120"/>
      <c r="B61" s="120"/>
      <c r="C61" s="120"/>
      <c r="D61" s="137"/>
      <c r="E61" s="120"/>
      <c r="F61" s="120"/>
      <c r="G61" s="120"/>
      <c r="H61" s="120"/>
    </row>
    <row r="62" spans="1:8" s="21" customFormat="1" ht="12">
      <c r="A62" s="120"/>
      <c r="B62" s="120"/>
      <c r="C62" s="120"/>
      <c r="D62" s="120"/>
      <c r="E62" s="120"/>
      <c r="F62" s="120"/>
      <c r="G62" s="120"/>
      <c r="H62" s="120"/>
    </row>
    <row r="63" spans="1:8" s="21" customFormat="1" ht="12">
      <c r="A63" s="120"/>
      <c r="B63" s="120"/>
      <c r="C63" s="120"/>
      <c r="D63" s="120"/>
      <c r="E63" s="120"/>
      <c r="F63" s="120"/>
      <c r="G63" s="120"/>
      <c r="H63" s="120"/>
    </row>
    <row r="64" spans="1:8" s="21" customFormat="1" ht="12">
      <c r="A64" s="120"/>
      <c r="B64" s="120"/>
      <c r="C64" s="120"/>
      <c r="D64" s="137"/>
      <c r="E64" s="120"/>
      <c r="F64" s="120"/>
      <c r="G64" s="120"/>
      <c r="H64" s="120"/>
    </row>
    <row r="65" spans="1:8" s="21" customFormat="1" ht="12">
      <c r="A65" s="120"/>
      <c r="B65" s="120"/>
      <c r="C65" s="120"/>
      <c r="D65" s="120"/>
      <c r="E65" s="120"/>
      <c r="F65" s="120"/>
      <c r="G65" s="120"/>
      <c r="H65" s="120"/>
    </row>
    <row r="66" spans="1:8" s="21" customFormat="1" ht="12">
      <c r="A66" s="120"/>
      <c r="B66" s="120"/>
      <c r="C66" s="120"/>
      <c r="D66" s="120"/>
      <c r="E66" s="120"/>
      <c r="F66" s="120"/>
      <c r="G66" s="120"/>
      <c r="H66" s="120"/>
    </row>
    <row r="67" spans="1:8" s="21" customFormat="1" ht="12">
      <c r="A67" s="120"/>
      <c r="B67" s="120"/>
      <c r="C67" s="120"/>
      <c r="D67" s="120"/>
      <c r="E67" s="120"/>
      <c r="F67" s="120"/>
      <c r="G67" s="120"/>
      <c r="H67" s="120"/>
    </row>
    <row r="68" spans="1:8" s="21" customFormat="1" ht="12">
      <c r="A68" s="120"/>
      <c r="B68" s="120"/>
      <c r="C68" s="120"/>
      <c r="D68" s="120"/>
      <c r="E68" s="120"/>
      <c r="F68" s="120"/>
      <c r="G68" s="120"/>
      <c r="H68" s="120"/>
    </row>
    <row r="69" spans="1:8" s="21" customFormat="1" ht="12">
      <c r="A69" s="120"/>
      <c r="B69" s="120"/>
      <c r="C69" s="120"/>
      <c r="D69" s="120"/>
      <c r="E69" s="120"/>
      <c r="F69" s="120"/>
      <c r="G69" s="120"/>
      <c r="H69" s="120"/>
    </row>
    <row r="70" spans="1:8" s="21" customFormat="1" ht="12">
      <c r="A70" s="120"/>
      <c r="B70" s="120"/>
      <c r="C70" s="120"/>
      <c r="D70" s="120"/>
      <c r="E70" s="120"/>
      <c r="F70" s="120"/>
      <c r="G70" s="120"/>
      <c r="H70" s="120"/>
    </row>
    <row r="71" spans="1:8" s="21" customFormat="1" ht="12">
      <c r="A71" s="120"/>
      <c r="B71" s="120"/>
      <c r="C71" s="120"/>
      <c r="D71" s="120"/>
      <c r="E71" s="120"/>
      <c r="F71" s="120"/>
      <c r="G71" s="120"/>
      <c r="H71" s="120"/>
    </row>
    <row r="72" spans="1:8" s="21" customFormat="1" ht="12">
      <c r="A72" s="120"/>
      <c r="B72" s="120"/>
      <c r="C72" s="120"/>
      <c r="D72" s="120"/>
      <c r="E72" s="120"/>
      <c r="F72" s="120"/>
      <c r="G72" s="120"/>
      <c r="H72" s="120"/>
    </row>
    <row r="73" spans="1:8" s="21" customFormat="1" ht="12">
      <c r="A73" s="120"/>
      <c r="B73" s="120"/>
      <c r="C73" s="120"/>
      <c r="D73" s="120"/>
      <c r="E73" s="120"/>
      <c r="F73" s="120"/>
      <c r="G73" s="120"/>
      <c r="H73" s="120"/>
    </row>
    <row r="74" spans="1:8" s="21" customFormat="1" ht="12">
      <c r="A74" s="120"/>
      <c r="B74" s="120"/>
      <c r="C74" s="120"/>
      <c r="D74" s="120"/>
      <c r="E74" s="120"/>
      <c r="F74" s="120"/>
      <c r="G74" s="120"/>
      <c r="H74" s="120"/>
    </row>
    <row r="75" spans="1:8" s="21" customFormat="1" ht="12">
      <c r="A75" s="120"/>
      <c r="B75" s="120"/>
      <c r="C75" s="120"/>
      <c r="D75" s="120"/>
      <c r="E75" s="120"/>
      <c r="F75" s="120"/>
      <c r="G75" s="120"/>
      <c r="H75" s="120"/>
    </row>
    <row r="76" spans="1:8" s="21" customFormat="1" ht="12">
      <c r="A76" s="120"/>
      <c r="B76" s="120"/>
      <c r="C76" s="120"/>
      <c r="D76" s="120"/>
      <c r="E76" s="120"/>
      <c r="F76" s="120"/>
      <c r="G76" s="120"/>
      <c r="H76" s="120"/>
    </row>
    <row r="77" spans="1:8" s="21" customFormat="1" ht="12">
      <c r="A77" s="120"/>
      <c r="B77" s="120"/>
      <c r="C77" s="120"/>
      <c r="D77" s="120"/>
      <c r="E77" s="120"/>
      <c r="F77" s="120"/>
      <c r="G77" s="120"/>
      <c r="H77" s="120"/>
    </row>
    <row r="78" spans="1:8" s="21" customFormat="1" ht="12">
      <c r="A78" s="120"/>
      <c r="B78" s="120"/>
      <c r="C78" s="120"/>
      <c r="D78" s="120"/>
      <c r="E78" s="120"/>
      <c r="F78" s="120"/>
      <c r="G78" s="120"/>
      <c r="H78" s="120"/>
    </row>
    <row r="79" spans="1:8" s="21" customFormat="1" ht="12">
      <c r="A79" s="120"/>
      <c r="B79" s="120"/>
      <c r="C79" s="120"/>
      <c r="D79" s="120"/>
      <c r="E79" s="120"/>
      <c r="F79" s="120"/>
      <c r="G79" s="120"/>
      <c r="H79" s="120"/>
    </row>
    <row r="80" spans="1:8" s="21" customFormat="1" ht="12">
      <c r="A80" s="120"/>
      <c r="B80" s="120"/>
      <c r="C80" s="120"/>
      <c r="D80" s="120"/>
      <c r="E80" s="120"/>
      <c r="F80" s="120"/>
      <c r="G80" s="120"/>
      <c r="H80" s="120"/>
    </row>
    <row r="81" spans="1:8" s="21" customFormat="1" ht="12">
      <c r="A81" s="120"/>
      <c r="B81" s="120"/>
      <c r="C81" s="120"/>
      <c r="D81" s="120"/>
      <c r="E81" s="120"/>
      <c r="F81" s="120"/>
      <c r="G81" s="120"/>
      <c r="H81" s="120"/>
    </row>
    <row r="82" spans="1:8" s="21" customFormat="1" ht="12">
      <c r="A82" s="120"/>
      <c r="B82" s="120"/>
      <c r="C82" s="120"/>
      <c r="D82" s="120"/>
      <c r="E82" s="120"/>
      <c r="F82" s="120"/>
      <c r="G82" s="120"/>
      <c r="H82" s="120"/>
    </row>
    <row r="83" spans="1:8" s="21" customFormat="1" ht="12">
      <c r="A83" s="120"/>
      <c r="B83" s="120"/>
      <c r="C83" s="120"/>
      <c r="D83" s="120"/>
      <c r="E83" s="120"/>
      <c r="F83" s="120"/>
      <c r="G83" s="120"/>
      <c r="H83" s="120"/>
    </row>
    <row r="84" spans="1:8" s="21" customFormat="1" ht="12">
      <c r="A84" s="120"/>
      <c r="B84" s="120"/>
      <c r="C84" s="120"/>
      <c r="D84" s="120"/>
      <c r="E84" s="120"/>
      <c r="F84" s="120"/>
      <c r="G84" s="120"/>
      <c r="H84" s="120"/>
    </row>
    <row r="85" spans="1:8" s="21" customFormat="1" ht="12">
      <c r="A85" s="120"/>
      <c r="B85" s="120"/>
      <c r="C85" s="120"/>
      <c r="D85" s="120"/>
      <c r="E85" s="120"/>
      <c r="F85" s="120"/>
      <c r="G85" s="120"/>
      <c r="H85" s="120"/>
    </row>
    <row r="86" spans="1:8" s="21" customFormat="1" ht="12">
      <c r="A86" s="120"/>
      <c r="B86" s="120"/>
      <c r="C86" s="120"/>
      <c r="D86" s="120"/>
      <c r="E86" s="120"/>
      <c r="F86" s="120"/>
      <c r="G86" s="120"/>
      <c r="H86" s="120"/>
    </row>
    <row r="87" spans="1:8" s="21" customFormat="1" ht="12">
      <c r="A87" s="120"/>
      <c r="B87" s="120"/>
      <c r="C87" s="120"/>
      <c r="D87" s="120"/>
      <c r="E87" s="120"/>
      <c r="F87" s="120"/>
      <c r="G87" s="120"/>
      <c r="H87" s="120"/>
    </row>
    <row r="88" spans="1:8" s="21" customFormat="1" ht="12">
      <c r="A88" s="120"/>
      <c r="B88" s="120"/>
      <c r="C88" s="120"/>
      <c r="D88" s="120"/>
      <c r="E88" s="120"/>
      <c r="F88" s="120"/>
      <c r="G88" s="120"/>
      <c r="H88" s="120"/>
    </row>
    <row r="89" spans="1:8" s="21" customFormat="1" ht="12">
      <c r="A89" s="120"/>
      <c r="B89" s="120"/>
      <c r="C89" s="120"/>
      <c r="D89" s="120"/>
      <c r="E89" s="120"/>
      <c r="F89" s="120"/>
      <c r="G89" s="120"/>
      <c r="H89" s="120"/>
    </row>
    <row r="90" spans="1:8" s="21" customFormat="1" ht="12">
      <c r="A90" s="120"/>
      <c r="B90" s="120"/>
      <c r="C90" s="120"/>
      <c r="D90" s="120"/>
      <c r="E90" s="120"/>
      <c r="F90" s="120"/>
      <c r="G90" s="120"/>
      <c r="H90" s="120"/>
    </row>
    <row r="91" spans="1:8" s="21" customFormat="1" ht="12">
      <c r="A91" s="120"/>
      <c r="B91" s="120"/>
      <c r="C91" s="120"/>
      <c r="D91" s="120"/>
      <c r="E91" s="120"/>
      <c r="F91" s="120"/>
      <c r="G91" s="120"/>
      <c r="H91" s="120"/>
    </row>
    <row r="92" spans="1:8" s="21" customFormat="1" ht="12">
      <c r="A92" s="120"/>
      <c r="B92" s="120"/>
      <c r="C92" s="120"/>
      <c r="D92" s="120"/>
      <c r="E92" s="120"/>
      <c r="F92" s="120"/>
      <c r="G92" s="120"/>
      <c r="H92" s="120"/>
    </row>
    <row r="93" spans="1:8" s="21" customFormat="1" ht="12">
      <c r="A93" s="120"/>
      <c r="B93" s="120"/>
      <c r="C93" s="120"/>
      <c r="D93" s="120"/>
      <c r="E93" s="120"/>
      <c r="F93" s="120"/>
      <c r="G93" s="120"/>
      <c r="H93" s="120"/>
    </row>
    <row r="94" spans="1:8" s="21" customFormat="1" ht="12">
      <c r="A94" s="120"/>
      <c r="B94" s="120"/>
      <c r="C94" s="120"/>
      <c r="D94" s="120"/>
      <c r="E94" s="120"/>
      <c r="F94" s="120"/>
      <c r="G94" s="120"/>
      <c r="H94" s="120"/>
    </row>
    <row r="95" spans="1:8" s="21" customFormat="1" ht="12">
      <c r="A95" s="120"/>
      <c r="B95" s="120"/>
      <c r="C95" s="120"/>
      <c r="D95" s="120"/>
      <c r="E95" s="120"/>
      <c r="F95" s="120"/>
      <c r="G95" s="120"/>
      <c r="H95" s="120"/>
    </row>
    <row r="96" spans="1:8" s="21" customFormat="1" ht="12">
      <c r="A96" s="120"/>
      <c r="B96" s="120"/>
      <c r="C96" s="120"/>
      <c r="D96" s="120"/>
      <c r="E96" s="120"/>
      <c r="F96" s="120"/>
      <c r="G96" s="120"/>
      <c r="H96" s="120"/>
    </row>
    <row r="97" spans="1:8" s="21" customFormat="1" ht="12">
      <c r="A97" s="120"/>
      <c r="B97" s="120"/>
      <c r="C97" s="120"/>
      <c r="D97" s="120"/>
      <c r="E97" s="120"/>
      <c r="F97" s="120"/>
      <c r="G97" s="120"/>
      <c r="H97" s="120"/>
    </row>
    <row r="98" spans="1:8" s="21" customFormat="1" ht="12">
      <c r="A98" s="120"/>
      <c r="B98" s="120"/>
      <c r="C98" s="120"/>
      <c r="D98" s="120"/>
      <c r="E98" s="120"/>
      <c r="F98" s="120"/>
      <c r="G98" s="120"/>
      <c r="H98" s="120"/>
    </row>
    <row r="99" spans="1:8" s="21" customFormat="1" ht="12">
      <c r="A99" s="120"/>
      <c r="B99" s="120"/>
      <c r="C99" s="120"/>
      <c r="D99" s="120"/>
      <c r="E99" s="120"/>
      <c r="F99" s="120"/>
      <c r="G99" s="120"/>
      <c r="H99" s="120"/>
    </row>
    <row r="100" spans="1:8" s="21" customFormat="1" ht="12">
      <c r="A100" s="120"/>
      <c r="B100" s="120"/>
      <c r="C100" s="120"/>
      <c r="D100" s="120"/>
      <c r="E100" s="120"/>
      <c r="F100" s="120"/>
      <c r="G100" s="120"/>
      <c r="H100" s="120"/>
    </row>
    <row r="101" spans="1:8" s="21" customFormat="1" ht="12">
      <c r="A101" s="120"/>
      <c r="B101" s="120"/>
      <c r="C101" s="120"/>
      <c r="D101" s="120"/>
      <c r="E101" s="120"/>
      <c r="F101" s="120"/>
      <c r="G101" s="120"/>
      <c r="H101" s="120"/>
    </row>
    <row r="102" spans="1:8" s="21" customFormat="1" ht="12">
      <c r="A102" s="120"/>
      <c r="B102" s="120"/>
      <c r="C102" s="120"/>
      <c r="D102" s="120"/>
      <c r="E102" s="120"/>
      <c r="F102" s="120"/>
      <c r="G102" s="120"/>
      <c r="H102" s="120"/>
    </row>
    <row r="103" spans="1:8" s="21" customFormat="1" ht="12">
      <c r="A103" s="120"/>
      <c r="B103" s="120"/>
      <c r="C103" s="120"/>
      <c r="D103" s="120"/>
      <c r="E103" s="120"/>
      <c r="F103" s="120"/>
      <c r="G103" s="120"/>
      <c r="H103" s="120"/>
    </row>
    <row r="104" spans="1:8" s="21" customFormat="1" ht="12">
      <c r="A104" s="120"/>
      <c r="B104" s="120"/>
      <c r="C104" s="120"/>
      <c r="D104" s="120"/>
      <c r="E104" s="120"/>
      <c r="F104" s="120"/>
      <c r="G104" s="120"/>
      <c r="H104" s="120"/>
    </row>
    <row r="105" spans="1:8" s="21" customFormat="1" ht="12">
      <c r="A105" s="120"/>
      <c r="B105" s="120"/>
      <c r="C105" s="120"/>
      <c r="D105" s="120"/>
      <c r="E105" s="120"/>
      <c r="F105" s="120"/>
      <c r="G105" s="120"/>
      <c r="H105" s="120"/>
    </row>
    <row r="106" spans="1:8" s="21" customFormat="1" ht="12">
      <c r="A106" s="120"/>
      <c r="B106" s="120"/>
      <c r="C106" s="120"/>
      <c r="D106" s="120"/>
      <c r="E106" s="120"/>
      <c r="F106" s="120"/>
      <c r="G106" s="120"/>
      <c r="H106" s="120"/>
    </row>
    <row r="107" spans="1:8" s="21" customFormat="1" ht="12">
      <c r="A107" s="120"/>
      <c r="B107" s="120"/>
      <c r="C107" s="120"/>
      <c r="D107" s="120"/>
      <c r="E107" s="120"/>
      <c r="F107" s="120"/>
      <c r="G107" s="120"/>
      <c r="H107" s="120"/>
    </row>
    <row r="108" spans="1:8" s="21" customFormat="1" ht="12">
      <c r="A108" s="120"/>
      <c r="B108" s="120"/>
      <c r="C108" s="120"/>
      <c r="D108" s="120"/>
      <c r="E108" s="120"/>
      <c r="F108" s="120"/>
      <c r="G108" s="120"/>
      <c r="H108" s="120"/>
    </row>
    <row r="109" spans="1:8" s="21" customFormat="1" ht="12">
      <c r="A109" s="120"/>
      <c r="B109" s="120"/>
      <c r="C109" s="120"/>
      <c r="D109" s="120"/>
      <c r="E109" s="120"/>
      <c r="F109" s="120"/>
      <c r="G109" s="120"/>
      <c r="H109" s="120"/>
    </row>
    <row r="110" spans="1:8" s="21" customFormat="1" ht="12">
      <c r="A110" s="120"/>
      <c r="B110" s="120"/>
      <c r="C110" s="120"/>
      <c r="D110" s="120"/>
      <c r="E110" s="120"/>
      <c r="F110" s="120"/>
      <c r="G110" s="120"/>
      <c r="H110" s="120"/>
    </row>
    <row r="111" spans="1:8" s="21" customFormat="1" ht="12">
      <c r="A111" s="120"/>
      <c r="B111" s="120"/>
      <c r="C111" s="120"/>
      <c r="D111" s="120"/>
      <c r="E111" s="120"/>
      <c r="F111" s="120"/>
      <c r="G111" s="120"/>
      <c r="H111" s="120"/>
    </row>
    <row r="112" spans="1:8" s="21" customFormat="1" ht="12">
      <c r="A112" s="120"/>
      <c r="B112" s="120"/>
      <c r="C112" s="120"/>
      <c r="D112" s="120"/>
      <c r="E112" s="120"/>
      <c r="F112" s="120"/>
      <c r="G112" s="120"/>
      <c r="H112" s="120"/>
    </row>
    <row r="113" spans="1:8" s="21" customFormat="1" ht="12">
      <c r="A113" s="120"/>
      <c r="B113" s="120"/>
      <c r="C113" s="120"/>
      <c r="D113" s="120"/>
      <c r="E113" s="120"/>
      <c r="F113" s="120"/>
      <c r="G113" s="120"/>
      <c r="H113" s="120"/>
    </row>
    <row r="114" spans="1:8" s="21" customFormat="1" ht="12">
      <c r="A114" s="120"/>
      <c r="B114" s="120"/>
      <c r="C114" s="120"/>
      <c r="D114" s="120"/>
      <c r="E114" s="120"/>
      <c r="F114" s="120"/>
      <c r="G114" s="120"/>
      <c r="H114" s="120"/>
    </row>
    <row r="115" spans="1:8" s="21" customFormat="1" ht="12">
      <c r="A115" s="120"/>
      <c r="B115" s="120"/>
      <c r="C115" s="120"/>
      <c r="D115" s="120"/>
      <c r="E115" s="120"/>
      <c r="F115" s="120"/>
      <c r="G115" s="120"/>
      <c r="H115" s="120"/>
    </row>
    <row r="116" spans="1:8" s="21" customFormat="1" ht="12">
      <c r="A116" s="120"/>
      <c r="B116" s="120"/>
      <c r="C116" s="120"/>
      <c r="D116" s="120"/>
      <c r="E116" s="120"/>
      <c r="F116" s="120"/>
      <c r="G116" s="120"/>
      <c r="H116" s="120"/>
    </row>
    <row r="117" spans="1:8" s="21" customFormat="1" ht="12">
      <c r="A117" s="120"/>
      <c r="B117" s="120"/>
      <c r="C117" s="120"/>
      <c r="D117" s="120"/>
      <c r="E117" s="120"/>
      <c r="F117" s="120"/>
      <c r="G117" s="120"/>
      <c r="H117" s="120"/>
    </row>
    <row r="118" spans="1:8" s="21" customFormat="1" ht="12">
      <c r="A118" s="120"/>
      <c r="B118" s="120"/>
      <c r="C118" s="120"/>
      <c r="D118" s="120"/>
      <c r="E118" s="120"/>
      <c r="F118" s="120"/>
      <c r="G118" s="120"/>
      <c r="H118" s="120"/>
    </row>
    <row r="119" spans="1:8" s="21" customFormat="1" ht="12">
      <c r="A119" s="120"/>
      <c r="B119" s="120"/>
      <c r="C119" s="120"/>
      <c r="D119" s="120"/>
      <c r="E119" s="120"/>
      <c r="F119" s="120"/>
      <c r="G119" s="120"/>
      <c r="H119" s="120"/>
    </row>
    <row r="120" spans="1:8" s="21" customFormat="1" ht="12">
      <c r="A120" s="120"/>
      <c r="B120" s="120"/>
      <c r="C120" s="120"/>
      <c r="D120" s="120"/>
      <c r="E120" s="120"/>
      <c r="F120" s="120"/>
      <c r="G120" s="120"/>
      <c r="H120" s="120"/>
    </row>
    <row r="121" spans="1:8" s="21" customFormat="1" ht="12">
      <c r="A121" s="120"/>
      <c r="B121" s="120"/>
      <c r="C121" s="120"/>
      <c r="D121" s="120"/>
      <c r="E121" s="120"/>
      <c r="F121" s="120"/>
      <c r="G121" s="120"/>
      <c r="H121" s="120"/>
    </row>
    <row r="122" spans="1:8" s="21" customFormat="1" ht="12">
      <c r="A122" s="120"/>
      <c r="B122" s="120"/>
      <c r="C122" s="120"/>
      <c r="D122" s="120"/>
      <c r="E122" s="120"/>
      <c r="F122" s="120"/>
      <c r="G122" s="120"/>
      <c r="H122" s="120"/>
    </row>
    <row r="123" spans="1:8" s="21" customFormat="1" ht="12">
      <c r="A123" s="120"/>
      <c r="B123" s="120"/>
      <c r="C123" s="120"/>
      <c r="D123" s="120"/>
      <c r="E123" s="120"/>
      <c r="F123" s="120"/>
      <c r="G123" s="120"/>
      <c r="H123" s="120"/>
    </row>
    <row r="124" spans="1:8" s="21" customFormat="1" ht="12">
      <c r="A124" s="120"/>
      <c r="B124" s="120"/>
      <c r="C124" s="120"/>
      <c r="D124" s="120"/>
      <c r="E124" s="120"/>
      <c r="F124" s="120"/>
      <c r="G124" s="120"/>
      <c r="H124" s="120"/>
    </row>
    <row r="125" spans="1:8" s="21" customFormat="1" ht="12">
      <c r="A125" s="120"/>
      <c r="B125" s="120"/>
      <c r="C125" s="120"/>
      <c r="D125" s="120"/>
      <c r="E125" s="120"/>
      <c r="F125" s="120"/>
      <c r="G125" s="120"/>
      <c r="H125" s="120"/>
    </row>
    <row r="126" spans="1:8" s="21" customFormat="1" ht="12">
      <c r="A126" s="120"/>
      <c r="B126" s="120"/>
      <c r="C126" s="120"/>
      <c r="D126" s="120"/>
      <c r="E126" s="120"/>
      <c r="F126" s="120"/>
      <c r="G126" s="120"/>
      <c r="H126" s="120"/>
    </row>
    <row r="127" spans="1:8" s="21" customFormat="1" ht="12">
      <c r="A127" s="120"/>
      <c r="B127" s="120"/>
      <c r="C127" s="120"/>
      <c r="D127" s="120"/>
      <c r="E127" s="120"/>
      <c r="F127" s="120"/>
      <c r="G127" s="120"/>
      <c r="H127" s="120"/>
    </row>
    <row r="128" spans="1:8" s="21" customFormat="1" ht="12">
      <c r="A128" s="120"/>
      <c r="B128" s="120"/>
      <c r="C128" s="120"/>
      <c r="D128" s="120"/>
      <c r="E128" s="120"/>
      <c r="F128" s="120"/>
      <c r="G128" s="120"/>
      <c r="H128" s="120"/>
    </row>
    <row r="129" spans="1:8" s="21" customFormat="1" ht="12">
      <c r="A129" s="120"/>
      <c r="B129" s="120"/>
      <c r="C129" s="120"/>
      <c r="D129" s="120"/>
      <c r="E129" s="120"/>
      <c r="F129" s="120"/>
      <c r="G129" s="120"/>
      <c r="H129" s="120"/>
    </row>
    <row r="130" spans="1:8" s="21" customFormat="1" ht="12">
      <c r="A130" s="120"/>
      <c r="B130" s="120"/>
      <c r="C130" s="120"/>
      <c r="D130" s="120"/>
      <c r="E130" s="120"/>
      <c r="F130" s="120"/>
      <c r="G130" s="120"/>
      <c r="H130" s="120"/>
    </row>
    <row r="131" spans="1:8" s="21" customFormat="1" ht="12">
      <c r="A131" s="120"/>
      <c r="B131" s="120"/>
      <c r="C131" s="120"/>
      <c r="D131" s="120"/>
      <c r="E131" s="120"/>
      <c r="F131" s="120"/>
      <c r="G131" s="120"/>
      <c r="H131" s="120"/>
    </row>
    <row r="132" spans="1:8" s="21" customFormat="1" ht="12">
      <c r="A132" s="120"/>
      <c r="B132" s="120"/>
      <c r="C132" s="120"/>
      <c r="D132" s="120"/>
      <c r="E132" s="120"/>
      <c r="F132" s="120"/>
      <c r="G132" s="120"/>
      <c r="H132" s="120"/>
    </row>
    <row r="133" spans="1:8" s="21" customFormat="1" ht="12">
      <c r="A133" s="120"/>
      <c r="B133" s="120"/>
      <c r="C133" s="120"/>
      <c r="D133" s="120"/>
      <c r="E133" s="120"/>
      <c r="F133" s="120"/>
      <c r="G133" s="120"/>
      <c r="H133" s="120"/>
    </row>
    <row r="134" spans="1:8" s="21" customFormat="1" ht="12">
      <c r="A134" s="120"/>
      <c r="B134" s="120"/>
      <c r="C134" s="120"/>
      <c r="D134" s="120"/>
      <c r="E134" s="120"/>
      <c r="F134" s="120"/>
      <c r="G134" s="120"/>
      <c r="H134" s="120"/>
    </row>
    <row r="135" spans="1:8" s="21" customFormat="1" ht="12">
      <c r="A135" s="120"/>
      <c r="B135" s="120"/>
      <c r="C135" s="120"/>
      <c r="D135" s="120"/>
      <c r="E135" s="120"/>
      <c r="F135" s="120"/>
      <c r="G135" s="120"/>
      <c r="H135" s="120"/>
    </row>
    <row r="136" spans="1:8" s="21" customFormat="1" ht="12">
      <c r="A136" s="120"/>
      <c r="B136" s="120"/>
      <c r="C136" s="120"/>
      <c r="D136" s="120"/>
      <c r="E136" s="120"/>
      <c r="F136" s="120"/>
      <c r="G136" s="120"/>
      <c r="H136" s="120"/>
    </row>
    <row r="137" spans="1:8" s="21" customFormat="1" ht="12">
      <c r="A137" s="120"/>
      <c r="B137" s="120"/>
      <c r="C137" s="120"/>
      <c r="D137" s="120"/>
      <c r="E137" s="120"/>
      <c r="F137" s="120"/>
      <c r="G137" s="120"/>
      <c r="H137" s="120"/>
    </row>
    <row r="138" spans="1:8" s="21" customFormat="1" ht="12">
      <c r="A138" s="120"/>
      <c r="B138" s="120"/>
      <c r="C138" s="120"/>
      <c r="D138" s="120"/>
      <c r="E138" s="120"/>
      <c r="F138" s="120"/>
      <c r="G138" s="120"/>
      <c r="H138" s="120"/>
    </row>
    <row r="139" spans="1:8" s="21" customFormat="1" ht="12">
      <c r="A139" s="120"/>
      <c r="B139" s="120"/>
      <c r="C139" s="120"/>
      <c r="D139" s="120"/>
      <c r="E139" s="120"/>
      <c r="F139" s="120"/>
      <c r="G139" s="120"/>
      <c r="H139" s="120"/>
    </row>
    <row r="140" spans="1:8" s="21" customFormat="1" ht="12">
      <c r="A140" s="120"/>
      <c r="B140" s="120"/>
      <c r="C140" s="120"/>
      <c r="D140" s="120"/>
      <c r="E140" s="120"/>
      <c r="F140" s="120"/>
      <c r="G140" s="120"/>
      <c r="H140" s="120"/>
    </row>
    <row r="141" spans="1:8" s="21" customFormat="1" ht="12">
      <c r="A141" s="120"/>
      <c r="B141" s="120"/>
      <c r="C141" s="120"/>
      <c r="D141" s="120"/>
      <c r="E141" s="120"/>
      <c r="F141" s="120"/>
      <c r="G141" s="120"/>
      <c r="H141" s="120"/>
    </row>
    <row r="142" spans="1:8" s="21" customFormat="1" ht="12">
      <c r="A142" s="120"/>
      <c r="B142" s="120"/>
      <c r="C142" s="120"/>
      <c r="D142" s="120"/>
      <c r="E142" s="120"/>
      <c r="F142" s="120"/>
      <c r="G142" s="120"/>
      <c r="H142" s="120"/>
    </row>
    <row r="143" spans="1:8" s="21" customFormat="1" ht="12">
      <c r="A143" s="120"/>
      <c r="B143" s="120"/>
      <c r="C143" s="120"/>
      <c r="D143" s="120"/>
      <c r="E143" s="120"/>
      <c r="F143" s="120"/>
      <c r="G143" s="120"/>
      <c r="H143" s="120"/>
    </row>
    <row r="144" spans="1:8" s="21" customFormat="1" ht="12">
      <c r="A144" s="120"/>
      <c r="B144" s="120"/>
      <c r="C144" s="120"/>
      <c r="D144" s="120"/>
      <c r="E144" s="120"/>
      <c r="F144" s="120"/>
      <c r="G144" s="120"/>
      <c r="H144" s="120"/>
    </row>
    <row r="145" spans="1:8" s="21" customFormat="1" ht="12">
      <c r="A145" s="120"/>
      <c r="B145" s="120"/>
      <c r="C145" s="120"/>
      <c r="D145" s="120"/>
      <c r="E145" s="120"/>
      <c r="F145" s="120"/>
      <c r="G145" s="120"/>
      <c r="H145" s="120"/>
    </row>
    <row r="187" spans="1:2">
      <c r="A187" s="138"/>
      <c r="B187" s="138"/>
    </row>
    <row r="188" spans="1:2">
      <c r="A188" s="138"/>
      <c r="B188" s="138"/>
    </row>
    <row r="189" spans="1:2">
      <c r="A189" s="138"/>
      <c r="B189" s="138"/>
    </row>
    <row r="190" spans="1:2">
      <c r="A190" s="138"/>
      <c r="B190" s="138"/>
    </row>
    <row r="191" spans="1:2">
      <c r="A191" s="138"/>
      <c r="B191" s="138"/>
    </row>
    <row r="221" spans="1:2">
      <c r="A221" s="138"/>
      <c r="B221" s="138"/>
    </row>
    <row r="290" spans="1:1">
      <c r="A290" s="117"/>
    </row>
    <row r="307" spans="1:1">
      <c r="A307" s="138"/>
    </row>
    <row r="308" spans="1:1">
      <c r="A308" s="138"/>
    </row>
    <row r="309" spans="1:1">
      <c r="A309" s="138"/>
    </row>
    <row r="310" spans="1:1">
      <c r="A310" s="138"/>
    </row>
    <row r="311" spans="1:1">
      <c r="A311" s="138"/>
    </row>
    <row r="312" spans="1:1">
      <c r="A312" s="138"/>
    </row>
    <row r="313" spans="1:1">
      <c r="A313" s="138"/>
    </row>
    <row r="314" spans="1:1">
      <c r="A314" s="138"/>
    </row>
    <row r="315" spans="1:1">
      <c r="A315" s="138"/>
    </row>
    <row r="316" spans="1:1">
      <c r="A316" s="138"/>
    </row>
    <row r="317" spans="1:1">
      <c r="A317" s="138"/>
    </row>
    <row r="318" spans="1:1">
      <c r="A318" s="138"/>
    </row>
    <row r="319" spans="1:1">
      <c r="A319" s="138"/>
    </row>
    <row r="320" spans="1:1">
      <c r="A320" s="138"/>
    </row>
    <row r="321" spans="1:1">
      <c r="A321" s="138"/>
    </row>
    <row r="322" spans="1:1">
      <c r="A322" s="138"/>
    </row>
    <row r="323" spans="1:1">
      <c r="A323" s="138"/>
    </row>
    <row r="324" spans="1:1">
      <c r="A324" s="138"/>
    </row>
    <row r="325" spans="1:1">
      <c r="A325" s="138"/>
    </row>
    <row r="326" spans="1:1">
      <c r="A326" s="138"/>
    </row>
    <row r="327" spans="1:1">
      <c r="A327" s="138"/>
    </row>
    <row r="328" spans="1:1">
      <c r="A328" s="138"/>
    </row>
    <row r="329" spans="1:1">
      <c r="A329" s="138"/>
    </row>
    <row r="330" spans="1:1">
      <c r="A330" s="138"/>
    </row>
    <row r="331" spans="1:1">
      <c r="A331" s="138"/>
    </row>
    <row r="332" spans="1:1">
      <c r="A332" s="138"/>
    </row>
    <row r="333" spans="1:1">
      <c r="A333" s="138"/>
    </row>
    <row r="334" spans="1:1">
      <c r="A334" s="138"/>
    </row>
    <row r="335" spans="1:1">
      <c r="A335" s="138"/>
    </row>
    <row r="336" spans="1:1">
      <c r="A336" s="138"/>
    </row>
    <row r="337" spans="1:1">
      <c r="A337" s="138"/>
    </row>
    <row r="338" spans="1:1">
      <c r="A338" s="138"/>
    </row>
    <row r="339" spans="1:1">
      <c r="A339" s="138"/>
    </row>
    <row r="340" spans="1:1">
      <c r="A340" s="138"/>
    </row>
    <row r="341" spans="1:1">
      <c r="A341" s="138"/>
    </row>
    <row r="342" spans="1:1">
      <c r="A342" s="138"/>
    </row>
    <row r="343" spans="1:1">
      <c r="A343" s="138"/>
    </row>
    <row r="344" spans="1:1">
      <c r="A344" s="138"/>
    </row>
    <row r="345" spans="1:1">
      <c r="A345" s="138"/>
    </row>
    <row r="346" spans="1:1">
      <c r="A346" s="138"/>
    </row>
    <row r="347" spans="1:1">
      <c r="A347" s="138"/>
    </row>
    <row r="348" spans="1:1">
      <c r="A348" s="138"/>
    </row>
    <row r="349" spans="1:1">
      <c r="A349" s="138"/>
    </row>
    <row r="350" spans="1:1">
      <c r="A350" s="138"/>
    </row>
    <row r="351" spans="1:1">
      <c r="A351" s="138"/>
    </row>
    <row r="352" spans="1:1">
      <c r="A352" s="138"/>
    </row>
    <row r="353" spans="1:1">
      <c r="A353" s="138"/>
    </row>
    <row r="354" spans="1:1">
      <c r="A354" s="138"/>
    </row>
    <row r="355" spans="1:1">
      <c r="A355" s="138"/>
    </row>
    <row r="356" spans="1:1">
      <c r="A356" s="138"/>
    </row>
    <row r="357" spans="1:1">
      <c r="A357" s="138"/>
    </row>
    <row r="358" spans="1:1">
      <c r="A358" s="138"/>
    </row>
    <row r="359" spans="1:1">
      <c r="A359" s="138"/>
    </row>
    <row r="360" spans="1:1">
      <c r="A360" s="138"/>
    </row>
    <row r="361" spans="1:1">
      <c r="A361" s="138"/>
    </row>
  </sheetData>
  <mergeCells count="1">
    <mergeCell ref="A9:G12"/>
  </mergeCells>
  <phoneticPr fontId="27" type="noConversion"/>
  <printOptions horizontalCentered="1"/>
  <pageMargins left="0.75" right="0.5" top="0.75" bottom="0.5" header="0.25" footer="0.25"/>
  <pageSetup scale="97" fitToHeight="0"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43">
    <pageSetUpPr fitToPage="1"/>
  </sheetPr>
  <dimension ref="A1:G422"/>
  <sheetViews>
    <sheetView view="pageBreakPreview" zoomScale="60" zoomScaleNormal="100" workbookViewId="0">
      <selection sqref="A1:XFD1048576"/>
    </sheetView>
  </sheetViews>
  <sheetFormatPr defaultColWidth="10.85546875" defaultRowHeight="12.75"/>
  <cols>
    <col min="1" max="1" width="5.85546875" style="120" customWidth="1"/>
    <col min="2" max="2" width="40.5703125" style="120" customWidth="1"/>
    <col min="3" max="6" width="10.7109375" style="120" customWidth="1"/>
    <col min="7" max="7" width="14" style="120" customWidth="1"/>
    <col min="8" max="16384" width="10.85546875" style="11"/>
  </cols>
  <sheetData>
    <row r="1" spans="1:7">
      <c r="A1" s="117" t="s">
        <v>1165</v>
      </c>
      <c r="B1" s="117"/>
      <c r="C1" s="117"/>
      <c r="D1" s="117"/>
      <c r="E1" s="117"/>
      <c r="G1" s="367" t="s">
        <v>1209</v>
      </c>
    </row>
    <row r="2" spans="1:7">
      <c r="A2" s="117"/>
      <c r="B2" s="117"/>
      <c r="C2" s="117"/>
      <c r="D2" s="117"/>
      <c r="E2" s="117"/>
      <c r="G2" s="367" t="s">
        <v>1522</v>
      </c>
    </row>
    <row r="3" spans="1:7">
      <c r="A3" s="117" t="s">
        <v>2644</v>
      </c>
      <c r="B3" s="117"/>
      <c r="C3" s="117"/>
      <c r="D3" s="117"/>
      <c r="E3" s="117"/>
      <c r="G3" s="1262" t="s">
        <v>766</v>
      </c>
    </row>
    <row r="4" spans="1:7">
      <c r="A4" s="117" t="s">
        <v>2645</v>
      </c>
      <c r="B4" s="117"/>
      <c r="C4" s="117"/>
      <c r="D4" s="117"/>
      <c r="E4" s="117"/>
      <c r="G4" s="2063" t="s">
        <v>2948</v>
      </c>
    </row>
    <row r="5" spans="1:7">
      <c r="A5" s="117" t="s">
        <v>1935</v>
      </c>
      <c r="B5" s="117"/>
      <c r="C5" s="117"/>
      <c r="D5" s="117"/>
      <c r="E5" s="117"/>
      <c r="G5" s="117"/>
    </row>
    <row r="6" spans="1:7">
      <c r="A6" s="123" t="s">
        <v>1343</v>
      </c>
      <c r="B6" s="117"/>
      <c r="C6" s="117"/>
      <c r="D6" s="117"/>
      <c r="E6" s="117"/>
      <c r="F6" s="117"/>
      <c r="G6" s="117"/>
    </row>
    <row r="7" spans="1:7">
      <c r="A7" s="117"/>
      <c r="B7" s="117"/>
      <c r="C7" s="117"/>
      <c r="D7" s="117"/>
      <c r="E7" s="117"/>
      <c r="F7" s="117"/>
      <c r="G7" s="117"/>
    </row>
    <row r="8" spans="1:7">
      <c r="A8" s="2308" t="s">
        <v>606</v>
      </c>
      <c r="B8" s="2308"/>
      <c r="C8" s="2308"/>
      <c r="D8" s="2308"/>
      <c r="E8" s="2308"/>
      <c r="F8" s="2308"/>
      <c r="G8" s="2308"/>
    </row>
    <row r="9" spans="1:7">
      <c r="A9" s="2308"/>
      <c r="B9" s="2308"/>
      <c r="C9" s="2308"/>
      <c r="D9" s="2308"/>
      <c r="E9" s="2308"/>
      <c r="F9" s="2308"/>
      <c r="G9" s="2308"/>
    </row>
    <row r="10" spans="1:7" ht="13.5" thickBot="1">
      <c r="A10" s="124"/>
      <c r="B10" s="124"/>
      <c r="C10" s="124"/>
      <c r="D10" s="124"/>
      <c r="E10" s="124"/>
      <c r="F10" s="124"/>
      <c r="G10" s="124"/>
    </row>
    <row r="11" spans="1:7" s="489" customFormat="1" ht="24">
      <c r="A11" s="586" t="s">
        <v>802</v>
      </c>
      <c r="B11" s="585" t="s">
        <v>731</v>
      </c>
      <c r="C11" s="585" t="s">
        <v>123</v>
      </c>
      <c r="D11" s="2108" t="s">
        <v>733</v>
      </c>
      <c r="E11" s="2108" t="s">
        <v>2979</v>
      </c>
      <c r="F11" s="585" t="s">
        <v>498</v>
      </c>
      <c r="G11" s="585" t="s">
        <v>670</v>
      </c>
    </row>
    <row r="12" spans="1:7">
      <c r="A12" s="148"/>
    </row>
    <row r="13" spans="1:7">
      <c r="A13" s="153">
        <v>1</v>
      </c>
      <c r="B13" s="120" t="s">
        <v>2302</v>
      </c>
      <c r="C13" s="150">
        <v>-20818.25</v>
      </c>
      <c r="D13" s="150">
        <v>0</v>
      </c>
      <c r="E13" s="150">
        <v>-20818.25</v>
      </c>
      <c r="F13" s="150"/>
      <c r="G13" s="150">
        <v>-20818.25</v>
      </c>
    </row>
    <row r="14" spans="1:7">
      <c r="A14" s="153">
        <v>2</v>
      </c>
      <c r="B14" s="120" t="s">
        <v>3252</v>
      </c>
      <c r="C14" s="150">
        <v>496.80500000000001</v>
      </c>
      <c r="D14" s="150">
        <v>16.194999999999993</v>
      </c>
      <c r="E14" s="150">
        <v>513</v>
      </c>
      <c r="F14" s="150"/>
      <c r="G14" s="150">
        <v>513</v>
      </c>
    </row>
    <row r="15" spans="1:7" ht="13.5" thickBot="1">
      <c r="A15" s="153">
        <v>3</v>
      </c>
      <c r="C15" s="2018">
        <v>-20321.445</v>
      </c>
      <c r="D15" s="2018">
        <v>16.194999999999993</v>
      </c>
      <c r="E15" s="2018">
        <v>-20305.25</v>
      </c>
      <c r="F15" s="2017"/>
      <c r="G15" s="2018">
        <v>-20305.25</v>
      </c>
    </row>
    <row r="16" spans="1:7" ht="13.5" thickTop="1"/>
    <row r="26" spans="1:7">
      <c r="A26" s="120" t="s">
        <v>1159</v>
      </c>
    </row>
    <row r="27" spans="1:7">
      <c r="A27" s="120" t="s">
        <v>6</v>
      </c>
    </row>
    <row r="28" spans="1:7">
      <c r="B28" s="148"/>
      <c r="C28" s="148"/>
      <c r="D28" s="148"/>
      <c r="E28" s="148"/>
      <c r="F28" s="148"/>
      <c r="G28" s="148"/>
    </row>
    <row r="29" spans="1:7">
      <c r="A29" s="189"/>
      <c r="B29" s="153"/>
      <c r="C29" s="153"/>
      <c r="D29" s="153"/>
      <c r="E29" s="153"/>
      <c r="F29" s="153"/>
      <c r="G29" s="153"/>
    </row>
    <row r="122" spans="2:2">
      <c r="B122" s="137"/>
    </row>
    <row r="125" spans="2:2">
      <c r="B125" s="137"/>
    </row>
    <row r="248" spans="1:1">
      <c r="A248" s="138"/>
    </row>
    <row r="249" spans="1:1">
      <c r="A249" s="138"/>
    </row>
    <row r="250" spans="1:1">
      <c r="A250" s="138"/>
    </row>
    <row r="251" spans="1:1">
      <c r="A251" s="138"/>
    </row>
    <row r="252" spans="1:1">
      <c r="A252" s="138"/>
    </row>
    <row r="282" spans="1:1">
      <c r="A282" s="138"/>
    </row>
    <row r="351" spans="1:1">
      <c r="A351" s="117"/>
    </row>
    <row r="368" spans="1:1">
      <c r="A368" s="138"/>
    </row>
    <row r="369" spans="1:1">
      <c r="A369" s="138"/>
    </row>
    <row r="370" spans="1:1">
      <c r="A370" s="138"/>
    </row>
    <row r="371" spans="1:1">
      <c r="A371" s="138"/>
    </row>
    <row r="372" spans="1:1">
      <c r="A372" s="138"/>
    </row>
    <row r="373" spans="1:1">
      <c r="A373" s="138"/>
    </row>
    <row r="374" spans="1:1">
      <c r="A374" s="138"/>
    </row>
    <row r="375" spans="1:1">
      <c r="A375" s="138"/>
    </row>
    <row r="376" spans="1:1">
      <c r="A376" s="138"/>
    </row>
    <row r="377" spans="1:1">
      <c r="A377" s="138"/>
    </row>
    <row r="378" spans="1:1">
      <c r="A378" s="138"/>
    </row>
    <row r="379" spans="1:1">
      <c r="A379" s="138"/>
    </row>
    <row r="380" spans="1:1">
      <c r="A380" s="138"/>
    </row>
    <row r="381" spans="1:1">
      <c r="A381" s="138"/>
    </row>
    <row r="382" spans="1:1">
      <c r="A382" s="138"/>
    </row>
    <row r="383" spans="1:1">
      <c r="A383" s="138"/>
    </row>
    <row r="384" spans="1:1">
      <c r="A384" s="138"/>
    </row>
    <row r="385" spans="1:1">
      <c r="A385" s="138"/>
    </row>
    <row r="386" spans="1:1">
      <c r="A386" s="138"/>
    </row>
    <row r="387" spans="1:1">
      <c r="A387" s="138"/>
    </row>
    <row r="388" spans="1:1">
      <c r="A388" s="138"/>
    </row>
    <row r="389" spans="1:1">
      <c r="A389" s="138"/>
    </row>
    <row r="390" spans="1:1">
      <c r="A390" s="138"/>
    </row>
    <row r="391" spans="1:1">
      <c r="A391" s="138"/>
    </row>
    <row r="392" spans="1:1">
      <c r="A392" s="138"/>
    </row>
    <row r="393" spans="1:1">
      <c r="A393" s="138"/>
    </row>
    <row r="394" spans="1:1">
      <c r="A394" s="138"/>
    </row>
    <row r="395" spans="1:1">
      <c r="A395" s="138"/>
    </row>
    <row r="396" spans="1:1">
      <c r="A396" s="138"/>
    </row>
    <row r="397" spans="1:1">
      <c r="A397" s="138"/>
    </row>
    <row r="398" spans="1:1">
      <c r="A398" s="138"/>
    </row>
    <row r="399" spans="1:1">
      <c r="A399" s="138"/>
    </row>
    <row r="400" spans="1:1">
      <c r="A400" s="138"/>
    </row>
    <row r="401" spans="1:1">
      <c r="A401" s="138"/>
    </row>
    <row r="402" spans="1:1">
      <c r="A402" s="138"/>
    </row>
    <row r="403" spans="1:1">
      <c r="A403" s="138"/>
    </row>
    <row r="404" spans="1:1">
      <c r="A404" s="138"/>
    </row>
    <row r="405" spans="1:1">
      <c r="A405" s="138"/>
    </row>
    <row r="406" spans="1:1">
      <c r="A406" s="138"/>
    </row>
    <row r="407" spans="1:1">
      <c r="A407" s="138"/>
    </row>
    <row r="408" spans="1:1">
      <c r="A408" s="138"/>
    </row>
    <row r="409" spans="1:1">
      <c r="A409" s="138"/>
    </row>
    <row r="410" spans="1:1">
      <c r="A410" s="138"/>
    </row>
    <row r="411" spans="1:1">
      <c r="A411" s="138"/>
    </row>
    <row r="412" spans="1:1">
      <c r="A412" s="138"/>
    </row>
    <row r="413" spans="1:1">
      <c r="A413" s="138"/>
    </row>
    <row r="414" spans="1:1">
      <c r="A414" s="138"/>
    </row>
    <row r="415" spans="1:1">
      <c r="A415" s="138"/>
    </row>
    <row r="416" spans="1:1">
      <c r="A416" s="138"/>
    </row>
    <row r="417" spans="1:1">
      <c r="A417" s="138"/>
    </row>
    <row r="418" spans="1:1">
      <c r="A418" s="138"/>
    </row>
    <row r="419" spans="1:1">
      <c r="A419" s="138"/>
    </row>
    <row r="420" spans="1:1">
      <c r="A420" s="138"/>
    </row>
    <row r="421" spans="1:1">
      <c r="A421" s="138"/>
    </row>
    <row r="422" spans="1:1">
      <c r="A422" s="138"/>
    </row>
  </sheetData>
  <mergeCells count="1">
    <mergeCell ref="A8:G9"/>
  </mergeCells>
  <phoneticPr fontId="27" type="noConversion"/>
  <printOptions horizontalCentered="1"/>
  <pageMargins left="0.75" right="0.5" top="0.75" bottom="0.5" header="0.25" footer="0.25"/>
  <pageSetup scale="91" fitToHeight="0" orientation="portrait" r:id="rId1"/>
  <headerFooter alignWithMargins="0"/>
  <rowBreaks count="1" manualBreakCount="1">
    <brk id="29"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55">
    <pageSetUpPr fitToPage="1"/>
  </sheetPr>
  <dimension ref="A1:I300"/>
  <sheetViews>
    <sheetView view="pageBreakPreview" zoomScale="60" zoomScaleNormal="100" workbookViewId="0">
      <selection sqref="A1:XFD1048576"/>
    </sheetView>
  </sheetViews>
  <sheetFormatPr defaultColWidth="10.85546875" defaultRowHeight="12"/>
  <cols>
    <col min="1" max="1" width="4.85546875" style="120" customWidth="1"/>
    <col min="2" max="2" width="35.28515625" style="120" customWidth="1"/>
    <col min="3" max="7" width="10.7109375" style="120" customWidth="1"/>
    <col min="8" max="16384" width="10.85546875" style="120"/>
  </cols>
  <sheetData>
    <row r="1" spans="1:9">
      <c r="A1" s="123" t="s">
        <v>30</v>
      </c>
      <c r="B1" s="117"/>
      <c r="C1" s="143"/>
      <c r="E1" s="117" t="s">
        <v>1209</v>
      </c>
    </row>
    <row r="2" spans="1:9">
      <c r="A2" s="117"/>
      <c r="B2" s="117"/>
      <c r="C2" s="143"/>
      <c r="E2" s="117" t="s">
        <v>1512</v>
      </c>
    </row>
    <row r="3" spans="1:9">
      <c r="A3" s="117" t="s">
        <v>2644</v>
      </c>
      <c r="B3" s="117"/>
      <c r="C3" s="143"/>
      <c r="E3" s="140" t="s">
        <v>766</v>
      </c>
    </row>
    <row r="4" spans="1:9">
      <c r="A4" s="117" t="s">
        <v>2645</v>
      </c>
      <c r="B4" s="117"/>
      <c r="C4" s="144"/>
      <c r="E4" s="2064" t="s">
        <v>2948</v>
      </c>
    </row>
    <row r="5" spans="1:9">
      <c r="A5" s="117" t="s">
        <v>1935</v>
      </c>
      <c r="B5" s="117"/>
      <c r="C5" s="117"/>
    </row>
    <row r="6" spans="1:9">
      <c r="A6" s="123" t="s">
        <v>1343</v>
      </c>
      <c r="B6" s="117"/>
      <c r="C6" s="117"/>
      <c r="D6" s="117"/>
      <c r="E6" s="354"/>
      <c r="F6" s="354"/>
      <c r="G6" s="117"/>
    </row>
    <row r="7" spans="1:9">
      <c r="A7" s="117"/>
      <c r="B7" s="117"/>
      <c r="C7" s="117"/>
      <c r="D7" s="117"/>
      <c r="E7" s="117"/>
      <c r="F7" s="117"/>
      <c r="G7" s="117"/>
    </row>
    <row r="8" spans="1:9" ht="27" customHeight="1">
      <c r="A8" s="2308" t="s">
        <v>881</v>
      </c>
      <c r="B8" s="2308"/>
      <c r="C8" s="2308"/>
      <c r="D8" s="2308"/>
      <c r="E8" s="2308"/>
      <c r="F8" s="1279"/>
      <c r="G8" s="711"/>
    </row>
    <row r="9" spans="1:9" ht="12.75" thickBot="1">
      <c r="A9" s="124"/>
      <c r="B9" s="124"/>
      <c r="C9" s="124"/>
      <c r="D9" s="124"/>
      <c r="E9" s="124"/>
      <c r="F9" s="124"/>
      <c r="G9" s="124"/>
    </row>
    <row r="10" spans="1:9">
      <c r="A10" s="127" t="s">
        <v>53</v>
      </c>
      <c r="B10" s="117"/>
      <c r="C10" s="127" t="s">
        <v>81</v>
      </c>
      <c r="D10" s="127" t="s">
        <v>728</v>
      </c>
      <c r="E10" s="127" t="s">
        <v>728</v>
      </c>
      <c r="F10" s="1280" t="s">
        <v>74</v>
      </c>
      <c r="G10" s="117"/>
    </row>
    <row r="11" spans="1:9">
      <c r="A11" s="806" t="s">
        <v>730</v>
      </c>
      <c r="B11" s="805" t="s">
        <v>1055</v>
      </c>
      <c r="C11" s="806" t="s">
        <v>1293</v>
      </c>
      <c r="D11" s="814" t="s">
        <v>733</v>
      </c>
      <c r="E11" s="806" t="s">
        <v>869</v>
      </c>
      <c r="F11" s="1282" t="s">
        <v>733</v>
      </c>
      <c r="G11" s="806" t="s">
        <v>499</v>
      </c>
    </row>
    <row r="12" spans="1:9">
      <c r="A12" s="153">
        <v>1</v>
      </c>
      <c r="B12" s="120" t="s">
        <v>1058</v>
      </c>
    </row>
    <row r="13" spans="1:9">
      <c r="A13" s="153">
        <v>2</v>
      </c>
      <c r="B13" s="120" t="s">
        <v>46</v>
      </c>
      <c r="C13" s="216">
        <v>433613</v>
      </c>
      <c r="D13" s="181">
        <v>0</v>
      </c>
      <c r="E13" s="181">
        <v>433613</v>
      </c>
      <c r="F13" s="181"/>
      <c r="G13" s="216">
        <v>433613</v>
      </c>
    </row>
    <row r="14" spans="1:9">
      <c r="A14" s="153">
        <v>3</v>
      </c>
      <c r="B14" s="120" t="s">
        <v>513</v>
      </c>
      <c r="C14" s="271">
        <v>212843.41</v>
      </c>
      <c r="D14" s="182">
        <v>66673.127777777787</v>
      </c>
      <c r="E14" s="182">
        <v>279516.53777777776</v>
      </c>
      <c r="F14" s="182"/>
      <c r="G14" s="182">
        <v>279516.53777777776</v>
      </c>
      <c r="I14" s="149"/>
    </row>
    <row r="15" spans="1:9">
      <c r="A15" s="153">
        <v>4</v>
      </c>
      <c r="C15" s="211"/>
      <c r="I15" s="149"/>
    </row>
    <row r="16" spans="1:9">
      <c r="A16" s="153">
        <v>5</v>
      </c>
      <c r="B16" s="120" t="s">
        <v>612</v>
      </c>
      <c r="C16" s="212">
        <v>220769.59</v>
      </c>
      <c r="D16" s="150">
        <v>-66673.127777777787</v>
      </c>
      <c r="E16" s="150">
        <v>154096.46222222224</v>
      </c>
      <c r="F16" s="150">
        <v>0</v>
      </c>
      <c r="G16" s="150">
        <v>154096.46222222224</v>
      </c>
      <c r="I16" s="149"/>
    </row>
    <row r="17" spans="1:7">
      <c r="A17" s="153">
        <v>6</v>
      </c>
      <c r="C17" s="212"/>
      <c r="D17" s="150"/>
      <c r="E17" s="150"/>
      <c r="F17" s="150"/>
      <c r="G17" s="150"/>
    </row>
    <row r="18" spans="1:7">
      <c r="A18" s="153">
        <v>7</v>
      </c>
      <c r="B18" s="120" t="s">
        <v>1142</v>
      </c>
      <c r="C18" s="212"/>
      <c r="D18" s="150"/>
      <c r="E18" s="150"/>
      <c r="F18" s="150"/>
      <c r="G18" s="150"/>
    </row>
    <row r="19" spans="1:7">
      <c r="A19" s="153">
        <v>8</v>
      </c>
      <c r="B19" s="120" t="s">
        <v>1217</v>
      </c>
      <c r="C19" s="212">
        <v>0</v>
      </c>
      <c r="D19" s="150"/>
      <c r="E19" s="150">
        <v>0</v>
      </c>
      <c r="F19" s="150">
        <v>0</v>
      </c>
      <c r="G19" s="150">
        <v>0</v>
      </c>
    </row>
    <row r="20" spans="1:7">
      <c r="A20" s="153">
        <v>9</v>
      </c>
      <c r="B20" s="134" t="s">
        <v>1698</v>
      </c>
      <c r="C20" s="212">
        <v>4489</v>
      </c>
      <c r="D20" s="150">
        <v>0</v>
      </c>
      <c r="E20" s="150">
        <v>4489</v>
      </c>
      <c r="F20" s="150"/>
      <c r="G20" s="150">
        <v>4489</v>
      </c>
    </row>
    <row r="21" spans="1:7">
      <c r="A21" s="153">
        <v>10</v>
      </c>
      <c r="B21" s="134" t="s">
        <v>773</v>
      </c>
      <c r="C21" s="212">
        <v>0</v>
      </c>
      <c r="D21" s="150">
        <v>0</v>
      </c>
      <c r="E21" s="150">
        <v>0</v>
      </c>
      <c r="F21" s="150">
        <v>0</v>
      </c>
      <c r="G21" s="150">
        <v>0</v>
      </c>
    </row>
    <row r="22" spans="1:7">
      <c r="A22" s="153">
        <v>11</v>
      </c>
      <c r="B22" s="134" t="s">
        <v>1699</v>
      </c>
      <c r="C22" s="212">
        <v>32404</v>
      </c>
      <c r="D22" s="150">
        <v>0</v>
      </c>
      <c r="E22" s="150">
        <v>32404</v>
      </c>
      <c r="F22" s="150">
        <v>0</v>
      </c>
      <c r="G22" s="150">
        <v>32404</v>
      </c>
    </row>
    <row r="23" spans="1:7">
      <c r="A23" s="153">
        <v>12</v>
      </c>
      <c r="B23" s="134" t="s">
        <v>1216</v>
      </c>
      <c r="C23" s="202">
        <v>35</v>
      </c>
      <c r="D23" s="150"/>
      <c r="E23" s="150">
        <v>35</v>
      </c>
      <c r="F23" s="150"/>
      <c r="G23" s="150">
        <v>35</v>
      </c>
    </row>
    <row r="24" spans="1:7">
      <c r="A24" s="153">
        <v>13</v>
      </c>
      <c r="B24" s="120" t="s">
        <v>1722</v>
      </c>
      <c r="C24" s="202">
        <v>-29</v>
      </c>
      <c r="E24" s="150">
        <v>-29</v>
      </c>
      <c r="F24" s="150"/>
      <c r="G24" s="150">
        <v>-29</v>
      </c>
    </row>
    <row r="25" spans="1:7">
      <c r="A25" s="153">
        <v>14</v>
      </c>
      <c r="B25" s="120" t="s">
        <v>2927</v>
      </c>
      <c r="C25" s="202">
        <v>24510</v>
      </c>
      <c r="E25" s="150">
        <v>24510</v>
      </c>
      <c r="F25" s="150"/>
      <c r="G25" s="150">
        <v>24510</v>
      </c>
    </row>
    <row r="26" spans="1:7" ht="14.25">
      <c r="A26" s="153">
        <v>15</v>
      </c>
      <c r="B26" s="120" t="s">
        <v>1763</v>
      </c>
      <c r="C26" s="271">
        <v>-2067.4100000000035</v>
      </c>
      <c r="D26" s="182"/>
      <c r="E26" s="150">
        <v>-2067.4100000000035</v>
      </c>
      <c r="F26" s="150" t="s">
        <v>911</v>
      </c>
      <c r="G26" s="150">
        <v>-2067.4100000000035</v>
      </c>
    </row>
    <row r="27" spans="1:7">
      <c r="A27" s="153">
        <v>16</v>
      </c>
      <c r="C27" s="211"/>
      <c r="E27" s="871"/>
      <c r="F27" s="871"/>
      <c r="G27" s="871"/>
    </row>
    <row r="28" spans="1:7">
      <c r="A28" s="153">
        <v>17</v>
      </c>
      <c r="B28" s="120" t="s">
        <v>1314</v>
      </c>
      <c r="C28" s="271">
        <v>280111.17999999993</v>
      </c>
      <c r="D28" s="182">
        <v>-66673.127777777787</v>
      </c>
      <c r="E28" s="182">
        <v>213438.05222222224</v>
      </c>
      <c r="F28" s="182">
        <v>0</v>
      </c>
      <c r="G28" s="182">
        <v>213438.05222222224</v>
      </c>
    </row>
    <row r="29" spans="1:7">
      <c r="A29" s="153">
        <v>18</v>
      </c>
      <c r="C29" s="211"/>
    </row>
    <row r="30" spans="1:7">
      <c r="A30" s="153">
        <v>19</v>
      </c>
      <c r="B30" s="120" t="s">
        <v>1176</v>
      </c>
      <c r="C30" s="870">
        <v>5.5E-2</v>
      </c>
      <c r="D30" s="355">
        <v>5.5E-2</v>
      </c>
      <c r="E30" s="355">
        <v>5.5E-2</v>
      </c>
      <c r="F30" s="355">
        <v>5.5E-2</v>
      </c>
      <c r="G30" s="355">
        <v>5.5E-2</v>
      </c>
    </row>
    <row r="31" spans="1:7">
      <c r="A31" s="153">
        <v>20</v>
      </c>
      <c r="B31" s="464" t="s">
        <v>1885</v>
      </c>
      <c r="C31" s="212">
        <v>15406</v>
      </c>
      <c r="D31" s="150">
        <v>-3667</v>
      </c>
      <c r="E31" s="150">
        <v>11739</v>
      </c>
      <c r="F31" s="150">
        <v>0</v>
      </c>
      <c r="G31" s="150">
        <v>11739.092872222223</v>
      </c>
    </row>
    <row r="32" spans="1:7">
      <c r="A32" s="153">
        <v>21</v>
      </c>
      <c r="B32" s="120" t="s">
        <v>799</v>
      </c>
      <c r="C32" s="271"/>
      <c r="D32" s="271"/>
      <c r="E32" s="150">
        <v>0</v>
      </c>
      <c r="F32" s="150"/>
      <c r="G32" s="271">
        <v>0</v>
      </c>
    </row>
    <row r="33" spans="1:7">
      <c r="A33" s="153">
        <v>22</v>
      </c>
      <c r="B33" s="120" t="s">
        <v>1218</v>
      </c>
      <c r="C33" s="868">
        <v>15406</v>
      </c>
      <c r="D33" s="259">
        <v>-3667</v>
      </c>
      <c r="E33" s="259">
        <v>11739</v>
      </c>
      <c r="F33" s="259">
        <v>0</v>
      </c>
      <c r="G33" s="259">
        <v>11739.092872222223</v>
      </c>
    </row>
    <row r="34" spans="1:7" ht="14.25">
      <c r="A34" s="153">
        <v>23</v>
      </c>
      <c r="C34" s="869"/>
      <c r="D34" s="188"/>
      <c r="E34" s="188"/>
      <c r="F34" s="188"/>
      <c r="G34" s="188"/>
    </row>
    <row r="35" spans="1:7">
      <c r="A35" s="153">
        <v>24</v>
      </c>
      <c r="B35" s="464" t="s">
        <v>1219</v>
      </c>
      <c r="C35" s="211"/>
    </row>
    <row r="36" spans="1:7">
      <c r="A36" s="153">
        <v>25</v>
      </c>
      <c r="B36" s="464" t="s">
        <v>1882</v>
      </c>
      <c r="C36" s="212">
        <v>264705.17999999993</v>
      </c>
      <c r="D36" s="212">
        <v>-63006.127777777787</v>
      </c>
      <c r="E36" s="212">
        <v>201699.05222222224</v>
      </c>
      <c r="F36" s="212">
        <v>0</v>
      </c>
      <c r="G36" s="212">
        <v>201698.95935000002</v>
      </c>
    </row>
    <row r="37" spans="1:7">
      <c r="A37" s="153">
        <v>26</v>
      </c>
      <c r="B37" s="120" t="s">
        <v>585</v>
      </c>
      <c r="C37" s="350">
        <v>0.34</v>
      </c>
      <c r="D37" s="356">
        <v>0.34</v>
      </c>
      <c r="E37" s="356">
        <v>0.34</v>
      </c>
      <c r="F37" s="356">
        <v>0.34</v>
      </c>
      <c r="G37" s="356">
        <v>0.34</v>
      </c>
    </row>
    <row r="38" spans="1:7">
      <c r="A38" s="153">
        <v>27</v>
      </c>
      <c r="C38" s="211"/>
    </row>
    <row r="39" spans="1:7">
      <c r="A39" s="153">
        <v>28</v>
      </c>
      <c r="B39" s="464" t="s">
        <v>1883</v>
      </c>
      <c r="C39" s="212">
        <v>90000</v>
      </c>
      <c r="D39" s="150">
        <v>-21422</v>
      </c>
      <c r="E39" s="150">
        <v>68578</v>
      </c>
      <c r="F39" s="150">
        <v>0</v>
      </c>
      <c r="G39" s="150">
        <v>68578</v>
      </c>
    </row>
    <row r="40" spans="1:7">
      <c r="A40" s="153">
        <v>29</v>
      </c>
      <c r="B40" s="464" t="s">
        <v>1884</v>
      </c>
      <c r="C40" s="271">
        <v>15406</v>
      </c>
      <c r="D40" s="271">
        <v>-3667</v>
      </c>
      <c r="E40" s="271">
        <v>11739</v>
      </c>
      <c r="F40" s="271">
        <v>0</v>
      </c>
      <c r="G40" s="271">
        <v>11739.092872222223</v>
      </c>
    </row>
    <row r="41" spans="1:7">
      <c r="A41" s="153">
        <v>30</v>
      </c>
      <c r="C41" s="211"/>
    </row>
    <row r="42" spans="1:7" ht="12.75" thickBot="1">
      <c r="A42" s="153">
        <v>31</v>
      </c>
      <c r="B42" s="120" t="s">
        <v>590</v>
      </c>
      <c r="C42" s="273">
        <v>105406</v>
      </c>
      <c r="D42" s="187">
        <v>-25089</v>
      </c>
      <c r="E42" s="187">
        <v>80317</v>
      </c>
      <c r="F42" s="187">
        <v>0</v>
      </c>
      <c r="G42" s="187">
        <v>80317.092872222216</v>
      </c>
    </row>
    <row r="43" spans="1:7" ht="12.75" thickTop="1">
      <c r="A43" s="153">
        <v>32</v>
      </c>
    </row>
    <row r="44" spans="1:7" ht="22.5" customHeight="1">
      <c r="A44" s="153">
        <v>33</v>
      </c>
      <c r="B44" s="2325" t="s">
        <v>1764</v>
      </c>
      <c r="C44" s="2324"/>
      <c r="D44" s="2324"/>
      <c r="E44" s="2324"/>
      <c r="F44" s="2324"/>
      <c r="G44" s="2324"/>
    </row>
    <row r="45" spans="1:7" s="158" customFormat="1">
      <c r="A45" s="255"/>
      <c r="C45" s="341"/>
      <c r="D45" s="341"/>
      <c r="E45" s="341"/>
      <c r="F45" s="341"/>
      <c r="G45" s="341"/>
    </row>
    <row r="46" spans="1:7" s="158" customFormat="1">
      <c r="A46" s="255"/>
      <c r="B46" s="767"/>
      <c r="D46" s="593"/>
      <c r="E46" s="161"/>
      <c r="F46" s="161"/>
    </row>
    <row r="47" spans="1:7">
      <c r="A47" s="153"/>
    </row>
    <row r="48" spans="1:7">
      <c r="A48" s="153"/>
    </row>
    <row r="49" spans="1:6">
      <c r="A49" s="153"/>
      <c r="B49" s="120" t="s">
        <v>913</v>
      </c>
    </row>
    <row r="50" spans="1:6">
      <c r="A50" s="153"/>
      <c r="B50" s="120" t="s">
        <v>1503</v>
      </c>
    </row>
    <row r="51" spans="1:6">
      <c r="A51" s="153"/>
    </row>
    <row r="52" spans="1:6">
      <c r="A52" s="153"/>
    </row>
    <row r="53" spans="1:6">
      <c r="A53" s="190"/>
      <c r="B53" s="153"/>
      <c r="C53" s="153"/>
      <c r="D53" s="153"/>
      <c r="E53" s="153"/>
      <c r="F53" s="153"/>
    </row>
    <row r="126" spans="1:2">
      <c r="A126" s="138"/>
      <c r="B126" s="138"/>
    </row>
    <row r="127" spans="1:2">
      <c r="A127" s="138"/>
      <c r="B127" s="138"/>
    </row>
    <row r="128" spans="1:2">
      <c r="A128" s="138"/>
      <c r="B128" s="138"/>
    </row>
    <row r="129" spans="1:2">
      <c r="A129" s="138"/>
      <c r="B129" s="138"/>
    </row>
    <row r="130" spans="1:2">
      <c r="A130" s="138"/>
      <c r="B130" s="138"/>
    </row>
    <row r="160" spans="1:2">
      <c r="A160" s="138"/>
      <c r="B160" s="138"/>
    </row>
    <row r="229" spans="1:1">
      <c r="A229" s="117"/>
    </row>
    <row r="246" spans="1:1">
      <c r="A246" s="138"/>
    </row>
    <row r="247" spans="1:1">
      <c r="A247" s="138"/>
    </row>
    <row r="248" spans="1:1">
      <c r="A248" s="138"/>
    </row>
    <row r="249" spans="1:1">
      <c r="A249" s="138"/>
    </row>
    <row r="250" spans="1:1">
      <c r="A250" s="138"/>
    </row>
    <row r="251" spans="1:1">
      <c r="A251" s="138"/>
    </row>
    <row r="252" spans="1:1">
      <c r="A252" s="138"/>
    </row>
    <row r="253" spans="1:1">
      <c r="A253" s="138"/>
    </row>
    <row r="254" spans="1:1">
      <c r="A254" s="138"/>
    </row>
    <row r="255" spans="1:1">
      <c r="A255" s="138"/>
    </row>
    <row r="256" spans="1:1">
      <c r="A256" s="138"/>
    </row>
    <row r="257" spans="1:1">
      <c r="A257" s="138"/>
    </row>
    <row r="258" spans="1:1">
      <c r="A258" s="138"/>
    </row>
    <row r="259" spans="1:1">
      <c r="A259" s="138"/>
    </row>
    <row r="260" spans="1:1">
      <c r="A260" s="138"/>
    </row>
    <row r="261" spans="1:1">
      <c r="A261" s="138"/>
    </row>
    <row r="262" spans="1:1">
      <c r="A262" s="138"/>
    </row>
    <row r="263" spans="1:1">
      <c r="A263" s="138"/>
    </row>
    <row r="264" spans="1:1">
      <c r="A264" s="138"/>
    </row>
    <row r="265" spans="1:1">
      <c r="A265" s="138"/>
    </row>
    <row r="266" spans="1:1">
      <c r="A266" s="138"/>
    </row>
    <row r="267" spans="1:1">
      <c r="A267" s="138"/>
    </row>
    <row r="268" spans="1:1">
      <c r="A268" s="138"/>
    </row>
    <row r="269" spans="1:1">
      <c r="A269" s="138"/>
    </row>
    <row r="270" spans="1:1">
      <c r="A270" s="138"/>
    </row>
    <row r="271" spans="1:1">
      <c r="A271" s="138"/>
    </row>
    <row r="272" spans="1:1">
      <c r="A272" s="138"/>
    </row>
    <row r="273" spans="1:1">
      <c r="A273" s="138"/>
    </row>
    <row r="274" spans="1:1">
      <c r="A274" s="138"/>
    </row>
    <row r="275" spans="1:1">
      <c r="A275" s="138"/>
    </row>
    <row r="276" spans="1:1">
      <c r="A276" s="138"/>
    </row>
    <row r="277" spans="1:1">
      <c r="A277" s="138"/>
    </row>
    <row r="278" spans="1:1">
      <c r="A278" s="138"/>
    </row>
    <row r="279" spans="1:1">
      <c r="A279" s="138"/>
    </row>
    <row r="280" spans="1:1">
      <c r="A280" s="138"/>
    </row>
    <row r="281" spans="1:1">
      <c r="A281" s="138"/>
    </row>
    <row r="282" spans="1:1">
      <c r="A282" s="138"/>
    </row>
    <row r="283" spans="1:1">
      <c r="A283" s="138"/>
    </row>
    <row r="284" spans="1:1">
      <c r="A284" s="138"/>
    </row>
    <row r="285" spans="1:1">
      <c r="A285" s="138"/>
    </row>
    <row r="286" spans="1:1">
      <c r="A286" s="138"/>
    </row>
    <row r="287" spans="1:1">
      <c r="A287" s="138"/>
    </row>
    <row r="288" spans="1:1">
      <c r="A288" s="138"/>
    </row>
    <row r="289" spans="1:1">
      <c r="A289" s="138"/>
    </row>
    <row r="290" spans="1:1">
      <c r="A290" s="138"/>
    </row>
    <row r="291" spans="1:1">
      <c r="A291" s="138"/>
    </row>
    <row r="292" spans="1:1">
      <c r="A292" s="138"/>
    </row>
    <row r="293" spans="1:1">
      <c r="A293" s="138"/>
    </row>
    <row r="294" spans="1:1">
      <c r="A294" s="138"/>
    </row>
    <row r="295" spans="1:1">
      <c r="A295" s="138"/>
    </row>
    <row r="296" spans="1:1">
      <c r="A296" s="138"/>
    </row>
    <row r="297" spans="1:1">
      <c r="A297" s="138"/>
    </row>
    <row r="298" spans="1:1">
      <c r="A298" s="138"/>
    </row>
    <row r="299" spans="1:1">
      <c r="A299" s="138"/>
    </row>
    <row r="300" spans="1:1">
      <c r="A300" s="138"/>
    </row>
  </sheetData>
  <mergeCells count="2">
    <mergeCell ref="A8:E8"/>
    <mergeCell ref="B44:G44"/>
  </mergeCells>
  <phoneticPr fontId="27" type="noConversion"/>
  <printOptions horizontalCentered="1"/>
  <pageMargins left="0.75" right="0.5" top="0.75" bottom="0.5" header="0.25" footer="0.25"/>
  <pageSetup fitToHeight="0"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45"/>
  <dimension ref="A1:AT227"/>
  <sheetViews>
    <sheetView view="pageBreakPreview" topLeftCell="A138" zoomScale="60" zoomScaleNormal="100" workbookViewId="0">
      <selection activeCell="A138" sqref="A138"/>
    </sheetView>
  </sheetViews>
  <sheetFormatPr defaultColWidth="10.85546875" defaultRowHeight="12.75"/>
  <cols>
    <col min="1" max="1" width="5.7109375" style="120" customWidth="1"/>
    <col min="2" max="2" width="9.5703125" style="1210" customWidth="1"/>
    <col min="3" max="5" width="11.28515625" style="120" customWidth="1"/>
    <col min="6" max="6" width="11.85546875" style="158" customWidth="1"/>
    <col min="7" max="7" width="11.28515625" style="120" customWidth="1"/>
    <col min="8" max="8" width="10.5703125" style="120" bestFit="1" customWidth="1"/>
    <col min="9" max="9" width="11.28515625" style="120" customWidth="1"/>
    <col min="10" max="10" width="13.140625" style="158" customWidth="1"/>
    <col min="11" max="13" width="11.28515625" style="120" customWidth="1"/>
    <col min="14" max="14" width="9.42578125" style="120" customWidth="1"/>
    <col min="15" max="15" width="10.85546875" style="136"/>
    <col min="16" max="20" width="10.85546875" style="1020"/>
    <col min="21" max="21" width="1.7109375" style="1769" customWidth="1"/>
    <col min="22" max="26" width="10.85546875" style="1020"/>
    <col min="27" max="27" width="2.28515625" style="1020" customWidth="1"/>
    <col min="28" max="34" width="10.85546875" style="120"/>
    <col min="35" max="35" width="1.7109375" style="120" customWidth="1"/>
    <col min="36" max="46" width="10.85546875" style="120"/>
    <col min="47" max="16384" width="10.85546875" style="1020"/>
  </cols>
  <sheetData>
    <row r="1" spans="1:14">
      <c r="A1" s="117" t="s">
        <v>800</v>
      </c>
      <c r="B1" s="1944"/>
      <c r="C1" s="117"/>
      <c r="D1" s="158"/>
      <c r="E1" s="117"/>
      <c r="G1" s="117"/>
      <c r="H1" s="117"/>
      <c r="K1" s="117" t="s">
        <v>1209</v>
      </c>
      <c r="L1" s="117"/>
    </row>
    <row r="2" spans="1:14">
      <c r="A2" s="117" t="s">
        <v>2644</v>
      </c>
      <c r="B2" s="1944"/>
      <c r="C2" s="117"/>
      <c r="D2" s="158"/>
      <c r="E2" s="117"/>
      <c r="G2" s="117"/>
      <c r="H2" s="117"/>
      <c r="L2" s="117"/>
    </row>
    <row r="3" spans="1:14">
      <c r="A3" s="117" t="s">
        <v>2645</v>
      </c>
      <c r="B3" s="1944"/>
      <c r="C3" s="117"/>
      <c r="D3" s="158"/>
      <c r="E3" s="117"/>
      <c r="G3" s="117"/>
      <c r="H3" s="117"/>
      <c r="K3" s="117" t="s">
        <v>1316</v>
      </c>
      <c r="L3" s="117"/>
    </row>
    <row r="4" spans="1:14">
      <c r="A4" s="145" t="s">
        <v>1935</v>
      </c>
      <c r="B4" s="1944"/>
      <c r="C4" s="117"/>
      <c r="D4" s="158"/>
      <c r="E4" s="117"/>
      <c r="G4" s="117"/>
      <c r="H4" s="117"/>
      <c r="K4" s="117" t="s">
        <v>1210</v>
      </c>
      <c r="L4" s="117"/>
    </row>
    <row r="5" spans="1:14">
      <c r="A5" s="146" t="s">
        <v>1343</v>
      </c>
      <c r="B5" s="1944"/>
      <c r="C5" s="117"/>
      <c r="D5" s="158"/>
      <c r="E5" s="117"/>
      <c r="G5" s="117"/>
      <c r="H5" s="117"/>
      <c r="I5" s="117"/>
      <c r="J5" s="159"/>
      <c r="K5" s="2064" t="s">
        <v>2948</v>
      </c>
      <c r="L5" s="117"/>
    </row>
    <row r="6" spans="1:14">
      <c r="A6" s="117"/>
      <c r="B6" s="1944"/>
      <c r="C6" s="117"/>
      <c r="D6" s="117"/>
      <c r="E6" s="117"/>
      <c r="F6" s="159"/>
      <c r="G6" s="117"/>
      <c r="H6" s="117"/>
      <c r="I6" s="117"/>
      <c r="J6" s="159"/>
      <c r="K6" s="117"/>
      <c r="L6" s="117"/>
    </row>
    <row r="7" spans="1:14">
      <c r="A7" s="2326" t="s">
        <v>1098</v>
      </c>
      <c r="B7" s="2299"/>
      <c r="C7" s="2299"/>
      <c r="D7" s="2299"/>
      <c r="E7" s="2299"/>
      <c r="F7" s="2299"/>
      <c r="G7" s="2299"/>
      <c r="H7" s="2299"/>
      <c r="I7" s="2299"/>
      <c r="J7" s="2299"/>
      <c r="K7" s="2299"/>
      <c r="L7" s="2299"/>
      <c r="M7" s="2299"/>
    </row>
    <row r="8" spans="1:14">
      <c r="A8" s="2299"/>
      <c r="B8" s="2299"/>
      <c r="C8" s="2299"/>
      <c r="D8" s="2299"/>
      <c r="E8" s="2299"/>
      <c r="F8" s="2299"/>
      <c r="G8" s="2299"/>
      <c r="H8" s="2299"/>
      <c r="I8" s="2299"/>
      <c r="J8" s="2299"/>
      <c r="K8" s="2299"/>
      <c r="L8" s="2299"/>
      <c r="M8" s="2299"/>
    </row>
    <row r="9" spans="1:14" ht="13.5" customHeight="1">
      <c r="A9" s="1770"/>
      <c r="B9" s="1771"/>
      <c r="C9" s="1770"/>
      <c r="D9" s="1770"/>
      <c r="E9" s="1770"/>
      <c r="F9" s="1770"/>
      <c r="G9" s="1770"/>
      <c r="H9" s="1770"/>
      <c r="I9" s="1770"/>
      <c r="J9" s="1770"/>
      <c r="K9" s="1770"/>
      <c r="L9" s="1770"/>
      <c r="M9" s="1770"/>
      <c r="N9" s="153"/>
    </row>
    <row r="10" spans="1:14">
      <c r="A10" s="1944" t="s">
        <v>53</v>
      </c>
      <c r="B10" s="148"/>
      <c r="C10" s="154" t="s">
        <v>981</v>
      </c>
      <c r="D10" s="154"/>
      <c r="E10" s="154"/>
      <c r="G10" s="154" t="s">
        <v>982</v>
      </c>
      <c r="H10" s="154"/>
      <c r="I10" s="154"/>
      <c r="K10" s="154" t="s">
        <v>1072</v>
      </c>
      <c r="L10" s="154"/>
      <c r="M10" s="154"/>
    </row>
    <row r="11" spans="1:14">
      <c r="A11" s="1772" t="s">
        <v>730</v>
      </c>
      <c r="B11" s="1772" t="s">
        <v>1163</v>
      </c>
      <c r="C11" s="1772" t="s">
        <v>1456</v>
      </c>
      <c r="D11" s="1772" t="s">
        <v>1057</v>
      </c>
      <c r="E11" s="1772" t="s">
        <v>81</v>
      </c>
      <c r="G11" s="1772" t="s">
        <v>1456</v>
      </c>
      <c r="H11" s="1772" t="s">
        <v>1057</v>
      </c>
      <c r="I11" s="1772" t="s">
        <v>81</v>
      </c>
      <c r="K11" s="1772" t="s">
        <v>1456</v>
      </c>
      <c r="L11" s="1772" t="s">
        <v>1057</v>
      </c>
      <c r="M11" s="1772" t="s">
        <v>81</v>
      </c>
    </row>
    <row r="12" spans="1:14">
      <c r="A12" s="1210">
        <v>1</v>
      </c>
      <c r="B12" s="1210">
        <v>2007</v>
      </c>
      <c r="C12" s="1773">
        <v>10327</v>
      </c>
      <c r="D12" s="1773">
        <v>60354</v>
      </c>
      <c r="E12" s="1773">
        <v>70681</v>
      </c>
      <c r="G12" s="1773">
        <v>21099</v>
      </c>
      <c r="H12" s="1773">
        <v>123259</v>
      </c>
      <c r="I12" s="1773">
        <v>144358</v>
      </c>
      <c r="K12" s="1773">
        <v>20665</v>
      </c>
      <c r="L12" s="1773">
        <v>-153804</v>
      </c>
      <c r="M12" s="1773">
        <v>-133139</v>
      </c>
    </row>
    <row r="13" spans="1:14">
      <c r="A13" s="1210">
        <v>2</v>
      </c>
      <c r="B13" s="1210">
        <v>2008</v>
      </c>
      <c r="C13" s="1773">
        <v>10327</v>
      </c>
      <c r="D13" s="1773">
        <v>60354</v>
      </c>
      <c r="E13" s="1773">
        <v>70681</v>
      </c>
      <c r="G13" s="1773">
        <v>21795</v>
      </c>
      <c r="H13" s="1773">
        <v>127327</v>
      </c>
      <c r="I13" s="1773">
        <v>149122</v>
      </c>
      <c r="K13" s="1773">
        <v>24048</v>
      </c>
      <c r="L13" s="1773">
        <v>-133003</v>
      </c>
      <c r="M13" s="1773">
        <v>-108955</v>
      </c>
    </row>
    <row r="14" spans="1:14">
      <c r="A14" s="1210">
        <v>3</v>
      </c>
      <c r="B14" s="1210">
        <v>2009</v>
      </c>
      <c r="C14" s="1773">
        <v>10327</v>
      </c>
      <c r="D14" s="1773">
        <v>60354</v>
      </c>
      <c r="E14" s="1773">
        <v>70681</v>
      </c>
      <c r="G14" s="1773">
        <v>21795</v>
      </c>
      <c r="H14" s="1773">
        <v>127327</v>
      </c>
      <c r="I14" s="1773">
        <v>149122</v>
      </c>
      <c r="K14" s="1773">
        <v>29305</v>
      </c>
      <c r="L14" s="1773">
        <v>-102542</v>
      </c>
      <c r="M14" s="1773">
        <v>-73237</v>
      </c>
    </row>
    <row r="15" spans="1:14">
      <c r="A15" s="1210">
        <v>4</v>
      </c>
      <c r="B15" s="1210">
        <v>2010</v>
      </c>
      <c r="C15" s="1773">
        <v>10327</v>
      </c>
      <c r="D15" s="1773">
        <v>60354</v>
      </c>
      <c r="E15" s="1773">
        <v>70681</v>
      </c>
      <c r="G15" s="1773">
        <v>21975</v>
      </c>
      <c r="H15" s="1773">
        <v>128376</v>
      </c>
      <c r="I15" s="1773">
        <v>150351</v>
      </c>
      <c r="K15" s="1773">
        <v>37244</v>
      </c>
      <c r="L15" s="1773">
        <v>-46297</v>
      </c>
      <c r="M15" s="1773">
        <v>-9053</v>
      </c>
    </row>
    <row r="16" spans="1:14">
      <c r="A16" s="1210">
        <v>5</v>
      </c>
      <c r="B16" s="1210">
        <v>2011</v>
      </c>
      <c r="C16" s="1773">
        <v>10327</v>
      </c>
      <c r="D16" s="1773">
        <v>60354</v>
      </c>
      <c r="E16" s="1773">
        <v>70681</v>
      </c>
      <c r="G16" s="1773">
        <v>21795.34</v>
      </c>
      <c r="H16" s="1773">
        <v>127326.48</v>
      </c>
      <c r="I16" s="1773">
        <v>149121.82</v>
      </c>
      <c r="K16" s="1773">
        <v>43373.850000000006</v>
      </c>
      <c r="L16" s="1773">
        <v>-31195.150000000023</v>
      </c>
      <c r="M16" s="1773">
        <v>12178.699999999983</v>
      </c>
    </row>
    <row r="17" spans="1:13">
      <c r="A17" s="1210">
        <v>6</v>
      </c>
      <c r="B17" s="1210">
        <v>2012</v>
      </c>
      <c r="C17" s="1773">
        <v>10327</v>
      </c>
      <c r="D17" s="1773">
        <v>60354</v>
      </c>
      <c r="E17" s="1773">
        <v>70681</v>
      </c>
      <c r="G17" s="1773">
        <v>21795.34</v>
      </c>
      <c r="H17" s="1773">
        <v>127326.48</v>
      </c>
      <c r="I17" s="1773">
        <v>149121.82</v>
      </c>
      <c r="K17" s="1773">
        <v>50601.33</v>
      </c>
      <c r="L17" s="1773">
        <v>15301.849999999977</v>
      </c>
      <c r="M17" s="1773">
        <v>65903.179999999978</v>
      </c>
    </row>
    <row r="18" spans="1:13">
      <c r="A18" s="1210">
        <v>7</v>
      </c>
      <c r="B18" s="1210">
        <v>2013</v>
      </c>
      <c r="C18" s="1773">
        <v>10327</v>
      </c>
      <c r="D18" s="1773">
        <v>60354</v>
      </c>
      <c r="E18" s="1773">
        <v>70681</v>
      </c>
      <c r="G18" s="1773">
        <v>21795.34</v>
      </c>
      <c r="H18" s="1773">
        <v>127326.48</v>
      </c>
      <c r="I18" s="1773">
        <v>149121.82</v>
      </c>
      <c r="K18" s="1773">
        <v>42952.75</v>
      </c>
      <c r="L18" s="1773">
        <v>91256.119999999966</v>
      </c>
      <c r="M18" s="1773">
        <v>134208.86999999997</v>
      </c>
    </row>
    <row r="19" spans="1:13">
      <c r="A19" s="1210">
        <v>8</v>
      </c>
      <c r="B19" s="166">
        <v>2014</v>
      </c>
      <c r="C19" s="1773">
        <v>10327</v>
      </c>
      <c r="D19" s="1773">
        <v>60354</v>
      </c>
      <c r="E19" s="1773">
        <v>70681</v>
      </c>
      <c r="G19" s="1773">
        <v>21795.34</v>
      </c>
      <c r="H19" s="1773">
        <v>127326.48</v>
      </c>
      <c r="I19" s="1773">
        <v>149121.82</v>
      </c>
      <c r="K19" s="1773">
        <v>42953.790000000008</v>
      </c>
      <c r="L19" s="1773">
        <v>-65344.180000000022</v>
      </c>
      <c r="M19" s="1773">
        <v>-22390.390000000014</v>
      </c>
    </row>
    <row r="20" spans="1:13">
      <c r="A20" s="1210">
        <v>9</v>
      </c>
      <c r="B20" s="166">
        <v>2015</v>
      </c>
      <c r="C20" s="1773">
        <v>10327</v>
      </c>
      <c r="D20" s="1773">
        <v>60354</v>
      </c>
      <c r="E20" s="1773">
        <v>70681</v>
      </c>
      <c r="G20" s="1773">
        <v>21795.34</v>
      </c>
      <c r="H20" s="1773">
        <v>127326.48</v>
      </c>
      <c r="I20" s="1773">
        <v>149121.82</v>
      </c>
      <c r="K20" s="1773">
        <v>25198.530000000006</v>
      </c>
      <c r="L20" s="1773">
        <v>-162871.47000000003</v>
      </c>
      <c r="M20" s="1773">
        <v>-137672.94000000003</v>
      </c>
    </row>
    <row r="21" spans="1:13">
      <c r="A21" s="1210">
        <v>10</v>
      </c>
      <c r="C21" s="149"/>
      <c r="D21" s="149"/>
      <c r="E21" s="149"/>
      <c r="G21" s="149"/>
      <c r="H21" s="149"/>
      <c r="I21" s="149"/>
      <c r="L21" s="161"/>
      <c r="M21" s="149"/>
    </row>
    <row r="22" spans="1:13">
      <c r="A22" s="1210">
        <v>11</v>
      </c>
      <c r="B22" s="1944"/>
      <c r="C22" s="154" t="s">
        <v>983</v>
      </c>
      <c r="D22" s="154"/>
      <c r="E22" s="154"/>
      <c r="G22" s="154" t="s">
        <v>984</v>
      </c>
      <c r="H22" s="154"/>
      <c r="I22" s="154"/>
      <c r="K22" s="154" t="s">
        <v>985</v>
      </c>
      <c r="L22" s="154"/>
      <c r="M22" s="154"/>
    </row>
    <row r="23" spans="1:13">
      <c r="A23" s="1210">
        <v>12</v>
      </c>
      <c r="B23" s="1772" t="s">
        <v>1163</v>
      </c>
      <c r="C23" s="1772" t="s">
        <v>1456</v>
      </c>
      <c r="D23" s="1772" t="s">
        <v>1057</v>
      </c>
      <c r="E23" s="1772" t="s">
        <v>81</v>
      </c>
      <c r="F23" s="1020"/>
      <c r="G23" s="1772" t="s">
        <v>1456</v>
      </c>
      <c r="H23" s="1772" t="s">
        <v>1057</v>
      </c>
      <c r="I23" s="1772" t="s">
        <v>81</v>
      </c>
      <c r="J23" s="1020"/>
      <c r="K23" s="1772" t="s">
        <v>1456</v>
      </c>
      <c r="L23" s="1772" t="s">
        <v>1057</v>
      </c>
      <c r="M23" s="1772" t="s">
        <v>81</v>
      </c>
    </row>
    <row r="24" spans="1:13">
      <c r="A24" s="1210">
        <v>13</v>
      </c>
      <c r="B24" s="1210">
        <v>2007</v>
      </c>
      <c r="C24" s="1773">
        <v>-6301</v>
      </c>
      <c r="D24" s="1773">
        <v>-36799</v>
      </c>
      <c r="E24" s="1773">
        <v>-43100</v>
      </c>
      <c r="F24" s="1020"/>
      <c r="G24" s="1773">
        <v>0</v>
      </c>
      <c r="H24" s="1773">
        <v>0</v>
      </c>
      <c r="I24" s="1773">
        <v>0</v>
      </c>
      <c r="J24" s="1020"/>
      <c r="K24" s="1773">
        <v>-2109</v>
      </c>
      <c r="L24" s="1773">
        <v>0</v>
      </c>
      <c r="M24" s="1773">
        <v>-2109</v>
      </c>
    </row>
    <row r="25" spans="1:13">
      <c r="A25" s="1210">
        <v>14</v>
      </c>
      <c r="B25" s="1210">
        <v>2008</v>
      </c>
      <c r="C25" s="1773">
        <v>-7106</v>
      </c>
      <c r="D25" s="1773">
        <v>-41499</v>
      </c>
      <c r="E25" s="1773">
        <v>-48605</v>
      </c>
      <c r="F25" s="1020"/>
      <c r="G25" s="1773">
        <v>551</v>
      </c>
      <c r="H25" s="1773">
        <v>3219</v>
      </c>
      <c r="I25" s="1773">
        <v>3770</v>
      </c>
      <c r="J25" s="1020"/>
      <c r="K25" s="1773">
        <v>-2109</v>
      </c>
      <c r="L25" s="1773">
        <v>0</v>
      </c>
      <c r="M25" s="1773">
        <v>-2109</v>
      </c>
    </row>
    <row r="26" spans="1:13">
      <c r="A26" s="1210">
        <v>15</v>
      </c>
      <c r="B26" s="1210">
        <v>2009</v>
      </c>
      <c r="C26" s="1773">
        <v>-5885</v>
      </c>
      <c r="D26" s="1773">
        <v>-34365</v>
      </c>
      <c r="E26" s="1773">
        <v>-40250</v>
      </c>
      <c r="F26" s="1020"/>
      <c r="G26" s="1773">
        <v>-1397</v>
      </c>
      <c r="H26" s="1773">
        <v>-8163</v>
      </c>
      <c r="I26" s="1773">
        <v>-9560</v>
      </c>
      <c r="J26" s="1020"/>
      <c r="K26" s="1773">
        <v>-2109</v>
      </c>
      <c r="L26" s="1773">
        <v>0</v>
      </c>
      <c r="M26" s="1773">
        <v>-2109</v>
      </c>
    </row>
    <row r="27" spans="1:13">
      <c r="A27" s="1210">
        <v>16</v>
      </c>
      <c r="B27" s="1210">
        <v>2010</v>
      </c>
      <c r="C27" s="1773">
        <v>-3338</v>
      </c>
      <c r="D27" s="1773">
        <v>-19489</v>
      </c>
      <c r="E27" s="1773">
        <v>-22827</v>
      </c>
      <c r="F27" s="1020"/>
      <c r="G27" s="1773">
        <v>-1094</v>
      </c>
      <c r="H27" s="1773">
        <v>-6392</v>
      </c>
      <c r="I27" s="1773">
        <v>-7486</v>
      </c>
      <c r="J27" s="1020"/>
      <c r="K27" s="1773">
        <v>-2109</v>
      </c>
      <c r="L27" s="1773">
        <v>10004</v>
      </c>
      <c r="M27" s="1773">
        <v>7895</v>
      </c>
    </row>
    <row r="28" spans="1:13">
      <c r="A28" s="1210">
        <v>17</v>
      </c>
      <c r="B28" s="1210">
        <v>2011</v>
      </c>
      <c r="C28" s="1773">
        <v>-1655.12</v>
      </c>
      <c r="D28" s="1773">
        <v>-9658.23</v>
      </c>
      <c r="E28" s="1773">
        <v>-11313.349999999999</v>
      </c>
      <c r="F28" s="1020"/>
      <c r="G28" s="1773">
        <v>-814.05</v>
      </c>
      <c r="H28" s="1773">
        <v>-4753.47</v>
      </c>
      <c r="I28" s="1773">
        <v>-5567.52</v>
      </c>
      <c r="J28" s="1020"/>
      <c r="K28" s="1773">
        <v>-3572.3900000000003</v>
      </c>
      <c r="L28" s="1773">
        <v>1455.17</v>
      </c>
      <c r="M28" s="1773">
        <v>-2117.2200000000003</v>
      </c>
    </row>
    <row r="29" spans="1:13">
      <c r="A29" s="1210">
        <v>18</v>
      </c>
      <c r="B29" s="1210">
        <v>2012</v>
      </c>
      <c r="C29" s="1773">
        <v>-434.11999999999989</v>
      </c>
      <c r="D29" s="1773">
        <v>-2524.2299999999996</v>
      </c>
      <c r="E29" s="1773">
        <v>-2958.3499999999995</v>
      </c>
      <c r="F29" s="1020"/>
      <c r="G29" s="1773">
        <v>-834.05</v>
      </c>
      <c r="H29" s="1773">
        <v>-4865.47</v>
      </c>
      <c r="I29" s="1773">
        <v>-5699.52</v>
      </c>
      <c r="J29" s="1020"/>
      <c r="K29" s="1773">
        <v>-4337.3900000000003</v>
      </c>
      <c r="L29" s="1773">
        <v>1324.17</v>
      </c>
      <c r="M29" s="1773">
        <v>-3013.2200000000003</v>
      </c>
    </row>
    <row r="30" spans="1:13">
      <c r="A30" s="1210">
        <v>19</v>
      </c>
      <c r="B30" s="1210">
        <v>2013</v>
      </c>
      <c r="C30" s="1773">
        <v>70.880000000000109</v>
      </c>
      <c r="D30" s="1773">
        <v>426.77000000000044</v>
      </c>
      <c r="E30" s="1773">
        <v>497.65000000000055</v>
      </c>
      <c r="F30" s="1020"/>
      <c r="G30" s="1773">
        <v>-439.04999999999995</v>
      </c>
      <c r="H30" s="1773">
        <v>-2556.4700000000003</v>
      </c>
      <c r="I30" s="1773">
        <v>-2995.5200000000004</v>
      </c>
      <c r="J30" s="1020"/>
      <c r="K30" s="1773">
        <v>-3931.3900000000003</v>
      </c>
      <c r="L30" s="1773">
        <v>1213.17</v>
      </c>
      <c r="M30" s="1773">
        <v>-2718.2200000000003</v>
      </c>
    </row>
    <row r="31" spans="1:13">
      <c r="A31" s="1210">
        <v>20</v>
      </c>
      <c r="B31" s="166">
        <v>2014</v>
      </c>
      <c r="C31" s="1773">
        <v>70.880000000000109</v>
      </c>
      <c r="D31" s="1773">
        <v>426.77000000000044</v>
      </c>
      <c r="E31" s="1773">
        <v>497.65000000000055</v>
      </c>
      <c r="F31" s="1020"/>
      <c r="G31" s="1773">
        <v>-439.04999999999995</v>
      </c>
      <c r="H31" s="1773">
        <v>-2556.4700000000003</v>
      </c>
      <c r="I31" s="1773">
        <v>-2995.5200000000004</v>
      </c>
      <c r="J31" s="1020"/>
      <c r="K31" s="1773">
        <v>-3931.3900000000003</v>
      </c>
      <c r="L31" s="1773">
        <v>1213.17</v>
      </c>
      <c r="M31" s="1773">
        <v>-2718.2200000000003</v>
      </c>
    </row>
    <row r="32" spans="1:13">
      <c r="A32" s="1210">
        <v>21</v>
      </c>
      <c r="B32" s="166">
        <v>2015</v>
      </c>
      <c r="C32" s="1773">
        <v>70.880000000000109</v>
      </c>
      <c r="D32" s="1773">
        <v>426.77000000000044</v>
      </c>
      <c r="E32" s="1773">
        <v>497.65000000000055</v>
      </c>
      <c r="F32" s="1020"/>
      <c r="G32" s="1773">
        <v>-2099.9899999999998</v>
      </c>
      <c r="H32" s="1773">
        <v>-11745.05</v>
      </c>
      <c r="I32" s="1773">
        <v>-13845.039999999999</v>
      </c>
      <c r="J32" s="1020"/>
      <c r="K32" s="1773">
        <v>-3919.78</v>
      </c>
      <c r="L32" s="1773">
        <v>1215.27</v>
      </c>
      <c r="M32" s="1773">
        <v>-2704.51</v>
      </c>
    </row>
    <row r="33" spans="1:13">
      <c r="A33" s="1210">
        <v>22</v>
      </c>
      <c r="C33" s="149"/>
      <c r="D33" s="149"/>
      <c r="E33" s="149"/>
      <c r="F33" s="1020"/>
      <c r="G33" s="158"/>
      <c r="H33" s="149"/>
      <c r="I33" s="149"/>
      <c r="J33" s="161"/>
      <c r="K33" s="149"/>
      <c r="L33" s="149"/>
      <c r="M33" s="149"/>
    </row>
    <row r="34" spans="1:13">
      <c r="A34" s="1210">
        <v>23</v>
      </c>
      <c r="J34" s="161"/>
      <c r="K34" s="149"/>
      <c r="L34" s="149"/>
      <c r="M34" s="149"/>
    </row>
    <row r="35" spans="1:13">
      <c r="A35" s="1210">
        <v>24</v>
      </c>
      <c r="C35" s="154" t="s">
        <v>2633</v>
      </c>
      <c r="D35" s="154"/>
      <c r="E35" s="154"/>
      <c r="G35" s="154" t="s">
        <v>2634</v>
      </c>
      <c r="H35" s="154"/>
      <c r="I35" s="154"/>
      <c r="J35" s="161"/>
      <c r="K35" s="154" t="s">
        <v>2635</v>
      </c>
      <c r="L35" s="154"/>
      <c r="M35" s="154"/>
    </row>
    <row r="36" spans="1:13">
      <c r="A36" s="1210">
        <v>25</v>
      </c>
      <c r="B36" s="1772" t="s">
        <v>1163</v>
      </c>
      <c r="C36" s="1772" t="s">
        <v>1456</v>
      </c>
      <c r="D36" s="1772" t="s">
        <v>1057</v>
      </c>
      <c r="E36" s="1772" t="s">
        <v>81</v>
      </c>
      <c r="F36" s="161"/>
      <c r="G36" s="1772" t="s">
        <v>1456</v>
      </c>
      <c r="H36" s="1772" t="s">
        <v>1057</v>
      </c>
      <c r="I36" s="1772" t="s">
        <v>81</v>
      </c>
      <c r="J36" s="161"/>
      <c r="K36" s="1772" t="s">
        <v>1456</v>
      </c>
      <c r="L36" s="1772" t="s">
        <v>1057</v>
      </c>
      <c r="M36" s="1772" t="s">
        <v>81</v>
      </c>
    </row>
    <row r="37" spans="1:13">
      <c r="A37" s="1210">
        <v>26</v>
      </c>
      <c r="B37" s="1210">
        <v>2007</v>
      </c>
      <c r="C37" s="1773">
        <v>0</v>
      </c>
      <c r="D37" s="1773">
        <v>0</v>
      </c>
      <c r="E37" s="1773">
        <v>0</v>
      </c>
      <c r="F37" s="161"/>
      <c r="G37" s="1773">
        <v>-2351</v>
      </c>
      <c r="H37" s="1773">
        <v>-300618</v>
      </c>
      <c r="I37" s="1773">
        <v>-302969</v>
      </c>
      <c r="J37" s="161"/>
      <c r="K37" s="1773">
        <v>0</v>
      </c>
      <c r="L37" s="1773">
        <v>0</v>
      </c>
      <c r="M37" s="1773">
        <v>0</v>
      </c>
    </row>
    <row r="38" spans="1:13">
      <c r="A38" s="1210">
        <v>27</v>
      </c>
      <c r="B38" s="1210">
        <v>2008</v>
      </c>
      <c r="C38" s="1773">
        <v>0</v>
      </c>
      <c r="D38" s="1773">
        <v>0</v>
      </c>
      <c r="E38" s="1773">
        <v>0</v>
      </c>
      <c r="F38" s="161"/>
      <c r="G38" s="1773">
        <v>590</v>
      </c>
      <c r="H38" s="1773">
        <v>-282404</v>
      </c>
      <c r="I38" s="1773">
        <v>-281814</v>
      </c>
      <c r="J38" s="161"/>
      <c r="K38" s="1773">
        <v>0</v>
      </c>
      <c r="L38" s="1773">
        <v>0</v>
      </c>
      <c r="M38" s="1773">
        <v>0</v>
      </c>
    </row>
    <row r="39" spans="1:13">
      <c r="A39" s="1210">
        <v>28</v>
      </c>
      <c r="B39" s="1210">
        <v>2009</v>
      </c>
      <c r="C39" s="1773">
        <v>0</v>
      </c>
      <c r="D39" s="1773">
        <v>1</v>
      </c>
      <c r="E39" s="1773">
        <v>1</v>
      </c>
      <c r="F39" s="161"/>
      <c r="G39" s="1773">
        <v>6574</v>
      </c>
      <c r="H39" s="1773">
        <v>-247696</v>
      </c>
      <c r="I39" s="1773">
        <v>-241122</v>
      </c>
      <c r="J39" s="161"/>
      <c r="K39" s="1773">
        <v>0</v>
      </c>
      <c r="L39" s="1773">
        <v>0</v>
      </c>
      <c r="M39" s="1773">
        <v>0</v>
      </c>
    </row>
    <row r="40" spans="1:13">
      <c r="A40" s="1210">
        <v>29</v>
      </c>
      <c r="B40" s="1210">
        <v>2010</v>
      </c>
      <c r="C40" s="1773">
        <v>0</v>
      </c>
      <c r="D40" s="1773">
        <v>1</v>
      </c>
      <c r="E40" s="1773">
        <v>1</v>
      </c>
      <c r="F40" s="161"/>
      <c r="G40" s="1773">
        <v>11483</v>
      </c>
      <c r="H40" s="1773">
        <v>-219151</v>
      </c>
      <c r="I40" s="1773">
        <v>-207668</v>
      </c>
      <c r="J40" s="161"/>
      <c r="K40" s="1773">
        <v>0</v>
      </c>
      <c r="L40" s="1773">
        <v>0</v>
      </c>
      <c r="M40" s="1773">
        <v>0</v>
      </c>
    </row>
    <row r="41" spans="1:13">
      <c r="A41" s="1210">
        <v>30</v>
      </c>
      <c r="B41" s="1210">
        <v>2011</v>
      </c>
      <c r="C41" s="1773">
        <v>0</v>
      </c>
      <c r="D41" s="1773">
        <v>1</v>
      </c>
      <c r="E41" s="1773">
        <v>1</v>
      </c>
      <c r="F41" s="161"/>
      <c r="G41" s="1773">
        <v>17293.07</v>
      </c>
      <c r="H41" s="1773">
        <v>-205920.1</v>
      </c>
      <c r="I41" s="1773">
        <v>-188627.03</v>
      </c>
      <c r="J41" s="161"/>
      <c r="K41" s="1773">
        <v>0</v>
      </c>
      <c r="L41" s="1773">
        <v>0</v>
      </c>
      <c r="M41" s="1773">
        <v>0</v>
      </c>
    </row>
    <row r="42" spans="1:13">
      <c r="A42" s="1210">
        <v>31</v>
      </c>
      <c r="B42" s="1210">
        <v>2012</v>
      </c>
      <c r="C42" s="1773">
        <v>0</v>
      </c>
      <c r="D42" s="1773">
        <v>0</v>
      </c>
      <c r="E42" s="1773">
        <v>0</v>
      </c>
      <c r="F42" s="161"/>
      <c r="G42" s="1773">
        <v>24084.55</v>
      </c>
      <c r="H42" s="1773">
        <v>-166313.1</v>
      </c>
      <c r="I42" s="1773">
        <v>-142228.55000000002</v>
      </c>
      <c r="J42" s="161"/>
      <c r="K42" s="1773">
        <v>0</v>
      </c>
      <c r="L42" s="1773">
        <v>0</v>
      </c>
      <c r="M42" s="1773">
        <v>0</v>
      </c>
    </row>
    <row r="43" spans="1:13">
      <c r="A43" s="1210">
        <v>32</v>
      </c>
      <c r="B43" s="1210">
        <v>2013</v>
      </c>
      <c r="C43" s="1773">
        <v>158</v>
      </c>
      <c r="D43" s="1773">
        <v>923</v>
      </c>
      <c r="E43" s="1773">
        <v>1081</v>
      </c>
      <c r="G43" s="1773">
        <v>27616.42</v>
      </c>
      <c r="H43" s="1773">
        <v>25005.489999999991</v>
      </c>
      <c r="I43" s="1773">
        <v>52621.909999999989</v>
      </c>
      <c r="K43" s="1773">
        <v>-7769.45</v>
      </c>
      <c r="L43" s="1773">
        <v>0</v>
      </c>
      <c r="M43" s="1773">
        <v>-7769.45</v>
      </c>
    </row>
    <row r="44" spans="1:13">
      <c r="A44" s="1210">
        <v>33</v>
      </c>
      <c r="B44" s="166">
        <v>2014</v>
      </c>
      <c r="C44" s="1773">
        <v>158</v>
      </c>
      <c r="D44" s="1773">
        <v>923</v>
      </c>
      <c r="E44" s="1773">
        <v>1081</v>
      </c>
      <c r="G44" s="1773">
        <v>27617.46</v>
      </c>
      <c r="H44" s="1773">
        <v>-131594.81</v>
      </c>
      <c r="I44" s="1773">
        <v>-103977.35</v>
      </c>
      <c r="K44" s="1773">
        <v>-7769.45</v>
      </c>
      <c r="L44" s="1773">
        <v>0</v>
      </c>
      <c r="M44" s="1773">
        <v>-7769.45</v>
      </c>
    </row>
    <row r="45" spans="1:13">
      <c r="A45" s="1210">
        <v>34</v>
      </c>
      <c r="B45" s="166">
        <v>2015</v>
      </c>
      <c r="C45" s="1773">
        <v>156.27000000000001</v>
      </c>
      <c r="D45" s="1773">
        <v>913.45</v>
      </c>
      <c r="E45" s="1773">
        <v>1069.72</v>
      </c>
      <c r="G45" s="1773">
        <v>21224.61</v>
      </c>
      <c r="H45" s="1773">
        <v>-216315.26</v>
      </c>
      <c r="I45" s="1773">
        <v>-195090.65000000002</v>
      </c>
      <c r="J45" s="157"/>
      <c r="K45" s="1773">
        <v>-7803.45</v>
      </c>
      <c r="L45" s="1773">
        <v>-3018.16</v>
      </c>
      <c r="M45" s="1773">
        <v>-10821.61</v>
      </c>
    </row>
    <row r="46" spans="1:13">
      <c r="A46" s="1210">
        <v>35</v>
      </c>
      <c r="J46" s="157"/>
      <c r="K46" s="149"/>
      <c r="L46" s="149"/>
      <c r="M46" s="149"/>
    </row>
    <row r="47" spans="1:13">
      <c r="A47" s="1210">
        <v>36</v>
      </c>
      <c r="J47" s="157"/>
      <c r="K47" s="149"/>
      <c r="L47" s="149"/>
      <c r="M47" s="149"/>
    </row>
    <row r="48" spans="1:13">
      <c r="A48" s="1210">
        <v>37</v>
      </c>
      <c r="C48" s="154" t="s">
        <v>2787</v>
      </c>
      <c r="D48" s="154"/>
      <c r="E48" s="154"/>
      <c r="J48" s="157"/>
      <c r="K48" s="149"/>
      <c r="L48" s="149"/>
      <c r="M48" s="149"/>
    </row>
    <row r="49" spans="1:13">
      <c r="A49" s="1210">
        <v>38</v>
      </c>
      <c r="B49" s="1772" t="s">
        <v>1163</v>
      </c>
      <c r="C49" s="1772" t="s">
        <v>1456</v>
      </c>
      <c r="D49" s="1772" t="s">
        <v>1057</v>
      </c>
      <c r="E49" s="1772" t="s">
        <v>81</v>
      </c>
      <c r="J49" s="157"/>
      <c r="K49" s="149"/>
      <c r="L49" s="149"/>
      <c r="M49" s="149"/>
    </row>
    <row r="50" spans="1:13">
      <c r="A50" s="1210">
        <v>39</v>
      </c>
      <c r="B50" s="1210">
        <v>2007</v>
      </c>
      <c r="C50" s="1773">
        <v>0</v>
      </c>
      <c r="D50" s="1773">
        <v>0</v>
      </c>
      <c r="E50" s="1773">
        <v>0</v>
      </c>
      <c r="J50" s="157"/>
      <c r="K50" s="149"/>
      <c r="L50" s="149"/>
      <c r="M50" s="149"/>
    </row>
    <row r="51" spans="1:13">
      <c r="A51" s="1210">
        <v>40</v>
      </c>
      <c r="B51" s="1210">
        <v>2008</v>
      </c>
      <c r="C51" s="1773">
        <v>0</v>
      </c>
      <c r="D51" s="1773">
        <v>0</v>
      </c>
      <c r="E51" s="1773">
        <v>0</v>
      </c>
      <c r="J51" s="157"/>
      <c r="K51" s="149"/>
      <c r="L51" s="149"/>
      <c r="M51" s="149"/>
    </row>
    <row r="52" spans="1:13">
      <c r="A52" s="1210">
        <v>41</v>
      </c>
      <c r="B52" s="1210">
        <v>2009</v>
      </c>
      <c r="C52" s="1773">
        <v>0</v>
      </c>
      <c r="D52" s="1773">
        <v>0</v>
      </c>
      <c r="E52" s="1773">
        <v>0</v>
      </c>
      <c r="J52" s="157"/>
      <c r="K52" s="149"/>
      <c r="L52" s="149"/>
      <c r="M52" s="149"/>
    </row>
    <row r="53" spans="1:13">
      <c r="A53" s="1210">
        <v>42</v>
      </c>
      <c r="B53" s="1210">
        <v>2010</v>
      </c>
      <c r="C53" s="1773">
        <v>0</v>
      </c>
      <c r="D53" s="1773">
        <v>0</v>
      </c>
      <c r="E53" s="1773">
        <v>0</v>
      </c>
      <c r="J53" s="157"/>
      <c r="K53" s="149"/>
      <c r="L53" s="149"/>
      <c r="M53" s="149"/>
    </row>
    <row r="54" spans="1:13">
      <c r="A54" s="1210">
        <v>43</v>
      </c>
      <c r="B54" s="1210">
        <v>2011</v>
      </c>
      <c r="C54" s="1773">
        <v>0</v>
      </c>
      <c r="D54" s="1773">
        <v>0</v>
      </c>
      <c r="E54" s="1773">
        <v>0</v>
      </c>
      <c r="J54" s="157"/>
      <c r="K54" s="149"/>
      <c r="L54" s="149"/>
      <c r="M54" s="149"/>
    </row>
    <row r="55" spans="1:13">
      <c r="A55" s="1210">
        <v>44</v>
      </c>
      <c r="B55" s="1210">
        <v>2012</v>
      </c>
      <c r="C55" s="1773">
        <v>0</v>
      </c>
      <c r="D55" s="1773">
        <v>0</v>
      </c>
      <c r="E55" s="1773">
        <v>0</v>
      </c>
      <c r="J55" s="157"/>
      <c r="K55" s="149"/>
      <c r="L55" s="149"/>
      <c r="M55" s="149"/>
    </row>
    <row r="56" spans="1:13">
      <c r="A56" s="1210">
        <v>45</v>
      </c>
      <c r="B56" s="1210">
        <v>2013</v>
      </c>
      <c r="C56" s="1773">
        <v>-4875</v>
      </c>
      <c r="D56" s="1773">
        <v>-121436.32</v>
      </c>
      <c r="E56" s="1773">
        <v>-126311.32</v>
      </c>
      <c r="J56" s="157"/>
      <c r="K56" s="149"/>
      <c r="L56" s="149"/>
      <c r="M56" s="149"/>
    </row>
    <row r="57" spans="1:13">
      <c r="A57" s="1210">
        <v>46</v>
      </c>
      <c r="B57" s="166">
        <v>2014</v>
      </c>
      <c r="C57" s="1773">
        <v>-4875</v>
      </c>
      <c r="D57" s="1773">
        <v>-121436.32</v>
      </c>
      <c r="E57" s="1773">
        <v>-126311.32</v>
      </c>
      <c r="J57" s="157"/>
      <c r="K57" s="149"/>
      <c r="L57" s="149"/>
      <c r="M57" s="149"/>
    </row>
    <row r="58" spans="1:13">
      <c r="A58" s="1210">
        <v>47</v>
      </c>
      <c r="B58" s="166">
        <v>2015</v>
      </c>
      <c r="C58" s="1773">
        <v>-14552.35</v>
      </c>
      <c r="D58" s="1773">
        <v>-122028.97</v>
      </c>
      <c r="E58" s="1773">
        <v>-136581.32</v>
      </c>
      <c r="J58" s="157"/>
      <c r="K58" s="149"/>
      <c r="L58" s="149"/>
      <c r="M58" s="149"/>
    </row>
    <row r="59" spans="1:13">
      <c r="A59" s="1210"/>
      <c r="J59" s="157"/>
      <c r="K59" s="149"/>
      <c r="L59" s="149"/>
      <c r="M59" s="149"/>
    </row>
    <row r="60" spans="1:13" ht="15">
      <c r="A60" s="1210"/>
      <c r="H60" s="2155"/>
      <c r="J60" s="161"/>
      <c r="K60" s="149"/>
      <c r="L60" s="149"/>
      <c r="M60" s="149"/>
    </row>
    <row r="61" spans="1:13">
      <c r="A61" s="1210"/>
      <c r="B61" s="166"/>
      <c r="C61" s="149"/>
      <c r="D61" s="149"/>
      <c r="E61" s="149"/>
      <c r="F61" s="161"/>
      <c r="G61" s="149"/>
      <c r="H61" s="149"/>
      <c r="I61" s="149"/>
      <c r="J61" s="161"/>
    </row>
    <row r="62" spans="1:13">
      <c r="A62" s="117" t="s">
        <v>8</v>
      </c>
      <c r="C62" s="149"/>
      <c r="D62" s="149"/>
      <c r="E62" s="149"/>
      <c r="F62" s="161"/>
      <c r="G62" s="149"/>
      <c r="H62" s="149"/>
      <c r="I62" s="149"/>
      <c r="J62" s="161"/>
    </row>
    <row r="63" spans="1:13">
      <c r="A63" s="193" t="s">
        <v>7</v>
      </c>
      <c r="C63" s="149"/>
      <c r="D63" s="149"/>
      <c r="E63" s="149"/>
      <c r="F63" s="161"/>
      <c r="G63" s="149"/>
      <c r="H63" s="149"/>
      <c r="I63" s="149"/>
      <c r="J63" s="161"/>
    </row>
    <row r="64" spans="1:13">
      <c r="A64" s="1944"/>
      <c r="C64" s="149"/>
      <c r="D64" s="149"/>
      <c r="E64" s="149"/>
      <c r="F64" s="161"/>
      <c r="G64" s="149"/>
      <c r="H64" s="149"/>
      <c r="I64" s="149"/>
      <c r="J64" s="161"/>
    </row>
    <row r="65" spans="1:13">
      <c r="A65" s="117" t="s">
        <v>1073</v>
      </c>
      <c r="B65" s="1944"/>
      <c r="C65" s="117"/>
      <c r="D65" s="117"/>
      <c r="E65" s="117"/>
      <c r="F65" s="117"/>
      <c r="G65" s="117"/>
      <c r="H65" s="159"/>
      <c r="I65" s="117"/>
      <c r="J65" s="120"/>
      <c r="K65" s="117" t="s">
        <v>1209</v>
      </c>
      <c r="L65" s="1020"/>
      <c r="M65" s="1020"/>
    </row>
    <row r="66" spans="1:13">
      <c r="A66" s="117" t="s">
        <v>2644</v>
      </c>
      <c r="B66" s="136"/>
      <c r="C66" s="1020"/>
      <c r="D66" s="1020"/>
      <c r="E66" s="1020"/>
      <c r="F66" s="1020"/>
      <c r="G66" s="1020"/>
      <c r="H66" s="1769"/>
      <c r="I66" s="1020"/>
      <c r="J66" s="1020"/>
      <c r="K66" s="1020"/>
      <c r="L66" s="117"/>
    </row>
    <row r="67" spans="1:13">
      <c r="A67" s="117" t="s">
        <v>2645</v>
      </c>
      <c r="B67" s="1944"/>
      <c r="C67" s="117"/>
      <c r="D67" s="117"/>
      <c r="E67" s="117"/>
      <c r="F67" s="117"/>
      <c r="G67" s="117"/>
      <c r="H67" s="159"/>
      <c r="I67" s="117"/>
      <c r="J67" s="120"/>
      <c r="K67" s="117" t="s">
        <v>1316</v>
      </c>
      <c r="L67" s="117"/>
    </row>
    <row r="68" spans="1:13">
      <c r="A68" s="145" t="s">
        <v>1935</v>
      </c>
      <c r="B68" s="1944"/>
      <c r="C68" s="117"/>
      <c r="D68" s="117"/>
      <c r="E68" s="117"/>
      <c r="F68" s="117"/>
      <c r="G68" s="117"/>
      <c r="H68" s="159"/>
      <c r="I68" s="117"/>
      <c r="J68" s="120"/>
      <c r="K68" s="117" t="s">
        <v>840</v>
      </c>
      <c r="L68" s="117"/>
    </row>
    <row r="69" spans="1:13">
      <c r="A69" s="146" t="s">
        <v>1343</v>
      </c>
      <c r="B69" s="1944"/>
      <c r="C69" s="117"/>
      <c r="D69" s="117"/>
      <c r="E69" s="117"/>
      <c r="F69" s="117"/>
      <c r="G69" s="117"/>
      <c r="H69" s="159"/>
      <c r="I69" s="117"/>
      <c r="J69" s="117"/>
      <c r="K69" s="117" t="s">
        <v>2948</v>
      </c>
      <c r="L69" s="117"/>
    </row>
    <row r="70" spans="1:13">
      <c r="A70" s="117"/>
      <c r="B70" s="1944"/>
      <c r="C70" s="117"/>
      <c r="D70" s="117"/>
      <c r="E70" s="117"/>
      <c r="F70" s="117"/>
      <c r="G70" s="117"/>
      <c r="H70" s="159"/>
      <c r="I70" s="117"/>
      <c r="J70" s="117"/>
      <c r="K70" s="117"/>
      <c r="L70" s="117"/>
    </row>
    <row r="71" spans="1:13">
      <c r="A71" s="2307" t="s">
        <v>1336</v>
      </c>
      <c r="B71" s="2297"/>
      <c r="C71" s="2297"/>
      <c r="D71" s="2297"/>
      <c r="E71" s="2297"/>
      <c r="F71" s="2297"/>
      <c r="G71" s="2297"/>
      <c r="H71" s="2297"/>
      <c r="I71" s="2297"/>
      <c r="J71" s="2297"/>
      <c r="K71" s="2297"/>
      <c r="L71" s="2297"/>
      <c r="M71" s="2297"/>
    </row>
    <row r="72" spans="1:13">
      <c r="A72" s="2297"/>
      <c r="B72" s="2297"/>
      <c r="C72" s="2297"/>
      <c r="D72" s="2297"/>
      <c r="E72" s="2297"/>
      <c r="F72" s="2297"/>
      <c r="G72" s="2297"/>
      <c r="H72" s="2297"/>
      <c r="I72" s="2297"/>
      <c r="J72" s="2297"/>
      <c r="K72" s="2297"/>
      <c r="L72" s="2297"/>
      <c r="M72" s="2297"/>
    </row>
    <row r="73" spans="1:13" ht="13.5" thickBot="1">
      <c r="A73" s="159"/>
      <c r="B73" s="162"/>
      <c r="C73" s="159"/>
      <c r="D73" s="159"/>
      <c r="E73" s="159"/>
      <c r="F73" s="159"/>
      <c r="G73" s="159"/>
      <c r="H73" s="159"/>
      <c r="I73" s="159"/>
      <c r="J73" s="159"/>
      <c r="K73" s="159"/>
      <c r="L73" s="159"/>
      <c r="M73" s="159"/>
    </row>
    <row r="74" spans="1:13">
      <c r="A74" s="1774"/>
      <c r="B74" s="1775"/>
      <c r="C74" s="1776" t="s">
        <v>1779</v>
      </c>
      <c r="D74" s="1776"/>
      <c r="E74" s="1776"/>
      <c r="F74" s="1776"/>
      <c r="G74" s="1776"/>
      <c r="H74" s="1776"/>
      <c r="I74" s="1776" t="s">
        <v>1780</v>
      </c>
      <c r="J74" s="1777"/>
      <c r="K74" s="1777"/>
      <c r="L74" s="1777"/>
      <c r="M74" s="1777"/>
    </row>
    <row r="75" spans="1:13">
      <c r="A75" s="117"/>
      <c r="B75" s="1944"/>
      <c r="C75" s="203"/>
      <c r="D75" s="262" t="s">
        <v>1162</v>
      </c>
      <c r="E75" s="262" t="s">
        <v>1074</v>
      </c>
      <c r="F75" s="262" t="s">
        <v>1166</v>
      </c>
      <c r="G75" s="203"/>
      <c r="H75" s="1778"/>
      <c r="I75" s="203"/>
      <c r="J75" s="1944" t="s">
        <v>1162</v>
      </c>
      <c r="K75" s="1944" t="s">
        <v>1074</v>
      </c>
      <c r="L75" s="1944" t="s">
        <v>1166</v>
      </c>
      <c r="M75" s="117"/>
    </row>
    <row r="76" spans="1:13">
      <c r="A76" s="1944" t="s">
        <v>53</v>
      </c>
      <c r="B76" s="1944"/>
      <c r="C76" s="262" t="s">
        <v>1161</v>
      </c>
      <c r="D76" s="262" t="s">
        <v>1163</v>
      </c>
      <c r="E76" s="262" t="s">
        <v>1075</v>
      </c>
      <c r="F76" s="262" t="s">
        <v>1076</v>
      </c>
      <c r="G76" s="262" t="s">
        <v>1164</v>
      </c>
      <c r="H76" s="1149"/>
      <c r="I76" s="1149" t="s">
        <v>1161</v>
      </c>
      <c r="J76" s="162" t="s">
        <v>1163</v>
      </c>
      <c r="K76" s="162" t="s">
        <v>1075</v>
      </c>
      <c r="L76" s="162" t="s">
        <v>1076</v>
      </c>
      <c r="M76" s="162" t="s">
        <v>1164</v>
      </c>
    </row>
    <row r="77" spans="1:13">
      <c r="A77" s="1772" t="s">
        <v>730</v>
      </c>
      <c r="B77" s="1772" t="s">
        <v>1163</v>
      </c>
      <c r="C77" s="1779" t="s">
        <v>527</v>
      </c>
      <c r="D77" s="1779" t="s">
        <v>1077</v>
      </c>
      <c r="E77" s="1779" t="s">
        <v>1163</v>
      </c>
      <c r="F77" s="1779" t="s">
        <v>1078</v>
      </c>
      <c r="G77" s="1779" t="s">
        <v>527</v>
      </c>
      <c r="H77" s="1211"/>
      <c r="I77" s="1779" t="s">
        <v>527</v>
      </c>
      <c r="J77" s="1772" t="s">
        <v>1077</v>
      </c>
      <c r="K77" s="1772" t="s">
        <v>1163</v>
      </c>
      <c r="L77" s="1772" t="s">
        <v>1078</v>
      </c>
      <c r="M77" s="1772" t="s">
        <v>527</v>
      </c>
    </row>
    <row r="78" spans="1:13">
      <c r="A78" s="153">
        <v>1</v>
      </c>
      <c r="B78" s="1210">
        <v>2007</v>
      </c>
      <c r="C78" s="1946"/>
      <c r="D78" s="1946"/>
      <c r="E78" s="1946"/>
      <c r="F78" s="1946"/>
      <c r="G78" s="1946">
        <v>10327</v>
      </c>
      <c r="H78" s="1211"/>
      <c r="I78" s="1946"/>
      <c r="J78" s="1946"/>
      <c r="K78" s="1946"/>
      <c r="L78" s="1946"/>
      <c r="M78" s="1946">
        <v>21099</v>
      </c>
    </row>
    <row r="79" spans="1:13">
      <c r="A79" s="153">
        <v>2</v>
      </c>
      <c r="B79" s="1210">
        <v>2008</v>
      </c>
      <c r="C79" s="1947">
        <v>10327</v>
      </c>
      <c r="D79" s="1947"/>
      <c r="E79" s="1947">
        <v>0</v>
      </c>
      <c r="F79" s="1947">
        <v>0</v>
      </c>
      <c r="G79" s="1947">
        <v>10327</v>
      </c>
      <c r="H79" s="1211"/>
      <c r="I79" s="1947">
        <v>21099</v>
      </c>
      <c r="J79" s="1947">
        <v>696</v>
      </c>
      <c r="K79" s="1947">
        <v>0</v>
      </c>
      <c r="L79" s="1947">
        <v>0</v>
      </c>
      <c r="M79" s="1947">
        <v>21795</v>
      </c>
    </row>
    <row r="80" spans="1:13">
      <c r="A80" s="153">
        <v>3</v>
      </c>
      <c r="B80" s="1210">
        <v>2009</v>
      </c>
      <c r="C80" s="1947">
        <v>10327</v>
      </c>
      <c r="D80" s="1947"/>
      <c r="E80" s="1947">
        <v>0</v>
      </c>
      <c r="F80" s="1947">
        <v>0</v>
      </c>
      <c r="G80" s="1947">
        <v>10327</v>
      </c>
      <c r="H80" s="1211"/>
      <c r="I80" s="1947">
        <v>21795</v>
      </c>
      <c r="J80" s="1947">
        <v>0</v>
      </c>
      <c r="K80" s="1947">
        <v>0</v>
      </c>
      <c r="L80" s="1947">
        <v>0</v>
      </c>
      <c r="M80" s="1947">
        <v>21795</v>
      </c>
    </row>
    <row r="81" spans="1:13">
      <c r="A81" s="153">
        <v>4</v>
      </c>
      <c r="B81" s="1210">
        <v>2010</v>
      </c>
      <c r="C81" s="1947">
        <v>10327</v>
      </c>
      <c r="D81" s="1947"/>
      <c r="E81" s="1947">
        <v>0</v>
      </c>
      <c r="F81" s="1947">
        <v>0</v>
      </c>
      <c r="G81" s="1947">
        <v>10327</v>
      </c>
      <c r="H81" s="1211"/>
      <c r="I81" s="1947">
        <v>21795</v>
      </c>
      <c r="J81" s="1947">
        <v>180</v>
      </c>
      <c r="K81" s="1947">
        <v>0</v>
      </c>
      <c r="L81" s="1947">
        <v>0</v>
      </c>
      <c r="M81" s="1947">
        <v>21975</v>
      </c>
    </row>
    <row r="82" spans="1:13">
      <c r="A82" s="153">
        <v>5</v>
      </c>
      <c r="B82" s="1210">
        <v>2011</v>
      </c>
      <c r="C82" s="1947">
        <v>10327</v>
      </c>
      <c r="D82" s="1947"/>
      <c r="E82" s="1947">
        <v>0</v>
      </c>
      <c r="F82" s="1947">
        <v>0</v>
      </c>
      <c r="G82" s="1947">
        <v>10327</v>
      </c>
      <c r="H82" s="1211"/>
      <c r="I82" s="1947">
        <v>21975</v>
      </c>
      <c r="J82" s="1947">
        <v>-179.66</v>
      </c>
      <c r="K82" s="1947">
        <v>0</v>
      </c>
      <c r="L82" s="1947">
        <v>0</v>
      </c>
      <c r="M82" s="1947">
        <v>21795.34</v>
      </c>
    </row>
    <row r="83" spans="1:13">
      <c r="A83" s="153">
        <v>6</v>
      </c>
      <c r="B83" s="1210">
        <v>2012</v>
      </c>
      <c r="C83" s="1947">
        <v>10327</v>
      </c>
      <c r="D83" s="1947"/>
      <c r="E83" s="1947">
        <v>0</v>
      </c>
      <c r="F83" s="1947">
        <v>0</v>
      </c>
      <c r="G83" s="1947">
        <v>10327</v>
      </c>
      <c r="H83" s="222"/>
      <c r="I83" s="1947">
        <v>21795.34</v>
      </c>
      <c r="J83" s="1947">
        <v>0</v>
      </c>
      <c r="K83" s="1947">
        <v>0</v>
      </c>
      <c r="L83" s="1947">
        <v>0</v>
      </c>
      <c r="M83" s="1947">
        <v>21795.34</v>
      </c>
    </row>
    <row r="84" spans="1:13">
      <c r="A84" s="153">
        <v>7</v>
      </c>
      <c r="B84" s="1210">
        <v>2013</v>
      </c>
      <c r="C84" s="1947">
        <v>10327</v>
      </c>
      <c r="D84" s="1947"/>
      <c r="E84" s="1947">
        <v>0</v>
      </c>
      <c r="F84" s="1947">
        <v>0</v>
      </c>
      <c r="G84" s="1947">
        <v>10327</v>
      </c>
      <c r="H84" s="222"/>
      <c r="I84" s="1947">
        <v>21795.34</v>
      </c>
      <c r="J84" s="1947">
        <v>0</v>
      </c>
      <c r="K84" s="1947">
        <v>0</v>
      </c>
      <c r="L84" s="1947">
        <v>0</v>
      </c>
      <c r="M84" s="1947">
        <v>21795.34</v>
      </c>
    </row>
    <row r="85" spans="1:13">
      <c r="A85" s="153">
        <v>8</v>
      </c>
      <c r="B85" s="166">
        <v>2014</v>
      </c>
      <c r="C85" s="1947">
        <v>10327</v>
      </c>
      <c r="D85" s="1947"/>
      <c r="E85" s="1947">
        <v>0</v>
      </c>
      <c r="F85" s="1947">
        <v>0</v>
      </c>
      <c r="G85" s="1947">
        <v>10327</v>
      </c>
      <c r="H85" s="222"/>
      <c r="I85" s="1947">
        <v>21795.34</v>
      </c>
      <c r="J85" s="1947">
        <v>0</v>
      </c>
      <c r="K85" s="1947">
        <v>0</v>
      </c>
      <c r="L85" s="1947">
        <v>0</v>
      </c>
      <c r="M85" s="1947">
        <v>21795.34</v>
      </c>
    </row>
    <row r="86" spans="1:13">
      <c r="A86" s="153">
        <v>9</v>
      </c>
      <c r="B86" s="166">
        <v>2015</v>
      </c>
      <c r="C86" s="1947">
        <v>10327</v>
      </c>
      <c r="D86" s="1947"/>
      <c r="E86" s="1947">
        <v>0</v>
      </c>
      <c r="F86" s="1947">
        <v>0</v>
      </c>
      <c r="G86" s="1947">
        <v>10327</v>
      </c>
      <c r="H86" s="222"/>
      <c r="I86" s="1947">
        <v>21795.34</v>
      </c>
      <c r="J86" s="1947">
        <v>0</v>
      </c>
      <c r="K86" s="1947">
        <v>0</v>
      </c>
      <c r="L86" s="1947">
        <v>0</v>
      </c>
      <c r="M86" s="1947">
        <v>21795.34</v>
      </c>
    </row>
    <row r="87" spans="1:13">
      <c r="A87" s="153">
        <v>10</v>
      </c>
      <c r="C87" s="212"/>
      <c r="D87" s="212"/>
      <c r="E87" s="212"/>
      <c r="F87" s="212"/>
      <c r="G87" s="212"/>
      <c r="H87" s="222"/>
      <c r="I87" s="694"/>
      <c r="J87" s="150"/>
      <c r="K87" s="150"/>
      <c r="L87" s="150"/>
      <c r="M87" s="150"/>
    </row>
    <row r="88" spans="1:13">
      <c r="A88" s="153">
        <v>11</v>
      </c>
      <c r="B88" s="1944"/>
      <c r="C88" s="972" t="s">
        <v>556</v>
      </c>
      <c r="D88" s="972"/>
      <c r="E88" s="972"/>
      <c r="F88" s="972"/>
      <c r="G88" s="972"/>
      <c r="H88" s="1781"/>
      <c r="I88" s="972" t="s">
        <v>1114</v>
      </c>
      <c r="J88" s="154"/>
      <c r="K88" s="154"/>
      <c r="L88" s="154"/>
      <c r="M88" s="154"/>
    </row>
    <row r="89" spans="1:13">
      <c r="A89" s="153">
        <v>12</v>
      </c>
      <c r="B89" s="1944"/>
      <c r="C89" s="203"/>
      <c r="D89" s="262" t="s">
        <v>1162</v>
      </c>
      <c r="E89" s="262" t="s">
        <v>1074</v>
      </c>
      <c r="F89" s="262" t="s">
        <v>1166</v>
      </c>
      <c r="G89" s="203"/>
      <c r="H89" s="1778"/>
      <c r="I89" s="203"/>
      <c r="J89" s="1944" t="s">
        <v>1162</v>
      </c>
      <c r="K89" s="262" t="s">
        <v>1074</v>
      </c>
      <c r="L89" s="1944" t="s">
        <v>1166</v>
      </c>
      <c r="M89" s="117"/>
    </row>
    <row r="90" spans="1:13">
      <c r="A90" s="153">
        <v>13</v>
      </c>
      <c r="B90" s="1944"/>
      <c r="C90" s="262" t="s">
        <v>1161</v>
      </c>
      <c r="D90" s="262" t="s">
        <v>1163</v>
      </c>
      <c r="E90" s="262" t="s">
        <v>1075</v>
      </c>
      <c r="F90" s="262" t="s">
        <v>1076</v>
      </c>
      <c r="G90" s="262" t="s">
        <v>1164</v>
      </c>
      <c r="H90" s="1149"/>
      <c r="I90" s="262" t="s">
        <v>1161</v>
      </c>
      <c r="J90" s="1944" t="s">
        <v>1163</v>
      </c>
      <c r="K90" s="262" t="s">
        <v>1075</v>
      </c>
      <c r="L90" s="1944" t="s">
        <v>1076</v>
      </c>
      <c r="M90" s="1944" t="s">
        <v>1164</v>
      </c>
    </row>
    <row r="91" spans="1:13">
      <c r="A91" s="153">
        <v>14</v>
      </c>
      <c r="B91" s="1772" t="s">
        <v>1163</v>
      </c>
      <c r="C91" s="1779" t="s">
        <v>527</v>
      </c>
      <c r="D91" s="1779" t="s">
        <v>1077</v>
      </c>
      <c r="E91" s="1779" t="s">
        <v>1163</v>
      </c>
      <c r="F91" s="1779" t="s">
        <v>1078</v>
      </c>
      <c r="G91" s="1779" t="s">
        <v>527</v>
      </c>
      <c r="H91" s="1211"/>
      <c r="I91" s="1779" t="s">
        <v>527</v>
      </c>
      <c r="J91" s="1772" t="s">
        <v>1077</v>
      </c>
      <c r="K91" s="1779" t="s">
        <v>1163</v>
      </c>
      <c r="L91" s="1772" t="s">
        <v>1078</v>
      </c>
      <c r="M91" s="1772" t="s">
        <v>527</v>
      </c>
    </row>
    <row r="92" spans="1:13">
      <c r="A92" s="153">
        <v>15</v>
      </c>
      <c r="B92" s="1210">
        <v>2007</v>
      </c>
      <c r="C92" s="1946"/>
      <c r="D92" s="1946"/>
      <c r="E92" s="1946"/>
      <c r="F92" s="1946"/>
      <c r="G92" s="1946">
        <v>-6301</v>
      </c>
      <c r="H92" s="1211"/>
      <c r="I92" s="1946"/>
      <c r="J92" s="1946"/>
      <c r="K92" s="1946"/>
      <c r="L92" s="1946"/>
      <c r="M92" s="1946">
        <v>0</v>
      </c>
    </row>
    <row r="93" spans="1:13">
      <c r="A93" s="153">
        <v>16</v>
      </c>
      <c r="B93" s="1210">
        <v>2008</v>
      </c>
      <c r="C93" s="1947">
        <v>-6301</v>
      </c>
      <c r="D93" s="1947">
        <v>-805</v>
      </c>
      <c r="E93" s="1947"/>
      <c r="F93" s="1947">
        <v>0</v>
      </c>
      <c r="G93" s="1947">
        <v>-7106</v>
      </c>
      <c r="H93" s="1211"/>
      <c r="I93" s="1947">
        <v>0</v>
      </c>
      <c r="J93" s="1947">
        <v>551</v>
      </c>
      <c r="K93" s="1947"/>
      <c r="L93" s="1947"/>
      <c r="M93" s="1947">
        <v>551</v>
      </c>
    </row>
    <row r="94" spans="1:13">
      <c r="A94" s="153">
        <v>17</v>
      </c>
      <c r="B94" s="1210">
        <v>2009</v>
      </c>
      <c r="C94" s="1947">
        <v>-7106</v>
      </c>
      <c r="D94" s="1947">
        <v>1221</v>
      </c>
      <c r="E94" s="1947"/>
      <c r="F94" s="1947">
        <v>0</v>
      </c>
      <c r="G94" s="1947">
        <v>-5885</v>
      </c>
      <c r="H94" s="1211"/>
      <c r="I94" s="1947">
        <v>551</v>
      </c>
      <c r="J94" s="1947">
        <v>-1948</v>
      </c>
      <c r="K94" s="1947"/>
      <c r="L94" s="1947"/>
      <c r="M94" s="1947">
        <v>-1397</v>
      </c>
    </row>
    <row r="95" spans="1:13">
      <c r="A95" s="153">
        <v>18</v>
      </c>
      <c r="B95" s="1210">
        <v>2010</v>
      </c>
      <c r="C95" s="1947">
        <v>-5885</v>
      </c>
      <c r="D95" s="1947">
        <v>2547</v>
      </c>
      <c r="E95" s="1947"/>
      <c r="F95" s="1947">
        <v>0</v>
      </c>
      <c r="G95" s="1947">
        <v>-3338</v>
      </c>
      <c r="H95" s="1211"/>
      <c r="I95" s="1947">
        <v>-1397</v>
      </c>
      <c r="J95" s="1947">
        <v>303</v>
      </c>
      <c r="K95" s="1947"/>
      <c r="L95" s="1947"/>
      <c r="M95" s="1947">
        <v>-1094</v>
      </c>
    </row>
    <row r="96" spans="1:13">
      <c r="A96" s="153">
        <v>19</v>
      </c>
      <c r="B96" s="1210">
        <v>2011</v>
      </c>
      <c r="C96" s="1947">
        <v>-3338</v>
      </c>
      <c r="D96" s="1947">
        <v>1682.88</v>
      </c>
      <c r="E96" s="1947"/>
      <c r="F96" s="1947">
        <v>0</v>
      </c>
      <c r="G96" s="1947">
        <v>-1655.12</v>
      </c>
      <c r="H96" s="1211"/>
      <c r="I96" s="1947">
        <v>-1094</v>
      </c>
      <c r="J96" s="1947">
        <v>279.95</v>
      </c>
      <c r="K96" s="1947"/>
      <c r="L96" s="1947"/>
      <c r="M96" s="1947">
        <v>-814.05</v>
      </c>
    </row>
    <row r="97" spans="1:13">
      <c r="A97" s="153">
        <v>20</v>
      </c>
      <c r="B97" s="1210">
        <v>2012</v>
      </c>
      <c r="C97" s="1947">
        <v>-1655.12</v>
      </c>
      <c r="D97" s="1947">
        <v>1221</v>
      </c>
      <c r="E97" s="1947"/>
      <c r="F97" s="1947">
        <v>0</v>
      </c>
      <c r="G97" s="1947">
        <v>-434.11999999999989</v>
      </c>
      <c r="H97" s="222"/>
      <c r="I97" s="1947">
        <v>-814.05</v>
      </c>
      <c r="J97" s="1947">
        <v>-20</v>
      </c>
      <c r="K97" s="1947"/>
      <c r="L97" s="1947"/>
      <c r="M97" s="1947">
        <v>-834.05</v>
      </c>
    </row>
    <row r="98" spans="1:13">
      <c r="A98" s="153">
        <v>21</v>
      </c>
      <c r="B98" s="1210">
        <v>2013</v>
      </c>
      <c r="C98" s="1947">
        <v>-434.11999999999989</v>
      </c>
      <c r="D98" s="1947">
        <v>505</v>
      </c>
      <c r="E98" s="1947"/>
      <c r="F98" s="1947">
        <v>0</v>
      </c>
      <c r="G98" s="1947">
        <v>70.880000000000109</v>
      </c>
      <c r="H98" s="222"/>
      <c r="I98" s="1947">
        <v>-834.05</v>
      </c>
      <c r="J98" s="1947">
        <v>395</v>
      </c>
      <c r="K98" s="1947"/>
      <c r="L98" s="1947"/>
      <c r="M98" s="1947">
        <v>-439.04999999999995</v>
      </c>
    </row>
    <row r="99" spans="1:13">
      <c r="A99" s="153">
        <v>22</v>
      </c>
      <c r="B99" s="166">
        <v>2014</v>
      </c>
      <c r="C99" s="1947">
        <v>70.880000000000109</v>
      </c>
      <c r="D99" s="1947">
        <v>0</v>
      </c>
      <c r="E99" s="1947"/>
      <c r="F99" s="1947">
        <v>0</v>
      </c>
      <c r="G99" s="1947">
        <v>70.880000000000109</v>
      </c>
      <c r="H99" s="1782"/>
      <c r="I99" s="1947">
        <v>-439.04999999999995</v>
      </c>
      <c r="J99" s="1947">
        <v>0</v>
      </c>
      <c r="K99" s="1947"/>
      <c r="L99" s="1947"/>
      <c r="M99" s="1947">
        <v>-439.04999999999995</v>
      </c>
    </row>
    <row r="100" spans="1:13">
      <c r="A100" s="153">
        <v>23</v>
      </c>
      <c r="B100" s="166">
        <v>2015</v>
      </c>
      <c r="C100" s="1947">
        <v>70.880000000000109</v>
      </c>
      <c r="D100" s="1947">
        <v>0</v>
      </c>
      <c r="E100" s="1947"/>
      <c r="F100" s="1947">
        <v>0</v>
      </c>
      <c r="G100" s="1947">
        <v>70.880000000000109</v>
      </c>
      <c r="H100" s="1782"/>
      <c r="I100" s="1947">
        <v>-439.04999999999995</v>
      </c>
      <c r="J100" s="1947">
        <v>-1660.94</v>
      </c>
      <c r="K100" s="1947"/>
      <c r="L100" s="1947"/>
      <c r="M100" s="1947">
        <v>-2099.9899999999998</v>
      </c>
    </row>
    <row r="101" spans="1:13">
      <c r="A101" s="153">
        <v>24</v>
      </c>
      <c r="B101" s="166"/>
      <c r="C101" s="212"/>
      <c r="D101" s="212"/>
      <c r="E101" s="212"/>
      <c r="F101" s="212"/>
      <c r="G101" s="212"/>
      <c r="H101" s="222"/>
      <c r="I101" s="212"/>
      <c r="J101" s="150"/>
      <c r="K101" s="212"/>
      <c r="L101" s="150"/>
      <c r="M101" s="150"/>
    </row>
    <row r="102" spans="1:13">
      <c r="A102" s="153">
        <v>25</v>
      </c>
      <c r="C102" s="972" t="s">
        <v>1540</v>
      </c>
      <c r="D102" s="972"/>
      <c r="E102" s="972"/>
      <c r="F102" s="972"/>
      <c r="G102" s="972"/>
      <c r="H102" s="222"/>
      <c r="I102" s="972" t="s">
        <v>1758</v>
      </c>
      <c r="J102" s="972"/>
      <c r="K102" s="972"/>
      <c r="L102" s="972"/>
      <c r="M102" s="972"/>
    </row>
    <row r="103" spans="1:13">
      <c r="A103" s="153">
        <v>26</v>
      </c>
      <c r="B103" s="1944"/>
      <c r="C103" s="203"/>
      <c r="D103" s="262" t="s">
        <v>1162</v>
      </c>
      <c r="E103" s="262" t="s">
        <v>1074</v>
      </c>
      <c r="F103" s="262" t="s">
        <v>1166</v>
      </c>
      <c r="G103" s="203"/>
      <c r="H103" s="1781"/>
      <c r="I103" s="203"/>
      <c r="J103" s="1944" t="s">
        <v>1162</v>
      </c>
      <c r="K103" s="1944" t="s">
        <v>1074</v>
      </c>
      <c r="L103" s="1944" t="s">
        <v>1166</v>
      </c>
      <c r="M103" s="117"/>
    </row>
    <row r="104" spans="1:13">
      <c r="A104" s="153">
        <v>27</v>
      </c>
      <c r="B104" s="1944"/>
      <c r="C104" s="262" t="s">
        <v>1161</v>
      </c>
      <c r="D104" s="262" t="s">
        <v>1163</v>
      </c>
      <c r="E104" s="262" t="s">
        <v>1075</v>
      </c>
      <c r="F104" s="262" t="s">
        <v>1076</v>
      </c>
      <c r="G104" s="262" t="s">
        <v>1164</v>
      </c>
      <c r="H104" s="1778"/>
      <c r="I104" s="262" t="s">
        <v>1161</v>
      </c>
      <c r="J104" s="1944" t="s">
        <v>1163</v>
      </c>
      <c r="K104" s="1944" t="s">
        <v>1075</v>
      </c>
      <c r="L104" s="1944" t="s">
        <v>1076</v>
      </c>
      <c r="M104" s="1944" t="s">
        <v>1164</v>
      </c>
    </row>
    <row r="105" spans="1:13">
      <c r="A105" s="153">
        <v>28</v>
      </c>
      <c r="B105" s="1772" t="s">
        <v>1163</v>
      </c>
      <c r="C105" s="1779" t="s">
        <v>527</v>
      </c>
      <c r="D105" s="1779" t="s">
        <v>1077</v>
      </c>
      <c r="E105" s="1779" t="s">
        <v>1163</v>
      </c>
      <c r="F105" s="1779" t="s">
        <v>1078</v>
      </c>
      <c r="G105" s="1779" t="s">
        <v>527</v>
      </c>
      <c r="H105" s="1149"/>
      <c r="I105" s="1779" t="s">
        <v>527</v>
      </c>
      <c r="J105" s="1772" t="s">
        <v>1077</v>
      </c>
      <c r="K105" s="1772" t="s">
        <v>1163</v>
      </c>
      <c r="L105" s="1772" t="s">
        <v>1078</v>
      </c>
      <c r="M105" s="1772" t="s">
        <v>527</v>
      </c>
    </row>
    <row r="106" spans="1:13">
      <c r="A106" s="153">
        <v>29</v>
      </c>
      <c r="B106" s="1210">
        <v>2007</v>
      </c>
      <c r="C106" s="1946"/>
      <c r="D106" s="1946"/>
      <c r="E106" s="1946"/>
      <c r="F106" s="1946"/>
      <c r="G106" s="1946">
        <v>0</v>
      </c>
      <c r="H106" s="1211"/>
      <c r="I106" s="1211"/>
      <c r="J106" s="157"/>
      <c r="K106" s="157"/>
      <c r="L106" s="157"/>
      <c r="M106" s="157"/>
    </row>
    <row r="107" spans="1:13">
      <c r="A107" s="153">
        <v>30</v>
      </c>
      <c r="B107" s="1210">
        <v>2008</v>
      </c>
      <c r="C107" s="1947">
        <v>0</v>
      </c>
      <c r="D107" s="1947">
        <v>0</v>
      </c>
      <c r="E107" s="1947"/>
      <c r="F107" s="1947"/>
      <c r="G107" s="1947">
        <v>0</v>
      </c>
      <c r="H107" s="1149"/>
      <c r="I107" s="212">
        <v>0</v>
      </c>
      <c r="J107" s="152"/>
      <c r="M107" s="150">
        <v>0</v>
      </c>
    </row>
    <row r="108" spans="1:13">
      <c r="A108" s="153">
        <v>31</v>
      </c>
      <c r="B108" s="1210">
        <v>2009</v>
      </c>
      <c r="C108" s="1947">
        <v>0</v>
      </c>
      <c r="D108" s="1947">
        <v>0</v>
      </c>
      <c r="E108" s="1947"/>
      <c r="F108" s="1947"/>
      <c r="G108" s="1947">
        <v>0</v>
      </c>
      <c r="H108" s="1149"/>
      <c r="I108" s="212">
        <v>0</v>
      </c>
      <c r="J108" s="152"/>
      <c r="M108" s="150">
        <v>0</v>
      </c>
    </row>
    <row r="109" spans="1:13">
      <c r="A109" s="153">
        <v>32</v>
      </c>
      <c r="B109" s="1210">
        <v>2010</v>
      </c>
      <c r="C109" s="1947">
        <v>0</v>
      </c>
      <c r="D109" s="1947">
        <v>10004</v>
      </c>
      <c r="E109" s="1947"/>
      <c r="F109"/>
      <c r="G109" s="1947">
        <v>10004</v>
      </c>
      <c r="H109" s="1149"/>
      <c r="I109" s="212">
        <v>0</v>
      </c>
      <c r="J109" s="152"/>
      <c r="M109" s="150">
        <v>0</v>
      </c>
    </row>
    <row r="110" spans="1:13">
      <c r="A110" s="153">
        <v>33</v>
      </c>
      <c r="B110" s="1210">
        <v>2011</v>
      </c>
      <c r="C110" s="1947">
        <v>10004</v>
      </c>
      <c r="D110" s="1947">
        <v>-8548.83</v>
      </c>
      <c r="E110" s="1947"/>
      <c r="F110" s="1947"/>
      <c r="G110" s="1947">
        <v>1455.17</v>
      </c>
      <c r="H110" s="1149"/>
      <c r="I110" s="212">
        <v>0</v>
      </c>
      <c r="J110" s="152"/>
      <c r="M110" s="150">
        <v>0</v>
      </c>
    </row>
    <row r="111" spans="1:13">
      <c r="A111" s="153">
        <v>34</v>
      </c>
      <c r="B111" s="1210">
        <v>2012</v>
      </c>
      <c r="C111" s="1947">
        <v>1455.17</v>
      </c>
      <c r="D111" s="1947">
        <v>-131</v>
      </c>
      <c r="E111" s="1947"/>
      <c r="F111" s="1947"/>
      <c r="G111" s="1947">
        <v>1324.17</v>
      </c>
      <c r="H111" s="1211"/>
      <c r="I111" s="1947">
        <v>0</v>
      </c>
      <c r="J111" s="1947"/>
      <c r="K111" s="1947"/>
      <c r="L111" s="1947"/>
      <c r="M111" s="1947">
        <v>0</v>
      </c>
    </row>
    <row r="112" spans="1:13">
      <c r="A112" s="153">
        <v>35</v>
      </c>
      <c r="B112" s="1210">
        <v>2013</v>
      </c>
      <c r="C112" s="1947">
        <v>1324.17</v>
      </c>
      <c r="D112" s="1947">
        <v>-111</v>
      </c>
      <c r="E112" s="1947"/>
      <c r="F112" s="1947"/>
      <c r="G112" s="1947">
        <v>1213.17</v>
      </c>
      <c r="H112" s="252"/>
      <c r="I112" s="1947">
        <v>0</v>
      </c>
      <c r="J112" s="1947">
        <v>158</v>
      </c>
      <c r="K112" s="1947"/>
      <c r="L112" s="1947"/>
      <c r="M112" s="1947">
        <v>158</v>
      </c>
    </row>
    <row r="113" spans="1:13">
      <c r="A113" s="153">
        <v>36</v>
      </c>
      <c r="B113" s="166">
        <v>2014</v>
      </c>
      <c r="C113" s="1947">
        <v>1213.17</v>
      </c>
      <c r="D113" s="1947">
        <v>0</v>
      </c>
      <c r="E113" s="1947"/>
      <c r="F113" s="1947">
        <v>0</v>
      </c>
      <c r="G113" s="1947">
        <v>1213.17</v>
      </c>
      <c r="H113" s="1782"/>
      <c r="I113" s="1947">
        <v>158</v>
      </c>
      <c r="J113" s="1947">
        <v>0</v>
      </c>
      <c r="K113" s="1947"/>
      <c r="L113" s="1947"/>
      <c r="M113" s="1947">
        <v>158</v>
      </c>
    </row>
    <row r="114" spans="1:13">
      <c r="A114" s="153">
        <v>37</v>
      </c>
      <c r="B114" s="166">
        <v>2015</v>
      </c>
      <c r="C114" s="1947">
        <v>1213.17</v>
      </c>
      <c r="D114" s="1947">
        <v>2.1</v>
      </c>
      <c r="E114" s="1947"/>
      <c r="F114" s="1947">
        <v>0</v>
      </c>
      <c r="G114" s="1947">
        <v>1215.27</v>
      </c>
      <c r="H114" s="1782"/>
      <c r="I114" s="1947">
        <v>158</v>
      </c>
      <c r="J114" s="1947">
        <v>-1.73</v>
      </c>
      <c r="K114" s="1947"/>
      <c r="L114" s="1947"/>
      <c r="M114" s="1947">
        <v>156.27000000000001</v>
      </c>
    </row>
    <row r="115" spans="1:13">
      <c r="A115" s="153">
        <v>38</v>
      </c>
      <c r="C115" s="212"/>
      <c r="D115" s="694"/>
      <c r="E115" s="212"/>
      <c r="F115" s="212"/>
      <c r="G115" s="212"/>
      <c r="H115" s="163"/>
      <c r="I115" s="150"/>
      <c r="J115" s="150"/>
      <c r="K115" s="150"/>
      <c r="L115" s="150"/>
      <c r="M115" s="150"/>
    </row>
    <row r="116" spans="1:13">
      <c r="A116" s="153">
        <v>39</v>
      </c>
      <c r="C116" s="154" t="s">
        <v>996</v>
      </c>
      <c r="D116" s="154"/>
      <c r="E116" s="154"/>
      <c r="F116" s="154"/>
      <c r="G116" s="154"/>
      <c r="H116" s="1020"/>
      <c r="I116" s="972" t="s">
        <v>2636</v>
      </c>
      <c r="J116" s="154"/>
      <c r="K116" s="154"/>
      <c r="L116" s="154"/>
      <c r="M116" s="154"/>
    </row>
    <row r="117" spans="1:13">
      <c r="A117" s="153">
        <v>40</v>
      </c>
      <c r="B117" s="1944"/>
      <c r="C117" s="117"/>
      <c r="D117" s="1944" t="s">
        <v>1162</v>
      </c>
      <c r="E117" s="1944" t="s">
        <v>1074</v>
      </c>
      <c r="F117" s="1944" t="s">
        <v>1166</v>
      </c>
      <c r="G117" s="117"/>
      <c r="H117" s="1020"/>
      <c r="I117" s="117"/>
      <c r="J117" s="1944" t="s">
        <v>1162</v>
      </c>
      <c r="K117" s="1944" t="s">
        <v>1074</v>
      </c>
      <c r="L117" s="1944" t="s">
        <v>1166</v>
      </c>
      <c r="M117" s="117"/>
    </row>
    <row r="118" spans="1:13">
      <c r="A118" s="153">
        <v>41</v>
      </c>
      <c r="B118" s="1944"/>
      <c r="C118" s="1944" t="s">
        <v>1161</v>
      </c>
      <c r="D118" s="1944" t="s">
        <v>1163</v>
      </c>
      <c r="E118" s="1944" t="s">
        <v>1075</v>
      </c>
      <c r="F118" s="1944" t="s">
        <v>1076</v>
      </c>
      <c r="G118" s="1944" t="s">
        <v>1164</v>
      </c>
      <c r="H118" s="1020"/>
      <c r="I118" s="1944" t="s">
        <v>1161</v>
      </c>
      <c r="J118" s="1944" t="s">
        <v>1163</v>
      </c>
      <c r="K118" s="1944" t="s">
        <v>1075</v>
      </c>
      <c r="L118" s="1944" t="s">
        <v>1076</v>
      </c>
      <c r="M118" s="1944" t="s">
        <v>1164</v>
      </c>
    </row>
    <row r="119" spans="1:13">
      <c r="A119" s="153">
        <v>42</v>
      </c>
      <c r="B119" s="1772" t="s">
        <v>1163</v>
      </c>
      <c r="C119" s="1772" t="s">
        <v>527</v>
      </c>
      <c r="D119" s="1772" t="s">
        <v>1077</v>
      </c>
      <c r="E119" s="1772" t="s">
        <v>1163</v>
      </c>
      <c r="F119" s="1772" t="s">
        <v>1078</v>
      </c>
      <c r="G119" s="1772" t="s">
        <v>527</v>
      </c>
      <c r="H119" s="1020"/>
      <c r="I119" s="1772" t="s">
        <v>527</v>
      </c>
      <c r="J119" s="1772" t="s">
        <v>1077</v>
      </c>
      <c r="K119" s="1772" t="s">
        <v>1163</v>
      </c>
      <c r="L119" s="1772" t="s">
        <v>1078</v>
      </c>
      <c r="M119" s="1772" t="s">
        <v>527</v>
      </c>
    </row>
    <row r="120" spans="1:13">
      <c r="A120" s="153">
        <v>43</v>
      </c>
      <c r="B120" s="1210">
        <v>2007</v>
      </c>
      <c r="C120" s="1946"/>
      <c r="D120" s="1946"/>
      <c r="E120" s="1946"/>
      <c r="F120" s="1946"/>
      <c r="G120" s="1946">
        <v>-2351</v>
      </c>
      <c r="H120" s="1211"/>
      <c r="I120" s="1211"/>
      <c r="J120" s="157"/>
      <c r="K120" s="157"/>
      <c r="L120" s="157"/>
      <c r="M120" s="157"/>
    </row>
    <row r="121" spans="1:13">
      <c r="A121" s="153">
        <v>44</v>
      </c>
      <c r="B121" s="1210">
        <v>2008</v>
      </c>
      <c r="C121" s="1947">
        <v>-2351</v>
      </c>
      <c r="D121" s="1947">
        <v>2941</v>
      </c>
      <c r="E121" s="1947"/>
      <c r="F121" s="1947"/>
      <c r="G121" s="1947">
        <v>590</v>
      </c>
      <c r="H121" s="1020"/>
      <c r="I121" s="150">
        <v>0</v>
      </c>
      <c r="J121" s="150"/>
      <c r="K121" s="150"/>
      <c r="L121" s="150"/>
      <c r="M121" s="150">
        <v>0</v>
      </c>
    </row>
    <row r="122" spans="1:13">
      <c r="A122" s="153">
        <v>45</v>
      </c>
      <c r="B122" s="1210">
        <v>2009</v>
      </c>
      <c r="C122" s="1947">
        <v>590</v>
      </c>
      <c r="D122" s="1947">
        <v>5984</v>
      </c>
      <c r="E122" s="1947"/>
      <c r="F122" s="1947"/>
      <c r="G122" s="1947">
        <v>6574</v>
      </c>
      <c r="H122" s="1020"/>
      <c r="I122" s="150">
        <v>0</v>
      </c>
      <c r="J122" s="150"/>
      <c r="K122" s="150"/>
      <c r="L122" s="150"/>
      <c r="M122" s="150">
        <v>0</v>
      </c>
    </row>
    <row r="123" spans="1:13">
      <c r="A123" s="153">
        <v>46</v>
      </c>
      <c r="B123" s="1210">
        <v>2010</v>
      </c>
      <c r="C123" s="1947">
        <v>6574</v>
      </c>
      <c r="D123" s="1947">
        <v>4909</v>
      </c>
      <c r="E123" s="1947"/>
      <c r="F123"/>
      <c r="G123" s="1947">
        <v>11483</v>
      </c>
      <c r="H123" s="1020"/>
      <c r="I123" s="150">
        <v>0</v>
      </c>
      <c r="J123" s="150"/>
      <c r="K123" s="150"/>
      <c r="L123" s="150"/>
      <c r="M123" s="150">
        <v>0</v>
      </c>
    </row>
    <row r="124" spans="1:13">
      <c r="A124" s="153">
        <v>47</v>
      </c>
      <c r="B124" s="1210">
        <v>2011</v>
      </c>
      <c r="C124" s="1947">
        <v>11483</v>
      </c>
      <c r="D124" s="1947">
        <v>5810.07</v>
      </c>
      <c r="E124" s="1947"/>
      <c r="F124" s="1947"/>
      <c r="G124" s="1947">
        <v>17293.07</v>
      </c>
      <c r="H124" s="1020"/>
      <c r="I124" s="150">
        <v>0</v>
      </c>
      <c r="J124" s="150"/>
      <c r="K124" s="150"/>
      <c r="L124" s="150"/>
      <c r="M124" s="150">
        <v>0</v>
      </c>
    </row>
    <row r="125" spans="1:13">
      <c r="A125" s="153">
        <v>48</v>
      </c>
      <c r="B125" s="1210">
        <v>2012</v>
      </c>
      <c r="C125" s="1947">
        <v>17293.07</v>
      </c>
      <c r="D125" s="1947">
        <v>6791.48</v>
      </c>
      <c r="E125" s="1947"/>
      <c r="F125" s="1947"/>
      <c r="G125" s="1947">
        <v>24084.55</v>
      </c>
      <c r="H125" s="1020"/>
      <c r="I125" s="1947">
        <v>0</v>
      </c>
      <c r="J125" s="1947"/>
      <c r="K125" s="1947"/>
      <c r="L125" s="1947"/>
      <c r="M125" s="1947">
        <v>0</v>
      </c>
    </row>
    <row r="126" spans="1:13">
      <c r="A126" s="153">
        <v>49</v>
      </c>
      <c r="B126" s="1210">
        <v>2013</v>
      </c>
      <c r="C126" s="1947">
        <v>24084.55</v>
      </c>
      <c r="D126" s="1947">
        <v>3531.87</v>
      </c>
      <c r="E126" s="1947"/>
      <c r="F126" s="1947"/>
      <c r="G126" s="1947">
        <v>27616.42</v>
      </c>
      <c r="H126" s="1020"/>
      <c r="I126" s="1947">
        <v>0</v>
      </c>
      <c r="J126" s="1947">
        <v>-4875</v>
      </c>
      <c r="K126" s="1947"/>
      <c r="L126" s="1947"/>
      <c r="M126" s="1947">
        <v>-4875</v>
      </c>
    </row>
    <row r="127" spans="1:13">
      <c r="A127" s="153">
        <v>50</v>
      </c>
      <c r="B127" s="166">
        <v>2014</v>
      </c>
      <c r="C127" s="1947">
        <v>27616.42</v>
      </c>
      <c r="D127" s="1947">
        <v>1.04</v>
      </c>
      <c r="E127" s="1947"/>
      <c r="F127" s="1947"/>
      <c r="G127" s="1947">
        <v>27617.46</v>
      </c>
      <c r="H127" s="1020"/>
      <c r="I127" s="1947">
        <v>-4875</v>
      </c>
      <c r="J127" s="1947">
        <v>0</v>
      </c>
      <c r="K127" s="1947"/>
      <c r="L127" s="1947"/>
      <c r="M127" s="1947">
        <v>-4875</v>
      </c>
    </row>
    <row r="128" spans="1:13">
      <c r="A128" s="153">
        <v>51</v>
      </c>
      <c r="B128" s="166">
        <v>2015</v>
      </c>
      <c r="C128" s="1947">
        <v>27617.46</v>
      </c>
      <c r="D128" s="1947">
        <v>-6392.85</v>
      </c>
      <c r="E128" s="1947"/>
      <c r="F128" s="1947"/>
      <c r="G128" s="1947">
        <v>21224.61</v>
      </c>
      <c r="H128" s="1020"/>
      <c r="I128" s="1947">
        <v>-4875</v>
      </c>
      <c r="J128" s="1947">
        <v>-9677.35</v>
      </c>
      <c r="K128" s="1947"/>
      <c r="L128" s="1947"/>
      <c r="M128" s="1947">
        <v>-14552.35</v>
      </c>
    </row>
    <row r="129" spans="1:13">
      <c r="A129" s="153">
        <v>52</v>
      </c>
      <c r="B129" s="166"/>
      <c r="C129" s="150"/>
      <c r="D129" s="150"/>
      <c r="E129" s="212"/>
      <c r="F129" s="150"/>
      <c r="G129" s="150"/>
      <c r="H129" s="1020"/>
      <c r="I129" s="150"/>
      <c r="J129" s="150"/>
      <c r="K129" s="150"/>
      <c r="L129" s="150"/>
      <c r="M129" s="150"/>
    </row>
    <row r="130" spans="1:13">
      <c r="A130" s="153">
        <v>53</v>
      </c>
      <c r="B130" s="166"/>
      <c r="C130" s="972" t="s">
        <v>2637</v>
      </c>
      <c r="D130" s="972"/>
      <c r="E130" s="972"/>
      <c r="F130" s="972"/>
      <c r="G130" s="972"/>
      <c r="H130" s="1020"/>
      <c r="I130" s="150"/>
      <c r="J130" s="150"/>
      <c r="K130" s="150"/>
      <c r="L130" s="150"/>
      <c r="M130" s="150"/>
    </row>
    <row r="131" spans="1:13">
      <c r="A131" s="153">
        <v>54</v>
      </c>
      <c r="B131" s="166"/>
      <c r="C131" s="117"/>
      <c r="D131" s="1944" t="s">
        <v>1162</v>
      </c>
      <c r="E131" s="1944" t="s">
        <v>1074</v>
      </c>
      <c r="F131" s="1944" t="s">
        <v>1166</v>
      </c>
      <c r="G131" s="117"/>
      <c r="H131" s="1020"/>
      <c r="I131" s="150"/>
      <c r="J131" s="150"/>
      <c r="K131" s="150"/>
      <c r="L131" s="150"/>
      <c r="M131" s="150"/>
    </row>
    <row r="132" spans="1:13">
      <c r="A132" s="153">
        <v>55</v>
      </c>
      <c r="B132" s="166"/>
      <c r="C132" s="1944" t="s">
        <v>1161</v>
      </c>
      <c r="D132" s="1944" t="s">
        <v>1163</v>
      </c>
      <c r="E132" s="1944" t="s">
        <v>1075</v>
      </c>
      <c r="F132" s="1944" t="s">
        <v>1076</v>
      </c>
      <c r="G132" s="1944" t="s">
        <v>1164</v>
      </c>
      <c r="H132" s="1020"/>
      <c r="I132" s="150"/>
      <c r="J132" s="150"/>
      <c r="K132" s="150"/>
      <c r="L132" s="150"/>
      <c r="M132" s="150"/>
    </row>
    <row r="133" spans="1:13">
      <c r="A133" s="153">
        <v>56</v>
      </c>
      <c r="B133" s="166"/>
      <c r="C133" s="1772" t="s">
        <v>527</v>
      </c>
      <c r="D133" s="1772" t="s">
        <v>1077</v>
      </c>
      <c r="E133" s="1772" t="s">
        <v>1163</v>
      </c>
      <c r="F133" s="1772" t="s">
        <v>1078</v>
      </c>
      <c r="G133" s="1772" t="s">
        <v>527</v>
      </c>
      <c r="H133" s="1020"/>
      <c r="I133" s="150"/>
      <c r="J133" s="150"/>
      <c r="K133" s="150"/>
      <c r="L133" s="150"/>
      <c r="M133" s="150"/>
    </row>
    <row r="134" spans="1:13">
      <c r="A134" s="153">
        <v>57</v>
      </c>
      <c r="B134" s="1210">
        <v>2007</v>
      </c>
      <c r="C134" s="1211"/>
      <c r="D134" s="1211"/>
      <c r="E134" s="1211"/>
      <c r="F134" s="1211"/>
      <c r="G134" s="1211"/>
      <c r="H134" s="1211"/>
      <c r="I134" s="1211"/>
      <c r="J134" s="157"/>
      <c r="K134" s="157"/>
      <c r="L134" s="157"/>
      <c r="M134" s="157"/>
    </row>
    <row r="135" spans="1:13">
      <c r="A135" s="153">
        <v>58</v>
      </c>
      <c r="B135" s="1210">
        <v>2008</v>
      </c>
      <c r="C135" s="150">
        <v>0</v>
      </c>
      <c r="D135" s="150"/>
      <c r="E135" s="150"/>
      <c r="F135" s="150"/>
      <c r="G135" s="150">
        <v>0</v>
      </c>
      <c r="H135" s="1020"/>
      <c r="I135" s="150"/>
      <c r="J135" s="150"/>
      <c r="K135" s="150"/>
      <c r="L135" s="150"/>
      <c r="M135" s="150"/>
    </row>
    <row r="136" spans="1:13">
      <c r="A136" s="153">
        <v>59</v>
      </c>
      <c r="B136" s="1210">
        <v>2009</v>
      </c>
      <c r="C136" s="150">
        <v>0</v>
      </c>
      <c r="D136" s="150"/>
      <c r="E136" s="150"/>
      <c r="F136" s="150"/>
      <c r="G136" s="150">
        <v>0</v>
      </c>
      <c r="H136" s="1020"/>
      <c r="I136" s="150"/>
      <c r="J136" s="150"/>
      <c r="K136" s="150"/>
      <c r="L136" s="150"/>
      <c r="M136" s="150"/>
    </row>
    <row r="137" spans="1:13">
      <c r="A137" s="153">
        <v>60</v>
      </c>
      <c r="B137" s="1210">
        <v>2010</v>
      </c>
      <c r="C137" s="150">
        <v>0</v>
      </c>
      <c r="D137" s="150"/>
      <c r="E137" s="150"/>
      <c r="F137" s="150"/>
      <c r="G137" s="150">
        <v>0</v>
      </c>
      <c r="H137" s="1020"/>
      <c r="I137" s="150"/>
      <c r="J137" s="150"/>
      <c r="K137" s="150"/>
      <c r="L137" s="150"/>
      <c r="M137" s="150"/>
    </row>
    <row r="138" spans="1:13">
      <c r="A138" s="153">
        <v>61</v>
      </c>
      <c r="B138" s="1210">
        <v>2011</v>
      </c>
      <c r="C138" s="1947">
        <v>0</v>
      </c>
      <c r="D138" s="1947"/>
      <c r="E138" s="1947"/>
      <c r="F138" s="1947"/>
      <c r="G138" s="1947">
        <v>0</v>
      </c>
      <c r="H138" s="1020"/>
      <c r="I138" s="150"/>
      <c r="J138" s="150"/>
      <c r="K138" s="150"/>
      <c r="L138" s="150"/>
      <c r="M138" s="150"/>
    </row>
    <row r="139" spans="1:13">
      <c r="A139" s="153">
        <v>62</v>
      </c>
      <c r="B139" s="1210">
        <v>2012</v>
      </c>
      <c r="C139" s="1947">
        <v>0</v>
      </c>
      <c r="D139" s="1947"/>
      <c r="E139" s="1947"/>
      <c r="F139" s="1947"/>
      <c r="G139" s="1947">
        <v>0</v>
      </c>
      <c r="H139" s="1020"/>
      <c r="I139" s="150"/>
      <c r="J139" s="150"/>
      <c r="K139" s="150"/>
      <c r="L139" s="150"/>
      <c r="M139" s="150"/>
    </row>
    <row r="140" spans="1:13">
      <c r="A140" s="153">
        <v>63</v>
      </c>
      <c r="B140" s="1210">
        <v>2013</v>
      </c>
      <c r="C140" s="1947">
        <v>0</v>
      </c>
      <c r="D140" s="1947">
        <v>-7769.45</v>
      </c>
      <c r="E140" s="1947"/>
      <c r="F140" s="1947"/>
      <c r="G140" s="1947">
        <v>-7769.45</v>
      </c>
      <c r="H140" s="1020"/>
      <c r="I140" s="150"/>
      <c r="J140" s="150"/>
      <c r="K140" s="150"/>
      <c r="L140" s="150"/>
      <c r="M140" s="150"/>
    </row>
    <row r="141" spans="1:13">
      <c r="A141" s="153">
        <v>64</v>
      </c>
      <c r="B141" s="166">
        <v>2014</v>
      </c>
      <c r="C141" s="1947">
        <v>-7769.45</v>
      </c>
      <c r="D141" s="1947">
        <v>0</v>
      </c>
      <c r="E141" s="1947"/>
      <c r="F141" s="1947"/>
      <c r="G141" s="1947">
        <v>-7769.45</v>
      </c>
      <c r="H141" s="1020"/>
      <c r="I141" s="150"/>
      <c r="J141" s="150"/>
      <c r="K141" s="150"/>
      <c r="L141" s="150"/>
      <c r="M141" s="150"/>
    </row>
    <row r="142" spans="1:13">
      <c r="A142" s="153">
        <v>65</v>
      </c>
      <c r="B142" s="166">
        <v>2015</v>
      </c>
      <c r="C142" s="1947">
        <v>-7769.45</v>
      </c>
      <c r="D142" s="1947">
        <v>-34</v>
      </c>
      <c r="E142" s="1947"/>
      <c r="F142" s="1947"/>
      <c r="G142" s="1947">
        <v>-7803.45</v>
      </c>
      <c r="H142" s="1020"/>
      <c r="I142" s="1020"/>
      <c r="J142" s="1020"/>
      <c r="K142" s="1020"/>
      <c r="L142" s="1020"/>
      <c r="M142" s="1020"/>
    </row>
    <row r="143" spans="1:13" ht="15">
      <c r="A143" s="1020"/>
      <c r="B143" s="166"/>
      <c r="C143" s="150"/>
      <c r="D143" s="150"/>
      <c r="E143" s="150"/>
      <c r="F143" s="150"/>
      <c r="G143" s="150"/>
      <c r="H143" s="2155"/>
      <c r="I143" s="1020"/>
      <c r="J143" s="1020"/>
      <c r="K143" s="1020"/>
      <c r="L143" s="1020"/>
      <c r="M143" s="1020"/>
    </row>
    <row r="144" spans="1:13">
      <c r="A144" s="117" t="s">
        <v>1159</v>
      </c>
      <c r="B144" s="1020"/>
      <c r="C144" s="1020"/>
      <c r="D144" s="1020"/>
      <c r="E144" s="1020"/>
      <c r="F144" s="1020"/>
      <c r="G144" s="1020"/>
      <c r="H144" s="1020"/>
      <c r="I144" s="1020"/>
      <c r="J144" s="1020"/>
      <c r="K144" s="1020"/>
      <c r="L144" s="1020"/>
      <c r="M144" s="1020"/>
    </row>
    <row r="145" spans="1:13">
      <c r="A145" s="117" t="s">
        <v>1079</v>
      </c>
      <c r="B145" s="1020"/>
      <c r="C145" s="1020"/>
      <c r="D145" s="1020"/>
      <c r="E145" s="1020"/>
      <c r="F145" s="1020"/>
      <c r="G145" s="1020"/>
      <c r="H145" s="1020"/>
      <c r="I145" s="1020"/>
      <c r="J145" s="1020"/>
      <c r="K145" s="1020"/>
      <c r="L145" s="1020"/>
      <c r="M145" s="1020"/>
    </row>
    <row r="146" spans="1:13">
      <c r="A146" s="1020"/>
      <c r="B146" s="1020"/>
      <c r="C146" s="1020"/>
      <c r="D146" s="1020"/>
      <c r="E146" s="1020"/>
      <c r="F146" s="1020"/>
      <c r="G146" s="1020"/>
      <c r="H146" s="1020"/>
      <c r="I146" s="1020"/>
      <c r="J146" s="1020"/>
      <c r="K146" s="1020"/>
      <c r="L146" s="1020"/>
      <c r="M146" s="1020"/>
    </row>
    <row r="147" spans="1:13">
      <c r="A147" s="117" t="s">
        <v>91</v>
      </c>
      <c r="B147" s="1944"/>
      <c r="C147" s="117"/>
      <c r="D147" s="117"/>
      <c r="E147" s="117"/>
      <c r="F147" s="117"/>
      <c r="G147" s="117"/>
      <c r="H147" s="159"/>
      <c r="I147" s="117"/>
      <c r="J147" s="120"/>
      <c r="K147" s="117" t="s">
        <v>1209</v>
      </c>
      <c r="L147" s="117"/>
    </row>
    <row r="148" spans="1:13">
      <c r="A148" s="117" t="s">
        <v>2644</v>
      </c>
      <c r="B148" s="1944"/>
      <c r="C148" s="117"/>
      <c r="D148" s="117"/>
      <c r="E148" s="117"/>
      <c r="F148" s="117"/>
      <c r="G148" s="117"/>
      <c r="H148" s="159"/>
      <c r="I148" s="117"/>
      <c r="J148" s="117"/>
      <c r="L148" s="117"/>
    </row>
    <row r="149" spans="1:13">
      <c r="A149" s="117" t="s">
        <v>2645</v>
      </c>
      <c r="B149" s="1944"/>
      <c r="C149" s="117"/>
      <c r="D149" s="117"/>
      <c r="E149" s="117"/>
      <c r="F149" s="117"/>
      <c r="G149" s="117"/>
      <c r="H149" s="159"/>
      <c r="I149" s="117"/>
      <c r="J149" s="117"/>
      <c r="K149" s="117" t="s">
        <v>1316</v>
      </c>
      <c r="L149" s="117"/>
    </row>
    <row r="150" spans="1:13">
      <c r="A150" s="117" t="s">
        <v>1935</v>
      </c>
      <c r="B150" s="1944"/>
      <c r="C150" s="117"/>
      <c r="D150" s="117"/>
      <c r="E150" s="117"/>
      <c r="F150" s="117"/>
      <c r="G150" s="117"/>
      <c r="H150" s="159"/>
      <c r="I150" s="117"/>
      <c r="J150" s="117"/>
      <c r="K150" s="117" t="s">
        <v>494</v>
      </c>
      <c r="L150" s="117"/>
    </row>
    <row r="151" spans="1:13">
      <c r="A151" s="123" t="s">
        <v>1343</v>
      </c>
      <c r="B151" s="1944"/>
      <c r="C151" s="117"/>
      <c r="D151" s="117"/>
      <c r="E151" s="117"/>
      <c r="F151" s="117"/>
      <c r="G151" s="117"/>
      <c r="H151" s="159"/>
      <c r="I151" s="117"/>
      <c r="J151" s="117"/>
      <c r="K151" s="117" t="s">
        <v>2948</v>
      </c>
      <c r="L151" s="117"/>
    </row>
    <row r="152" spans="1:13">
      <c r="A152" s="117"/>
      <c r="B152" s="1944"/>
      <c r="C152" s="117"/>
      <c r="D152" s="117"/>
      <c r="E152" s="117"/>
      <c r="F152" s="117"/>
      <c r="G152" s="117"/>
      <c r="H152" s="159"/>
      <c r="I152" s="117"/>
      <c r="J152" s="117"/>
      <c r="K152" s="117"/>
      <c r="L152" s="117"/>
    </row>
    <row r="153" spans="1:13">
      <c r="A153" s="2326" t="s">
        <v>1336</v>
      </c>
      <c r="B153" s="2326"/>
      <c r="C153" s="2326"/>
      <c r="D153" s="2326"/>
      <c r="E153" s="2326"/>
      <c r="F153" s="2326"/>
      <c r="G153" s="2326"/>
      <c r="H153" s="2326"/>
      <c r="I153" s="2326"/>
      <c r="J153" s="2326"/>
      <c r="K153" s="2326"/>
      <c r="L153" s="2326"/>
      <c r="M153" s="2326"/>
    </row>
    <row r="154" spans="1:13">
      <c r="A154" s="2327"/>
      <c r="B154" s="2327"/>
      <c r="C154" s="2327"/>
      <c r="D154" s="2327"/>
      <c r="E154" s="2327"/>
      <c r="F154" s="2327"/>
      <c r="G154" s="2327"/>
      <c r="H154" s="2327"/>
      <c r="I154" s="2327"/>
      <c r="J154" s="2327"/>
      <c r="K154" s="2327"/>
      <c r="L154" s="2327"/>
      <c r="M154" s="2327"/>
    </row>
    <row r="155" spans="1:13" ht="13.5" thickBot="1">
      <c r="A155" s="124"/>
      <c r="B155" s="171"/>
      <c r="C155" s="172"/>
      <c r="D155" s="172"/>
      <c r="E155" s="172"/>
      <c r="F155" s="172"/>
      <c r="G155" s="172"/>
      <c r="H155" s="172"/>
      <c r="I155" s="172"/>
      <c r="J155" s="172"/>
      <c r="K155" s="172"/>
      <c r="L155" s="172"/>
      <c r="M155" s="172"/>
    </row>
    <row r="156" spans="1:13">
      <c r="A156" s="1944" t="s">
        <v>53</v>
      </c>
      <c r="B156" s="1944"/>
      <c r="C156" s="154" t="s">
        <v>1696</v>
      </c>
      <c r="D156" s="154"/>
      <c r="E156" s="154"/>
      <c r="F156" s="154"/>
      <c r="G156" s="154"/>
      <c r="H156" s="173" t="s">
        <v>560</v>
      </c>
      <c r="I156" s="154" t="s">
        <v>1697</v>
      </c>
      <c r="J156" s="154"/>
      <c r="K156" s="154"/>
      <c r="L156" s="154"/>
      <c r="M156" s="154"/>
    </row>
    <row r="157" spans="1:13">
      <c r="A157" s="155" t="s">
        <v>730</v>
      </c>
      <c r="B157" s="1944"/>
      <c r="C157" s="117"/>
      <c r="D157" s="1944" t="s">
        <v>1162</v>
      </c>
      <c r="E157" s="1944" t="s">
        <v>1074</v>
      </c>
      <c r="F157" s="1944" t="s">
        <v>1166</v>
      </c>
      <c r="G157" s="117"/>
      <c r="H157" s="159"/>
      <c r="I157" s="117"/>
      <c r="J157" s="1944" t="s">
        <v>1162</v>
      </c>
      <c r="K157" s="1944" t="s">
        <v>1074</v>
      </c>
      <c r="L157" s="1944" t="s">
        <v>1166</v>
      </c>
      <c r="M157" s="117"/>
    </row>
    <row r="158" spans="1:13">
      <c r="A158" s="1944"/>
      <c r="B158" s="1944"/>
      <c r="C158" s="1944" t="s">
        <v>1161</v>
      </c>
      <c r="D158" s="1944" t="s">
        <v>1163</v>
      </c>
      <c r="E158" s="1944" t="s">
        <v>1075</v>
      </c>
      <c r="F158" s="1944" t="s">
        <v>1076</v>
      </c>
      <c r="G158" s="1944" t="s">
        <v>1164</v>
      </c>
      <c r="H158" s="162"/>
      <c r="I158" s="1944" t="s">
        <v>1161</v>
      </c>
      <c r="J158" s="1944" t="s">
        <v>1163</v>
      </c>
      <c r="K158" s="1944" t="s">
        <v>1075</v>
      </c>
      <c r="L158" s="1944" t="s">
        <v>1076</v>
      </c>
      <c r="M158" s="1944" t="s">
        <v>1164</v>
      </c>
    </row>
    <row r="159" spans="1:13">
      <c r="A159" s="1771"/>
      <c r="B159" s="1772" t="s">
        <v>1163</v>
      </c>
      <c r="C159" s="1772" t="s">
        <v>527</v>
      </c>
      <c r="D159" s="1772" t="s">
        <v>1077</v>
      </c>
      <c r="E159" s="1772" t="s">
        <v>1163</v>
      </c>
      <c r="F159" s="1772" t="s">
        <v>1078</v>
      </c>
      <c r="G159" s="1772" t="s">
        <v>527</v>
      </c>
      <c r="H159" s="157"/>
      <c r="I159" s="1772" t="s">
        <v>527</v>
      </c>
      <c r="J159" s="1772" t="s">
        <v>1077</v>
      </c>
      <c r="K159" s="1772" t="s">
        <v>1163</v>
      </c>
      <c r="L159" s="1772" t="s">
        <v>1078</v>
      </c>
      <c r="M159" s="1772" t="s">
        <v>527</v>
      </c>
    </row>
    <row r="160" spans="1:13">
      <c r="A160" s="1210">
        <v>1</v>
      </c>
      <c r="B160" s="1210">
        <v>2007</v>
      </c>
      <c r="C160" s="1946"/>
      <c r="D160" s="1946"/>
      <c r="E160" s="1946"/>
      <c r="F160" s="1946"/>
      <c r="G160" s="1946">
        <v>60354</v>
      </c>
      <c r="H160" s="1211"/>
      <c r="I160" s="1946"/>
      <c r="J160" s="1946"/>
      <c r="K160" s="1946"/>
      <c r="L160" s="1946"/>
      <c r="M160" s="1946">
        <v>123259</v>
      </c>
    </row>
    <row r="161" spans="1:13">
      <c r="A161" s="153">
        <v>2</v>
      </c>
      <c r="B161" s="1210">
        <v>2008</v>
      </c>
      <c r="C161" s="1947">
        <v>60354</v>
      </c>
      <c r="D161" s="1947"/>
      <c r="E161" s="1947">
        <v>0</v>
      </c>
      <c r="F161" s="1947">
        <v>0</v>
      </c>
      <c r="G161" s="1947">
        <v>60354</v>
      </c>
      <c r="H161" s="163"/>
      <c r="I161" s="1947">
        <v>123259</v>
      </c>
      <c r="J161" s="1947">
        <v>4068</v>
      </c>
      <c r="K161" s="1947"/>
      <c r="L161" s="1947"/>
      <c r="M161" s="1947">
        <v>127327</v>
      </c>
    </row>
    <row r="162" spans="1:13">
      <c r="A162" s="153">
        <v>3</v>
      </c>
      <c r="B162" s="1210">
        <v>2009</v>
      </c>
      <c r="C162" s="1947">
        <v>60354</v>
      </c>
      <c r="D162" s="1947"/>
      <c r="E162" s="1947">
        <v>0</v>
      </c>
      <c r="F162" s="1947">
        <v>0</v>
      </c>
      <c r="G162" s="1947">
        <v>60354</v>
      </c>
      <c r="H162" s="163"/>
      <c r="I162" s="1947">
        <v>127327</v>
      </c>
      <c r="J162" s="1947">
        <v>0</v>
      </c>
      <c r="K162" s="1947"/>
      <c r="L162" s="1947"/>
      <c r="M162" s="1947">
        <v>127327</v>
      </c>
    </row>
    <row r="163" spans="1:13">
      <c r="A163" s="153">
        <v>4</v>
      </c>
      <c r="B163" s="1210">
        <v>2010</v>
      </c>
      <c r="C163" s="1947">
        <v>60354</v>
      </c>
      <c r="D163" s="1947"/>
      <c r="E163" s="1947">
        <v>0</v>
      </c>
      <c r="F163" s="1947">
        <v>0</v>
      </c>
      <c r="G163" s="1947">
        <v>60354</v>
      </c>
      <c r="H163" s="163"/>
      <c r="I163" s="1947">
        <v>127327</v>
      </c>
      <c r="J163" s="1947">
        <v>1049</v>
      </c>
      <c r="K163" s="1947"/>
      <c r="L163" s="1947"/>
      <c r="M163" s="1947">
        <v>128376</v>
      </c>
    </row>
    <row r="164" spans="1:13">
      <c r="A164" s="153">
        <v>5</v>
      </c>
      <c r="B164" s="1210">
        <v>2011</v>
      </c>
      <c r="C164" s="1947">
        <v>60354</v>
      </c>
      <c r="D164" s="1947"/>
      <c r="E164" s="1947">
        <v>0</v>
      </c>
      <c r="F164" s="1947">
        <v>0</v>
      </c>
      <c r="G164" s="1947">
        <v>60354</v>
      </c>
      <c r="H164" s="163"/>
      <c r="I164" s="1947">
        <v>128376</v>
      </c>
      <c r="J164" s="1947">
        <v>-1049.52</v>
      </c>
      <c r="K164" s="1947"/>
      <c r="L164" s="1947"/>
      <c r="M164" s="1947">
        <v>127326.48</v>
      </c>
    </row>
    <row r="165" spans="1:13">
      <c r="A165" s="153">
        <v>6</v>
      </c>
      <c r="B165" s="1210">
        <v>2012</v>
      </c>
      <c r="C165" s="1947">
        <v>60354</v>
      </c>
      <c r="D165" s="1947"/>
      <c r="E165" s="1947">
        <v>0</v>
      </c>
      <c r="F165" s="1947">
        <v>0</v>
      </c>
      <c r="G165" s="1947">
        <v>60354</v>
      </c>
      <c r="H165" s="163"/>
      <c r="I165" s="1947">
        <v>127326.48</v>
      </c>
      <c r="J165" s="1947">
        <v>0</v>
      </c>
      <c r="K165" s="1947"/>
      <c r="L165" s="1947"/>
      <c r="M165" s="1947">
        <v>127326.48</v>
      </c>
    </row>
    <row r="166" spans="1:13">
      <c r="A166" s="153">
        <v>7</v>
      </c>
      <c r="B166" s="1210">
        <v>2013</v>
      </c>
      <c r="C166" s="1947">
        <v>60354</v>
      </c>
      <c r="D166" s="1947"/>
      <c r="E166" s="1947">
        <v>0</v>
      </c>
      <c r="F166" s="1947">
        <v>0</v>
      </c>
      <c r="G166" s="1947">
        <v>60354</v>
      </c>
      <c r="H166" s="163"/>
      <c r="I166" s="1947">
        <v>127326.48</v>
      </c>
      <c r="J166" s="1947">
        <v>0</v>
      </c>
      <c r="K166" s="1947"/>
      <c r="L166" s="1947"/>
      <c r="M166" s="1947">
        <v>127326.48</v>
      </c>
    </row>
    <row r="167" spans="1:13">
      <c r="A167" s="153">
        <v>8</v>
      </c>
      <c r="B167" s="166">
        <v>2014</v>
      </c>
      <c r="C167" s="1947">
        <v>60354</v>
      </c>
      <c r="D167" s="1947"/>
      <c r="E167" s="1947">
        <v>0</v>
      </c>
      <c r="F167" s="1947">
        <v>0</v>
      </c>
      <c r="G167" s="1947">
        <v>60354</v>
      </c>
      <c r="H167" s="163"/>
      <c r="I167" s="1947">
        <v>127326.48</v>
      </c>
      <c r="J167" s="1947">
        <v>0</v>
      </c>
      <c r="K167" s="1947"/>
      <c r="L167" s="1947"/>
      <c r="M167" s="1947">
        <v>127326.48</v>
      </c>
    </row>
    <row r="168" spans="1:13">
      <c r="A168" s="153">
        <v>9</v>
      </c>
      <c r="B168" s="166">
        <v>2015</v>
      </c>
      <c r="C168" s="1947">
        <v>60354</v>
      </c>
      <c r="D168" s="1947"/>
      <c r="E168" s="1947">
        <v>0</v>
      </c>
      <c r="F168" s="1947">
        <v>0</v>
      </c>
      <c r="G168" s="1947">
        <v>60354</v>
      </c>
      <c r="H168" s="163"/>
      <c r="I168" s="1947">
        <v>127326.48</v>
      </c>
      <c r="J168" s="1947">
        <v>0</v>
      </c>
      <c r="K168" s="1947"/>
      <c r="L168" s="1947"/>
      <c r="M168" s="1947">
        <v>127326.48</v>
      </c>
    </row>
    <row r="169" spans="1:13">
      <c r="A169" s="153">
        <v>10</v>
      </c>
      <c r="F169" s="120"/>
      <c r="H169" s="158"/>
      <c r="J169" s="120"/>
    </row>
    <row r="170" spans="1:13">
      <c r="A170" s="153">
        <v>11</v>
      </c>
      <c r="C170" s="154" t="s">
        <v>557</v>
      </c>
      <c r="D170" s="154"/>
      <c r="E170" s="154"/>
      <c r="F170" s="154"/>
      <c r="G170" s="154"/>
      <c r="H170" s="157"/>
      <c r="I170" s="154" t="s">
        <v>558</v>
      </c>
      <c r="J170" s="154"/>
      <c r="K170" s="972"/>
      <c r="L170" s="154"/>
      <c r="M170" s="154"/>
    </row>
    <row r="171" spans="1:13">
      <c r="A171" s="153">
        <v>12</v>
      </c>
      <c r="C171" s="117"/>
      <c r="D171" s="1944" t="s">
        <v>1162</v>
      </c>
      <c r="E171" s="1944" t="s">
        <v>1074</v>
      </c>
      <c r="F171" s="1944" t="s">
        <v>1166</v>
      </c>
      <c r="G171" s="148"/>
      <c r="H171" s="159"/>
      <c r="I171" s="117"/>
      <c r="J171" s="1944" t="s">
        <v>1162</v>
      </c>
      <c r="K171" s="262" t="s">
        <v>1074</v>
      </c>
      <c r="L171" s="1944" t="s">
        <v>1166</v>
      </c>
      <c r="M171" s="117"/>
    </row>
    <row r="172" spans="1:13">
      <c r="A172" s="153">
        <v>13</v>
      </c>
      <c r="C172" s="1944" t="s">
        <v>1161</v>
      </c>
      <c r="D172" s="1944" t="s">
        <v>1163</v>
      </c>
      <c r="E172" s="1944" t="s">
        <v>1075</v>
      </c>
      <c r="F172" s="1944" t="s">
        <v>1076</v>
      </c>
      <c r="G172" s="1944" t="s">
        <v>1164</v>
      </c>
      <c r="H172" s="162"/>
      <c r="I172" s="1944" t="s">
        <v>1161</v>
      </c>
      <c r="J172" s="1944" t="s">
        <v>1163</v>
      </c>
      <c r="K172" s="262" t="s">
        <v>1075</v>
      </c>
      <c r="L172" s="1944" t="s">
        <v>1076</v>
      </c>
      <c r="M172" s="1944" t="s">
        <v>1164</v>
      </c>
    </row>
    <row r="173" spans="1:13">
      <c r="A173" s="153">
        <v>14</v>
      </c>
      <c r="B173" s="1772" t="s">
        <v>1163</v>
      </c>
      <c r="C173" s="1772" t="s">
        <v>527</v>
      </c>
      <c r="D173" s="1772" t="s">
        <v>1077</v>
      </c>
      <c r="E173" s="1772" t="s">
        <v>1163</v>
      </c>
      <c r="F173" s="1772" t="s">
        <v>1078</v>
      </c>
      <c r="G173" s="1772" t="s">
        <v>527</v>
      </c>
      <c r="H173" s="157"/>
      <c r="I173" s="1772" t="s">
        <v>527</v>
      </c>
      <c r="J173" s="1772" t="s">
        <v>1077</v>
      </c>
      <c r="K173" s="1779" t="s">
        <v>1163</v>
      </c>
      <c r="L173" s="1772" t="s">
        <v>1078</v>
      </c>
      <c r="M173" s="1772" t="s">
        <v>527</v>
      </c>
    </row>
    <row r="174" spans="1:13">
      <c r="A174" s="153">
        <v>15</v>
      </c>
      <c r="B174" s="1210">
        <v>2007</v>
      </c>
      <c r="C174" s="1946"/>
      <c r="D174" s="1946"/>
      <c r="E174" s="1946"/>
      <c r="F174" s="1946"/>
      <c r="G174" s="1946">
        <v>-36799</v>
      </c>
      <c r="H174" s="1211"/>
      <c r="I174" s="1211"/>
      <c r="J174" s="157"/>
      <c r="K174" s="157"/>
      <c r="L174" s="157"/>
      <c r="M174" s="157">
        <v>0</v>
      </c>
    </row>
    <row r="175" spans="1:13">
      <c r="A175" s="153">
        <v>16</v>
      </c>
      <c r="B175" s="1210">
        <v>2008</v>
      </c>
      <c r="C175" s="1947">
        <v>-36799</v>
      </c>
      <c r="D175" s="1947">
        <v>-4700</v>
      </c>
      <c r="E175" s="1947"/>
      <c r="F175" s="1947"/>
      <c r="G175" s="1947">
        <v>-41499</v>
      </c>
      <c r="H175" s="163"/>
      <c r="I175" s="1947">
        <v>0</v>
      </c>
      <c r="J175" s="1947">
        <v>3219</v>
      </c>
      <c r="K175" s="1947"/>
      <c r="L175" s="1947"/>
      <c r="M175" s="1947">
        <v>3219</v>
      </c>
    </row>
    <row r="176" spans="1:13">
      <c r="A176" s="153">
        <v>17</v>
      </c>
      <c r="B176" s="1210">
        <v>2009</v>
      </c>
      <c r="C176" s="1947">
        <v>-41499</v>
      </c>
      <c r="D176" s="1947">
        <v>7134</v>
      </c>
      <c r="E176" s="1947"/>
      <c r="F176" s="1947">
        <v>0</v>
      </c>
      <c r="G176" s="1947">
        <v>-34365</v>
      </c>
      <c r="H176" s="163"/>
      <c r="I176" s="1947">
        <v>3219</v>
      </c>
      <c r="J176" s="1947">
        <v>-11382</v>
      </c>
      <c r="K176" s="1947"/>
      <c r="L176" s="1947"/>
      <c r="M176" s="1947">
        <v>-8163</v>
      </c>
    </row>
    <row r="177" spans="1:13">
      <c r="A177" s="153">
        <v>18</v>
      </c>
      <c r="B177" s="1210">
        <v>2010</v>
      </c>
      <c r="C177" s="1947">
        <v>-34365</v>
      </c>
      <c r="D177" s="1947">
        <v>14876</v>
      </c>
      <c r="E177" s="1947"/>
      <c r="F177" s="1947">
        <v>0</v>
      </c>
      <c r="G177" s="1947">
        <v>-19489</v>
      </c>
      <c r="H177" s="163"/>
      <c r="I177" s="1947">
        <v>-8163</v>
      </c>
      <c r="J177" s="1947">
        <v>1771</v>
      </c>
      <c r="K177" s="1947"/>
      <c r="L177" s="1947"/>
      <c r="M177" s="1947">
        <v>-6392</v>
      </c>
    </row>
    <row r="178" spans="1:13">
      <c r="A178" s="153">
        <v>19</v>
      </c>
      <c r="B178" s="1210">
        <v>2011</v>
      </c>
      <c r="C178" s="1947">
        <v>-19489</v>
      </c>
      <c r="D178" s="1947">
        <v>9830.77</v>
      </c>
      <c r="E178" s="1947"/>
      <c r="F178" s="1947">
        <v>0</v>
      </c>
      <c r="G178" s="1947">
        <v>-9658.23</v>
      </c>
      <c r="H178" s="163"/>
      <c r="I178" s="1947">
        <v>-6392</v>
      </c>
      <c r="J178" s="1947">
        <v>1638.53</v>
      </c>
      <c r="K178" s="1947"/>
      <c r="L178" s="1947"/>
      <c r="M178" s="1947">
        <v>-4753.47</v>
      </c>
    </row>
    <row r="179" spans="1:13">
      <c r="A179" s="153">
        <v>20</v>
      </c>
      <c r="B179" s="1210">
        <v>2012</v>
      </c>
      <c r="C179" s="1947">
        <v>-9658.23</v>
      </c>
      <c r="D179" s="1947">
        <v>7134</v>
      </c>
      <c r="E179" s="1947"/>
      <c r="F179" s="1947">
        <v>0</v>
      </c>
      <c r="G179" s="1947">
        <v>-2524.2299999999996</v>
      </c>
      <c r="H179" s="163"/>
      <c r="I179" s="1947">
        <v>-4753.47</v>
      </c>
      <c r="J179" s="1947">
        <v>-112</v>
      </c>
      <c r="K179" s="1947"/>
      <c r="L179" s="1947"/>
      <c r="M179" s="1947">
        <v>-4865.47</v>
      </c>
    </row>
    <row r="180" spans="1:13">
      <c r="A180" s="153">
        <v>21</v>
      </c>
      <c r="B180" s="1210">
        <v>2013</v>
      </c>
      <c r="C180" s="1947">
        <v>-2524.2299999999996</v>
      </c>
      <c r="D180" s="1947">
        <v>2951</v>
      </c>
      <c r="E180" s="1947"/>
      <c r="F180" s="1947">
        <v>0</v>
      </c>
      <c r="G180" s="1947">
        <v>426.77000000000044</v>
      </c>
      <c r="H180" s="163"/>
      <c r="I180" s="1947">
        <v>-4865.47</v>
      </c>
      <c r="J180" s="1947">
        <v>2309</v>
      </c>
      <c r="K180" s="1947"/>
      <c r="L180" s="1947"/>
      <c r="M180" s="1947">
        <v>-2556.4700000000003</v>
      </c>
    </row>
    <row r="181" spans="1:13">
      <c r="A181" s="153">
        <v>22</v>
      </c>
      <c r="B181" s="166">
        <v>2014</v>
      </c>
      <c r="C181" s="1947">
        <v>426.77000000000044</v>
      </c>
      <c r="D181" s="1947">
        <v>0</v>
      </c>
      <c r="E181" s="1947"/>
      <c r="F181" s="1947">
        <v>0</v>
      </c>
      <c r="G181" s="1947">
        <v>426.77000000000044</v>
      </c>
      <c r="H181" s="1780"/>
      <c r="I181" s="1947">
        <v>-2556.4700000000003</v>
      </c>
      <c r="J181" s="1947">
        <v>0</v>
      </c>
      <c r="K181" s="1947"/>
      <c r="L181" s="1947"/>
      <c r="M181" s="1947">
        <v>-2556.4700000000003</v>
      </c>
    </row>
    <row r="182" spans="1:13">
      <c r="A182" s="153">
        <v>23</v>
      </c>
      <c r="B182" s="166">
        <v>2015</v>
      </c>
      <c r="C182" s="1947">
        <v>426.77000000000044</v>
      </c>
      <c r="D182" s="1947">
        <v>0</v>
      </c>
      <c r="E182" s="1947"/>
      <c r="F182" s="1947">
        <v>0</v>
      </c>
      <c r="G182" s="1947">
        <v>426.77000000000044</v>
      </c>
      <c r="H182" s="1780"/>
      <c r="I182" s="1947">
        <v>-2556.4700000000003</v>
      </c>
      <c r="J182" s="1947">
        <v>-9188.58</v>
      </c>
      <c r="K182" s="1947"/>
      <c r="L182" s="1947"/>
      <c r="M182" s="1947">
        <v>-11745.05</v>
      </c>
    </row>
    <row r="183" spans="1:13">
      <c r="A183" s="153">
        <v>24</v>
      </c>
      <c r="B183" s="166"/>
      <c r="C183" s="150"/>
      <c r="D183" s="151"/>
      <c r="E183" s="150"/>
      <c r="F183" s="150"/>
      <c r="G183" s="150"/>
      <c r="H183" s="163"/>
      <c r="I183" s="150"/>
      <c r="J183" s="151"/>
      <c r="K183" s="150"/>
      <c r="L183" s="150"/>
      <c r="M183" s="150"/>
    </row>
    <row r="184" spans="1:13">
      <c r="A184" s="153">
        <v>25</v>
      </c>
      <c r="C184" s="972" t="s">
        <v>559</v>
      </c>
      <c r="D184" s="154"/>
      <c r="E184" s="154"/>
      <c r="F184" s="154"/>
      <c r="G184" s="154"/>
      <c r="H184" s="163"/>
      <c r="I184" s="160" t="s">
        <v>1761</v>
      </c>
      <c r="J184" s="160"/>
      <c r="K184" s="160"/>
      <c r="L184" s="160"/>
      <c r="M184" s="160"/>
    </row>
    <row r="185" spans="1:13">
      <c r="A185" s="153">
        <v>26</v>
      </c>
      <c r="B185" s="1944"/>
      <c r="C185" s="117"/>
      <c r="D185" s="1944" t="s">
        <v>1162</v>
      </c>
      <c r="E185" s="1944" t="s">
        <v>1074</v>
      </c>
      <c r="F185" s="1944" t="s">
        <v>1166</v>
      </c>
      <c r="G185" s="117"/>
      <c r="H185" s="157"/>
      <c r="I185" s="117"/>
      <c r="J185" s="1944" t="s">
        <v>1162</v>
      </c>
      <c r="K185" s="1944" t="s">
        <v>1074</v>
      </c>
      <c r="L185" s="1944" t="s">
        <v>1166</v>
      </c>
      <c r="M185" s="117"/>
    </row>
    <row r="186" spans="1:13">
      <c r="A186" s="153">
        <v>27</v>
      </c>
      <c r="B186" s="162"/>
      <c r="C186" s="162" t="s">
        <v>1161</v>
      </c>
      <c r="D186" s="162" t="s">
        <v>1163</v>
      </c>
      <c r="E186" s="162" t="s">
        <v>1075</v>
      </c>
      <c r="F186" s="162" t="s">
        <v>1076</v>
      </c>
      <c r="G186" s="162" t="s">
        <v>1164</v>
      </c>
      <c r="H186" s="159"/>
      <c r="I186" s="162" t="s">
        <v>1161</v>
      </c>
      <c r="J186" s="162" t="s">
        <v>1163</v>
      </c>
      <c r="K186" s="162" t="s">
        <v>1075</v>
      </c>
      <c r="L186" s="162" t="s">
        <v>1076</v>
      </c>
      <c r="M186" s="162" t="s">
        <v>1164</v>
      </c>
    </row>
    <row r="187" spans="1:13">
      <c r="A187" s="153">
        <v>28</v>
      </c>
      <c r="B187" s="1772" t="s">
        <v>1163</v>
      </c>
      <c r="C187" s="1772" t="s">
        <v>527</v>
      </c>
      <c r="D187" s="1772" t="s">
        <v>1077</v>
      </c>
      <c r="E187" s="1772" t="s">
        <v>1163</v>
      </c>
      <c r="F187" s="1772" t="s">
        <v>1078</v>
      </c>
      <c r="G187" s="1772" t="s">
        <v>527</v>
      </c>
      <c r="H187" s="162"/>
      <c r="I187" s="1772" t="s">
        <v>527</v>
      </c>
      <c r="J187" s="1772" t="s">
        <v>1077</v>
      </c>
      <c r="K187" s="1772" t="s">
        <v>1163</v>
      </c>
      <c r="L187" s="1772" t="s">
        <v>1078</v>
      </c>
      <c r="M187" s="1772" t="s">
        <v>527</v>
      </c>
    </row>
    <row r="188" spans="1:13">
      <c r="A188" s="153">
        <v>29</v>
      </c>
      <c r="B188" s="1210">
        <v>2007</v>
      </c>
      <c r="C188" s="1946"/>
      <c r="D188" s="1946"/>
      <c r="E188" s="1946"/>
      <c r="F188" s="1946"/>
      <c r="G188" s="1946">
        <v>-2109</v>
      </c>
      <c r="H188" s="1211"/>
      <c r="I188" s="1946"/>
      <c r="J188" s="1946"/>
      <c r="K188" s="1946"/>
      <c r="L188" s="1946"/>
      <c r="M188" s="1946">
        <v>-300618</v>
      </c>
    </row>
    <row r="189" spans="1:13">
      <c r="A189" s="153">
        <v>30</v>
      </c>
      <c r="B189" s="1210">
        <v>2008</v>
      </c>
      <c r="C189" s="1947">
        <v>-2109</v>
      </c>
      <c r="D189" s="1947">
        <v>0</v>
      </c>
      <c r="E189" s="1947"/>
      <c r="F189" s="1947"/>
      <c r="G189" s="1947">
        <v>-2109</v>
      </c>
      <c r="H189" s="164"/>
      <c r="I189" s="1947">
        <v>-300618</v>
      </c>
      <c r="J189" s="1947">
        <v>18214</v>
      </c>
      <c r="K189" s="1947"/>
      <c r="L189" s="1947"/>
      <c r="M189" s="1947">
        <v>-282404</v>
      </c>
    </row>
    <row r="190" spans="1:13">
      <c r="A190" s="153">
        <v>31</v>
      </c>
      <c r="B190" s="1210">
        <v>2009</v>
      </c>
      <c r="C190" s="1947">
        <v>-2109</v>
      </c>
      <c r="D190" s="1947">
        <v>0</v>
      </c>
      <c r="E190" s="1947"/>
      <c r="F190" s="1947">
        <v>0</v>
      </c>
      <c r="G190" s="1947">
        <v>-2109</v>
      </c>
      <c r="H190" s="163"/>
      <c r="I190" s="1947">
        <v>-282404</v>
      </c>
      <c r="J190" s="1947">
        <v>34708</v>
      </c>
      <c r="K190" s="1947"/>
      <c r="L190" s="1947"/>
      <c r="M190" s="1947">
        <v>-247696</v>
      </c>
    </row>
    <row r="191" spans="1:13">
      <c r="A191" s="153">
        <v>32</v>
      </c>
      <c r="B191" s="1210">
        <v>2010</v>
      </c>
      <c r="C191" s="1947">
        <v>-2109</v>
      </c>
      <c r="D191" s="1947">
        <v>0</v>
      </c>
      <c r="E191" s="1947"/>
      <c r="F191" s="1947">
        <v>0</v>
      </c>
      <c r="G191" s="1947">
        <v>-2109</v>
      </c>
      <c r="H191" s="163"/>
      <c r="I191" s="1947">
        <v>-247696</v>
      </c>
      <c r="J191" s="1947">
        <v>28545</v>
      </c>
      <c r="K191" s="1947"/>
      <c r="L191" s="1947"/>
      <c r="M191" s="1947">
        <v>-219151</v>
      </c>
    </row>
    <row r="192" spans="1:13">
      <c r="A192" s="153">
        <v>33</v>
      </c>
      <c r="B192" s="1210">
        <v>2011</v>
      </c>
      <c r="C192" s="1947">
        <v>-2109</v>
      </c>
      <c r="D192" s="1947">
        <v>-1463.39</v>
      </c>
      <c r="E192" s="1947"/>
      <c r="F192" s="1947"/>
      <c r="G192" s="1947">
        <v>-3572.3900000000003</v>
      </c>
      <c r="H192" s="163"/>
      <c r="I192" s="1947">
        <v>-219151</v>
      </c>
      <c r="J192" s="1947">
        <v>13230.9</v>
      </c>
      <c r="K192" s="1947"/>
      <c r="L192" s="1947"/>
      <c r="M192" s="1947">
        <v>-205920.1</v>
      </c>
    </row>
    <row r="193" spans="1:13">
      <c r="A193" s="153">
        <v>34</v>
      </c>
      <c r="B193" s="1210">
        <v>2012</v>
      </c>
      <c r="C193" s="1947">
        <v>-3572.3900000000003</v>
      </c>
      <c r="D193" s="1947">
        <v>-765</v>
      </c>
      <c r="E193" s="1947"/>
      <c r="F193" s="1947"/>
      <c r="G193" s="1947">
        <v>-4337.3900000000003</v>
      </c>
      <c r="H193" s="163"/>
      <c r="I193" s="1947">
        <v>-205920.1</v>
      </c>
      <c r="J193" s="1947">
        <v>39607</v>
      </c>
      <c r="K193" s="1947"/>
      <c r="L193" s="1947"/>
      <c r="M193" s="1947">
        <v>-166313.1</v>
      </c>
    </row>
    <row r="194" spans="1:13">
      <c r="A194" s="153">
        <v>35</v>
      </c>
      <c r="B194" s="1210">
        <v>2013</v>
      </c>
      <c r="C194" s="1947">
        <v>-4337.3900000000003</v>
      </c>
      <c r="D194" s="1947">
        <v>406</v>
      </c>
      <c r="E194" s="1947"/>
      <c r="F194" s="1947"/>
      <c r="G194" s="1947">
        <v>-3931.3900000000003</v>
      </c>
      <c r="H194" s="163"/>
      <c r="I194" s="1947">
        <v>-166313.1</v>
      </c>
      <c r="J194" s="1947">
        <v>191318.59</v>
      </c>
      <c r="K194" s="1947"/>
      <c r="L194" s="1947"/>
      <c r="M194" s="1947">
        <v>25005.489999999991</v>
      </c>
    </row>
    <row r="195" spans="1:13">
      <c r="A195" s="153">
        <v>36</v>
      </c>
      <c r="B195" s="166">
        <v>2014</v>
      </c>
      <c r="C195" s="1947">
        <v>-3931.3900000000003</v>
      </c>
      <c r="D195" s="1947">
        <v>0</v>
      </c>
      <c r="E195" s="1947"/>
      <c r="F195" s="1947"/>
      <c r="G195" s="1947">
        <v>-3931.3900000000003</v>
      </c>
      <c r="H195" s="150"/>
      <c r="I195" s="1947">
        <v>25005.489999999991</v>
      </c>
      <c r="J195" s="1947">
        <v>-156600.29999999999</v>
      </c>
      <c r="K195" s="1947"/>
      <c r="L195" s="1947"/>
      <c r="M195" s="1947">
        <v>-131594.81</v>
      </c>
    </row>
    <row r="196" spans="1:13">
      <c r="A196" s="153">
        <v>37</v>
      </c>
      <c r="B196" s="166">
        <v>2015</v>
      </c>
      <c r="C196" s="1947">
        <v>-3931.3900000000003</v>
      </c>
      <c r="D196" s="1947">
        <v>11.61</v>
      </c>
      <c r="E196" s="1947"/>
      <c r="F196" s="1947"/>
      <c r="G196" s="1947">
        <v>-3919.78</v>
      </c>
      <c r="H196" s="150"/>
      <c r="I196" s="1947">
        <v>-131594.81</v>
      </c>
      <c r="J196" s="1947">
        <v>-84720.45</v>
      </c>
      <c r="K196" s="1947"/>
      <c r="L196" s="1947"/>
      <c r="M196" s="1947">
        <v>-216315.26</v>
      </c>
    </row>
    <row r="197" spans="1:13">
      <c r="A197" s="153">
        <v>38</v>
      </c>
      <c r="B197" s="166"/>
      <c r="C197" s="150"/>
      <c r="D197" s="151"/>
      <c r="E197" s="150"/>
      <c r="F197" s="150"/>
      <c r="G197" s="150"/>
      <c r="H197" s="163"/>
      <c r="I197" s="150"/>
      <c r="J197" s="151"/>
      <c r="K197" s="150"/>
      <c r="L197" s="478"/>
      <c r="M197" s="150"/>
    </row>
    <row r="198" spans="1:13">
      <c r="A198" s="153">
        <v>39</v>
      </c>
      <c r="C198" s="972" t="s">
        <v>1759</v>
      </c>
      <c r="D198" s="972"/>
      <c r="E198" s="972"/>
      <c r="F198" s="972"/>
      <c r="G198" s="972"/>
      <c r="H198" s="163"/>
      <c r="I198" s="972" t="s">
        <v>1836</v>
      </c>
      <c r="J198" s="972"/>
      <c r="K198" s="972"/>
      <c r="L198" s="972"/>
      <c r="M198" s="972"/>
    </row>
    <row r="199" spans="1:13">
      <c r="A199" s="153">
        <v>40</v>
      </c>
      <c r="B199" s="1944"/>
      <c r="C199" s="117"/>
      <c r="D199" s="1944" t="s">
        <v>1162</v>
      </c>
      <c r="E199" s="1944" t="s">
        <v>1074</v>
      </c>
      <c r="F199" s="1944" t="s">
        <v>1166</v>
      </c>
      <c r="G199" s="117"/>
      <c r="I199" s="117"/>
      <c r="J199" s="1944" t="s">
        <v>1162</v>
      </c>
      <c r="K199" s="1944" t="s">
        <v>1074</v>
      </c>
      <c r="L199" s="1944" t="s">
        <v>1166</v>
      </c>
      <c r="M199" s="117"/>
    </row>
    <row r="200" spans="1:13">
      <c r="A200" s="153">
        <v>41</v>
      </c>
      <c r="B200" s="1944"/>
      <c r="C200" s="1944" t="s">
        <v>1161</v>
      </c>
      <c r="D200" s="1944" t="s">
        <v>1163</v>
      </c>
      <c r="E200" s="1944" t="s">
        <v>1075</v>
      </c>
      <c r="F200" s="1944" t="s">
        <v>1076</v>
      </c>
      <c r="G200" s="1944" t="s">
        <v>1164</v>
      </c>
      <c r="I200" s="1944" t="s">
        <v>1161</v>
      </c>
      <c r="J200" s="1944" t="s">
        <v>1163</v>
      </c>
      <c r="K200" s="1944" t="s">
        <v>1075</v>
      </c>
      <c r="L200" s="1944" t="s">
        <v>1076</v>
      </c>
      <c r="M200" s="1944" t="s">
        <v>1164</v>
      </c>
    </row>
    <row r="201" spans="1:13">
      <c r="A201" s="153">
        <v>42</v>
      </c>
      <c r="B201" s="1772" t="s">
        <v>1163</v>
      </c>
      <c r="C201" s="1772" t="s">
        <v>527</v>
      </c>
      <c r="D201" s="1772" t="s">
        <v>1077</v>
      </c>
      <c r="E201" s="1772" t="s">
        <v>1163</v>
      </c>
      <c r="F201" s="1772" t="s">
        <v>1078</v>
      </c>
      <c r="G201" s="1772" t="s">
        <v>527</v>
      </c>
      <c r="I201" s="1772" t="s">
        <v>527</v>
      </c>
      <c r="J201" s="1772" t="s">
        <v>1077</v>
      </c>
      <c r="K201" s="1772" t="s">
        <v>1163</v>
      </c>
      <c r="L201" s="1772" t="s">
        <v>1078</v>
      </c>
      <c r="M201" s="1772" t="s">
        <v>527</v>
      </c>
    </row>
    <row r="202" spans="1:13">
      <c r="A202" s="153">
        <v>43</v>
      </c>
      <c r="B202" s="1210">
        <v>2007</v>
      </c>
      <c r="C202" s="1211"/>
      <c r="D202" s="1211"/>
      <c r="E202" s="1211"/>
      <c r="F202" s="1211"/>
      <c r="G202" s="1211"/>
      <c r="H202" s="1211"/>
      <c r="I202" s="1211"/>
      <c r="J202" s="157"/>
      <c r="K202" s="157"/>
      <c r="L202" s="157"/>
      <c r="M202" s="157"/>
    </row>
    <row r="203" spans="1:13">
      <c r="A203" s="153">
        <v>44</v>
      </c>
      <c r="B203" s="1210">
        <v>2008</v>
      </c>
      <c r="C203" s="1947">
        <v>0</v>
      </c>
      <c r="D203" s="1947"/>
      <c r="E203" s="1947"/>
      <c r="F203" s="1947"/>
      <c r="G203" s="1947">
        <v>0</v>
      </c>
      <c r="I203" s="1947">
        <v>0</v>
      </c>
      <c r="J203" s="1947"/>
      <c r="K203" s="1947"/>
      <c r="L203" s="1947"/>
      <c r="M203" s="1947">
        <v>0</v>
      </c>
    </row>
    <row r="204" spans="1:13">
      <c r="A204" s="153">
        <v>45</v>
      </c>
      <c r="B204" s="1210">
        <v>2009</v>
      </c>
      <c r="C204" s="1947">
        <v>0</v>
      </c>
      <c r="D204" s="1947">
        <v>1</v>
      </c>
      <c r="E204" s="1947"/>
      <c r="F204" s="1947"/>
      <c r="G204" s="1947">
        <v>1</v>
      </c>
      <c r="I204" s="1947">
        <v>0</v>
      </c>
      <c r="J204" s="1947"/>
      <c r="K204" s="1947"/>
      <c r="L204" s="1947"/>
      <c r="M204" s="1947">
        <v>0</v>
      </c>
    </row>
    <row r="205" spans="1:13">
      <c r="A205" s="153">
        <v>46</v>
      </c>
      <c r="B205" s="1210">
        <v>2010</v>
      </c>
      <c r="C205" s="1947">
        <v>1</v>
      </c>
      <c r="D205" s="1947"/>
      <c r="E205" s="1947"/>
      <c r="F205" s="1947"/>
      <c r="G205" s="1947">
        <v>1</v>
      </c>
      <c r="I205" s="1947">
        <v>0</v>
      </c>
      <c r="J205" s="1947"/>
      <c r="K205" s="1947"/>
      <c r="L205" s="1947"/>
      <c r="M205" s="1947">
        <v>0</v>
      </c>
    </row>
    <row r="206" spans="1:13">
      <c r="A206" s="153">
        <v>47</v>
      </c>
      <c r="B206" s="1210">
        <v>2011</v>
      </c>
      <c r="C206" s="1947">
        <v>1</v>
      </c>
      <c r="D206" s="1947"/>
      <c r="E206" s="1947"/>
      <c r="F206" s="1947"/>
      <c r="G206" s="1947">
        <v>1</v>
      </c>
      <c r="I206" s="1947">
        <v>0</v>
      </c>
      <c r="J206" s="1947"/>
      <c r="K206" s="1947"/>
      <c r="L206" s="1947"/>
      <c r="M206" s="1947">
        <v>0</v>
      </c>
    </row>
    <row r="207" spans="1:13">
      <c r="A207" s="153">
        <v>48</v>
      </c>
      <c r="B207" s="1210">
        <v>2012</v>
      </c>
      <c r="C207" s="1947">
        <v>1</v>
      </c>
      <c r="D207" s="1947">
        <v>-1</v>
      </c>
      <c r="E207" s="1947"/>
      <c r="F207" s="1947"/>
      <c r="G207" s="1947">
        <v>0</v>
      </c>
      <c r="I207" s="1947">
        <v>0</v>
      </c>
      <c r="J207" s="1947"/>
      <c r="K207" s="1947"/>
      <c r="L207" s="1947"/>
      <c r="M207" s="1947">
        <v>0</v>
      </c>
    </row>
    <row r="208" spans="1:13">
      <c r="A208" s="153">
        <v>49</v>
      </c>
      <c r="B208" s="1210">
        <v>2013</v>
      </c>
      <c r="C208" s="1947">
        <v>0</v>
      </c>
      <c r="D208" s="1948">
        <v>923</v>
      </c>
      <c r="E208" s="1947"/>
      <c r="F208" s="1947"/>
      <c r="G208" s="1947">
        <v>923</v>
      </c>
      <c r="I208" s="1947">
        <v>0</v>
      </c>
      <c r="J208" s="1947">
        <v>-121436.32</v>
      </c>
      <c r="K208" s="1947"/>
      <c r="L208" s="1947"/>
      <c r="M208" s="1947">
        <v>-121436.32</v>
      </c>
    </row>
    <row r="209" spans="1:13">
      <c r="A209" s="153">
        <v>50</v>
      </c>
      <c r="B209" s="166">
        <v>2014</v>
      </c>
      <c r="C209" s="1947">
        <v>923</v>
      </c>
      <c r="D209" s="1947">
        <v>0</v>
      </c>
      <c r="E209" s="1947"/>
      <c r="F209" s="1947"/>
      <c r="G209" s="1947">
        <v>923</v>
      </c>
      <c r="I209" s="1947">
        <v>-121436.32</v>
      </c>
      <c r="J209" s="1947">
        <v>0</v>
      </c>
      <c r="K209" s="1947"/>
      <c r="L209" s="1947"/>
      <c r="M209" s="1947">
        <v>-121436.32</v>
      </c>
    </row>
    <row r="210" spans="1:13">
      <c r="A210" s="153">
        <v>51</v>
      </c>
      <c r="B210" s="166">
        <v>2015</v>
      </c>
      <c r="C210" s="1947">
        <v>923</v>
      </c>
      <c r="D210" s="1947">
        <v>-9.5500000000000007</v>
      </c>
      <c r="E210" s="1947"/>
      <c r="F210" s="1947"/>
      <c r="G210" s="1947">
        <v>913.45</v>
      </c>
      <c r="I210" s="1947">
        <v>-121436.32</v>
      </c>
      <c r="J210" s="1947">
        <v>-592.65</v>
      </c>
      <c r="K210" s="1947"/>
      <c r="L210" s="1947"/>
      <c r="M210" s="1947">
        <v>-122028.97</v>
      </c>
    </row>
    <row r="211" spans="1:13">
      <c r="A211" s="153">
        <v>52</v>
      </c>
      <c r="B211" s="166"/>
      <c r="C211" s="1947"/>
      <c r="D211" s="1947"/>
      <c r="E211" s="1947"/>
      <c r="F211" s="1947"/>
      <c r="G211" s="1947"/>
      <c r="I211" s="150"/>
      <c r="J211" s="150"/>
      <c r="K211" s="150"/>
      <c r="L211" s="150"/>
      <c r="M211" s="150"/>
    </row>
    <row r="212" spans="1:13">
      <c r="A212" s="153">
        <v>53</v>
      </c>
      <c r="C212" s="154" t="s">
        <v>2638</v>
      </c>
      <c r="D212" s="154"/>
      <c r="E212" s="154"/>
      <c r="F212" s="154"/>
      <c r="G212" s="154"/>
      <c r="I212" s="150"/>
      <c r="J212" s="150"/>
      <c r="K212" s="150"/>
      <c r="L212" s="150"/>
      <c r="M212" s="150"/>
    </row>
    <row r="213" spans="1:13">
      <c r="A213" s="153">
        <v>54</v>
      </c>
      <c r="B213" s="1944"/>
      <c r="C213" s="117"/>
      <c r="D213" s="1944" t="s">
        <v>1162</v>
      </c>
      <c r="E213" s="1944" t="s">
        <v>1074</v>
      </c>
      <c r="F213" s="1944" t="s">
        <v>1166</v>
      </c>
      <c r="G213" s="117"/>
      <c r="I213" s="150"/>
      <c r="J213" s="150"/>
      <c r="K213" s="150"/>
      <c r="L213" s="150"/>
      <c r="M213" s="150"/>
    </row>
    <row r="214" spans="1:13">
      <c r="A214" s="153">
        <v>55</v>
      </c>
      <c r="B214" s="1944"/>
      <c r="C214" s="1944" t="s">
        <v>1161</v>
      </c>
      <c r="D214" s="1944" t="s">
        <v>1163</v>
      </c>
      <c r="E214" s="1944" t="s">
        <v>1075</v>
      </c>
      <c r="F214" s="1944" t="s">
        <v>1076</v>
      </c>
      <c r="G214" s="1944" t="s">
        <v>1164</v>
      </c>
      <c r="I214" s="150"/>
      <c r="J214" s="150"/>
      <c r="K214" s="150"/>
      <c r="L214" s="150"/>
      <c r="M214" s="150"/>
    </row>
    <row r="215" spans="1:13">
      <c r="A215" s="153">
        <v>56</v>
      </c>
      <c r="B215" s="1772" t="s">
        <v>1163</v>
      </c>
      <c r="C215" s="1772" t="s">
        <v>527</v>
      </c>
      <c r="D215" s="1772" t="s">
        <v>1077</v>
      </c>
      <c r="E215" s="1772" t="s">
        <v>1163</v>
      </c>
      <c r="F215" s="1772" t="s">
        <v>1078</v>
      </c>
      <c r="G215" s="1772" t="s">
        <v>527</v>
      </c>
      <c r="I215" s="150"/>
      <c r="J215" s="150"/>
      <c r="K215" s="150"/>
      <c r="L215" s="150"/>
      <c r="M215" s="150"/>
    </row>
    <row r="216" spans="1:13">
      <c r="A216" s="153">
        <v>57</v>
      </c>
      <c r="B216" s="1210">
        <v>2007</v>
      </c>
      <c r="C216" s="1211"/>
      <c r="D216" s="1211"/>
      <c r="E216" s="1211"/>
      <c r="F216" s="1211"/>
      <c r="G216" s="1211"/>
      <c r="H216" s="1211"/>
      <c r="I216" s="1211"/>
      <c r="J216" s="157"/>
      <c r="K216" s="157"/>
      <c r="L216" s="157"/>
      <c r="M216" s="157"/>
    </row>
    <row r="217" spans="1:13">
      <c r="A217" s="153">
        <v>58</v>
      </c>
      <c r="B217" s="1210">
        <v>2008</v>
      </c>
      <c r="C217" s="150">
        <v>0</v>
      </c>
      <c r="D217" s="152"/>
      <c r="F217" s="120"/>
      <c r="G217" s="150">
        <v>0</v>
      </c>
      <c r="I217" s="150"/>
      <c r="J217" s="150"/>
      <c r="K217" s="150"/>
      <c r="L217" s="150"/>
      <c r="M217" s="150"/>
    </row>
    <row r="218" spans="1:13">
      <c r="A218" s="153">
        <v>59</v>
      </c>
      <c r="B218" s="1210">
        <v>2009</v>
      </c>
      <c r="C218" s="150">
        <v>0</v>
      </c>
      <c r="D218" s="152"/>
      <c r="F218" s="120"/>
      <c r="G218" s="150">
        <v>0</v>
      </c>
      <c r="I218" s="150"/>
      <c r="J218" s="150"/>
      <c r="K218" s="150"/>
      <c r="L218" s="150"/>
      <c r="M218" s="150"/>
    </row>
    <row r="219" spans="1:13">
      <c r="A219" s="153">
        <v>60</v>
      </c>
      <c r="B219" s="1210">
        <v>2010</v>
      </c>
      <c r="C219" s="1947">
        <v>0</v>
      </c>
      <c r="D219" s="1947"/>
      <c r="E219" s="1947"/>
      <c r="F219" s="1947"/>
      <c r="G219" s="1947">
        <v>0</v>
      </c>
      <c r="I219" s="150"/>
      <c r="J219" s="150"/>
      <c r="K219" s="150"/>
      <c r="L219" s="150"/>
      <c r="M219" s="150"/>
    </row>
    <row r="220" spans="1:13">
      <c r="A220" s="153">
        <v>61</v>
      </c>
      <c r="B220" s="1210">
        <v>2011</v>
      </c>
      <c r="C220" s="1947">
        <v>0</v>
      </c>
      <c r="D220" s="1947"/>
      <c r="E220" s="1947"/>
      <c r="F220" s="1947"/>
      <c r="G220" s="1947">
        <v>0</v>
      </c>
      <c r="I220" s="150"/>
      <c r="J220" s="150"/>
      <c r="K220" s="150"/>
      <c r="L220" s="150"/>
      <c r="M220" s="150"/>
    </row>
    <row r="221" spans="1:13">
      <c r="A221" s="153">
        <v>62</v>
      </c>
      <c r="B221" s="1210">
        <v>2012</v>
      </c>
      <c r="C221" s="1947">
        <v>0</v>
      </c>
      <c r="D221" s="1947"/>
      <c r="E221" s="1947"/>
      <c r="F221" s="1947"/>
      <c r="G221" s="1947">
        <v>0</v>
      </c>
      <c r="I221" s="150"/>
      <c r="J221" s="150"/>
      <c r="K221" s="150"/>
      <c r="L221" s="150"/>
      <c r="M221" s="150"/>
    </row>
    <row r="222" spans="1:13">
      <c r="A222" s="153">
        <v>63</v>
      </c>
      <c r="B222" s="1210">
        <v>2013</v>
      </c>
      <c r="C222" s="1947">
        <v>0</v>
      </c>
      <c r="D222" s="1947"/>
      <c r="E222" s="1947"/>
      <c r="F222" s="1947"/>
      <c r="G222" s="1947">
        <v>0</v>
      </c>
      <c r="I222" s="150"/>
      <c r="J222" s="150"/>
      <c r="K222" s="150"/>
      <c r="L222" s="150"/>
      <c r="M222" s="150"/>
    </row>
    <row r="223" spans="1:13">
      <c r="A223" s="153">
        <v>64</v>
      </c>
      <c r="B223" s="166">
        <v>2014</v>
      </c>
      <c r="C223" s="1947">
        <v>0</v>
      </c>
      <c r="D223" s="1947"/>
      <c r="E223" s="1947"/>
      <c r="F223" s="1947"/>
      <c r="G223" s="1947">
        <v>0</v>
      </c>
      <c r="I223" s="150"/>
      <c r="J223" s="150"/>
      <c r="K223" s="150"/>
      <c r="L223" s="150"/>
      <c r="M223" s="150"/>
    </row>
    <row r="224" spans="1:13">
      <c r="A224" s="153">
        <v>65</v>
      </c>
      <c r="B224" s="166">
        <v>2015</v>
      </c>
      <c r="C224" s="1947">
        <v>0</v>
      </c>
      <c r="D224" s="1947"/>
      <c r="E224" s="1947"/>
      <c r="F224" s="1947"/>
      <c r="G224" s="1947">
        <v>-3018.16</v>
      </c>
      <c r="H224" s="1020"/>
      <c r="I224" s="1020"/>
      <c r="J224" s="1020"/>
      <c r="K224" s="1020"/>
      <c r="L224" s="1020"/>
      <c r="M224" s="1020"/>
    </row>
    <row r="225" spans="1:13">
      <c r="A225" s="372"/>
      <c r="B225" s="120"/>
      <c r="F225" s="120"/>
      <c r="H225" s="158"/>
      <c r="J225" s="120"/>
    </row>
    <row r="226" spans="1:13">
      <c r="A226" s="117" t="s">
        <v>1159</v>
      </c>
      <c r="B226" s="120"/>
      <c r="F226" s="120"/>
      <c r="H226" s="158"/>
      <c r="J226" s="120"/>
    </row>
    <row r="227" spans="1:13" ht="15">
      <c r="A227" s="117" t="s">
        <v>1079</v>
      </c>
      <c r="B227" s="153"/>
      <c r="C227" s="153"/>
      <c r="D227" s="153"/>
      <c r="E227" s="153"/>
      <c r="F227" s="153"/>
      <c r="G227" s="153"/>
      <c r="H227" s="2155"/>
      <c r="I227" s="153"/>
      <c r="J227" s="153"/>
      <c r="K227" s="153"/>
      <c r="L227" s="153"/>
      <c r="M227" s="153"/>
    </row>
  </sheetData>
  <mergeCells count="3">
    <mergeCell ref="A7:M8"/>
    <mergeCell ref="A71:M72"/>
    <mergeCell ref="A153:M154"/>
  </mergeCells>
  <phoneticPr fontId="27" type="noConversion"/>
  <printOptions horizontalCentered="1"/>
  <pageMargins left="0.75" right="0.25" top="0.5" bottom="0.5" header="0.25" footer="0.25"/>
  <pageSetup scale="67" fitToHeight="3" orientation="portrait" r:id="rId1"/>
  <headerFooter alignWithMargins="0"/>
  <rowBreaks count="2" manualBreakCount="2">
    <brk id="64" max="12" man="1"/>
    <brk id="146" max="12"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46">
    <pageSetUpPr fitToPage="1"/>
  </sheetPr>
  <dimension ref="A1:P311"/>
  <sheetViews>
    <sheetView view="pageBreakPreview" zoomScale="60" zoomScaleNormal="100" workbookViewId="0">
      <selection sqref="A1:XFD1048576"/>
    </sheetView>
  </sheetViews>
  <sheetFormatPr defaultColWidth="10.85546875" defaultRowHeight="12.75"/>
  <cols>
    <col min="1" max="1" width="5.140625" style="120" customWidth="1"/>
    <col min="2" max="2" width="9.85546875" style="120" customWidth="1"/>
    <col min="3" max="4" width="11.85546875" style="120" customWidth="1"/>
    <col min="5" max="5" width="12.42578125" style="120" customWidth="1"/>
    <col min="6" max="6" width="10.42578125" style="120" customWidth="1"/>
    <col min="7" max="7" width="9.7109375" style="120" customWidth="1"/>
    <col min="8" max="9" width="11.85546875" style="120" customWidth="1"/>
    <col min="10" max="14" width="8.7109375" style="120" customWidth="1"/>
    <col min="15" max="16" width="8.7109375" style="11" customWidth="1"/>
    <col min="17" max="16384" width="10.85546875" style="11"/>
  </cols>
  <sheetData>
    <row r="1" spans="1:16">
      <c r="A1" s="117" t="s">
        <v>51</v>
      </c>
      <c r="B1" s="117"/>
      <c r="C1" s="143"/>
      <c r="E1" s="117"/>
      <c r="G1" s="117"/>
      <c r="H1" s="117"/>
      <c r="I1" s="117"/>
      <c r="J1" s="117"/>
      <c r="K1" s="117" t="s">
        <v>1209</v>
      </c>
      <c r="L1" s="117"/>
      <c r="M1" s="117"/>
      <c r="N1" s="117"/>
    </row>
    <row r="2" spans="1:16">
      <c r="A2" s="117"/>
      <c r="B2" s="117"/>
      <c r="C2" s="143"/>
      <c r="E2" s="117"/>
      <c r="G2" s="117"/>
      <c r="H2" s="117"/>
      <c r="I2" s="117"/>
      <c r="J2" s="117"/>
      <c r="K2" s="117"/>
      <c r="L2" s="117"/>
      <c r="M2" s="117"/>
      <c r="N2" s="117"/>
    </row>
    <row r="3" spans="1:16">
      <c r="A3" s="117" t="s">
        <v>2644</v>
      </c>
      <c r="B3" s="117"/>
      <c r="C3" s="143"/>
      <c r="E3" s="117"/>
      <c r="G3" s="117"/>
      <c r="H3" s="117"/>
      <c r="I3" s="117"/>
      <c r="J3" s="117"/>
      <c r="K3" s="117" t="s">
        <v>1080</v>
      </c>
      <c r="L3" s="117"/>
      <c r="M3" s="117"/>
      <c r="N3" s="117"/>
    </row>
    <row r="4" spans="1:16">
      <c r="A4" s="117" t="s">
        <v>2645</v>
      </c>
      <c r="B4" s="117"/>
      <c r="C4" s="144"/>
      <c r="E4" s="117"/>
      <c r="G4" s="117"/>
      <c r="H4" s="117"/>
      <c r="I4" s="117"/>
      <c r="J4" s="117"/>
      <c r="K4" s="117" t="s">
        <v>766</v>
      </c>
      <c r="L4" s="117"/>
      <c r="M4" s="117"/>
      <c r="N4" s="117"/>
    </row>
    <row r="5" spans="1:16">
      <c r="A5" s="117" t="s">
        <v>1936</v>
      </c>
      <c r="B5" s="117"/>
      <c r="C5" s="117"/>
      <c r="E5" s="117"/>
      <c r="G5" s="117"/>
      <c r="H5" s="117"/>
      <c r="I5" s="117"/>
      <c r="J5" s="117"/>
      <c r="K5" s="117" t="s">
        <v>2948</v>
      </c>
      <c r="L5" s="117"/>
      <c r="M5" s="117"/>
      <c r="N5" s="117"/>
    </row>
    <row r="6" spans="1:16">
      <c r="A6" s="117"/>
      <c r="B6" s="117"/>
      <c r="C6" s="117"/>
      <c r="D6" s="117"/>
      <c r="E6" s="117"/>
      <c r="F6" s="117"/>
      <c r="G6" s="117"/>
      <c r="H6" s="117"/>
      <c r="I6" s="117"/>
      <c r="J6" s="117"/>
      <c r="K6" s="117"/>
      <c r="L6" s="117"/>
      <c r="M6" s="117"/>
      <c r="N6" s="117"/>
    </row>
    <row r="7" spans="1:16">
      <c r="A7" s="2308" t="s">
        <v>880</v>
      </c>
      <c r="B7" s="2308"/>
      <c r="C7" s="2308"/>
      <c r="D7" s="2308"/>
      <c r="E7" s="2308"/>
      <c r="F7" s="2308"/>
      <c r="G7" s="2308"/>
      <c r="H7" s="2308"/>
      <c r="I7" s="2308"/>
      <c r="J7" s="2308"/>
      <c r="K7" s="2308"/>
      <c r="L7" s="2308"/>
      <c r="M7" s="2308"/>
      <c r="N7" s="2308"/>
    </row>
    <row r="8" spans="1:16">
      <c r="A8" s="2308"/>
      <c r="B8" s="2308"/>
      <c r="C8" s="2308"/>
      <c r="D8" s="2308"/>
      <c r="E8" s="2308"/>
      <c r="F8" s="2308"/>
      <c r="G8" s="2308"/>
      <c r="H8" s="2308"/>
      <c r="I8" s="2308"/>
      <c r="J8" s="2308"/>
      <c r="K8" s="2308"/>
      <c r="L8" s="2308"/>
      <c r="M8" s="2308"/>
      <c r="N8" s="2308"/>
    </row>
    <row r="9" spans="1:16">
      <c r="A9" s="2308"/>
      <c r="B9" s="2308"/>
      <c r="C9" s="2308"/>
      <c r="D9" s="2308"/>
      <c r="E9" s="2308"/>
      <c r="F9" s="2308"/>
      <c r="G9" s="2308"/>
      <c r="H9" s="2308"/>
      <c r="I9" s="2308"/>
      <c r="J9" s="2308"/>
      <c r="K9" s="2308"/>
      <c r="L9" s="2308"/>
      <c r="M9" s="2308"/>
      <c r="N9" s="2308"/>
    </row>
    <row r="10" spans="1:16" ht="13.5" thickBot="1">
      <c r="A10" s="124"/>
      <c r="B10" s="124"/>
      <c r="C10" s="194"/>
      <c r="D10" s="194"/>
      <c r="E10" s="194"/>
      <c r="F10" s="194"/>
      <c r="G10" s="194"/>
      <c r="H10" s="194"/>
      <c r="I10" s="194"/>
      <c r="J10" s="194"/>
      <c r="K10" s="124"/>
      <c r="L10" s="124"/>
      <c r="M10" s="124"/>
      <c r="N10" s="124"/>
    </row>
    <row r="11" spans="1:16" ht="15">
      <c r="A11" s="170"/>
      <c r="B11" s="465"/>
      <c r="C11" s="466"/>
      <c r="D11" s="466"/>
      <c r="E11" s="466"/>
      <c r="F11" s="466"/>
      <c r="G11" s="466"/>
      <c r="H11" s="466"/>
      <c r="I11" s="466"/>
      <c r="J11" s="467"/>
      <c r="K11" s="147"/>
      <c r="L11" s="147"/>
      <c r="M11" s="147"/>
      <c r="N11" s="147"/>
    </row>
    <row r="12" spans="1:16">
      <c r="A12" s="358"/>
      <c r="B12" s="253" t="s">
        <v>93</v>
      </c>
      <c r="C12" s="162"/>
      <c r="D12" s="358"/>
      <c r="E12" s="358"/>
      <c r="F12" s="341"/>
      <c r="G12" s="341"/>
      <c r="H12" s="341"/>
      <c r="I12" s="341"/>
      <c r="J12" s="341"/>
      <c r="K12" s="341"/>
      <c r="L12" s="341"/>
      <c r="M12" s="341"/>
      <c r="N12" s="341"/>
      <c r="O12" s="70"/>
      <c r="P12" s="70"/>
    </row>
    <row r="13" spans="1:16" ht="15">
      <c r="A13" s="128"/>
      <c r="B13" s="162"/>
      <c r="C13" s="162"/>
      <c r="D13" s="358"/>
      <c r="E13" s="358"/>
      <c r="F13" s="162"/>
      <c r="G13" s="162"/>
      <c r="H13" s="162"/>
      <c r="I13" s="162"/>
      <c r="J13" s="159"/>
      <c r="K13" s="127"/>
      <c r="L13" s="117"/>
      <c r="M13" s="127"/>
      <c r="N13" s="117"/>
    </row>
    <row r="14" spans="1:16">
      <c r="A14" s="131"/>
      <c r="B14" s="341"/>
      <c r="C14" s="359"/>
      <c r="D14" s="359"/>
      <c r="E14" s="359"/>
      <c r="F14" s="359"/>
      <c r="G14" s="359"/>
      <c r="H14" s="359"/>
      <c r="I14" s="359"/>
      <c r="J14" s="341"/>
      <c r="K14" s="131"/>
      <c r="L14" s="127"/>
      <c r="M14" s="127"/>
      <c r="N14" s="127"/>
    </row>
    <row r="15" spans="1:16">
      <c r="A15" s="131"/>
      <c r="B15" s="341"/>
      <c r="C15" s="359"/>
      <c r="D15" s="359"/>
      <c r="E15" s="359"/>
      <c r="F15" s="359"/>
      <c r="G15" s="359"/>
      <c r="H15" s="359"/>
      <c r="I15" s="359"/>
      <c r="J15" s="341"/>
      <c r="K15" s="131"/>
      <c r="L15" s="127"/>
      <c r="M15" s="127"/>
      <c r="N15" s="127"/>
    </row>
    <row r="16" spans="1:16">
      <c r="A16" s="131"/>
      <c r="B16" s="253"/>
      <c r="C16" s="253"/>
      <c r="D16" s="253"/>
      <c r="E16" s="360"/>
      <c r="F16" s="360"/>
      <c r="G16" s="360"/>
      <c r="H16" s="360"/>
      <c r="I16" s="360"/>
      <c r="J16" s="163"/>
      <c r="K16" s="150"/>
      <c r="L16" s="150"/>
      <c r="M16" s="150"/>
      <c r="N16" s="150"/>
    </row>
    <row r="17" spans="1:14" ht="15">
      <c r="A17" s="131"/>
      <c r="B17" s="341"/>
      <c r="C17" s="361"/>
      <c r="D17" s="361"/>
      <c r="E17" s="361"/>
      <c r="F17" s="361"/>
      <c r="G17" s="149"/>
      <c r="H17" s="361"/>
      <c r="I17" s="361"/>
      <c r="J17" s="353"/>
      <c r="K17" s="353"/>
      <c r="L17" s="128"/>
      <c r="M17" s="128"/>
      <c r="N17" s="128"/>
    </row>
    <row r="18" spans="1:14" ht="15">
      <c r="A18" s="131"/>
      <c r="B18" s="341"/>
      <c r="C18" s="361"/>
      <c r="D18" s="361"/>
      <c r="E18" s="361"/>
      <c r="F18" s="361"/>
      <c r="G18" s="149"/>
      <c r="H18" s="361"/>
      <c r="I18" s="361"/>
      <c r="J18" s="353"/>
      <c r="K18" s="353"/>
      <c r="L18" s="128"/>
      <c r="M18" s="128"/>
      <c r="N18" s="128"/>
    </row>
    <row r="19" spans="1:14" ht="15">
      <c r="A19" s="131"/>
      <c r="B19" s="341"/>
      <c r="C19" s="361"/>
      <c r="D19" s="361"/>
      <c r="E19" s="361"/>
      <c r="F19" s="361"/>
      <c r="G19" s="149"/>
      <c r="H19" s="361"/>
      <c r="I19" s="361"/>
      <c r="J19" s="353"/>
      <c r="K19" s="353"/>
      <c r="L19" s="128"/>
      <c r="M19" s="128"/>
      <c r="N19" s="128"/>
    </row>
    <row r="20" spans="1:14" ht="15">
      <c r="A20" s="131"/>
      <c r="B20" s="341"/>
      <c r="C20" s="361"/>
      <c r="D20" s="361"/>
      <c r="E20" s="361"/>
      <c r="F20" s="361"/>
      <c r="G20" s="149"/>
      <c r="H20" s="361"/>
      <c r="I20" s="361"/>
      <c r="J20" s="353"/>
      <c r="K20" s="353"/>
      <c r="L20" s="128"/>
      <c r="M20" s="128"/>
      <c r="N20" s="128"/>
    </row>
    <row r="21" spans="1:14" ht="15">
      <c r="A21" s="131"/>
      <c r="B21" s="341"/>
      <c r="C21" s="361"/>
      <c r="D21" s="361"/>
      <c r="E21" s="361"/>
      <c r="F21" s="361"/>
      <c r="G21" s="149"/>
      <c r="H21" s="361"/>
      <c r="I21" s="361"/>
      <c r="J21" s="353"/>
      <c r="K21" s="353"/>
      <c r="L21" s="128"/>
      <c r="M21" s="128"/>
      <c r="N21" s="128"/>
    </row>
    <row r="22" spans="1:14" ht="15">
      <c r="A22" s="131"/>
      <c r="B22" s="341"/>
      <c r="C22" s="361"/>
      <c r="D22" s="361"/>
      <c r="E22" s="361"/>
      <c r="F22" s="361"/>
      <c r="G22" s="149"/>
      <c r="H22" s="361"/>
      <c r="I22" s="361"/>
      <c r="J22" s="353"/>
      <c r="K22" s="353"/>
      <c r="L22" s="128"/>
      <c r="M22" s="128"/>
      <c r="N22" s="128"/>
    </row>
    <row r="23" spans="1:14" ht="15">
      <c r="A23" s="131"/>
      <c r="B23" s="341"/>
      <c r="C23" s="361"/>
      <c r="D23" s="361"/>
      <c r="E23" s="361"/>
      <c r="F23" s="361"/>
      <c r="G23" s="149"/>
      <c r="H23" s="361"/>
      <c r="I23" s="361"/>
      <c r="J23" s="353"/>
      <c r="K23" s="353"/>
      <c r="L23" s="128"/>
      <c r="M23" s="128"/>
      <c r="N23" s="128"/>
    </row>
    <row r="24" spans="1:14" ht="15">
      <c r="A24" s="131"/>
      <c r="B24" s="341"/>
      <c r="C24" s="361"/>
      <c r="D24" s="361"/>
      <c r="E24" s="361"/>
      <c r="F24" s="361"/>
      <c r="G24" s="149"/>
      <c r="H24" s="361"/>
      <c r="I24" s="361"/>
      <c r="J24" s="353"/>
      <c r="K24" s="353"/>
      <c r="L24" s="128"/>
      <c r="M24" s="128"/>
      <c r="N24" s="128"/>
    </row>
    <row r="25" spans="1:14" ht="15">
      <c r="A25" s="131"/>
      <c r="B25" s="341"/>
      <c r="C25" s="361"/>
      <c r="D25" s="361"/>
      <c r="E25" s="361"/>
      <c r="F25" s="361"/>
      <c r="G25" s="149"/>
      <c r="H25" s="361"/>
      <c r="I25" s="361"/>
      <c r="J25" s="353"/>
      <c r="K25" s="353"/>
      <c r="L25" s="128"/>
      <c r="M25" s="128"/>
      <c r="N25" s="128"/>
    </row>
    <row r="26" spans="1:14" ht="15">
      <c r="A26" s="131"/>
      <c r="B26" s="341"/>
      <c r="C26" s="361"/>
      <c r="D26" s="361"/>
      <c r="E26" s="361"/>
      <c r="F26" s="361"/>
      <c r="G26" s="149"/>
      <c r="H26" s="361"/>
      <c r="I26" s="361"/>
      <c r="J26" s="353"/>
      <c r="K26" s="353"/>
      <c r="L26" s="128"/>
      <c r="M26" s="128"/>
      <c r="N26" s="128"/>
    </row>
    <row r="27" spans="1:14" ht="15">
      <c r="A27" s="131"/>
      <c r="B27" s="341"/>
      <c r="C27" s="361"/>
      <c r="D27" s="361"/>
      <c r="E27" s="361"/>
      <c r="F27" s="361"/>
      <c r="G27" s="149"/>
      <c r="H27" s="361"/>
      <c r="I27" s="361"/>
      <c r="J27" s="353"/>
      <c r="K27" s="353"/>
      <c r="L27" s="128"/>
      <c r="M27" s="128"/>
      <c r="N27" s="128"/>
    </row>
    <row r="28" spans="1:14">
      <c r="A28" s="131"/>
      <c r="B28" s="341"/>
      <c r="C28" s="361"/>
      <c r="D28" s="361"/>
      <c r="E28" s="361"/>
      <c r="F28" s="361"/>
      <c r="G28" s="149"/>
      <c r="H28" s="361"/>
      <c r="I28" s="361"/>
    </row>
    <row r="29" spans="1:14">
      <c r="A29" s="131"/>
      <c r="B29" s="341"/>
      <c r="C29" s="361"/>
      <c r="D29" s="361"/>
      <c r="E29" s="361"/>
      <c r="F29" s="361"/>
      <c r="G29" s="149"/>
      <c r="H29" s="361"/>
      <c r="I29" s="361"/>
    </row>
    <row r="30" spans="1:14">
      <c r="A30" s="131"/>
      <c r="B30" s="341"/>
      <c r="C30" s="361"/>
      <c r="D30" s="361"/>
      <c r="E30" s="361"/>
      <c r="F30" s="361"/>
      <c r="G30" s="149"/>
      <c r="H30" s="202"/>
      <c r="I30" s="361"/>
    </row>
    <row r="31" spans="1:14">
      <c r="A31" s="131"/>
      <c r="B31" s="341"/>
      <c r="C31" s="361"/>
      <c r="D31" s="361"/>
      <c r="E31" s="361"/>
      <c r="F31" s="361"/>
      <c r="G31" s="149"/>
      <c r="H31" s="362"/>
      <c r="I31" s="361"/>
      <c r="J31" s="150"/>
      <c r="K31" s="150"/>
      <c r="L31" s="150"/>
      <c r="M31" s="150"/>
      <c r="N31" s="150"/>
    </row>
    <row r="32" spans="1:14">
      <c r="A32" s="131"/>
      <c r="B32" s="341"/>
      <c r="C32" s="361"/>
      <c r="D32" s="361"/>
      <c r="E32" s="361"/>
      <c r="F32" s="361"/>
      <c r="G32" s="161"/>
      <c r="H32" s="361"/>
      <c r="I32" s="361"/>
      <c r="J32" s="150"/>
      <c r="K32" s="150"/>
      <c r="L32" s="150"/>
      <c r="M32" s="150"/>
      <c r="N32" s="150"/>
    </row>
    <row r="33" spans="1:14">
      <c r="A33" s="131"/>
      <c r="B33" s="134"/>
      <c r="E33" s="219"/>
      <c r="F33" s="363"/>
      <c r="G33" s="219"/>
      <c r="H33" s="163"/>
      <c r="I33" s="163"/>
      <c r="J33" s="150"/>
      <c r="K33" s="150"/>
      <c r="L33" s="150"/>
      <c r="M33" s="150"/>
      <c r="N33" s="150"/>
    </row>
    <row r="34" spans="1:14">
      <c r="A34" s="131"/>
      <c r="B34" s="134"/>
      <c r="E34" s="364"/>
      <c r="F34" s="365"/>
      <c r="G34" s="217"/>
      <c r="H34" s="150"/>
      <c r="I34" s="150"/>
      <c r="J34" s="150"/>
      <c r="K34" s="150"/>
      <c r="L34" s="150"/>
      <c r="M34" s="150"/>
      <c r="N34" s="150"/>
    </row>
    <row r="35" spans="1:14" s="18" customFormat="1">
      <c r="A35" s="341"/>
      <c r="B35" s="253"/>
      <c r="C35" s="158"/>
      <c r="D35" s="158"/>
      <c r="E35" s="254"/>
      <c r="F35" s="366"/>
      <c r="G35" s="254"/>
      <c r="H35" s="163"/>
      <c r="I35" s="163"/>
      <c r="J35" s="163"/>
      <c r="K35" s="163"/>
      <c r="L35" s="163"/>
      <c r="M35" s="163"/>
      <c r="N35" s="163"/>
    </row>
    <row r="36" spans="1:14" s="18" customFormat="1">
      <c r="A36" s="351"/>
      <c r="B36" s="253"/>
      <c r="C36" s="158"/>
      <c r="D36" s="158"/>
      <c r="E36" s="254"/>
      <c r="F36" s="366"/>
      <c r="G36" s="254"/>
      <c r="H36" s="163"/>
      <c r="I36" s="163"/>
      <c r="J36" s="163"/>
      <c r="K36" s="163"/>
      <c r="L36" s="163"/>
      <c r="M36" s="163"/>
      <c r="N36" s="163"/>
    </row>
    <row r="37" spans="1:14">
      <c r="A37" s="193" t="s">
        <v>913</v>
      </c>
    </row>
    <row r="38" spans="1:14">
      <c r="A38" s="193" t="s">
        <v>878</v>
      </c>
    </row>
    <row r="39" spans="1:14">
      <c r="A39" s="193"/>
    </row>
    <row r="40" spans="1:14">
      <c r="A40" s="193"/>
    </row>
    <row r="41" spans="1:14">
      <c r="A41" s="189"/>
      <c r="B41" s="153"/>
      <c r="C41" s="153"/>
      <c r="D41" s="153"/>
      <c r="E41" s="153"/>
      <c r="F41" s="153"/>
      <c r="G41" s="153"/>
      <c r="H41" s="153"/>
      <c r="I41" s="153"/>
      <c r="J41" s="153"/>
      <c r="K41" s="153"/>
      <c r="L41" s="153"/>
      <c r="M41" s="153"/>
      <c r="N41" s="153"/>
    </row>
    <row r="42" spans="1:14">
      <c r="A42" s="193"/>
    </row>
    <row r="43" spans="1:14">
      <c r="A43" s="193"/>
    </row>
    <row r="44" spans="1:14">
      <c r="A44" s="193"/>
    </row>
    <row r="45" spans="1:14">
      <c r="A45" s="193"/>
    </row>
    <row r="46" spans="1:14">
      <c r="A46" s="193"/>
    </row>
    <row r="47" spans="1:14">
      <c r="A47" s="193"/>
    </row>
    <row r="48" spans="1:14">
      <c r="A48" s="193"/>
    </row>
    <row r="49" spans="1:1">
      <c r="A49" s="193"/>
    </row>
    <row r="50" spans="1:1">
      <c r="A50" s="193"/>
    </row>
    <row r="51" spans="1:1">
      <c r="A51" s="193"/>
    </row>
    <row r="52" spans="1:1">
      <c r="A52" s="193"/>
    </row>
    <row r="53" spans="1:1">
      <c r="A53" s="193"/>
    </row>
    <row r="54" spans="1:1">
      <c r="A54" s="193"/>
    </row>
    <row r="55" spans="1:1">
      <c r="A55" s="193"/>
    </row>
    <row r="56" spans="1:1">
      <c r="A56" s="193"/>
    </row>
    <row r="57" spans="1:1">
      <c r="A57" s="193"/>
    </row>
    <row r="58" spans="1:1">
      <c r="A58" s="193"/>
    </row>
    <row r="59" spans="1:1">
      <c r="A59" s="193"/>
    </row>
    <row r="60" spans="1:1">
      <c r="A60" s="193"/>
    </row>
    <row r="61" spans="1:1">
      <c r="A61" s="193"/>
    </row>
    <row r="62" spans="1:1">
      <c r="A62" s="193"/>
    </row>
    <row r="63" spans="1:1">
      <c r="A63" s="193"/>
    </row>
    <row r="64" spans="1:1">
      <c r="A64" s="193"/>
    </row>
    <row r="65" spans="1:1">
      <c r="A65" s="193"/>
    </row>
    <row r="66" spans="1:1">
      <c r="A66" s="193"/>
    </row>
    <row r="67" spans="1:1">
      <c r="A67" s="193"/>
    </row>
    <row r="68" spans="1:1">
      <c r="A68" s="193"/>
    </row>
    <row r="69" spans="1:1">
      <c r="A69" s="193"/>
    </row>
    <row r="70" spans="1:1">
      <c r="A70" s="193"/>
    </row>
    <row r="71" spans="1:1">
      <c r="A71" s="193"/>
    </row>
    <row r="72" spans="1:1">
      <c r="A72" s="193"/>
    </row>
    <row r="73" spans="1:1">
      <c r="A73" s="193"/>
    </row>
    <row r="137" spans="1:2">
      <c r="A137" s="138"/>
      <c r="B137" s="138"/>
    </row>
    <row r="138" spans="1:2">
      <c r="A138" s="138"/>
      <c r="B138" s="138"/>
    </row>
    <row r="139" spans="1:2">
      <c r="A139" s="138"/>
      <c r="B139" s="138"/>
    </row>
    <row r="140" spans="1:2">
      <c r="A140" s="138"/>
      <c r="B140" s="138"/>
    </row>
    <row r="141" spans="1:2">
      <c r="A141" s="138"/>
      <c r="B141" s="138"/>
    </row>
    <row r="171" spans="1:2">
      <c r="A171" s="138"/>
      <c r="B171" s="138"/>
    </row>
    <row r="240" spans="1:1">
      <c r="A240" s="117"/>
    </row>
    <row r="257" spans="1:1">
      <c r="A257" s="138"/>
    </row>
    <row r="258" spans="1:1">
      <c r="A258" s="138"/>
    </row>
    <row r="259" spans="1:1">
      <c r="A259" s="138"/>
    </row>
    <row r="260" spans="1:1">
      <c r="A260" s="138"/>
    </row>
    <row r="261" spans="1:1">
      <c r="A261" s="138"/>
    </row>
    <row r="262" spans="1:1">
      <c r="A262" s="138"/>
    </row>
    <row r="263" spans="1:1">
      <c r="A263" s="138"/>
    </row>
    <row r="264" spans="1:1">
      <c r="A264" s="138"/>
    </row>
    <row r="265" spans="1:1">
      <c r="A265" s="138"/>
    </row>
    <row r="266" spans="1:1">
      <c r="A266" s="138"/>
    </row>
    <row r="267" spans="1:1">
      <c r="A267" s="138"/>
    </row>
    <row r="268" spans="1:1">
      <c r="A268" s="138"/>
    </row>
    <row r="269" spans="1:1">
      <c r="A269" s="138"/>
    </row>
    <row r="270" spans="1:1">
      <c r="A270" s="138"/>
    </row>
    <row r="271" spans="1:1">
      <c r="A271" s="138"/>
    </row>
    <row r="272" spans="1:1">
      <c r="A272" s="138"/>
    </row>
    <row r="273" spans="1:1">
      <c r="A273" s="138"/>
    </row>
    <row r="274" spans="1:1">
      <c r="A274" s="138"/>
    </row>
    <row r="275" spans="1:1">
      <c r="A275" s="138"/>
    </row>
    <row r="276" spans="1:1">
      <c r="A276" s="138"/>
    </row>
    <row r="277" spans="1:1">
      <c r="A277" s="138"/>
    </row>
    <row r="278" spans="1:1">
      <c r="A278" s="138"/>
    </row>
    <row r="279" spans="1:1">
      <c r="A279" s="138"/>
    </row>
    <row r="280" spans="1:1">
      <c r="A280" s="138"/>
    </row>
    <row r="281" spans="1:1">
      <c r="A281" s="138"/>
    </row>
    <row r="282" spans="1:1">
      <c r="A282" s="138"/>
    </row>
    <row r="283" spans="1:1">
      <c r="A283" s="138"/>
    </row>
    <row r="284" spans="1:1">
      <c r="A284" s="138"/>
    </row>
    <row r="285" spans="1:1">
      <c r="A285" s="138"/>
    </row>
    <row r="286" spans="1:1">
      <c r="A286" s="138"/>
    </row>
    <row r="287" spans="1:1">
      <c r="A287" s="138"/>
    </row>
    <row r="288" spans="1:1">
      <c r="A288" s="138"/>
    </row>
    <row r="289" spans="1:1">
      <c r="A289" s="138"/>
    </row>
    <row r="290" spans="1:1">
      <c r="A290" s="138"/>
    </row>
    <row r="291" spans="1:1">
      <c r="A291" s="138"/>
    </row>
    <row r="292" spans="1:1">
      <c r="A292" s="138"/>
    </row>
    <row r="293" spans="1:1">
      <c r="A293" s="138"/>
    </row>
    <row r="294" spans="1:1">
      <c r="A294" s="138"/>
    </row>
    <row r="295" spans="1:1">
      <c r="A295" s="138"/>
    </row>
    <row r="296" spans="1:1">
      <c r="A296" s="138"/>
    </row>
    <row r="297" spans="1:1">
      <c r="A297" s="138"/>
    </row>
    <row r="298" spans="1:1">
      <c r="A298" s="138"/>
    </row>
    <row r="299" spans="1:1">
      <c r="A299" s="138"/>
    </row>
    <row r="300" spans="1:1">
      <c r="A300" s="138"/>
    </row>
    <row r="301" spans="1:1">
      <c r="A301" s="138"/>
    </row>
    <row r="302" spans="1:1">
      <c r="A302" s="138"/>
    </row>
    <row r="303" spans="1:1">
      <c r="A303" s="138"/>
    </row>
    <row r="304" spans="1:1">
      <c r="A304" s="138"/>
    </row>
    <row r="305" spans="1:1">
      <c r="A305" s="138"/>
    </row>
    <row r="306" spans="1:1">
      <c r="A306" s="138"/>
    </row>
    <row r="307" spans="1:1">
      <c r="A307" s="138"/>
    </row>
    <row r="308" spans="1:1">
      <c r="A308" s="138"/>
    </row>
    <row r="309" spans="1:1">
      <c r="A309" s="138"/>
    </row>
    <row r="310" spans="1:1">
      <c r="A310" s="138"/>
    </row>
    <row r="311" spans="1:1">
      <c r="A311" s="138"/>
    </row>
  </sheetData>
  <mergeCells count="1">
    <mergeCell ref="A7:N9"/>
  </mergeCells>
  <phoneticPr fontId="27" type="noConversion"/>
  <printOptions horizontalCentered="1"/>
  <pageMargins left="0.75" right="0.25" top="0.5" bottom="0.5" header="0.25" footer="0.25"/>
  <pageSetup scale="66" fitToHeight="0"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48">
    <pageSetUpPr fitToPage="1"/>
  </sheetPr>
  <dimension ref="A1:K439"/>
  <sheetViews>
    <sheetView view="pageBreakPreview" zoomScale="60" zoomScaleNormal="100" workbookViewId="0">
      <selection sqref="A1:XFD1048576"/>
    </sheetView>
  </sheetViews>
  <sheetFormatPr defaultColWidth="10.85546875" defaultRowHeight="12.75"/>
  <cols>
    <col min="1" max="1" width="5.85546875" style="120" customWidth="1"/>
    <col min="2" max="2" width="40.5703125" style="120" customWidth="1"/>
    <col min="3" max="3" width="17.140625" style="120" customWidth="1"/>
    <col min="4" max="4" width="10.85546875" style="120" customWidth="1"/>
    <col min="5" max="5" width="3.140625" style="120" customWidth="1"/>
    <col min="6" max="6" width="10.85546875" style="120" customWidth="1"/>
    <col min="7" max="7" width="3.140625" style="120" customWidth="1"/>
    <col min="8" max="8" width="10.85546875" style="120" customWidth="1"/>
    <col min="9" max="9" width="3.42578125" style="120" customWidth="1"/>
    <col min="10" max="10" width="3.85546875" style="120" customWidth="1"/>
    <col min="11" max="11" width="10.85546875" style="136"/>
    <col min="12" max="16384" width="10.85546875" style="11"/>
  </cols>
  <sheetData>
    <row r="1" spans="1:11" s="21" customFormat="1" ht="12">
      <c r="A1" s="117" t="s">
        <v>481</v>
      </c>
      <c r="B1" s="117"/>
      <c r="C1" s="143"/>
      <c r="D1" s="117" t="s">
        <v>1209</v>
      </c>
      <c r="E1" s="120"/>
      <c r="G1" s="117"/>
      <c r="H1" s="117"/>
      <c r="I1" s="120"/>
      <c r="J1" s="120"/>
      <c r="K1" s="174"/>
    </row>
    <row r="2" spans="1:11" s="21" customFormat="1" ht="12">
      <c r="A2" s="117"/>
      <c r="B2" s="117"/>
      <c r="C2" s="143"/>
      <c r="D2" s="117"/>
      <c r="E2" s="120"/>
      <c r="G2" s="117"/>
      <c r="H2" s="117"/>
      <c r="I2" s="120"/>
      <c r="J2" s="120"/>
      <c r="K2" s="174"/>
    </row>
    <row r="3" spans="1:11" s="21" customFormat="1" ht="12">
      <c r="A3" s="117" t="s">
        <v>2644</v>
      </c>
      <c r="B3" s="117"/>
      <c r="C3" s="143"/>
      <c r="D3" s="117" t="s">
        <v>1513</v>
      </c>
      <c r="E3" s="120"/>
      <c r="G3" s="117"/>
      <c r="H3" s="117"/>
      <c r="I3" s="120"/>
      <c r="J3" s="120"/>
      <c r="K3" s="174"/>
    </row>
    <row r="4" spans="1:11" s="21" customFormat="1" ht="12">
      <c r="A4" s="117" t="s">
        <v>2645</v>
      </c>
      <c r="B4" s="117"/>
      <c r="C4" s="144"/>
      <c r="D4" s="117" t="s">
        <v>766</v>
      </c>
      <c r="E4" s="120"/>
      <c r="G4" s="117"/>
      <c r="H4" s="117"/>
      <c r="I4" s="120"/>
      <c r="J4" s="120"/>
      <c r="K4" s="174"/>
    </row>
    <row r="5" spans="1:11" s="21" customFormat="1" ht="12">
      <c r="A5" s="117" t="s">
        <v>1935</v>
      </c>
      <c r="B5" s="117"/>
      <c r="C5" s="117"/>
      <c r="D5" s="117" t="s">
        <v>2948</v>
      </c>
      <c r="E5" s="120"/>
      <c r="G5" s="117"/>
      <c r="H5" s="117"/>
      <c r="I5" s="120"/>
      <c r="J5" s="120"/>
      <c r="K5" s="174"/>
    </row>
    <row r="6" spans="1:11" s="21" customFormat="1" ht="12">
      <c r="A6" s="117"/>
      <c r="B6" s="117"/>
      <c r="C6" s="117"/>
      <c r="D6" s="117"/>
      <c r="E6" s="117"/>
      <c r="F6" s="120"/>
      <c r="G6" s="117"/>
      <c r="H6" s="117"/>
      <c r="I6" s="120"/>
      <c r="J6" s="120"/>
      <c r="K6" s="174"/>
    </row>
    <row r="7" spans="1:11" s="21" customFormat="1" ht="12">
      <c r="A7" s="2307" t="s">
        <v>1096</v>
      </c>
      <c r="B7" s="2297"/>
      <c r="C7" s="2297"/>
      <c r="D7" s="2297"/>
      <c r="E7" s="2297"/>
      <c r="F7" s="2297"/>
      <c r="G7" s="2297"/>
      <c r="H7" s="2297"/>
      <c r="I7" s="2297"/>
      <c r="J7" s="120"/>
      <c r="K7" s="174"/>
    </row>
    <row r="8" spans="1:11" s="21" customFormat="1" ht="12">
      <c r="A8" s="2297"/>
      <c r="B8" s="2297"/>
      <c r="C8" s="2297"/>
      <c r="D8" s="2297"/>
      <c r="E8" s="2297"/>
      <c r="F8" s="2297"/>
      <c r="G8" s="2297"/>
      <c r="H8" s="2297"/>
      <c r="I8" s="2297"/>
      <c r="J8" s="120"/>
      <c r="K8" s="174"/>
    </row>
    <row r="9" spans="1:11" s="21" customFormat="1" ht="12">
      <c r="A9" s="2297"/>
      <c r="B9" s="2297"/>
      <c r="C9" s="2297"/>
      <c r="D9" s="2297"/>
      <c r="E9" s="2297"/>
      <c r="F9" s="2297"/>
      <c r="G9" s="2297"/>
      <c r="H9" s="2297"/>
      <c r="I9" s="2297"/>
      <c r="J9" s="120"/>
      <c r="K9" s="174"/>
    </row>
    <row r="10" spans="1:11" s="21" customFormat="1" thickBot="1">
      <c r="A10" s="124"/>
      <c r="B10" s="124"/>
      <c r="C10" s="194"/>
      <c r="D10" s="194"/>
      <c r="E10" s="194"/>
      <c r="F10" s="194"/>
      <c r="G10" s="194"/>
      <c r="H10" s="194"/>
      <c r="I10" s="194"/>
      <c r="J10" s="120"/>
      <c r="K10" s="174"/>
    </row>
    <row r="11" spans="1:11" s="21" customFormat="1" ht="12">
      <c r="A11" s="120"/>
      <c r="B11" s="120"/>
      <c r="C11" s="367" t="s">
        <v>1457</v>
      </c>
      <c r="D11" s="368" t="s">
        <v>486</v>
      </c>
      <c r="E11" s="369"/>
      <c r="F11" s="369"/>
      <c r="G11" s="369"/>
      <c r="H11" s="369"/>
      <c r="I11" s="120"/>
      <c r="J11" s="120"/>
      <c r="K11" s="174"/>
    </row>
    <row r="12" spans="1:11" s="21" customFormat="1" ht="12">
      <c r="A12" s="127" t="s">
        <v>53</v>
      </c>
      <c r="B12" s="117"/>
      <c r="C12" s="153"/>
      <c r="D12" s="131" t="s">
        <v>614</v>
      </c>
      <c r="E12" s="131"/>
      <c r="F12" s="131" t="s">
        <v>615</v>
      </c>
      <c r="G12" s="131"/>
      <c r="H12" s="131" t="s">
        <v>616</v>
      </c>
      <c r="I12" s="120"/>
      <c r="J12" s="120"/>
      <c r="K12" s="174"/>
    </row>
    <row r="13" spans="1:11" s="21" customFormat="1" ht="12">
      <c r="A13" s="806" t="s">
        <v>730</v>
      </c>
      <c r="B13" s="806" t="s">
        <v>731</v>
      </c>
      <c r="C13" s="815" t="s">
        <v>978</v>
      </c>
      <c r="D13" s="816" t="s">
        <v>81</v>
      </c>
      <c r="E13" s="816"/>
      <c r="F13" s="816" t="s">
        <v>658</v>
      </c>
      <c r="G13" s="816"/>
      <c r="H13" s="816" t="s">
        <v>615</v>
      </c>
      <c r="I13" s="120"/>
      <c r="J13" s="120"/>
      <c r="K13" s="174"/>
    </row>
    <row r="14" spans="1:11" s="21" customFormat="1" ht="12">
      <c r="A14" s="148"/>
      <c r="B14" s="117"/>
      <c r="C14" s="153"/>
      <c r="D14" s="153"/>
      <c r="E14" s="153"/>
      <c r="F14" s="153"/>
      <c r="G14" s="153"/>
      <c r="H14" s="153"/>
      <c r="I14" s="120"/>
      <c r="J14" s="120"/>
      <c r="K14" s="174"/>
    </row>
    <row r="15" spans="1:11" s="21" customFormat="1" ht="12">
      <c r="A15" s="2280">
        <v>1</v>
      </c>
      <c r="B15" s="2328" t="s">
        <v>2928</v>
      </c>
      <c r="C15" s="2328"/>
      <c r="D15" s="2328"/>
      <c r="E15" s="2328"/>
      <c r="F15" s="2328"/>
      <c r="G15" s="2328"/>
      <c r="H15" s="2328"/>
      <c r="I15" s="120"/>
      <c r="J15" s="120"/>
      <c r="K15" s="174"/>
    </row>
    <row r="16" spans="1:11" s="21" customFormat="1" ht="12">
      <c r="A16" s="2280">
        <v>2</v>
      </c>
      <c r="B16" s="2328"/>
      <c r="C16" s="2328"/>
      <c r="D16" s="2328"/>
      <c r="E16" s="2328"/>
      <c r="F16" s="2328"/>
      <c r="G16" s="2328"/>
      <c r="H16" s="2328"/>
      <c r="I16" s="120"/>
      <c r="J16" s="120"/>
      <c r="K16" s="174"/>
    </row>
    <row r="17" spans="1:11" s="21" customFormat="1" ht="12">
      <c r="A17" s="2280">
        <v>3</v>
      </c>
      <c r="B17" s="2328"/>
      <c r="C17" s="2328"/>
      <c r="D17" s="2328"/>
      <c r="E17" s="2328"/>
      <c r="F17" s="2328"/>
      <c r="G17" s="2328"/>
      <c r="H17" s="2328"/>
      <c r="I17" s="120"/>
      <c r="J17" s="120"/>
      <c r="K17" s="174"/>
    </row>
    <row r="18" spans="1:11" s="21" customFormat="1" ht="12">
      <c r="A18" s="148"/>
      <c r="B18" s="2279"/>
      <c r="C18" s="2279"/>
      <c r="D18" s="2279"/>
      <c r="E18" s="2279"/>
      <c r="F18" s="2279"/>
      <c r="G18" s="2279"/>
      <c r="H18" s="2279"/>
      <c r="I18" s="120"/>
      <c r="J18" s="120"/>
      <c r="K18" s="174"/>
    </row>
    <row r="19" spans="1:11" s="21" customFormat="1" ht="12">
      <c r="A19" s="148"/>
      <c r="B19" s="2279"/>
      <c r="C19" s="2279"/>
      <c r="D19" s="2279"/>
      <c r="E19" s="2279"/>
      <c r="F19" s="2279"/>
      <c r="G19" s="2279"/>
      <c r="H19" s="2279"/>
      <c r="I19" s="120"/>
      <c r="J19" s="120"/>
      <c r="K19" s="174"/>
    </row>
    <row r="20" spans="1:11" s="21" customFormat="1" ht="12">
      <c r="A20" s="148"/>
      <c r="B20" s="117"/>
      <c r="C20" s="120"/>
      <c r="D20" s="120"/>
      <c r="E20" s="120"/>
      <c r="F20" s="120"/>
      <c r="G20" s="120"/>
      <c r="H20" s="120"/>
      <c r="I20" s="120"/>
      <c r="J20" s="120"/>
      <c r="K20" s="174"/>
    </row>
    <row r="21" spans="1:11" s="21" customFormat="1" ht="12">
      <c r="A21" s="148"/>
      <c r="B21" s="117"/>
      <c r="C21" s="120"/>
      <c r="D21" s="120"/>
      <c r="E21" s="120"/>
      <c r="F21" s="120"/>
      <c r="G21" s="120"/>
      <c r="H21" s="120"/>
      <c r="I21" s="120"/>
      <c r="J21" s="120"/>
      <c r="K21" s="174"/>
    </row>
    <row r="22" spans="1:11" s="21" customFormat="1" ht="12">
      <c r="A22" s="148"/>
      <c r="B22" s="117"/>
      <c r="C22" s="120"/>
      <c r="D22" s="120"/>
      <c r="E22" s="120"/>
      <c r="F22" s="120"/>
      <c r="G22" s="120"/>
      <c r="H22" s="120"/>
      <c r="I22" s="120"/>
      <c r="J22" s="120"/>
      <c r="K22" s="174"/>
    </row>
    <row r="23" spans="1:11" s="21" customFormat="1" ht="12">
      <c r="A23" s="148"/>
      <c r="B23" s="117"/>
      <c r="C23" s="120"/>
      <c r="D23" s="120"/>
      <c r="E23" s="120"/>
      <c r="F23" s="120"/>
      <c r="G23" s="120"/>
      <c r="H23" s="120"/>
      <c r="I23" s="120"/>
      <c r="J23" s="120"/>
      <c r="K23" s="174"/>
    </row>
    <row r="24" spans="1:11" s="21" customFormat="1" ht="12">
      <c r="A24" s="148"/>
      <c r="B24" s="117"/>
      <c r="C24" s="120"/>
      <c r="D24" s="120"/>
      <c r="E24" s="120"/>
      <c r="F24" s="120"/>
      <c r="G24" s="120"/>
      <c r="H24" s="120"/>
      <c r="I24" s="120"/>
      <c r="J24" s="120"/>
      <c r="K24" s="174"/>
    </row>
    <row r="25" spans="1:11" s="21" customFormat="1" ht="12">
      <c r="A25" s="148"/>
      <c r="B25" s="117"/>
      <c r="C25" s="120"/>
      <c r="D25" s="120"/>
      <c r="E25" s="120"/>
      <c r="F25" s="120"/>
      <c r="G25" s="120"/>
      <c r="H25" s="120"/>
      <c r="I25" s="120"/>
      <c r="J25" s="120"/>
      <c r="K25" s="174"/>
    </row>
    <row r="26" spans="1:11" s="21" customFormat="1" ht="12">
      <c r="A26" s="148"/>
      <c r="B26" s="117"/>
      <c r="C26" s="120"/>
      <c r="D26" s="120"/>
      <c r="E26" s="120"/>
      <c r="F26" s="120"/>
      <c r="G26" s="120"/>
      <c r="H26" s="120"/>
      <c r="I26" s="120"/>
      <c r="J26" s="120"/>
      <c r="K26" s="174"/>
    </row>
    <row r="27" spans="1:11" s="21" customFormat="1" ht="12">
      <c r="A27" s="148"/>
      <c r="B27" s="117"/>
      <c r="C27" s="120"/>
      <c r="D27" s="120"/>
      <c r="E27" s="120"/>
      <c r="F27" s="120"/>
      <c r="G27" s="120"/>
      <c r="H27" s="120"/>
      <c r="I27" s="120"/>
      <c r="J27" s="120"/>
      <c r="K27" s="174"/>
    </row>
    <row r="28" spans="1:11" s="21" customFormat="1" ht="12">
      <c r="A28" s="148"/>
      <c r="B28" s="117"/>
      <c r="C28" s="120"/>
      <c r="D28" s="120"/>
      <c r="E28" s="120"/>
      <c r="F28" s="120"/>
      <c r="G28" s="120"/>
      <c r="H28" s="120"/>
      <c r="I28" s="120"/>
      <c r="J28" s="120"/>
      <c r="K28" s="174"/>
    </row>
    <row r="29" spans="1:11" s="21" customFormat="1" ht="12">
      <c r="A29" s="148"/>
      <c r="B29" s="117"/>
      <c r="C29" s="120"/>
      <c r="D29" s="120"/>
      <c r="E29" s="120"/>
      <c r="F29" s="120"/>
      <c r="G29" s="120"/>
      <c r="H29" s="120"/>
      <c r="I29" s="120"/>
      <c r="J29" s="120"/>
      <c r="K29" s="174"/>
    </row>
    <row r="30" spans="1:11" s="21" customFormat="1" ht="12">
      <c r="A30" s="148"/>
      <c r="B30" s="117"/>
      <c r="C30" s="120"/>
      <c r="D30" s="120"/>
      <c r="E30" s="120"/>
      <c r="F30" s="120"/>
      <c r="G30" s="120"/>
      <c r="H30" s="120"/>
      <c r="I30" s="120"/>
      <c r="J30" s="120"/>
      <c r="K30" s="174"/>
    </row>
    <row r="31" spans="1:11" s="21" customFormat="1" ht="12">
      <c r="A31" s="148"/>
      <c r="B31" s="117"/>
      <c r="C31" s="120"/>
      <c r="D31" s="120"/>
      <c r="E31" s="120"/>
      <c r="F31" s="120"/>
      <c r="G31" s="120"/>
      <c r="H31" s="120"/>
      <c r="I31" s="120"/>
      <c r="J31" s="120"/>
      <c r="K31" s="174"/>
    </row>
    <row r="32" spans="1:11" s="21" customFormat="1" ht="12">
      <c r="A32" s="148"/>
      <c r="B32" s="117"/>
      <c r="C32" s="120"/>
      <c r="D32" s="120"/>
      <c r="E32" s="120"/>
      <c r="F32" s="120"/>
      <c r="G32" s="120"/>
      <c r="H32" s="120"/>
      <c r="I32" s="120"/>
      <c r="J32" s="120"/>
      <c r="K32" s="174"/>
    </row>
    <row r="33" spans="1:11" s="21" customFormat="1" ht="12">
      <c r="A33" s="148"/>
      <c r="B33" s="117"/>
      <c r="C33" s="120"/>
      <c r="D33" s="120"/>
      <c r="E33" s="120"/>
      <c r="F33" s="120"/>
      <c r="G33" s="120"/>
      <c r="H33" s="120"/>
      <c r="I33" s="120"/>
      <c r="J33" s="120"/>
      <c r="K33" s="174"/>
    </row>
    <row r="34" spans="1:11" s="21" customFormat="1" ht="12">
      <c r="A34" s="148"/>
      <c r="B34" s="117"/>
      <c r="C34" s="120"/>
      <c r="D34" s="120"/>
      <c r="E34" s="120"/>
      <c r="F34" s="120"/>
      <c r="G34" s="120"/>
      <c r="H34" s="120"/>
      <c r="I34" s="120"/>
      <c r="J34" s="120"/>
      <c r="K34" s="174"/>
    </row>
    <row r="35" spans="1:11" s="21" customFormat="1" ht="12">
      <c r="A35" s="148"/>
      <c r="B35" s="117"/>
      <c r="C35" s="120"/>
      <c r="D35" s="120"/>
      <c r="E35" s="120"/>
      <c r="F35" s="120"/>
      <c r="G35" s="120"/>
      <c r="H35" s="120"/>
      <c r="I35" s="120"/>
      <c r="J35" s="120"/>
      <c r="K35" s="174"/>
    </row>
    <row r="36" spans="1:11" s="21" customFormat="1" ht="12">
      <c r="A36" s="148"/>
      <c r="B36" s="117"/>
      <c r="C36" s="120"/>
      <c r="D36" s="120"/>
      <c r="E36" s="120"/>
      <c r="F36" s="120"/>
      <c r="G36" s="120"/>
      <c r="H36" s="120"/>
      <c r="I36" s="120"/>
      <c r="J36" s="120"/>
      <c r="K36" s="174"/>
    </row>
    <row r="37" spans="1:11" s="21" customFormat="1" ht="12">
      <c r="A37" s="148"/>
      <c r="B37" s="117"/>
      <c r="C37" s="120"/>
      <c r="D37" s="120"/>
      <c r="E37" s="120"/>
      <c r="F37" s="120"/>
      <c r="G37" s="120"/>
      <c r="H37" s="120"/>
      <c r="I37" s="120"/>
      <c r="J37" s="120"/>
      <c r="K37" s="174"/>
    </row>
    <row r="38" spans="1:11" s="21" customFormat="1" ht="12">
      <c r="A38" s="148"/>
      <c r="B38" s="117"/>
      <c r="C38" s="120"/>
      <c r="D38" s="120"/>
      <c r="E38" s="120"/>
      <c r="F38" s="120"/>
      <c r="G38" s="120"/>
      <c r="H38" s="120"/>
      <c r="I38" s="120"/>
      <c r="J38" s="120"/>
      <c r="K38" s="174"/>
    </row>
    <row r="39" spans="1:11" s="21" customFormat="1" ht="12">
      <c r="A39" s="148"/>
      <c r="B39" s="117"/>
      <c r="C39" s="120"/>
      <c r="D39" s="120"/>
      <c r="E39" s="120"/>
      <c r="F39" s="120"/>
      <c r="G39" s="120"/>
      <c r="H39" s="120"/>
      <c r="I39" s="120"/>
      <c r="J39" s="120"/>
      <c r="K39" s="174"/>
    </row>
    <row r="40" spans="1:11" s="21" customFormat="1" ht="12">
      <c r="A40" s="148"/>
      <c r="B40" s="117"/>
      <c r="C40" s="120"/>
      <c r="D40" s="120"/>
      <c r="E40" s="120"/>
      <c r="F40" s="120"/>
      <c r="G40" s="120"/>
      <c r="H40" s="120"/>
      <c r="I40" s="120"/>
      <c r="J40" s="120"/>
      <c r="K40" s="174"/>
    </row>
    <row r="41" spans="1:11" s="21" customFormat="1" ht="12">
      <c r="A41" s="148"/>
      <c r="B41" s="117"/>
      <c r="C41" s="120"/>
      <c r="D41" s="120"/>
      <c r="E41" s="120"/>
      <c r="F41" s="120"/>
      <c r="G41" s="120"/>
      <c r="H41" s="120"/>
      <c r="I41" s="120"/>
      <c r="J41" s="120"/>
      <c r="K41" s="174"/>
    </row>
    <row r="42" spans="1:11" s="21" customFormat="1" ht="12">
      <c r="A42" s="148"/>
      <c r="B42" s="117"/>
      <c r="C42" s="120"/>
      <c r="D42" s="120"/>
      <c r="E42" s="120"/>
      <c r="F42" s="120"/>
      <c r="G42" s="120"/>
      <c r="H42" s="120"/>
      <c r="I42" s="120"/>
      <c r="J42" s="120"/>
      <c r="K42" s="174"/>
    </row>
    <row r="43" spans="1:11" s="21" customFormat="1" ht="12">
      <c r="A43" s="148"/>
      <c r="B43" s="117"/>
      <c r="C43" s="120"/>
      <c r="D43" s="120"/>
      <c r="E43" s="120"/>
      <c r="F43" s="120"/>
      <c r="G43" s="120"/>
      <c r="H43" s="120"/>
      <c r="I43" s="120"/>
      <c r="J43" s="120"/>
      <c r="K43" s="174"/>
    </row>
    <row r="44" spans="1:11" s="21" customFormat="1" ht="12">
      <c r="A44" s="148"/>
      <c r="B44" s="117"/>
      <c r="C44" s="120"/>
      <c r="D44" s="120"/>
      <c r="E44" s="120"/>
      <c r="F44" s="120"/>
      <c r="G44" s="120"/>
      <c r="H44" s="120"/>
      <c r="I44" s="120"/>
      <c r="J44" s="120"/>
      <c r="K44" s="174"/>
    </row>
    <row r="45" spans="1:11" s="21" customFormat="1" ht="12">
      <c r="A45" s="148"/>
      <c r="B45" s="117"/>
      <c r="C45" s="120"/>
      <c r="D45" s="120"/>
      <c r="E45" s="120"/>
      <c r="F45" s="120"/>
      <c r="G45" s="120"/>
      <c r="H45" s="120"/>
      <c r="I45" s="120"/>
      <c r="J45" s="120"/>
      <c r="K45" s="174"/>
    </row>
    <row r="46" spans="1:11" s="21" customFormat="1" ht="12">
      <c r="A46" s="148"/>
      <c r="B46" s="117"/>
      <c r="C46" s="120"/>
      <c r="D46" s="120"/>
      <c r="E46" s="120"/>
      <c r="F46" s="120"/>
      <c r="G46" s="120"/>
      <c r="H46" s="120"/>
      <c r="I46" s="120"/>
      <c r="J46" s="120"/>
      <c r="K46" s="174"/>
    </row>
    <row r="47" spans="1:11" s="21" customFormat="1" ht="12">
      <c r="A47" s="148"/>
      <c r="B47" s="117"/>
      <c r="C47" s="120"/>
      <c r="D47" s="120"/>
      <c r="E47" s="120"/>
      <c r="F47" s="120"/>
      <c r="G47" s="120"/>
      <c r="H47" s="120"/>
      <c r="I47" s="120"/>
      <c r="J47" s="120"/>
      <c r="K47" s="174"/>
    </row>
    <row r="48" spans="1:11" s="21" customFormat="1" ht="12">
      <c r="A48" s="148"/>
      <c r="B48" s="117"/>
      <c r="C48" s="120"/>
      <c r="D48" s="120"/>
      <c r="E48" s="120"/>
      <c r="F48" s="120"/>
      <c r="G48" s="120"/>
      <c r="H48" s="120"/>
      <c r="I48" s="120"/>
      <c r="J48" s="120"/>
      <c r="K48" s="174"/>
    </row>
    <row r="49" spans="1:11" s="21" customFormat="1" ht="12">
      <c r="A49" s="148"/>
      <c r="B49" s="117"/>
      <c r="C49" s="120"/>
      <c r="D49" s="120"/>
      <c r="E49" s="120"/>
      <c r="F49" s="120"/>
      <c r="G49" s="120"/>
      <c r="H49" s="120"/>
      <c r="I49" s="120"/>
      <c r="J49" s="120"/>
      <c r="K49" s="174"/>
    </row>
    <row r="50" spans="1:11" s="21" customFormat="1" ht="12">
      <c r="A50" s="148"/>
      <c r="B50" s="117"/>
      <c r="C50" s="120"/>
      <c r="D50" s="120"/>
      <c r="E50" s="120"/>
      <c r="F50" s="120"/>
      <c r="G50" s="120"/>
      <c r="H50" s="120"/>
      <c r="I50" s="120"/>
      <c r="J50" s="120"/>
      <c r="K50" s="174"/>
    </row>
    <row r="51" spans="1:11" s="21" customFormat="1" ht="12">
      <c r="A51" s="148"/>
      <c r="B51" s="117"/>
      <c r="C51" s="120"/>
      <c r="D51" s="120"/>
      <c r="E51" s="120"/>
      <c r="F51" s="120"/>
      <c r="G51" s="120"/>
      <c r="H51" s="120"/>
      <c r="I51" s="120"/>
      <c r="J51" s="120"/>
      <c r="K51" s="174"/>
    </row>
    <row r="52" spans="1:11" s="21" customFormat="1" ht="12">
      <c r="A52" s="148"/>
      <c r="B52" s="117"/>
      <c r="C52" s="120"/>
      <c r="D52" s="120"/>
      <c r="E52" s="120"/>
      <c r="F52" s="120"/>
      <c r="G52" s="120"/>
      <c r="H52" s="120"/>
      <c r="I52" s="120"/>
      <c r="J52" s="120"/>
      <c r="K52" s="174"/>
    </row>
    <row r="53" spans="1:11" s="21" customFormat="1" ht="12">
      <c r="A53" s="148"/>
      <c r="B53" s="117"/>
      <c r="C53" s="120"/>
      <c r="D53" s="120"/>
      <c r="E53" s="120"/>
      <c r="F53" s="120"/>
      <c r="G53" s="120"/>
      <c r="H53" s="120"/>
      <c r="I53" s="120"/>
      <c r="J53" s="120"/>
      <c r="K53" s="174"/>
    </row>
    <row r="54" spans="1:11" s="21" customFormat="1" ht="12">
      <c r="A54" s="148"/>
      <c r="B54" s="117"/>
      <c r="C54" s="120"/>
      <c r="D54" s="120"/>
      <c r="E54" s="120"/>
      <c r="F54" s="120"/>
      <c r="G54" s="120"/>
      <c r="H54" s="120"/>
      <c r="I54" s="120"/>
      <c r="J54" s="120"/>
      <c r="K54" s="174"/>
    </row>
    <row r="55" spans="1:11" s="21" customFormat="1" ht="12">
      <c r="A55" s="148"/>
      <c r="B55" s="117" t="s">
        <v>1159</v>
      </c>
      <c r="C55" s="120"/>
      <c r="D55" s="120"/>
      <c r="E55" s="120"/>
      <c r="F55" s="120"/>
      <c r="G55" s="120"/>
      <c r="H55" s="120"/>
      <c r="I55" s="120"/>
      <c r="J55" s="120"/>
      <c r="K55" s="174"/>
    </row>
    <row r="56" spans="1:11" s="21" customFormat="1" ht="12">
      <c r="A56" s="148"/>
      <c r="B56" s="117" t="s">
        <v>1160</v>
      </c>
      <c r="C56" s="120"/>
      <c r="D56" s="120"/>
      <c r="E56" s="120"/>
      <c r="F56" s="120"/>
      <c r="G56" s="120"/>
      <c r="H56" s="120"/>
      <c r="I56" s="120"/>
      <c r="J56" s="120"/>
      <c r="K56" s="174"/>
    </row>
    <row r="57" spans="1:11" s="21" customFormat="1" ht="12">
      <c r="A57" s="148"/>
      <c r="B57" s="148"/>
      <c r="C57" s="148"/>
      <c r="D57" s="148"/>
      <c r="E57" s="148"/>
      <c r="F57" s="148"/>
      <c r="G57" s="148"/>
      <c r="H57" s="148"/>
      <c r="I57" s="148"/>
      <c r="J57" s="148"/>
      <c r="K57" s="175"/>
    </row>
    <row r="58" spans="1:11" s="21" customFormat="1" ht="12">
      <c r="A58" s="189"/>
      <c r="B58" s="153"/>
      <c r="C58" s="153"/>
      <c r="D58" s="153"/>
      <c r="E58" s="153"/>
      <c r="F58" s="153"/>
      <c r="G58" s="153"/>
      <c r="H58" s="153"/>
      <c r="I58" s="153"/>
      <c r="J58" s="120"/>
      <c r="K58" s="174"/>
    </row>
    <row r="59" spans="1:11" s="21" customFormat="1" ht="12">
      <c r="A59" s="120"/>
      <c r="B59" s="120"/>
      <c r="C59" s="120"/>
      <c r="D59" s="120"/>
      <c r="E59" s="120"/>
      <c r="F59" s="120"/>
      <c r="G59" s="120"/>
      <c r="H59" s="120"/>
      <c r="I59" s="120"/>
      <c r="J59" s="120"/>
      <c r="K59" s="174"/>
    </row>
    <row r="60" spans="1:11" s="21" customFormat="1" ht="12">
      <c r="A60" s="120"/>
      <c r="B60" s="120"/>
      <c r="C60" s="120"/>
      <c r="D60" s="120"/>
      <c r="E60" s="120"/>
      <c r="F60" s="120"/>
      <c r="G60" s="120"/>
      <c r="H60" s="120"/>
      <c r="I60" s="120"/>
      <c r="J60" s="120"/>
      <c r="K60" s="174"/>
    </row>
    <row r="61" spans="1:11" s="21" customFormat="1" ht="12">
      <c r="A61" s="120"/>
      <c r="B61" s="120"/>
      <c r="C61" s="120"/>
      <c r="D61" s="120"/>
      <c r="E61" s="120"/>
      <c r="F61" s="120"/>
      <c r="G61" s="120"/>
      <c r="H61" s="120"/>
      <c r="I61" s="120"/>
      <c r="J61" s="120"/>
      <c r="K61" s="174"/>
    </row>
    <row r="62" spans="1:11" s="21" customFormat="1" ht="12">
      <c r="A62" s="120"/>
      <c r="B62" s="120"/>
      <c r="C62" s="120"/>
      <c r="D62" s="120"/>
      <c r="E62" s="120"/>
      <c r="F62" s="120"/>
      <c r="G62" s="120"/>
      <c r="H62" s="120"/>
      <c r="I62" s="120"/>
      <c r="J62" s="120"/>
      <c r="K62" s="174"/>
    </row>
    <row r="63" spans="1:11" s="21" customFormat="1" ht="12">
      <c r="A63" s="120"/>
      <c r="B63" s="120"/>
      <c r="C63" s="120"/>
      <c r="D63" s="120"/>
      <c r="E63" s="120"/>
      <c r="F63" s="120"/>
      <c r="G63" s="120"/>
      <c r="H63" s="120"/>
      <c r="I63" s="120"/>
      <c r="J63" s="120"/>
      <c r="K63" s="174"/>
    </row>
    <row r="64" spans="1:11" s="21" customFormat="1" ht="12">
      <c r="A64" s="120"/>
      <c r="B64" s="120"/>
      <c r="C64" s="120"/>
      <c r="D64" s="120"/>
      <c r="E64" s="120"/>
      <c r="F64" s="120"/>
      <c r="G64" s="120"/>
      <c r="H64" s="120"/>
      <c r="I64" s="120"/>
      <c r="J64" s="120"/>
      <c r="K64" s="174"/>
    </row>
    <row r="65" spans="1:11" s="21" customFormat="1" ht="12">
      <c r="A65" s="120"/>
      <c r="B65" s="120"/>
      <c r="C65" s="120"/>
      <c r="D65" s="120"/>
      <c r="E65" s="120"/>
      <c r="F65" s="120"/>
      <c r="G65" s="120"/>
      <c r="H65" s="120"/>
      <c r="I65" s="120"/>
      <c r="J65" s="120"/>
      <c r="K65" s="174"/>
    </row>
    <row r="66" spans="1:11" s="21" customFormat="1" ht="12">
      <c r="A66" s="120"/>
      <c r="B66" s="120"/>
      <c r="C66" s="120"/>
      <c r="D66" s="120"/>
      <c r="E66" s="120"/>
      <c r="F66" s="120"/>
      <c r="G66" s="120"/>
      <c r="H66" s="120"/>
      <c r="I66" s="120"/>
      <c r="J66" s="120"/>
      <c r="K66" s="174"/>
    </row>
    <row r="67" spans="1:11" s="21" customFormat="1" ht="12">
      <c r="A67" s="120"/>
      <c r="B67" s="120"/>
      <c r="C67" s="120"/>
      <c r="D67" s="120"/>
      <c r="E67" s="120"/>
      <c r="F67" s="120"/>
      <c r="G67" s="120"/>
      <c r="H67" s="120"/>
      <c r="I67" s="120"/>
      <c r="J67" s="120"/>
      <c r="K67" s="174"/>
    </row>
    <row r="68" spans="1:11" s="21" customFormat="1" ht="12">
      <c r="A68" s="120"/>
      <c r="B68" s="120"/>
      <c r="C68" s="120"/>
      <c r="D68" s="120"/>
      <c r="E68" s="120"/>
      <c r="F68" s="120"/>
      <c r="G68" s="120"/>
      <c r="H68" s="120"/>
      <c r="I68" s="120"/>
      <c r="J68" s="120"/>
      <c r="K68" s="174"/>
    </row>
    <row r="69" spans="1:11" s="21" customFormat="1" ht="12">
      <c r="A69" s="120"/>
      <c r="B69" s="120"/>
      <c r="C69" s="120"/>
      <c r="D69" s="120"/>
      <c r="E69" s="120"/>
      <c r="F69" s="120"/>
      <c r="G69" s="120"/>
      <c r="H69" s="120"/>
      <c r="I69" s="120"/>
      <c r="J69" s="120"/>
      <c r="K69" s="174"/>
    </row>
    <row r="70" spans="1:11" s="21" customFormat="1" ht="12">
      <c r="A70" s="120"/>
      <c r="B70" s="120"/>
      <c r="C70" s="120"/>
      <c r="D70" s="120"/>
      <c r="E70" s="120"/>
      <c r="F70" s="120"/>
      <c r="G70" s="120"/>
      <c r="H70" s="120"/>
      <c r="I70" s="120"/>
      <c r="J70" s="120"/>
      <c r="K70" s="174"/>
    </row>
    <row r="71" spans="1:11" s="21" customFormat="1" ht="12">
      <c r="A71" s="120"/>
      <c r="B71" s="120"/>
      <c r="C71" s="120"/>
      <c r="D71" s="120"/>
      <c r="E71" s="120"/>
      <c r="F71" s="120"/>
      <c r="G71" s="120"/>
      <c r="H71" s="120"/>
      <c r="I71" s="120"/>
      <c r="J71" s="120"/>
      <c r="K71" s="174"/>
    </row>
    <row r="72" spans="1:11" s="21" customFormat="1" ht="12">
      <c r="A72" s="120"/>
      <c r="B72" s="120"/>
      <c r="C72" s="120"/>
      <c r="D72" s="120"/>
      <c r="E72" s="120"/>
      <c r="F72" s="120"/>
      <c r="G72" s="120"/>
      <c r="H72" s="120"/>
      <c r="I72" s="120"/>
      <c r="J72" s="120"/>
      <c r="K72" s="174"/>
    </row>
    <row r="73" spans="1:11" s="21" customFormat="1" ht="12">
      <c r="A73" s="120"/>
      <c r="B73" s="120"/>
      <c r="C73" s="120"/>
      <c r="D73" s="120"/>
      <c r="E73" s="120"/>
      <c r="F73" s="120"/>
      <c r="G73" s="120"/>
      <c r="H73" s="120"/>
      <c r="I73" s="120"/>
      <c r="J73" s="120"/>
      <c r="K73" s="174"/>
    </row>
    <row r="74" spans="1:11" s="21" customFormat="1" ht="12">
      <c r="A74" s="120"/>
      <c r="B74" s="120"/>
      <c r="C74" s="120"/>
      <c r="D74" s="120"/>
      <c r="E74" s="120"/>
      <c r="F74" s="120"/>
      <c r="G74" s="120"/>
      <c r="H74" s="120"/>
      <c r="I74" s="120"/>
      <c r="J74" s="120"/>
      <c r="K74" s="174"/>
    </row>
    <row r="75" spans="1:11" s="21" customFormat="1" ht="12">
      <c r="A75" s="120"/>
      <c r="B75" s="120"/>
      <c r="C75" s="120"/>
      <c r="D75" s="120"/>
      <c r="E75" s="120"/>
      <c r="F75" s="120"/>
      <c r="G75" s="120"/>
      <c r="H75" s="120"/>
      <c r="I75" s="120"/>
      <c r="J75" s="120"/>
      <c r="K75" s="174"/>
    </row>
    <row r="76" spans="1:11" s="21" customFormat="1" ht="12">
      <c r="A76" s="120"/>
      <c r="B76" s="120"/>
      <c r="C76" s="120"/>
      <c r="D76" s="120"/>
      <c r="E76" s="120"/>
      <c r="F76" s="120"/>
      <c r="G76" s="120"/>
      <c r="H76" s="120"/>
      <c r="I76" s="120"/>
      <c r="J76" s="120"/>
      <c r="K76" s="174"/>
    </row>
    <row r="77" spans="1:11" s="21" customFormat="1" ht="12">
      <c r="A77" s="120"/>
      <c r="B77" s="120"/>
      <c r="C77" s="120"/>
      <c r="D77" s="120"/>
      <c r="E77" s="120"/>
      <c r="F77" s="120"/>
      <c r="G77" s="120"/>
      <c r="H77" s="120"/>
      <c r="I77" s="120"/>
      <c r="J77" s="120"/>
      <c r="K77" s="174"/>
    </row>
    <row r="78" spans="1:11" s="21" customFormat="1" ht="12">
      <c r="A78" s="120"/>
      <c r="B78" s="120"/>
      <c r="C78" s="120"/>
      <c r="D78" s="120"/>
      <c r="E78" s="120"/>
      <c r="F78" s="120"/>
      <c r="G78" s="120"/>
      <c r="H78" s="120"/>
      <c r="I78" s="120"/>
      <c r="J78" s="120"/>
      <c r="K78" s="174"/>
    </row>
    <row r="79" spans="1:11" s="21" customFormat="1" ht="12">
      <c r="A79" s="120"/>
      <c r="B79" s="120"/>
      <c r="C79" s="120"/>
      <c r="D79" s="120"/>
      <c r="E79" s="120"/>
      <c r="F79" s="120"/>
      <c r="G79" s="120"/>
      <c r="H79" s="120"/>
      <c r="I79" s="120"/>
      <c r="J79" s="120"/>
      <c r="K79" s="174"/>
    </row>
    <row r="80" spans="1:11" s="21" customFormat="1" ht="12">
      <c r="A80" s="120"/>
      <c r="B80" s="120"/>
      <c r="C80" s="120"/>
      <c r="D80" s="120"/>
      <c r="E80" s="120"/>
      <c r="F80" s="120"/>
      <c r="G80" s="120"/>
      <c r="H80" s="120"/>
      <c r="I80" s="120"/>
      <c r="J80" s="120"/>
      <c r="K80" s="174"/>
    </row>
    <row r="81" spans="1:11" s="21" customFormat="1" ht="12">
      <c r="A81" s="120"/>
      <c r="B81" s="120"/>
      <c r="C81" s="120"/>
      <c r="D81" s="120"/>
      <c r="E81" s="120"/>
      <c r="F81" s="120"/>
      <c r="G81" s="120"/>
      <c r="H81" s="120"/>
      <c r="I81" s="120"/>
      <c r="J81" s="120"/>
      <c r="K81" s="174"/>
    </row>
    <row r="82" spans="1:11" s="21" customFormat="1" ht="12">
      <c r="A82" s="120"/>
      <c r="B82" s="120"/>
      <c r="C82" s="120"/>
      <c r="D82" s="120"/>
      <c r="E82" s="120"/>
      <c r="F82" s="120"/>
      <c r="G82" s="120"/>
      <c r="H82" s="120"/>
      <c r="I82" s="120"/>
      <c r="J82" s="120"/>
      <c r="K82" s="174"/>
    </row>
    <row r="83" spans="1:11" s="21" customFormat="1" ht="12">
      <c r="A83" s="120"/>
      <c r="B83" s="120"/>
      <c r="C83" s="120"/>
      <c r="D83" s="120"/>
      <c r="E83" s="120"/>
      <c r="F83" s="120"/>
      <c r="G83" s="120"/>
      <c r="H83" s="120"/>
      <c r="I83" s="120"/>
      <c r="J83" s="120"/>
      <c r="K83" s="174"/>
    </row>
    <row r="84" spans="1:11" s="21" customFormat="1" ht="12">
      <c r="A84" s="120"/>
      <c r="B84" s="120"/>
      <c r="C84" s="120"/>
      <c r="D84" s="120"/>
      <c r="E84" s="120"/>
      <c r="F84" s="120"/>
      <c r="G84" s="120"/>
      <c r="H84" s="120"/>
      <c r="I84" s="120"/>
      <c r="J84" s="120"/>
      <c r="K84" s="174"/>
    </row>
    <row r="85" spans="1:11" s="21" customFormat="1" ht="12">
      <c r="A85" s="120"/>
      <c r="B85" s="120"/>
      <c r="C85" s="120"/>
      <c r="D85" s="120"/>
      <c r="E85" s="120"/>
      <c r="F85" s="120"/>
      <c r="G85" s="120"/>
      <c r="H85" s="120"/>
      <c r="I85" s="120"/>
      <c r="J85" s="120"/>
      <c r="K85" s="174"/>
    </row>
    <row r="86" spans="1:11" s="21" customFormat="1" ht="12">
      <c r="A86" s="120"/>
      <c r="B86" s="120"/>
      <c r="C86" s="120"/>
      <c r="D86" s="120"/>
      <c r="E86" s="120"/>
      <c r="F86" s="120"/>
      <c r="G86" s="120"/>
      <c r="H86" s="120"/>
      <c r="I86" s="120"/>
      <c r="J86" s="120"/>
      <c r="K86" s="174"/>
    </row>
    <row r="87" spans="1:11" s="21" customFormat="1" ht="12">
      <c r="A87" s="120"/>
      <c r="B87" s="120"/>
      <c r="C87" s="120"/>
      <c r="D87" s="120"/>
      <c r="E87" s="120"/>
      <c r="F87" s="120"/>
      <c r="G87" s="120"/>
      <c r="H87" s="120"/>
      <c r="I87" s="120"/>
      <c r="J87" s="120"/>
      <c r="K87" s="174"/>
    </row>
    <row r="88" spans="1:11" s="21" customFormat="1" ht="12">
      <c r="A88" s="120"/>
      <c r="B88" s="120"/>
      <c r="C88" s="120"/>
      <c r="D88" s="120"/>
      <c r="E88" s="120"/>
      <c r="F88" s="120"/>
      <c r="G88" s="120"/>
      <c r="H88" s="120"/>
      <c r="I88" s="120"/>
      <c r="J88" s="120"/>
      <c r="K88" s="174"/>
    </row>
    <row r="89" spans="1:11" s="21" customFormat="1" ht="12">
      <c r="A89" s="120"/>
      <c r="B89" s="120"/>
      <c r="C89" s="120"/>
      <c r="D89" s="120"/>
      <c r="E89" s="120"/>
      <c r="F89" s="120"/>
      <c r="G89" s="120"/>
      <c r="H89" s="120"/>
      <c r="I89" s="120"/>
      <c r="J89" s="120"/>
      <c r="K89" s="174"/>
    </row>
    <row r="90" spans="1:11" s="21" customFormat="1" ht="12">
      <c r="A90" s="120"/>
      <c r="B90" s="120"/>
      <c r="C90" s="120"/>
      <c r="D90" s="120"/>
      <c r="E90" s="120"/>
      <c r="F90" s="120"/>
      <c r="G90" s="120"/>
      <c r="H90" s="120"/>
      <c r="I90" s="120"/>
      <c r="J90" s="120"/>
      <c r="K90" s="174"/>
    </row>
    <row r="91" spans="1:11" s="21" customFormat="1" ht="12">
      <c r="A91" s="120"/>
      <c r="B91" s="120"/>
      <c r="C91" s="120"/>
      <c r="D91" s="120"/>
      <c r="E91" s="120"/>
      <c r="F91" s="120"/>
      <c r="G91" s="120"/>
      <c r="H91" s="120"/>
      <c r="I91" s="120"/>
      <c r="J91" s="120"/>
      <c r="K91" s="174"/>
    </row>
    <row r="92" spans="1:11" s="21" customFormat="1" ht="12">
      <c r="A92" s="120"/>
      <c r="B92" s="120"/>
      <c r="C92" s="120"/>
      <c r="D92" s="120"/>
      <c r="E92" s="120"/>
      <c r="F92" s="120"/>
      <c r="G92" s="120"/>
      <c r="H92" s="120"/>
      <c r="I92" s="120"/>
      <c r="J92" s="120"/>
      <c r="K92" s="174"/>
    </row>
    <row r="93" spans="1:11" s="21" customFormat="1" ht="12">
      <c r="A93" s="120"/>
      <c r="B93" s="120"/>
      <c r="C93" s="120"/>
      <c r="D93" s="120"/>
      <c r="E93" s="120"/>
      <c r="F93" s="120"/>
      <c r="G93" s="120"/>
      <c r="H93" s="120"/>
      <c r="I93" s="120"/>
      <c r="J93" s="120"/>
      <c r="K93" s="174"/>
    </row>
    <row r="94" spans="1:11" s="21" customFormat="1" ht="12">
      <c r="A94" s="120"/>
      <c r="B94" s="120"/>
      <c r="C94" s="120"/>
      <c r="D94" s="120"/>
      <c r="E94" s="120"/>
      <c r="F94" s="120"/>
      <c r="G94" s="120"/>
      <c r="H94" s="120"/>
      <c r="I94" s="120"/>
      <c r="J94" s="120"/>
      <c r="K94" s="174"/>
    </row>
    <row r="95" spans="1:11" s="21" customFormat="1" ht="12">
      <c r="A95" s="120"/>
      <c r="B95" s="120"/>
      <c r="C95" s="120"/>
      <c r="D95" s="120"/>
      <c r="E95" s="120"/>
      <c r="F95" s="120"/>
      <c r="G95" s="120"/>
      <c r="H95" s="120"/>
      <c r="I95" s="120"/>
      <c r="J95" s="120"/>
      <c r="K95" s="174"/>
    </row>
    <row r="96" spans="1:11" s="21" customFormat="1" ht="12">
      <c r="A96" s="120"/>
      <c r="B96" s="120"/>
      <c r="C96" s="120"/>
      <c r="D96" s="120"/>
      <c r="E96" s="120"/>
      <c r="F96" s="120"/>
      <c r="G96" s="120"/>
      <c r="H96" s="120"/>
      <c r="I96" s="120"/>
      <c r="J96" s="120"/>
      <c r="K96" s="174"/>
    </row>
    <row r="97" spans="1:11" s="21" customFormat="1" ht="12">
      <c r="A97" s="120"/>
      <c r="B97" s="120"/>
      <c r="C97" s="120"/>
      <c r="D97" s="120"/>
      <c r="E97" s="120"/>
      <c r="F97" s="120"/>
      <c r="G97" s="120"/>
      <c r="H97" s="120"/>
      <c r="I97" s="120"/>
      <c r="J97" s="120"/>
      <c r="K97" s="174"/>
    </row>
    <row r="98" spans="1:11" s="21" customFormat="1" ht="12">
      <c r="A98" s="120"/>
      <c r="B98" s="120"/>
      <c r="C98" s="120"/>
      <c r="D98" s="120"/>
      <c r="E98" s="120"/>
      <c r="F98" s="120"/>
      <c r="G98" s="120"/>
      <c r="H98" s="120"/>
      <c r="I98" s="120"/>
      <c r="J98" s="120"/>
      <c r="K98" s="174"/>
    </row>
    <row r="99" spans="1:11" s="21" customFormat="1" ht="12">
      <c r="A99" s="120"/>
      <c r="B99" s="120"/>
      <c r="C99" s="120"/>
      <c r="D99" s="120"/>
      <c r="E99" s="120"/>
      <c r="F99" s="120"/>
      <c r="G99" s="120"/>
      <c r="H99" s="120"/>
      <c r="I99" s="120"/>
      <c r="J99" s="120"/>
      <c r="K99" s="174"/>
    </row>
    <row r="100" spans="1:11" s="21" customFormat="1" ht="12">
      <c r="A100" s="120"/>
      <c r="B100" s="120"/>
      <c r="C100" s="120"/>
      <c r="D100" s="120"/>
      <c r="E100" s="120"/>
      <c r="F100" s="120"/>
      <c r="G100" s="120"/>
      <c r="H100" s="120"/>
      <c r="I100" s="120"/>
      <c r="J100" s="120"/>
      <c r="K100" s="174"/>
    </row>
    <row r="101" spans="1:11" s="21" customFormat="1" ht="12">
      <c r="A101" s="120"/>
      <c r="B101" s="120"/>
      <c r="C101" s="120"/>
      <c r="D101" s="120"/>
      <c r="E101" s="120"/>
      <c r="F101" s="120"/>
      <c r="G101" s="120"/>
      <c r="H101" s="120"/>
      <c r="I101" s="120"/>
      <c r="J101" s="120"/>
      <c r="K101" s="174"/>
    </row>
    <row r="102" spans="1:11" s="21" customFormat="1" ht="12">
      <c r="A102" s="120"/>
      <c r="B102" s="120"/>
      <c r="C102" s="120"/>
      <c r="D102" s="120"/>
      <c r="E102" s="120"/>
      <c r="F102" s="120"/>
      <c r="G102" s="120"/>
      <c r="H102" s="120"/>
      <c r="I102" s="120"/>
      <c r="J102" s="120"/>
      <c r="K102" s="174"/>
    </row>
    <row r="103" spans="1:11" s="21" customFormat="1" ht="12">
      <c r="A103" s="120"/>
      <c r="B103" s="120"/>
      <c r="C103" s="120"/>
      <c r="D103" s="120"/>
      <c r="E103" s="120"/>
      <c r="F103" s="120"/>
      <c r="G103" s="120"/>
      <c r="H103" s="120"/>
      <c r="I103" s="120"/>
      <c r="J103" s="120"/>
      <c r="K103" s="174"/>
    </row>
    <row r="104" spans="1:11" s="21" customFormat="1" ht="12">
      <c r="A104" s="120"/>
      <c r="B104" s="120"/>
      <c r="C104" s="120"/>
      <c r="D104" s="120"/>
      <c r="E104" s="120"/>
      <c r="F104" s="120"/>
      <c r="G104" s="120"/>
      <c r="H104" s="120"/>
      <c r="I104" s="120"/>
      <c r="J104" s="120"/>
      <c r="K104" s="174"/>
    </row>
    <row r="105" spans="1:11" s="21" customFormat="1" ht="12">
      <c r="A105" s="120"/>
      <c r="B105" s="120"/>
      <c r="C105" s="120"/>
      <c r="D105" s="120"/>
      <c r="E105" s="120"/>
      <c r="F105" s="120"/>
      <c r="G105" s="120"/>
      <c r="H105" s="120"/>
      <c r="I105" s="120"/>
      <c r="J105" s="120"/>
      <c r="K105" s="174"/>
    </row>
    <row r="106" spans="1:11" s="21" customFormat="1" ht="12">
      <c r="A106" s="120"/>
      <c r="B106" s="120"/>
      <c r="C106" s="120"/>
      <c r="D106" s="120"/>
      <c r="E106" s="120"/>
      <c r="F106" s="120"/>
      <c r="G106" s="120"/>
      <c r="H106" s="120"/>
      <c r="I106" s="120"/>
      <c r="J106" s="120"/>
      <c r="K106" s="174"/>
    </row>
    <row r="107" spans="1:11" s="21" customFormat="1" ht="12">
      <c r="A107" s="120"/>
      <c r="B107" s="120"/>
      <c r="C107" s="120"/>
      <c r="D107" s="120"/>
      <c r="E107" s="120"/>
      <c r="F107" s="120"/>
      <c r="G107" s="120"/>
      <c r="H107" s="120"/>
      <c r="I107" s="120"/>
      <c r="J107" s="120"/>
      <c r="K107" s="174"/>
    </row>
    <row r="108" spans="1:11" s="21" customFormat="1" ht="12">
      <c r="A108" s="120"/>
      <c r="B108" s="120"/>
      <c r="C108" s="120"/>
      <c r="D108" s="120"/>
      <c r="E108" s="120"/>
      <c r="F108" s="120"/>
      <c r="G108" s="120"/>
      <c r="H108" s="120"/>
      <c r="I108" s="120"/>
      <c r="J108" s="120"/>
      <c r="K108" s="174"/>
    </row>
    <row r="109" spans="1:11" s="21" customFormat="1" ht="12">
      <c r="A109" s="120"/>
      <c r="B109" s="120"/>
      <c r="C109" s="120"/>
      <c r="D109" s="120"/>
      <c r="E109" s="120"/>
      <c r="F109" s="120"/>
      <c r="G109" s="120"/>
      <c r="H109" s="120"/>
      <c r="I109" s="120"/>
      <c r="J109" s="120"/>
      <c r="K109" s="174"/>
    </row>
    <row r="110" spans="1:11" s="21" customFormat="1" ht="12">
      <c r="A110" s="120"/>
      <c r="B110" s="120"/>
      <c r="C110" s="120"/>
      <c r="D110" s="120"/>
      <c r="E110" s="120"/>
      <c r="F110" s="120"/>
      <c r="G110" s="120"/>
      <c r="H110" s="120"/>
      <c r="I110" s="120"/>
      <c r="J110" s="120"/>
      <c r="K110" s="174"/>
    </row>
    <row r="111" spans="1:11" s="21" customFormat="1" ht="12">
      <c r="A111" s="120"/>
      <c r="B111" s="120"/>
      <c r="C111" s="120"/>
      <c r="D111" s="120"/>
      <c r="E111" s="120"/>
      <c r="F111" s="120"/>
      <c r="G111" s="120"/>
      <c r="H111" s="120"/>
      <c r="I111" s="120"/>
      <c r="J111" s="120"/>
      <c r="K111" s="174"/>
    </row>
    <row r="112" spans="1:11" s="21" customFormat="1" ht="12">
      <c r="A112" s="120"/>
      <c r="B112" s="120"/>
      <c r="C112" s="120"/>
      <c r="D112" s="120"/>
      <c r="E112" s="120"/>
      <c r="F112" s="120"/>
      <c r="G112" s="120"/>
      <c r="H112" s="120"/>
      <c r="I112" s="120"/>
      <c r="J112" s="120"/>
      <c r="K112" s="174"/>
    </row>
    <row r="113" spans="1:11" s="21" customFormat="1" ht="12">
      <c r="A113" s="120"/>
      <c r="B113" s="120"/>
      <c r="C113" s="120"/>
      <c r="D113" s="120"/>
      <c r="E113" s="120"/>
      <c r="F113" s="120"/>
      <c r="G113" s="120"/>
      <c r="H113" s="120"/>
      <c r="I113" s="120"/>
      <c r="J113" s="120"/>
      <c r="K113" s="174"/>
    </row>
    <row r="114" spans="1:11" s="21" customFormat="1" ht="12">
      <c r="A114" s="120"/>
      <c r="B114" s="120"/>
      <c r="C114" s="120"/>
      <c r="D114" s="120"/>
      <c r="E114" s="120"/>
      <c r="F114" s="120"/>
      <c r="G114" s="120"/>
      <c r="H114" s="120"/>
      <c r="I114" s="120"/>
      <c r="J114" s="120"/>
      <c r="K114" s="174"/>
    </row>
    <row r="115" spans="1:11" s="21" customFormat="1" ht="12">
      <c r="A115" s="120"/>
      <c r="B115" s="120"/>
      <c r="C115" s="120"/>
      <c r="D115" s="120"/>
      <c r="E115" s="120"/>
      <c r="F115" s="120"/>
      <c r="G115" s="120"/>
      <c r="H115" s="120"/>
      <c r="I115" s="120"/>
      <c r="J115" s="120"/>
      <c r="K115" s="174"/>
    </row>
    <row r="116" spans="1:11" s="21" customFormat="1" ht="12">
      <c r="A116" s="120"/>
      <c r="B116" s="120"/>
      <c r="C116" s="120"/>
      <c r="D116" s="120"/>
      <c r="E116" s="120"/>
      <c r="F116" s="120"/>
      <c r="G116" s="120"/>
      <c r="H116" s="120"/>
      <c r="I116" s="120"/>
      <c r="J116" s="120"/>
      <c r="K116" s="174"/>
    </row>
    <row r="117" spans="1:11" s="21" customFormat="1" ht="12">
      <c r="A117" s="120"/>
      <c r="B117" s="120"/>
      <c r="C117" s="120"/>
      <c r="D117" s="120"/>
      <c r="E117" s="120"/>
      <c r="F117" s="120"/>
      <c r="G117" s="120"/>
      <c r="H117" s="120"/>
      <c r="I117" s="120"/>
      <c r="J117" s="120"/>
      <c r="K117" s="174"/>
    </row>
    <row r="118" spans="1:11" s="21" customFormat="1" ht="12">
      <c r="A118" s="120"/>
      <c r="B118" s="120"/>
      <c r="C118" s="120"/>
      <c r="D118" s="120"/>
      <c r="E118" s="120"/>
      <c r="F118" s="120"/>
      <c r="G118" s="120"/>
      <c r="H118" s="120"/>
      <c r="I118" s="120"/>
      <c r="J118" s="120"/>
      <c r="K118" s="174"/>
    </row>
    <row r="119" spans="1:11" s="21" customFormat="1" ht="12">
      <c r="A119" s="120"/>
      <c r="B119" s="120"/>
      <c r="C119" s="120"/>
      <c r="D119" s="120"/>
      <c r="E119" s="120"/>
      <c r="F119" s="120"/>
      <c r="G119" s="120"/>
      <c r="H119" s="120"/>
      <c r="I119" s="120"/>
      <c r="J119" s="120"/>
      <c r="K119" s="174"/>
    </row>
    <row r="120" spans="1:11" s="21" customFormat="1" ht="12">
      <c r="A120" s="120"/>
      <c r="B120" s="120"/>
      <c r="C120" s="120"/>
      <c r="D120" s="120"/>
      <c r="E120" s="120"/>
      <c r="F120" s="120"/>
      <c r="G120" s="120"/>
      <c r="H120" s="120"/>
      <c r="I120" s="120"/>
      <c r="J120" s="120"/>
      <c r="K120" s="174"/>
    </row>
    <row r="121" spans="1:11" s="21" customFormat="1" ht="12">
      <c r="A121" s="120"/>
      <c r="B121" s="120"/>
      <c r="C121" s="120"/>
      <c r="D121" s="120"/>
      <c r="E121" s="120"/>
      <c r="F121" s="120"/>
      <c r="G121" s="120"/>
      <c r="H121" s="120"/>
      <c r="I121" s="120"/>
      <c r="J121" s="120"/>
      <c r="K121" s="174"/>
    </row>
    <row r="122" spans="1:11" s="21" customFormat="1" ht="12">
      <c r="A122" s="120"/>
      <c r="B122" s="120"/>
      <c r="C122" s="120"/>
      <c r="D122" s="120"/>
      <c r="E122" s="120"/>
      <c r="F122" s="120"/>
      <c r="G122" s="120"/>
      <c r="H122" s="120"/>
      <c r="I122" s="120"/>
      <c r="J122" s="120"/>
      <c r="K122" s="174"/>
    </row>
    <row r="123" spans="1:11" s="21" customFormat="1" ht="12">
      <c r="A123" s="120"/>
      <c r="B123" s="120"/>
      <c r="C123" s="120"/>
      <c r="D123" s="120"/>
      <c r="E123" s="120"/>
      <c r="F123" s="120"/>
      <c r="G123" s="120"/>
      <c r="H123" s="120"/>
      <c r="I123" s="120"/>
      <c r="J123" s="120"/>
      <c r="K123" s="174"/>
    </row>
    <row r="124" spans="1:11" s="21" customFormat="1" ht="12">
      <c r="A124" s="120"/>
      <c r="B124" s="120"/>
      <c r="C124" s="120"/>
      <c r="D124" s="120"/>
      <c r="E124" s="120"/>
      <c r="F124" s="120"/>
      <c r="G124" s="120"/>
      <c r="H124" s="120"/>
      <c r="I124" s="120"/>
      <c r="J124" s="120"/>
      <c r="K124" s="174"/>
    </row>
    <row r="125" spans="1:11" s="21" customFormat="1" ht="12">
      <c r="A125" s="120"/>
      <c r="B125" s="120"/>
      <c r="C125" s="120"/>
      <c r="D125" s="120"/>
      <c r="E125" s="120"/>
      <c r="F125" s="120"/>
      <c r="G125" s="120"/>
      <c r="H125" s="120"/>
      <c r="I125" s="120"/>
      <c r="J125" s="120"/>
      <c r="K125" s="174"/>
    </row>
    <row r="126" spans="1:11" s="21" customFormat="1" ht="12">
      <c r="A126" s="120"/>
      <c r="B126" s="120"/>
      <c r="C126" s="120"/>
      <c r="D126" s="120"/>
      <c r="E126" s="120"/>
      <c r="F126" s="120"/>
      <c r="G126" s="120"/>
      <c r="H126" s="120"/>
      <c r="I126" s="120"/>
      <c r="J126" s="120"/>
      <c r="K126" s="174"/>
    </row>
    <row r="127" spans="1:11" s="21" customFormat="1" ht="12">
      <c r="A127" s="120"/>
      <c r="B127" s="120"/>
      <c r="C127" s="120"/>
      <c r="D127" s="120"/>
      <c r="E127" s="120"/>
      <c r="F127" s="120"/>
      <c r="G127" s="120"/>
      <c r="H127" s="120"/>
      <c r="I127" s="120"/>
      <c r="J127" s="120"/>
      <c r="K127" s="174"/>
    </row>
    <row r="128" spans="1:11" s="21" customFormat="1" ht="12">
      <c r="A128" s="120"/>
      <c r="B128" s="120"/>
      <c r="C128" s="120"/>
      <c r="D128" s="120"/>
      <c r="E128" s="120"/>
      <c r="F128" s="120"/>
      <c r="G128" s="120"/>
      <c r="H128" s="120"/>
      <c r="I128" s="120"/>
      <c r="J128" s="120"/>
      <c r="K128" s="174"/>
    </row>
    <row r="129" spans="1:11" s="21" customFormat="1" ht="12">
      <c r="A129" s="120"/>
      <c r="B129" s="120"/>
      <c r="C129" s="120"/>
      <c r="D129" s="120"/>
      <c r="E129" s="120"/>
      <c r="F129" s="120"/>
      <c r="G129" s="120"/>
      <c r="H129" s="120"/>
      <c r="I129" s="120"/>
      <c r="J129" s="120"/>
      <c r="K129" s="174"/>
    </row>
    <row r="130" spans="1:11" s="21" customFormat="1" ht="12">
      <c r="A130" s="120"/>
      <c r="B130" s="120"/>
      <c r="C130" s="120"/>
      <c r="D130" s="120"/>
      <c r="E130" s="120"/>
      <c r="F130" s="120"/>
      <c r="G130" s="120"/>
      <c r="H130" s="120"/>
      <c r="I130" s="120"/>
      <c r="J130" s="120"/>
      <c r="K130" s="174"/>
    </row>
    <row r="131" spans="1:11" s="21" customFormat="1" ht="12">
      <c r="A131" s="120"/>
      <c r="B131" s="120"/>
      <c r="C131" s="120"/>
      <c r="D131" s="120"/>
      <c r="E131" s="120"/>
      <c r="F131" s="120"/>
      <c r="G131" s="120"/>
      <c r="H131" s="120"/>
      <c r="I131" s="120"/>
      <c r="J131" s="120"/>
      <c r="K131" s="174"/>
    </row>
    <row r="132" spans="1:11" s="21" customFormat="1" ht="12">
      <c r="A132" s="120"/>
      <c r="B132" s="120"/>
      <c r="C132" s="120"/>
      <c r="D132" s="120"/>
      <c r="E132" s="120"/>
      <c r="F132" s="120"/>
      <c r="G132" s="120"/>
      <c r="H132" s="120"/>
      <c r="I132" s="120"/>
      <c r="J132" s="120"/>
      <c r="K132" s="174"/>
    </row>
    <row r="133" spans="1:11" s="21" customFormat="1" ht="12">
      <c r="A133" s="120"/>
      <c r="B133" s="120"/>
      <c r="C133" s="120"/>
      <c r="D133" s="120"/>
      <c r="E133" s="120"/>
      <c r="F133" s="120"/>
      <c r="G133" s="120"/>
      <c r="H133" s="120"/>
      <c r="I133" s="120"/>
      <c r="J133" s="120"/>
      <c r="K133" s="174"/>
    </row>
    <row r="134" spans="1:11" s="21" customFormat="1" ht="12">
      <c r="A134" s="120"/>
      <c r="B134" s="120"/>
      <c r="C134" s="120"/>
      <c r="D134" s="120"/>
      <c r="E134" s="120"/>
      <c r="F134" s="120"/>
      <c r="G134" s="120"/>
      <c r="H134" s="120"/>
      <c r="I134" s="120"/>
      <c r="J134" s="120"/>
      <c r="K134" s="174"/>
    </row>
    <row r="135" spans="1:11" s="21" customFormat="1" ht="12">
      <c r="A135" s="120"/>
      <c r="B135" s="120"/>
      <c r="C135" s="120"/>
      <c r="D135" s="120"/>
      <c r="E135" s="120"/>
      <c r="F135" s="120"/>
      <c r="G135" s="120"/>
      <c r="H135" s="120"/>
      <c r="I135" s="120"/>
      <c r="J135" s="120"/>
      <c r="K135" s="174"/>
    </row>
    <row r="136" spans="1:11" s="21" customFormat="1" ht="12">
      <c r="A136" s="120"/>
      <c r="B136" s="120"/>
      <c r="C136" s="120"/>
      <c r="D136" s="120"/>
      <c r="E136" s="120"/>
      <c r="F136" s="120"/>
      <c r="G136" s="120"/>
      <c r="H136" s="120"/>
      <c r="I136" s="120"/>
      <c r="J136" s="120"/>
      <c r="K136" s="174"/>
    </row>
    <row r="137" spans="1:11" s="21" customFormat="1" ht="12">
      <c r="A137" s="120"/>
      <c r="B137" s="120"/>
      <c r="C137" s="120"/>
      <c r="D137" s="120"/>
      <c r="E137" s="120"/>
      <c r="F137" s="120"/>
      <c r="G137" s="120"/>
      <c r="H137" s="120"/>
      <c r="I137" s="120"/>
      <c r="J137" s="120"/>
      <c r="K137" s="174"/>
    </row>
    <row r="138" spans="1:11" s="21" customFormat="1" ht="12">
      <c r="A138" s="120"/>
      <c r="B138" s="120"/>
      <c r="C138" s="120"/>
      <c r="D138" s="120"/>
      <c r="E138" s="120"/>
      <c r="F138" s="120"/>
      <c r="G138" s="120"/>
      <c r="H138" s="120"/>
      <c r="I138" s="120"/>
      <c r="J138" s="120"/>
      <c r="K138" s="174"/>
    </row>
    <row r="139" spans="1:11" s="21" customFormat="1" ht="12">
      <c r="A139" s="120"/>
      <c r="B139" s="120"/>
      <c r="C139" s="120"/>
      <c r="D139" s="137"/>
      <c r="E139" s="120"/>
      <c r="F139" s="120"/>
      <c r="G139" s="120"/>
      <c r="H139" s="120"/>
      <c r="I139" s="120"/>
      <c r="J139" s="120"/>
      <c r="K139" s="174"/>
    </row>
    <row r="140" spans="1:11" s="21" customFormat="1" ht="12">
      <c r="A140" s="120"/>
      <c r="B140" s="120"/>
      <c r="C140" s="120"/>
      <c r="D140" s="120"/>
      <c r="E140" s="120"/>
      <c r="F140" s="120"/>
      <c r="G140" s="120"/>
      <c r="H140" s="120"/>
      <c r="I140" s="120"/>
      <c r="J140" s="120"/>
      <c r="K140" s="174"/>
    </row>
    <row r="141" spans="1:11" s="21" customFormat="1" ht="12">
      <c r="A141" s="120"/>
      <c r="B141" s="120"/>
      <c r="C141" s="120"/>
      <c r="D141" s="120"/>
      <c r="E141" s="120"/>
      <c r="F141" s="120"/>
      <c r="G141" s="120"/>
      <c r="H141" s="120"/>
      <c r="I141" s="120"/>
      <c r="J141" s="120"/>
      <c r="K141" s="174"/>
    </row>
    <row r="142" spans="1:11" s="21" customFormat="1" ht="12">
      <c r="A142" s="120"/>
      <c r="B142" s="120"/>
      <c r="C142" s="120"/>
      <c r="D142" s="137"/>
      <c r="E142" s="120"/>
      <c r="F142" s="120"/>
      <c r="G142" s="120"/>
      <c r="H142" s="120"/>
      <c r="I142" s="120"/>
      <c r="J142" s="120"/>
      <c r="K142" s="174"/>
    </row>
    <row r="143" spans="1:11" s="21" customFormat="1" ht="12">
      <c r="A143" s="120"/>
      <c r="B143" s="120"/>
      <c r="C143" s="120"/>
      <c r="D143" s="120"/>
      <c r="E143" s="120"/>
      <c r="F143" s="120"/>
      <c r="G143" s="120"/>
      <c r="H143" s="120"/>
      <c r="I143" s="120"/>
      <c r="J143" s="120"/>
      <c r="K143" s="174"/>
    </row>
    <row r="144" spans="1:11" s="21" customFormat="1" ht="12">
      <c r="A144" s="120"/>
      <c r="B144" s="120"/>
      <c r="C144" s="120"/>
      <c r="D144" s="120"/>
      <c r="E144" s="120"/>
      <c r="F144" s="120"/>
      <c r="G144" s="120"/>
      <c r="H144" s="120"/>
      <c r="I144" s="120"/>
      <c r="J144" s="120"/>
      <c r="K144" s="174"/>
    </row>
    <row r="145" spans="1:11" s="21" customFormat="1" ht="12">
      <c r="A145" s="120"/>
      <c r="B145" s="120"/>
      <c r="C145" s="120"/>
      <c r="D145" s="120"/>
      <c r="E145" s="120"/>
      <c r="F145" s="120"/>
      <c r="G145" s="120"/>
      <c r="H145" s="120"/>
      <c r="I145" s="120"/>
      <c r="J145" s="120"/>
      <c r="K145" s="174"/>
    </row>
    <row r="146" spans="1:11" s="21" customFormat="1" ht="12">
      <c r="A146" s="120"/>
      <c r="B146" s="120"/>
      <c r="C146" s="120"/>
      <c r="D146" s="120"/>
      <c r="E146" s="120"/>
      <c r="F146" s="120"/>
      <c r="G146" s="120"/>
      <c r="H146" s="120"/>
      <c r="I146" s="120"/>
      <c r="J146" s="120"/>
      <c r="K146" s="174"/>
    </row>
    <row r="147" spans="1:11" s="21" customFormat="1" ht="12">
      <c r="A147" s="120"/>
      <c r="B147" s="120"/>
      <c r="C147" s="120"/>
      <c r="D147" s="120"/>
      <c r="E147" s="120"/>
      <c r="F147" s="120"/>
      <c r="G147" s="120"/>
      <c r="H147" s="120"/>
      <c r="I147" s="120"/>
      <c r="J147" s="120"/>
      <c r="K147" s="174"/>
    </row>
    <row r="148" spans="1:11" s="21" customFormat="1" ht="12">
      <c r="A148" s="120"/>
      <c r="B148" s="120"/>
      <c r="C148" s="120"/>
      <c r="D148" s="120"/>
      <c r="E148" s="120"/>
      <c r="F148" s="120"/>
      <c r="G148" s="120"/>
      <c r="H148" s="120"/>
      <c r="I148" s="120"/>
      <c r="J148" s="120"/>
      <c r="K148" s="174"/>
    </row>
    <row r="149" spans="1:11" s="21" customFormat="1" ht="12">
      <c r="A149" s="120"/>
      <c r="B149" s="120"/>
      <c r="C149" s="120"/>
      <c r="D149" s="120"/>
      <c r="E149" s="120"/>
      <c r="F149" s="120"/>
      <c r="G149" s="120"/>
      <c r="H149" s="120"/>
      <c r="I149" s="120"/>
      <c r="J149" s="120"/>
      <c r="K149" s="174"/>
    </row>
    <row r="150" spans="1:11" s="21" customFormat="1" ht="12">
      <c r="A150" s="120"/>
      <c r="B150" s="120"/>
      <c r="C150" s="120"/>
      <c r="D150" s="120"/>
      <c r="E150" s="120"/>
      <c r="F150" s="120"/>
      <c r="G150" s="120"/>
      <c r="H150" s="120"/>
      <c r="I150" s="120"/>
      <c r="J150" s="120"/>
      <c r="K150" s="174"/>
    </row>
    <row r="151" spans="1:11" s="21" customFormat="1" ht="12">
      <c r="A151" s="120"/>
      <c r="B151" s="120"/>
      <c r="C151" s="120"/>
      <c r="D151" s="120"/>
      <c r="E151" s="120"/>
      <c r="F151" s="120"/>
      <c r="G151" s="120"/>
      <c r="H151" s="120"/>
      <c r="I151" s="120"/>
      <c r="J151" s="120"/>
      <c r="K151" s="174"/>
    </row>
    <row r="152" spans="1:11" s="21" customFormat="1" ht="12">
      <c r="A152" s="120"/>
      <c r="B152" s="120"/>
      <c r="C152" s="120"/>
      <c r="D152" s="120"/>
      <c r="E152" s="120"/>
      <c r="F152" s="120"/>
      <c r="G152" s="120"/>
      <c r="H152" s="120"/>
      <c r="I152" s="120"/>
      <c r="J152" s="120"/>
      <c r="K152" s="174"/>
    </row>
    <row r="153" spans="1:11" s="21" customFormat="1" ht="12">
      <c r="A153" s="120"/>
      <c r="B153" s="120"/>
      <c r="C153" s="120"/>
      <c r="D153" s="120"/>
      <c r="E153" s="120"/>
      <c r="F153" s="120"/>
      <c r="G153" s="120"/>
      <c r="H153" s="120"/>
      <c r="I153" s="120"/>
      <c r="J153" s="120"/>
      <c r="K153" s="174"/>
    </row>
    <row r="154" spans="1:11" s="21" customFormat="1" ht="12">
      <c r="A154" s="120"/>
      <c r="B154" s="120"/>
      <c r="C154" s="120"/>
      <c r="D154" s="120"/>
      <c r="E154" s="120"/>
      <c r="F154" s="120"/>
      <c r="G154" s="120"/>
      <c r="H154" s="120"/>
      <c r="I154" s="120"/>
      <c r="J154" s="120"/>
      <c r="K154" s="174"/>
    </row>
    <row r="155" spans="1:11" s="21" customFormat="1" ht="12">
      <c r="A155" s="120"/>
      <c r="B155" s="120"/>
      <c r="C155" s="120"/>
      <c r="D155" s="120"/>
      <c r="E155" s="120"/>
      <c r="F155" s="120"/>
      <c r="G155" s="120"/>
      <c r="H155" s="120"/>
      <c r="I155" s="120"/>
      <c r="J155" s="120"/>
      <c r="K155" s="174"/>
    </row>
    <row r="156" spans="1:11" s="21" customFormat="1" ht="12">
      <c r="A156" s="120"/>
      <c r="B156" s="120"/>
      <c r="C156" s="120"/>
      <c r="D156" s="120"/>
      <c r="E156" s="120"/>
      <c r="F156" s="120"/>
      <c r="G156" s="120"/>
      <c r="H156" s="120"/>
      <c r="I156" s="120"/>
      <c r="J156" s="120"/>
      <c r="K156" s="174"/>
    </row>
    <row r="157" spans="1:11" s="21" customFormat="1" ht="12">
      <c r="A157" s="120"/>
      <c r="B157" s="120"/>
      <c r="C157" s="120"/>
      <c r="D157" s="120"/>
      <c r="E157" s="120"/>
      <c r="F157" s="120"/>
      <c r="G157" s="120"/>
      <c r="H157" s="120"/>
      <c r="I157" s="120"/>
      <c r="J157" s="120"/>
      <c r="K157" s="174"/>
    </row>
    <row r="158" spans="1:11" s="21" customFormat="1" ht="12">
      <c r="A158" s="120"/>
      <c r="B158" s="120"/>
      <c r="C158" s="120"/>
      <c r="D158" s="120"/>
      <c r="E158" s="120"/>
      <c r="F158" s="120"/>
      <c r="G158" s="120"/>
      <c r="H158" s="120"/>
      <c r="I158" s="120"/>
      <c r="J158" s="120"/>
      <c r="K158" s="174"/>
    </row>
    <row r="159" spans="1:11" s="21" customFormat="1" ht="12">
      <c r="A159" s="120"/>
      <c r="B159" s="120"/>
      <c r="C159" s="120"/>
      <c r="D159" s="120"/>
      <c r="E159" s="120"/>
      <c r="F159" s="120"/>
      <c r="G159" s="120"/>
      <c r="H159" s="120"/>
      <c r="I159" s="120"/>
      <c r="J159" s="120"/>
      <c r="K159" s="174"/>
    </row>
    <row r="160" spans="1:11" s="21" customFormat="1" ht="12">
      <c r="A160" s="120"/>
      <c r="B160" s="120"/>
      <c r="C160" s="120"/>
      <c r="D160" s="120"/>
      <c r="E160" s="120"/>
      <c r="F160" s="120"/>
      <c r="G160" s="120"/>
      <c r="H160" s="120"/>
      <c r="I160" s="120"/>
      <c r="J160" s="120"/>
      <c r="K160" s="174"/>
    </row>
    <row r="161" spans="1:11" s="21" customFormat="1" ht="12">
      <c r="A161" s="120"/>
      <c r="B161" s="120"/>
      <c r="C161" s="120"/>
      <c r="D161" s="120"/>
      <c r="E161" s="120"/>
      <c r="F161" s="120"/>
      <c r="G161" s="120"/>
      <c r="H161" s="120"/>
      <c r="I161" s="120"/>
      <c r="J161" s="120"/>
      <c r="K161" s="174"/>
    </row>
    <row r="162" spans="1:11" s="21" customFormat="1" ht="12">
      <c r="A162" s="120"/>
      <c r="B162" s="120"/>
      <c r="C162" s="120"/>
      <c r="D162" s="120"/>
      <c r="E162" s="120"/>
      <c r="F162" s="120"/>
      <c r="G162" s="120"/>
      <c r="H162" s="120"/>
      <c r="I162" s="120"/>
      <c r="J162" s="120"/>
      <c r="K162" s="174"/>
    </row>
    <row r="163" spans="1:11" s="21" customFormat="1" ht="12">
      <c r="A163" s="120"/>
      <c r="B163" s="120"/>
      <c r="C163" s="120"/>
      <c r="D163" s="120"/>
      <c r="E163" s="120"/>
      <c r="F163" s="120"/>
      <c r="G163" s="120"/>
      <c r="H163" s="120"/>
      <c r="I163" s="120"/>
      <c r="J163" s="120"/>
      <c r="K163" s="174"/>
    </row>
    <row r="164" spans="1:11" s="21" customFormat="1" ht="12">
      <c r="A164" s="120"/>
      <c r="B164" s="120"/>
      <c r="C164" s="120"/>
      <c r="D164" s="120"/>
      <c r="E164" s="120"/>
      <c r="F164" s="120"/>
      <c r="G164" s="120"/>
      <c r="H164" s="120"/>
      <c r="I164" s="120"/>
      <c r="J164" s="120"/>
      <c r="K164" s="174"/>
    </row>
    <row r="165" spans="1:11" s="21" customFormat="1" ht="12">
      <c r="A165" s="120"/>
      <c r="B165" s="120"/>
      <c r="C165" s="120"/>
      <c r="D165" s="120"/>
      <c r="E165" s="120"/>
      <c r="F165" s="120"/>
      <c r="G165" s="120"/>
      <c r="H165" s="120"/>
      <c r="I165" s="120"/>
      <c r="J165" s="120"/>
      <c r="K165" s="174"/>
    </row>
    <row r="166" spans="1:11" s="21" customFormat="1" ht="12">
      <c r="A166" s="120"/>
      <c r="B166" s="120"/>
      <c r="C166" s="120"/>
      <c r="D166" s="120"/>
      <c r="E166" s="120"/>
      <c r="F166" s="120"/>
      <c r="G166" s="120"/>
      <c r="H166" s="120"/>
      <c r="I166" s="120"/>
      <c r="J166" s="120"/>
      <c r="K166" s="174"/>
    </row>
    <row r="167" spans="1:11" s="21" customFormat="1" ht="12">
      <c r="A167" s="120"/>
      <c r="B167" s="120"/>
      <c r="C167" s="120"/>
      <c r="D167" s="120"/>
      <c r="E167" s="120"/>
      <c r="F167" s="120"/>
      <c r="G167" s="120"/>
      <c r="H167" s="120"/>
      <c r="I167" s="120"/>
      <c r="J167" s="120"/>
      <c r="K167" s="174"/>
    </row>
    <row r="168" spans="1:11" s="21" customFormat="1" ht="12">
      <c r="A168" s="120"/>
      <c r="B168" s="120"/>
      <c r="C168" s="120"/>
      <c r="D168" s="120"/>
      <c r="E168" s="120"/>
      <c r="F168" s="120"/>
      <c r="G168" s="120"/>
      <c r="H168" s="120"/>
      <c r="I168" s="120"/>
      <c r="J168" s="120"/>
      <c r="K168" s="174"/>
    </row>
    <row r="169" spans="1:11" s="21" customFormat="1" ht="12">
      <c r="A169" s="120"/>
      <c r="B169" s="120"/>
      <c r="C169" s="120"/>
      <c r="D169" s="120"/>
      <c r="E169" s="120"/>
      <c r="F169" s="120"/>
      <c r="G169" s="120"/>
      <c r="H169" s="120"/>
      <c r="I169" s="120"/>
      <c r="J169" s="120"/>
      <c r="K169" s="174"/>
    </row>
    <row r="170" spans="1:11" s="21" customFormat="1" ht="12">
      <c r="A170" s="120"/>
      <c r="B170" s="120"/>
      <c r="C170" s="120"/>
      <c r="D170" s="120"/>
      <c r="E170" s="120"/>
      <c r="F170" s="120"/>
      <c r="G170" s="120"/>
      <c r="H170" s="120"/>
      <c r="I170" s="120"/>
      <c r="J170" s="120"/>
      <c r="K170" s="174"/>
    </row>
    <row r="171" spans="1:11" s="21" customFormat="1" ht="12">
      <c r="A171" s="120"/>
      <c r="B171" s="120"/>
      <c r="C171" s="120"/>
      <c r="D171" s="120"/>
      <c r="E171" s="120"/>
      <c r="F171" s="120"/>
      <c r="G171" s="120"/>
      <c r="H171" s="120"/>
      <c r="I171" s="120"/>
      <c r="J171" s="120"/>
      <c r="K171" s="174"/>
    </row>
    <row r="172" spans="1:11" s="21" customFormat="1" ht="12">
      <c r="A172" s="120"/>
      <c r="B172" s="120"/>
      <c r="C172" s="120"/>
      <c r="D172" s="120"/>
      <c r="E172" s="120"/>
      <c r="F172" s="120"/>
      <c r="G172" s="120"/>
      <c r="H172" s="120"/>
      <c r="I172" s="120"/>
      <c r="J172" s="120"/>
      <c r="K172" s="174"/>
    </row>
    <row r="173" spans="1:11" s="21" customFormat="1" ht="12">
      <c r="A173" s="120"/>
      <c r="B173" s="120"/>
      <c r="C173" s="120"/>
      <c r="D173" s="120"/>
      <c r="E173" s="120"/>
      <c r="F173" s="120"/>
      <c r="G173" s="120"/>
      <c r="H173" s="120"/>
      <c r="I173" s="120"/>
      <c r="J173" s="120"/>
      <c r="K173" s="174"/>
    </row>
    <row r="174" spans="1:11" s="21" customFormat="1" ht="12">
      <c r="A174" s="120"/>
      <c r="B174" s="120"/>
      <c r="C174" s="120"/>
      <c r="D174" s="120"/>
      <c r="E174" s="120"/>
      <c r="F174" s="120"/>
      <c r="G174" s="120"/>
      <c r="H174" s="120"/>
      <c r="I174" s="120"/>
      <c r="J174" s="120"/>
      <c r="K174" s="174"/>
    </row>
    <row r="175" spans="1:11" s="21" customFormat="1" ht="12">
      <c r="A175" s="120"/>
      <c r="B175" s="120"/>
      <c r="C175" s="120"/>
      <c r="D175" s="120"/>
      <c r="E175" s="120"/>
      <c r="F175" s="120"/>
      <c r="G175" s="120"/>
      <c r="H175" s="120"/>
      <c r="I175" s="120"/>
      <c r="J175" s="120"/>
      <c r="K175" s="174"/>
    </row>
    <row r="176" spans="1:11" s="21" customFormat="1" ht="12">
      <c r="A176" s="120"/>
      <c r="B176" s="120"/>
      <c r="C176" s="120"/>
      <c r="D176" s="120"/>
      <c r="E176" s="120"/>
      <c r="F176" s="120"/>
      <c r="G176" s="120"/>
      <c r="H176" s="120"/>
      <c r="I176" s="120"/>
      <c r="J176" s="120"/>
      <c r="K176" s="174"/>
    </row>
    <row r="177" spans="1:11" s="21" customFormat="1" ht="12">
      <c r="A177" s="120"/>
      <c r="B177" s="120"/>
      <c r="C177" s="120"/>
      <c r="D177" s="120"/>
      <c r="E177" s="120"/>
      <c r="F177" s="120"/>
      <c r="G177" s="120"/>
      <c r="H177" s="120"/>
      <c r="I177" s="120"/>
      <c r="J177" s="120"/>
      <c r="K177" s="174"/>
    </row>
    <row r="178" spans="1:11" s="21" customFormat="1" ht="12">
      <c r="A178" s="120"/>
      <c r="B178" s="120"/>
      <c r="C178" s="120"/>
      <c r="D178" s="120"/>
      <c r="E178" s="120"/>
      <c r="F178" s="120"/>
      <c r="G178" s="120"/>
      <c r="H178" s="120"/>
      <c r="I178" s="120"/>
      <c r="J178" s="120"/>
      <c r="K178" s="174"/>
    </row>
    <row r="179" spans="1:11" s="21" customFormat="1" ht="12">
      <c r="A179" s="120"/>
      <c r="B179" s="120"/>
      <c r="C179" s="120"/>
      <c r="D179" s="120"/>
      <c r="E179" s="120"/>
      <c r="F179" s="120"/>
      <c r="G179" s="120"/>
      <c r="H179" s="120"/>
      <c r="I179" s="120"/>
      <c r="J179" s="120"/>
      <c r="K179" s="174"/>
    </row>
    <row r="180" spans="1:11" s="21" customFormat="1" ht="12">
      <c r="A180" s="120"/>
      <c r="B180" s="120"/>
      <c r="C180" s="120"/>
      <c r="D180" s="120"/>
      <c r="E180" s="120"/>
      <c r="F180" s="120"/>
      <c r="G180" s="120"/>
      <c r="H180" s="120"/>
      <c r="I180" s="120"/>
      <c r="J180" s="120"/>
      <c r="K180" s="174"/>
    </row>
    <row r="181" spans="1:11" s="21" customFormat="1" ht="12">
      <c r="A181" s="120"/>
      <c r="B181" s="120"/>
      <c r="C181" s="120"/>
      <c r="D181" s="120"/>
      <c r="E181" s="120"/>
      <c r="F181" s="120"/>
      <c r="G181" s="120"/>
      <c r="H181" s="120"/>
      <c r="I181" s="120"/>
      <c r="J181" s="120"/>
      <c r="K181" s="174"/>
    </row>
    <row r="182" spans="1:11" s="21" customFormat="1" ht="12">
      <c r="A182" s="120"/>
      <c r="B182" s="120"/>
      <c r="C182" s="120"/>
      <c r="D182" s="120"/>
      <c r="E182" s="120"/>
      <c r="F182" s="120"/>
      <c r="G182" s="120"/>
      <c r="H182" s="120"/>
      <c r="I182" s="120"/>
      <c r="J182" s="120"/>
      <c r="K182" s="174"/>
    </row>
    <row r="183" spans="1:11" s="21" customFormat="1" ht="12">
      <c r="A183" s="120"/>
      <c r="B183" s="120"/>
      <c r="C183" s="120"/>
      <c r="D183" s="120"/>
      <c r="E183" s="120"/>
      <c r="F183" s="120"/>
      <c r="G183" s="120"/>
      <c r="H183" s="120"/>
      <c r="I183" s="120"/>
      <c r="J183" s="120"/>
      <c r="K183" s="174"/>
    </row>
    <row r="184" spans="1:11" s="21" customFormat="1" ht="12">
      <c r="A184" s="120"/>
      <c r="B184" s="120"/>
      <c r="C184" s="120"/>
      <c r="D184" s="120"/>
      <c r="E184" s="120"/>
      <c r="F184" s="120"/>
      <c r="G184" s="120"/>
      <c r="H184" s="120"/>
      <c r="I184" s="120"/>
      <c r="J184" s="120"/>
      <c r="K184" s="174"/>
    </row>
    <row r="185" spans="1:11" s="21" customFormat="1" ht="12">
      <c r="A185" s="120"/>
      <c r="B185" s="120"/>
      <c r="C185" s="120"/>
      <c r="D185" s="120"/>
      <c r="E185" s="120"/>
      <c r="F185" s="120"/>
      <c r="G185" s="120"/>
      <c r="H185" s="120"/>
      <c r="I185" s="120"/>
      <c r="J185" s="120"/>
      <c r="K185" s="174"/>
    </row>
    <row r="186" spans="1:11" s="21" customFormat="1" ht="12">
      <c r="A186" s="120"/>
      <c r="B186" s="120"/>
      <c r="C186" s="120"/>
      <c r="D186" s="120"/>
      <c r="E186" s="120"/>
      <c r="F186" s="120"/>
      <c r="G186" s="120"/>
      <c r="H186" s="120"/>
      <c r="I186" s="120"/>
      <c r="J186" s="120"/>
      <c r="K186" s="174"/>
    </row>
    <row r="187" spans="1:11" s="21" customFormat="1" ht="12">
      <c r="A187" s="120"/>
      <c r="B187" s="120"/>
      <c r="C187" s="120"/>
      <c r="D187" s="120"/>
      <c r="E187" s="120"/>
      <c r="F187" s="120"/>
      <c r="G187" s="120"/>
      <c r="H187" s="120"/>
      <c r="I187" s="120"/>
      <c r="J187" s="120"/>
      <c r="K187" s="174"/>
    </row>
    <row r="188" spans="1:11" s="21" customFormat="1" ht="12">
      <c r="A188" s="120"/>
      <c r="B188" s="120"/>
      <c r="C188" s="120"/>
      <c r="D188" s="120"/>
      <c r="E188" s="120"/>
      <c r="F188" s="120"/>
      <c r="G188" s="120"/>
      <c r="H188" s="120"/>
      <c r="I188" s="120"/>
      <c r="J188" s="120"/>
      <c r="K188" s="174"/>
    </row>
    <row r="189" spans="1:11" s="21" customFormat="1" ht="12">
      <c r="A189" s="120"/>
      <c r="B189" s="120"/>
      <c r="C189" s="120"/>
      <c r="D189" s="120"/>
      <c r="E189" s="120"/>
      <c r="F189" s="120"/>
      <c r="G189" s="120"/>
      <c r="H189" s="120"/>
      <c r="I189" s="120"/>
      <c r="J189" s="120"/>
      <c r="K189" s="174"/>
    </row>
    <row r="190" spans="1:11" s="21" customFormat="1" ht="12">
      <c r="A190" s="120"/>
      <c r="B190" s="120"/>
      <c r="C190" s="120"/>
      <c r="D190" s="120"/>
      <c r="E190" s="120"/>
      <c r="F190" s="120"/>
      <c r="G190" s="120"/>
      <c r="H190" s="120"/>
      <c r="I190" s="120"/>
      <c r="J190" s="120"/>
      <c r="K190" s="174"/>
    </row>
    <row r="191" spans="1:11" s="21" customFormat="1" ht="12">
      <c r="A191" s="120"/>
      <c r="B191" s="120"/>
      <c r="C191" s="120"/>
      <c r="D191" s="120"/>
      <c r="E191" s="120"/>
      <c r="F191" s="120"/>
      <c r="G191" s="120"/>
      <c r="H191" s="120"/>
      <c r="I191" s="120"/>
      <c r="J191" s="120"/>
      <c r="K191" s="174"/>
    </row>
    <row r="192" spans="1:11" s="21" customFormat="1" ht="12">
      <c r="A192" s="120"/>
      <c r="B192" s="120"/>
      <c r="C192" s="120"/>
      <c r="D192" s="120"/>
      <c r="E192" s="120"/>
      <c r="F192" s="120"/>
      <c r="G192" s="120"/>
      <c r="H192" s="120"/>
      <c r="I192" s="120"/>
      <c r="J192" s="120"/>
      <c r="K192" s="174"/>
    </row>
    <row r="193" spans="1:11" s="21" customFormat="1" ht="12">
      <c r="A193" s="120"/>
      <c r="B193" s="120"/>
      <c r="C193" s="120"/>
      <c r="D193" s="120"/>
      <c r="E193" s="120"/>
      <c r="F193" s="120"/>
      <c r="G193" s="120"/>
      <c r="H193" s="120"/>
      <c r="I193" s="120"/>
      <c r="J193" s="120"/>
      <c r="K193" s="174"/>
    </row>
    <row r="194" spans="1:11" s="21" customFormat="1" ht="12">
      <c r="A194" s="120"/>
      <c r="B194" s="120"/>
      <c r="C194" s="120"/>
      <c r="D194" s="120"/>
      <c r="E194" s="120"/>
      <c r="F194" s="120"/>
      <c r="G194" s="120"/>
      <c r="H194" s="120"/>
      <c r="I194" s="120"/>
      <c r="J194" s="120"/>
      <c r="K194" s="174"/>
    </row>
    <row r="195" spans="1:11" s="21" customFormat="1" ht="12">
      <c r="A195" s="120"/>
      <c r="B195" s="120"/>
      <c r="C195" s="120"/>
      <c r="D195" s="120"/>
      <c r="E195" s="120"/>
      <c r="F195" s="120"/>
      <c r="G195" s="120"/>
      <c r="H195" s="120"/>
      <c r="I195" s="120"/>
      <c r="J195" s="120"/>
      <c r="K195" s="174"/>
    </row>
    <row r="196" spans="1:11" s="21" customFormat="1" ht="12">
      <c r="A196" s="120"/>
      <c r="B196" s="120"/>
      <c r="C196" s="120"/>
      <c r="D196" s="120"/>
      <c r="E196" s="120"/>
      <c r="F196" s="120"/>
      <c r="G196" s="120"/>
      <c r="H196" s="120"/>
      <c r="I196" s="120"/>
      <c r="J196" s="120"/>
      <c r="K196" s="174"/>
    </row>
    <row r="197" spans="1:11" s="21" customFormat="1" ht="12">
      <c r="A197" s="120"/>
      <c r="B197" s="120"/>
      <c r="C197" s="120"/>
      <c r="D197" s="120"/>
      <c r="E197" s="120"/>
      <c r="F197" s="120"/>
      <c r="G197" s="120"/>
      <c r="H197" s="120"/>
      <c r="I197" s="120"/>
      <c r="J197" s="120"/>
      <c r="K197" s="174"/>
    </row>
    <row r="198" spans="1:11" s="21" customFormat="1" ht="12">
      <c r="A198" s="120"/>
      <c r="B198" s="120"/>
      <c r="C198" s="120"/>
      <c r="D198" s="120"/>
      <c r="E198" s="120"/>
      <c r="F198" s="120"/>
      <c r="G198" s="120"/>
      <c r="H198" s="120"/>
      <c r="I198" s="120"/>
      <c r="J198" s="120"/>
      <c r="K198" s="174"/>
    </row>
    <row r="199" spans="1:11" s="21" customFormat="1" ht="12">
      <c r="A199" s="120"/>
      <c r="B199" s="120"/>
      <c r="C199" s="120"/>
      <c r="D199" s="120"/>
      <c r="E199" s="120"/>
      <c r="F199" s="120"/>
      <c r="G199" s="120"/>
      <c r="H199" s="120"/>
      <c r="I199" s="120"/>
      <c r="J199" s="120"/>
      <c r="K199" s="174"/>
    </row>
    <row r="200" spans="1:11" s="21" customFormat="1" ht="12">
      <c r="A200" s="120"/>
      <c r="B200" s="120"/>
      <c r="C200" s="120"/>
      <c r="D200" s="120"/>
      <c r="E200" s="120"/>
      <c r="F200" s="120"/>
      <c r="G200" s="120"/>
      <c r="H200" s="120"/>
      <c r="I200" s="120"/>
      <c r="J200" s="120"/>
      <c r="K200" s="174"/>
    </row>
    <row r="201" spans="1:11" s="21" customFormat="1" ht="12">
      <c r="A201" s="120"/>
      <c r="B201" s="120"/>
      <c r="C201" s="120"/>
      <c r="D201" s="120"/>
      <c r="E201" s="120"/>
      <c r="F201" s="120"/>
      <c r="G201" s="120"/>
      <c r="H201" s="120"/>
      <c r="I201" s="120"/>
      <c r="J201" s="120"/>
      <c r="K201" s="174"/>
    </row>
    <row r="202" spans="1:11" s="21" customFormat="1" ht="12">
      <c r="A202" s="120"/>
      <c r="B202" s="120"/>
      <c r="C202" s="120"/>
      <c r="D202" s="120"/>
      <c r="E202" s="120"/>
      <c r="F202" s="120"/>
      <c r="G202" s="120"/>
      <c r="H202" s="120"/>
      <c r="I202" s="120"/>
      <c r="J202" s="120"/>
      <c r="K202" s="174"/>
    </row>
    <row r="203" spans="1:11" s="21" customFormat="1" ht="12">
      <c r="A203" s="120"/>
      <c r="B203" s="120"/>
      <c r="C203" s="120"/>
      <c r="D203" s="120"/>
      <c r="E203" s="120"/>
      <c r="F203" s="120"/>
      <c r="G203" s="120"/>
      <c r="H203" s="120"/>
      <c r="I203" s="120"/>
      <c r="J203" s="120"/>
      <c r="K203" s="174"/>
    </row>
    <row r="204" spans="1:11" s="21" customFormat="1" ht="12">
      <c r="A204" s="120"/>
      <c r="B204" s="120"/>
      <c r="C204" s="120"/>
      <c r="D204" s="120"/>
      <c r="E204" s="120"/>
      <c r="F204" s="120"/>
      <c r="G204" s="120"/>
      <c r="H204" s="120"/>
      <c r="I204" s="120"/>
      <c r="J204" s="120"/>
      <c r="K204" s="174"/>
    </row>
    <row r="205" spans="1:11" s="21" customFormat="1" ht="12">
      <c r="A205" s="120"/>
      <c r="B205" s="120"/>
      <c r="C205" s="120"/>
      <c r="D205" s="120"/>
      <c r="E205" s="120"/>
      <c r="F205" s="120"/>
      <c r="G205" s="120"/>
      <c r="H205" s="120"/>
      <c r="I205" s="120"/>
      <c r="J205" s="120"/>
      <c r="K205" s="174"/>
    </row>
    <row r="206" spans="1:11" s="21" customFormat="1" ht="12">
      <c r="A206" s="120"/>
      <c r="B206" s="120"/>
      <c r="C206" s="120"/>
      <c r="D206" s="120"/>
      <c r="E206" s="120"/>
      <c r="F206" s="120"/>
      <c r="G206" s="120"/>
      <c r="H206" s="120"/>
      <c r="I206" s="120"/>
      <c r="J206" s="120"/>
      <c r="K206" s="174"/>
    </row>
    <row r="207" spans="1:11" s="21" customFormat="1" ht="12">
      <c r="A207" s="120"/>
      <c r="B207" s="120"/>
      <c r="C207" s="120"/>
      <c r="D207" s="120"/>
      <c r="E207" s="120"/>
      <c r="F207" s="120"/>
      <c r="G207" s="120"/>
      <c r="H207" s="120"/>
      <c r="I207" s="120"/>
      <c r="J207" s="120"/>
      <c r="K207" s="174"/>
    </row>
    <row r="208" spans="1:11" s="21" customFormat="1" ht="12">
      <c r="A208" s="120"/>
      <c r="B208" s="120"/>
      <c r="C208" s="120"/>
      <c r="D208" s="120"/>
      <c r="E208" s="120"/>
      <c r="F208" s="120"/>
      <c r="G208" s="120"/>
      <c r="H208" s="120"/>
      <c r="I208" s="120"/>
      <c r="J208" s="120"/>
      <c r="K208" s="174"/>
    </row>
    <row r="209" spans="1:11" s="21" customFormat="1" ht="12">
      <c r="A209" s="120"/>
      <c r="B209" s="120"/>
      <c r="C209" s="120"/>
      <c r="D209" s="120"/>
      <c r="E209" s="120"/>
      <c r="F209" s="120"/>
      <c r="G209" s="120"/>
      <c r="H209" s="120"/>
      <c r="I209" s="120"/>
      <c r="J209" s="120"/>
      <c r="K209" s="174"/>
    </row>
    <row r="210" spans="1:11" s="21" customFormat="1" ht="12">
      <c r="A210" s="120"/>
      <c r="B210" s="120"/>
      <c r="C210" s="120"/>
      <c r="D210" s="120"/>
      <c r="E210" s="120"/>
      <c r="F210" s="120"/>
      <c r="G210" s="120"/>
      <c r="H210" s="120"/>
      <c r="I210" s="120"/>
      <c r="J210" s="120"/>
      <c r="K210" s="174"/>
    </row>
    <row r="211" spans="1:11" s="21" customFormat="1" ht="12">
      <c r="A211" s="120"/>
      <c r="B211" s="120"/>
      <c r="C211" s="120"/>
      <c r="D211" s="120"/>
      <c r="E211" s="120"/>
      <c r="F211" s="120"/>
      <c r="G211" s="120"/>
      <c r="H211" s="120"/>
      <c r="I211" s="120"/>
      <c r="J211" s="120"/>
      <c r="K211" s="174"/>
    </row>
    <row r="212" spans="1:11" s="21" customFormat="1" ht="12">
      <c r="A212" s="120"/>
      <c r="B212" s="120"/>
      <c r="C212" s="120"/>
      <c r="D212" s="120"/>
      <c r="E212" s="120"/>
      <c r="F212" s="120"/>
      <c r="G212" s="120"/>
      <c r="H212" s="120"/>
      <c r="I212" s="120"/>
      <c r="J212" s="120"/>
      <c r="K212" s="174"/>
    </row>
    <row r="213" spans="1:11" s="21" customFormat="1" ht="12">
      <c r="A213" s="120"/>
      <c r="B213" s="120"/>
      <c r="C213" s="120"/>
      <c r="D213" s="120"/>
      <c r="E213" s="120"/>
      <c r="F213" s="120"/>
      <c r="G213" s="120"/>
      <c r="H213" s="120"/>
      <c r="I213" s="120"/>
      <c r="J213" s="120"/>
      <c r="K213" s="174"/>
    </row>
    <row r="214" spans="1:11" s="21" customFormat="1" ht="12">
      <c r="A214" s="120"/>
      <c r="B214" s="120"/>
      <c r="C214" s="120"/>
      <c r="D214" s="120"/>
      <c r="E214" s="120"/>
      <c r="F214" s="120"/>
      <c r="G214" s="120"/>
      <c r="H214" s="120"/>
      <c r="I214" s="120"/>
      <c r="J214" s="120"/>
      <c r="K214" s="174"/>
    </row>
    <row r="215" spans="1:11" s="21" customFormat="1" ht="12">
      <c r="A215" s="120"/>
      <c r="B215" s="120"/>
      <c r="C215" s="120"/>
      <c r="D215" s="120"/>
      <c r="E215" s="120"/>
      <c r="F215" s="120"/>
      <c r="G215" s="120"/>
      <c r="H215" s="120"/>
      <c r="I215" s="120"/>
      <c r="J215" s="120"/>
      <c r="K215" s="174"/>
    </row>
    <row r="216" spans="1:11" s="21" customFormat="1" ht="12">
      <c r="A216" s="120"/>
      <c r="B216" s="120"/>
      <c r="C216" s="120"/>
      <c r="D216" s="120"/>
      <c r="E216" s="120"/>
      <c r="F216" s="120"/>
      <c r="G216" s="120"/>
      <c r="H216" s="120"/>
      <c r="I216" s="120"/>
      <c r="J216" s="120"/>
      <c r="K216" s="174"/>
    </row>
    <row r="217" spans="1:11" s="21" customFormat="1" ht="12">
      <c r="A217" s="120"/>
      <c r="B217" s="120"/>
      <c r="C217" s="120"/>
      <c r="D217" s="120"/>
      <c r="E217" s="120"/>
      <c r="F217" s="120"/>
      <c r="G217" s="120"/>
      <c r="H217" s="120"/>
      <c r="I217" s="120"/>
      <c r="J217" s="120"/>
      <c r="K217" s="174"/>
    </row>
    <row r="218" spans="1:11" s="21" customFormat="1" ht="12">
      <c r="A218" s="120"/>
      <c r="B218" s="120"/>
      <c r="C218" s="120"/>
      <c r="D218" s="120"/>
      <c r="E218" s="120"/>
      <c r="F218" s="120"/>
      <c r="G218" s="120"/>
      <c r="H218" s="120"/>
      <c r="I218" s="120"/>
      <c r="J218" s="120"/>
      <c r="K218" s="174"/>
    </row>
    <row r="219" spans="1:11" s="21" customFormat="1" ht="12">
      <c r="A219" s="120"/>
      <c r="B219" s="120"/>
      <c r="C219" s="120"/>
      <c r="D219" s="120"/>
      <c r="E219" s="120"/>
      <c r="F219" s="120"/>
      <c r="G219" s="120"/>
      <c r="H219" s="120"/>
      <c r="I219" s="120"/>
      <c r="J219" s="120"/>
      <c r="K219" s="174"/>
    </row>
    <row r="220" spans="1:11" s="21" customFormat="1" ht="12">
      <c r="A220" s="120"/>
      <c r="B220" s="120"/>
      <c r="C220" s="120"/>
      <c r="D220" s="120"/>
      <c r="E220" s="120"/>
      <c r="F220" s="120"/>
      <c r="G220" s="120"/>
      <c r="H220" s="120"/>
      <c r="I220" s="120"/>
      <c r="J220" s="120"/>
      <c r="K220" s="174"/>
    </row>
    <row r="221" spans="1:11" s="21" customFormat="1" ht="12">
      <c r="A221" s="120"/>
      <c r="B221" s="120"/>
      <c r="C221" s="120"/>
      <c r="D221" s="120"/>
      <c r="E221" s="120"/>
      <c r="F221" s="120"/>
      <c r="G221" s="120"/>
      <c r="H221" s="120"/>
      <c r="I221" s="120"/>
      <c r="J221" s="120"/>
      <c r="K221" s="174"/>
    </row>
    <row r="222" spans="1:11" s="21" customFormat="1" ht="12">
      <c r="A222" s="120"/>
      <c r="B222" s="120"/>
      <c r="C222" s="120"/>
      <c r="D222" s="120"/>
      <c r="E222" s="120"/>
      <c r="F222" s="120"/>
      <c r="G222" s="120"/>
      <c r="H222" s="120"/>
      <c r="I222" s="120"/>
      <c r="J222" s="120"/>
      <c r="K222" s="174"/>
    </row>
    <row r="223" spans="1:11" s="21" customFormat="1" ht="12">
      <c r="A223" s="120"/>
      <c r="B223" s="120"/>
      <c r="C223" s="120"/>
      <c r="D223" s="120"/>
      <c r="E223" s="120"/>
      <c r="F223" s="120"/>
      <c r="G223" s="120"/>
      <c r="H223" s="120"/>
      <c r="I223" s="120"/>
      <c r="J223" s="120"/>
      <c r="K223" s="174"/>
    </row>
    <row r="224" spans="1:11" s="21" customFormat="1" ht="12">
      <c r="A224" s="120"/>
      <c r="B224" s="120"/>
      <c r="C224" s="120"/>
      <c r="D224" s="120"/>
      <c r="E224" s="120"/>
      <c r="F224" s="120"/>
      <c r="G224" s="120"/>
      <c r="H224" s="120"/>
      <c r="I224" s="120"/>
      <c r="J224" s="120"/>
      <c r="K224" s="174"/>
    </row>
    <row r="225" spans="1:11" s="21" customFormat="1" ht="12">
      <c r="A225" s="120"/>
      <c r="B225" s="120"/>
      <c r="C225" s="120"/>
      <c r="D225" s="120"/>
      <c r="E225" s="120"/>
      <c r="F225" s="120"/>
      <c r="G225" s="120"/>
      <c r="H225" s="120"/>
      <c r="I225" s="120"/>
      <c r="J225" s="120"/>
      <c r="K225" s="174"/>
    </row>
    <row r="226" spans="1:11" s="21" customFormat="1" ht="12">
      <c r="A226" s="120"/>
      <c r="B226" s="120"/>
      <c r="C226" s="120"/>
      <c r="D226" s="120"/>
      <c r="E226" s="120"/>
      <c r="F226" s="120"/>
      <c r="G226" s="120"/>
      <c r="H226" s="120"/>
      <c r="I226" s="120"/>
      <c r="J226" s="120"/>
      <c r="K226" s="174"/>
    </row>
    <row r="227" spans="1:11" s="21" customFormat="1" ht="12">
      <c r="A227" s="120"/>
      <c r="B227" s="120"/>
      <c r="C227" s="120"/>
      <c r="D227" s="120"/>
      <c r="E227" s="120"/>
      <c r="F227" s="120"/>
      <c r="G227" s="120"/>
      <c r="H227" s="120"/>
      <c r="I227" s="120"/>
      <c r="J227" s="120"/>
      <c r="K227" s="174"/>
    </row>
    <row r="228" spans="1:11" s="21" customFormat="1" ht="12">
      <c r="A228" s="120"/>
      <c r="B228" s="120"/>
      <c r="C228" s="120"/>
      <c r="D228" s="120"/>
      <c r="E228" s="120"/>
      <c r="F228" s="120"/>
      <c r="G228" s="120"/>
      <c r="H228" s="120"/>
      <c r="I228" s="120"/>
      <c r="J228" s="120"/>
      <c r="K228" s="174"/>
    </row>
    <row r="229" spans="1:11" s="21" customFormat="1" ht="12">
      <c r="A229" s="120"/>
      <c r="B229" s="120"/>
      <c r="C229" s="120"/>
      <c r="D229" s="120"/>
      <c r="E229" s="120"/>
      <c r="F229" s="120"/>
      <c r="G229" s="120"/>
      <c r="H229" s="120"/>
      <c r="I229" s="120"/>
      <c r="J229" s="120"/>
      <c r="K229" s="174"/>
    </row>
    <row r="230" spans="1:11" s="21" customFormat="1" ht="12">
      <c r="A230" s="120"/>
      <c r="B230" s="120"/>
      <c r="C230" s="120"/>
      <c r="D230" s="120"/>
      <c r="E230" s="120"/>
      <c r="F230" s="120"/>
      <c r="G230" s="120"/>
      <c r="H230" s="120"/>
      <c r="I230" s="120"/>
      <c r="J230" s="120"/>
      <c r="K230" s="174"/>
    </row>
    <row r="231" spans="1:11" s="21" customFormat="1" ht="12">
      <c r="A231" s="120"/>
      <c r="B231" s="120"/>
      <c r="C231" s="120"/>
      <c r="D231" s="120"/>
      <c r="E231" s="120"/>
      <c r="F231" s="120"/>
      <c r="G231" s="120"/>
      <c r="H231" s="120"/>
      <c r="I231" s="120"/>
      <c r="J231" s="120"/>
      <c r="K231" s="174"/>
    </row>
    <row r="232" spans="1:11" s="21" customFormat="1" ht="12">
      <c r="A232" s="120"/>
      <c r="B232" s="120"/>
      <c r="C232" s="120"/>
      <c r="D232" s="120"/>
      <c r="E232" s="120"/>
      <c r="F232" s="120"/>
      <c r="G232" s="120"/>
      <c r="H232" s="120"/>
      <c r="I232" s="120"/>
      <c r="J232" s="120"/>
      <c r="K232" s="174"/>
    </row>
    <row r="233" spans="1:11" s="21" customFormat="1" ht="12">
      <c r="A233" s="120"/>
      <c r="B233" s="120"/>
      <c r="C233" s="120"/>
      <c r="D233" s="120"/>
      <c r="E233" s="120"/>
      <c r="F233" s="120"/>
      <c r="G233" s="120"/>
      <c r="H233" s="120"/>
      <c r="I233" s="120"/>
      <c r="J233" s="120"/>
      <c r="K233" s="174"/>
    </row>
    <row r="234" spans="1:11" s="21" customFormat="1" ht="12">
      <c r="A234" s="120"/>
      <c r="B234" s="120"/>
      <c r="C234" s="120"/>
      <c r="D234" s="120"/>
      <c r="E234" s="120"/>
      <c r="F234" s="120"/>
      <c r="G234" s="120"/>
      <c r="H234" s="120"/>
      <c r="I234" s="120"/>
      <c r="J234" s="120"/>
      <c r="K234" s="174"/>
    </row>
    <row r="235" spans="1:11" s="21" customFormat="1" ht="12">
      <c r="A235" s="120"/>
      <c r="B235" s="120"/>
      <c r="C235" s="120"/>
      <c r="D235" s="120"/>
      <c r="E235" s="120"/>
      <c r="F235" s="120"/>
      <c r="G235" s="120"/>
      <c r="H235" s="120"/>
      <c r="I235" s="120"/>
      <c r="J235" s="120"/>
      <c r="K235" s="174"/>
    </row>
    <row r="236" spans="1:11" s="21" customFormat="1" ht="12">
      <c r="A236" s="120"/>
      <c r="B236" s="120"/>
      <c r="C236" s="120"/>
      <c r="D236" s="120"/>
      <c r="E236" s="120"/>
      <c r="F236" s="120"/>
      <c r="G236" s="120"/>
      <c r="H236" s="120"/>
      <c r="I236" s="120"/>
      <c r="J236" s="120"/>
      <c r="K236" s="174"/>
    </row>
    <row r="237" spans="1:11" s="21" customFormat="1" ht="12">
      <c r="A237" s="120"/>
      <c r="B237" s="120"/>
      <c r="C237" s="120"/>
      <c r="D237" s="120"/>
      <c r="E237" s="120"/>
      <c r="F237" s="120"/>
      <c r="G237" s="120"/>
      <c r="H237" s="120"/>
      <c r="I237" s="120"/>
      <c r="J237" s="120"/>
      <c r="K237" s="174"/>
    </row>
    <row r="238" spans="1:11" s="21" customFormat="1" ht="12">
      <c r="A238" s="120"/>
      <c r="B238" s="120"/>
      <c r="C238" s="120"/>
      <c r="D238" s="120"/>
      <c r="E238" s="120"/>
      <c r="F238" s="120"/>
      <c r="G238" s="120"/>
      <c r="H238" s="120"/>
      <c r="I238" s="120"/>
      <c r="J238" s="120"/>
      <c r="K238" s="174"/>
    </row>
    <row r="239" spans="1:11" s="21" customFormat="1" ht="12">
      <c r="A239" s="120"/>
      <c r="B239" s="120"/>
      <c r="C239" s="120"/>
      <c r="D239" s="120"/>
      <c r="E239" s="120"/>
      <c r="F239" s="120"/>
      <c r="G239" s="120"/>
      <c r="H239" s="120"/>
      <c r="I239" s="120"/>
      <c r="J239" s="120"/>
      <c r="K239" s="174"/>
    </row>
    <row r="240" spans="1:11" s="21" customFormat="1" ht="12">
      <c r="A240" s="120"/>
      <c r="B240" s="120"/>
      <c r="C240" s="120"/>
      <c r="D240" s="120"/>
      <c r="E240" s="120"/>
      <c r="F240" s="120"/>
      <c r="G240" s="120"/>
      <c r="H240" s="120"/>
      <c r="I240" s="120"/>
      <c r="J240" s="120"/>
      <c r="K240" s="174"/>
    </row>
    <row r="241" spans="1:11" s="21" customFormat="1" ht="12">
      <c r="A241" s="120"/>
      <c r="B241" s="120"/>
      <c r="C241" s="120"/>
      <c r="D241" s="120"/>
      <c r="E241" s="120"/>
      <c r="F241" s="120"/>
      <c r="G241" s="120"/>
      <c r="H241" s="120"/>
      <c r="I241" s="120"/>
      <c r="J241" s="120"/>
      <c r="K241" s="174"/>
    </row>
    <row r="242" spans="1:11" s="21" customFormat="1" ht="12">
      <c r="A242" s="120"/>
      <c r="B242" s="120"/>
      <c r="C242" s="120"/>
      <c r="D242" s="120"/>
      <c r="E242" s="120"/>
      <c r="F242" s="120"/>
      <c r="G242" s="120"/>
      <c r="H242" s="120"/>
      <c r="I242" s="120"/>
      <c r="J242" s="120"/>
      <c r="K242" s="174"/>
    </row>
    <row r="243" spans="1:11" s="21" customFormat="1" ht="12">
      <c r="A243" s="120"/>
      <c r="B243" s="120"/>
      <c r="C243" s="120"/>
      <c r="D243" s="120"/>
      <c r="E243" s="120"/>
      <c r="F243" s="120"/>
      <c r="G243" s="120"/>
      <c r="H243" s="120"/>
      <c r="I243" s="120"/>
      <c r="J243" s="120"/>
      <c r="K243" s="174"/>
    </row>
    <row r="244" spans="1:11" s="21" customFormat="1" ht="12">
      <c r="A244" s="120"/>
      <c r="B244" s="120"/>
      <c r="C244" s="120"/>
      <c r="D244" s="120"/>
      <c r="E244" s="120"/>
      <c r="F244" s="120"/>
      <c r="G244" s="120"/>
      <c r="H244" s="120"/>
      <c r="I244" s="120"/>
      <c r="J244" s="120"/>
      <c r="K244" s="174"/>
    </row>
    <row r="245" spans="1:11" s="21" customFormat="1" ht="12">
      <c r="A245" s="120"/>
      <c r="B245" s="120"/>
      <c r="C245" s="120"/>
      <c r="D245" s="120"/>
      <c r="E245" s="120"/>
      <c r="F245" s="120"/>
      <c r="G245" s="120"/>
      <c r="H245" s="120"/>
      <c r="I245" s="120"/>
      <c r="J245" s="120"/>
      <c r="K245" s="174"/>
    </row>
    <row r="246" spans="1:11" s="21" customFormat="1" ht="12">
      <c r="A246" s="120"/>
      <c r="B246" s="120"/>
      <c r="C246" s="120"/>
      <c r="D246" s="120"/>
      <c r="E246" s="120"/>
      <c r="F246" s="120"/>
      <c r="G246" s="120"/>
      <c r="H246" s="120"/>
      <c r="I246" s="120"/>
      <c r="J246" s="120"/>
      <c r="K246" s="174"/>
    </row>
    <row r="247" spans="1:11" s="21" customFormat="1" ht="12">
      <c r="A247" s="120"/>
      <c r="B247" s="120"/>
      <c r="C247" s="120"/>
      <c r="D247" s="120"/>
      <c r="E247" s="120"/>
      <c r="F247" s="120"/>
      <c r="G247" s="120"/>
      <c r="H247" s="120"/>
      <c r="I247" s="120"/>
      <c r="J247" s="120"/>
      <c r="K247" s="174"/>
    </row>
    <row r="248" spans="1:11" s="21" customFormat="1" ht="12">
      <c r="A248" s="120"/>
      <c r="B248" s="120"/>
      <c r="C248" s="120"/>
      <c r="D248" s="120"/>
      <c r="E248" s="120"/>
      <c r="F248" s="120"/>
      <c r="G248" s="120"/>
      <c r="H248" s="120"/>
      <c r="I248" s="120"/>
      <c r="J248" s="120"/>
      <c r="K248" s="174"/>
    </row>
    <row r="249" spans="1:11" s="21" customFormat="1" ht="12">
      <c r="A249" s="120"/>
      <c r="B249" s="120"/>
      <c r="C249" s="120"/>
      <c r="D249" s="120"/>
      <c r="E249" s="120"/>
      <c r="F249" s="120"/>
      <c r="G249" s="120"/>
      <c r="H249" s="120"/>
      <c r="I249" s="120"/>
      <c r="J249" s="120"/>
      <c r="K249" s="174"/>
    </row>
    <row r="250" spans="1:11" s="21" customFormat="1" ht="12">
      <c r="A250" s="120"/>
      <c r="B250" s="120"/>
      <c r="C250" s="120"/>
      <c r="D250" s="120"/>
      <c r="E250" s="120"/>
      <c r="F250" s="120"/>
      <c r="G250" s="120"/>
      <c r="H250" s="120"/>
      <c r="I250" s="120"/>
      <c r="J250" s="120"/>
      <c r="K250" s="174"/>
    </row>
    <row r="251" spans="1:11" s="21" customFormat="1" ht="12">
      <c r="A251" s="120"/>
      <c r="B251" s="120"/>
      <c r="C251" s="120"/>
      <c r="D251" s="120"/>
      <c r="E251" s="120"/>
      <c r="F251" s="120"/>
      <c r="G251" s="120"/>
      <c r="H251" s="120"/>
      <c r="I251" s="120"/>
      <c r="J251" s="120"/>
      <c r="K251" s="174"/>
    </row>
    <row r="252" spans="1:11" s="21" customFormat="1" ht="12">
      <c r="A252" s="120"/>
      <c r="B252" s="120"/>
      <c r="C252" s="120"/>
      <c r="D252" s="120"/>
      <c r="E252" s="120"/>
      <c r="F252" s="120"/>
      <c r="G252" s="120"/>
      <c r="H252" s="120"/>
      <c r="I252" s="120"/>
      <c r="J252" s="120"/>
      <c r="K252" s="174"/>
    </row>
    <row r="253" spans="1:11" s="21" customFormat="1" ht="12">
      <c r="A253" s="120"/>
      <c r="B253" s="120"/>
      <c r="C253" s="120"/>
      <c r="D253" s="120"/>
      <c r="E253" s="120"/>
      <c r="F253" s="120"/>
      <c r="G253" s="120"/>
      <c r="H253" s="120"/>
      <c r="I253" s="120"/>
      <c r="J253" s="120"/>
      <c r="K253" s="174"/>
    </row>
    <row r="254" spans="1:11" s="21" customFormat="1" ht="12">
      <c r="A254" s="120"/>
      <c r="B254" s="120"/>
      <c r="C254" s="120"/>
      <c r="D254" s="120"/>
      <c r="E254" s="120"/>
      <c r="F254" s="120"/>
      <c r="G254" s="120"/>
      <c r="H254" s="120"/>
      <c r="I254" s="120"/>
      <c r="J254" s="120"/>
      <c r="K254" s="174"/>
    </row>
    <row r="255" spans="1:11" s="21" customFormat="1" ht="12">
      <c r="A255" s="120"/>
      <c r="B255" s="120"/>
      <c r="C255" s="120"/>
      <c r="D255" s="120"/>
      <c r="E255" s="120"/>
      <c r="F255" s="120"/>
      <c r="G255" s="120"/>
      <c r="H255" s="120"/>
      <c r="I255" s="120"/>
      <c r="J255" s="120"/>
      <c r="K255" s="174"/>
    </row>
    <row r="256" spans="1:11" s="21" customFormat="1" ht="12">
      <c r="A256" s="120"/>
      <c r="B256" s="120"/>
      <c r="C256" s="120"/>
      <c r="D256" s="120"/>
      <c r="E256" s="120"/>
      <c r="F256" s="120"/>
      <c r="G256" s="120"/>
      <c r="H256" s="120"/>
      <c r="I256" s="120"/>
      <c r="J256" s="120"/>
      <c r="K256" s="174"/>
    </row>
    <row r="257" spans="1:11" s="21" customFormat="1" ht="12">
      <c r="A257" s="120"/>
      <c r="B257" s="120"/>
      <c r="C257" s="120"/>
      <c r="D257" s="120"/>
      <c r="E257" s="120"/>
      <c r="F257" s="120"/>
      <c r="G257" s="120"/>
      <c r="H257" s="120"/>
      <c r="I257" s="120"/>
      <c r="J257" s="120"/>
      <c r="K257" s="174"/>
    </row>
    <row r="258" spans="1:11" s="21" customFormat="1" ht="12">
      <c r="A258" s="120"/>
      <c r="B258" s="120"/>
      <c r="C258" s="120"/>
      <c r="D258" s="120"/>
      <c r="E258" s="120"/>
      <c r="F258" s="120"/>
      <c r="G258" s="120"/>
      <c r="H258" s="120"/>
      <c r="I258" s="120"/>
      <c r="J258" s="120"/>
      <c r="K258" s="174"/>
    </row>
    <row r="259" spans="1:11" s="21" customFormat="1" ht="12">
      <c r="A259" s="120"/>
      <c r="B259" s="120"/>
      <c r="C259" s="120"/>
      <c r="D259" s="120"/>
      <c r="E259" s="120"/>
      <c r="F259" s="120"/>
      <c r="G259" s="120"/>
      <c r="H259" s="120"/>
      <c r="I259" s="120"/>
      <c r="J259" s="120"/>
      <c r="K259" s="174"/>
    </row>
    <row r="260" spans="1:11" s="21" customFormat="1" ht="12">
      <c r="A260" s="120"/>
      <c r="B260" s="120"/>
      <c r="C260" s="120"/>
      <c r="D260" s="120"/>
      <c r="E260" s="120"/>
      <c r="F260" s="120"/>
      <c r="G260" s="120"/>
      <c r="H260" s="120"/>
      <c r="I260" s="120"/>
      <c r="J260" s="120"/>
      <c r="K260" s="174"/>
    </row>
    <row r="261" spans="1:11" s="21" customFormat="1" ht="12">
      <c r="A261" s="120"/>
      <c r="B261" s="120"/>
      <c r="C261" s="120"/>
      <c r="D261" s="120"/>
      <c r="E261" s="120"/>
      <c r="F261" s="120"/>
      <c r="G261" s="120"/>
      <c r="H261" s="120"/>
      <c r="I261" s="120"/>
      <c r="J261" s="120"/>
      <c r="K261" s="174"/>
    </row>
    <row r="262" spans="1:11" s="21" customFormat="1" ht="12">
      <c r="A262" s="120"/>
      <c r="B262" s="120"/>
      <c r="C262" s="120"/>
      <c r="D262" s="120"/>
      <c r="E262" s="120"/>
      <c r="F262" s="120"/>
      <c r="G262" s="120"/>
      <c r="H262" s="120"/>
      <c r="I262" s="120"/>
      <c r="J262" s="120"/>
      <c r="K262" s="174"/>
    </row>
    <row r="263" spans="1:11" s="21" customFormat="1" ht="12">
      <c r="A263" s="120"/>
      <c r="B263" s="120"/>
      <c r="C263" s="120"/>
      <c r="D263" s="120"/>
      <c r="E263" s="120"/>
      <c r="F263" s="120"/>
      <c r="G263" s="120"/>
      <c r="H263" s="120"/>
      <c r="I263" s="120"/>
      <c r="J263" s="120"/>
      <c r="K263" s="174"/>
    </row>
    <row r="264" spans="1:11" s="21" customFormat="1" ht="12">
      <c r="A264" s="120"/>
      <c r="B264" s="120"/>
      <c r="C264" s="120"/>
      <c r="D264" s="120"/>
      <c r="E264" s="120"/>
      <c r="F264" s="120"/>
      <c r="G264" s="120"/>
      <c r="H264" s="120"/>
      <c r="I264" s="120"/>
      <c r="J264" s="120"/>
      <c r="K264" s="174"/>
    </row>
    <row r="265" spans="1:11" s="21" customFormat="1" ht="12">
      <c r="A265" s="138"/>
      <c r="B265" s="138"/>
      <c r="C265" s="120"/>
      <c r="D265" s="120"/>
      <c r="E265" s="120"/>
      <c r="F265" s="120"/>
      <c r="G265" s="120"/>
      <c r="H265" s="120"/>
      <c r="I265" s="120"/>
      <c r="J265" s="120"/>
      <c r="K265" s="174"/>
    </row>
    <row r="266" spans="1:11" s="21" customFormat="1" ht="12">
      <c r="A266" s="138"/>
      <c r="B266" s="138"/>
      <c r="C266" s="120"/>
      <c r="D266" s="120"/>
      <c r="E266" s="120"/>
      <c r="F266" s="120"/>
      <c r="G266" s="120"/>
      <c r="H266" s="120"/>
      <c r="I266" s="120"/>
      <c r="J266" s="120"/>
      <c r="K266" s="174"/>
    </row>
    <row r="267" spans="1:11" s="21" customFormat="1" ht="12">
      <c r="A267" s="138"/>
      <c r="B267" s="138"/>
      <c r="C267" s="120"/>
      <c r="D267" s="120"/>
      <c r="E267" s="120"/>
      <c r="F267" s="120"/>
      <c r="G267" s="120"/>
      <c r="H267" s="120"/>
      <c r="I267" s="120"/>
      <c r="J267" s="120"/>
      <c r="K267" s="174"/>
    </row>
    <row r="268" spans="1:11" s="21" customFormat="1" ht="12">
      <c r="A268" s="138"/>
      <c r="B268" s="138"/>
      <c r="C268" s="120"/>
      <c r="D268" s="120"/>
      <c r="E268" s="120"/>
      <c r="F268" s="120"/>
      <c r="G268" s="120"/>
      <c r="H268" s="120"/>
      <c r="I268" s="120"/>
      <c r="J268" s="120"/>
      <c r="K268" s="174"/>
    </row>
    <row r="269" spans="1:11" s="21" customFormat="1" ht="12">
      <c r="A269" s="138"/>
      <c r="B269" s="138"/>
      <c r="C269" s="120"/>
      <c r="D269" s="120"/>
      <c r="E269" s="120"/>
      <c r="F269" s="120"/>
      <c r="G269" s="120"/>
      <c r="H269" s="120"/>
      <c r="I269" s="120"/>
      <c r="J269" s="120"/>
      <c r="K269" s="174"/>
    </row>
    <row r="270" spans="1:11" s="21" customFormat="1" ht="12">
      <c r="A270" s="120"/>
      <c r="B270" s="120"/>
      <c r="C270" s="120"/>
      <c r="D270" s="120"/>
      <c r="E270" s="120"/>
      <c r="F270" s="120"/>
      <c r="G270" s="120"/>
      <c r="H270" s="120"/>
      <c r="I270" s="120"/>
      <c r="J270" s="120"/>
      <c r="K270" s="174"/>
    </row>
    <row r="271" spans="1:11" s="21" customFormat="1" ht="12">
      <c r="A271" s="120"/>
      <c r="B271" s="120"/>
      <c r="C271" s="120"/>
      <c r="D271" s="120"/>
      <c r="E271" s="120"/>
      <c r="F271" s="120"/>
      <c r="G271" s="120"/>
      <c r="H271" s="120"/>
      <c r="I271" s="120"/>
      <c r="J271" s="120"/>
      <c r="K271" s="174"/>
    </row>
    <row r="272" spans="1:11" s="21" customFormat="1" ht="12">
      <c r="A272" s="120"/>
      <c r="B272" s="120"/>
      <c r="C272" s="120"/>
      <c r="D272" s="120"/>
      <c r="E272" s="120"/>
      <c r="F272" s="120"/>
      <c r="G272" s="120"/>
      <c r="H272" s="120"/>
      <c r="I272" s="120"/>
      <c r="J272" s="120"/>
      <c r="K272" s="174"/>
    </row>
    <row r="273" spans="1:11" s="21" customFormat="1" ht="12">
      <c r="A273" s="120"/>
      <c r="B273" s="120"/>
      <c r="C273" s="120"/>
      <c r="D273" s="120"/>
      <c r="E273" s="120"/>
      <c r="F273" s="120"/>
      <c r="G273" s="120"/>
      <c r="H273" s="120"/>
      <c r="I273" s="120"/>
      <c r="J273" s="120"/>
      <c r="K273" s="174"/>
    </row>
    <row r="274" spans="1:11" s="21" customFormat="1" ht="12">
      <c r="A274" s="120"/>
      <c r="B274" s="120"/>
      <c r="C274" s="120"/>
      <c r="D274" s="120"/>
      <c r="E274" s="120"/>
      <c r="F274" s="120"/>
      <c r="G274" s="120"/>
      <c r="H274" s="120"/>
      <c r="I274" s="120"/>
      <c r="J274" s="120"/>
      <c r="K274" s="174"/>
    </row>
    <row r="275" spans="1:11" s="21" customFormat="1" ht="12">
      <c r="A275" s="120"/>
      <c r="B275" s="120"/>
      <c r="C275" s="120"/>
      <c r="D275" s="120"/>
      <c r="E275" s="120"/>
      <c r="F275" s="120"/>
      <c r="G275" s="120"/>
      <c r="H275" s="120"/>
      <c r="I275" s="120"/>
      <c r="J275" s="120"/>
      <c r="K275" s="174"/>
    </row>
    <row r="276" spans="1:11" s="21" customFormat="1" ht="12">
      <c r="A276" s="120"/>
      <c r="B276" s="120"/>
      <c r="C276" s="120"/>
      <c r="D276" s="120"/>
      <c r="E276" s="120"/>
      <c r="F276" s="120"/>
      <c r="G276" s="120"/>
      <c r="H276" s="120"/>
      <c r="I276" s="120"/>
      <c r="J276" s="120"/>
      <c r="K276" s="174"/>
    </row>
    <row r="277" spans="1:11" s="21" customFormat="1" ht="12">
      <c r="A277" s="120"/>
      <c r="B277" s="120"/>
      <c r="C277" s="120"/>
      <c r="D277" s="120"/>
      <c r="E277" s="120"/>
      <c r="F277" s="120"/>
      <c r="G277" s="120"/>
      <c r="H277" s="120"/>
      <c r="I277" s="120"/>
      <c r="J277" s="120"/>
      <c r="K277" s="174"/>
    </row>
    <row r="278" spans="1:11" s="21" customFormat="1" ht="12">
      <c r="A278" s="120"/>
      <c r="B278" s="120"/>
      <c r="C278" s="120"/>
      <c r="D278" s="120"/>
      <c r="E278" s="120"/>
      <c r="F278" s="120"/>
      <c r="G278" s="120"/>
      <c r="H278" s="120"/>
      <c r="I278" s="120"/>
      <c r="J278" s="120"/>
      <c r="K278" s="174"/>
    </row>
    <row r="279" spans="1:11" s="21" customFormat="1" ht="12">
      <c r="A279" s="120"/>
      <c r="B279" s="120"/>
      <c r="C279" s="120"/>
      <c r="D279" s="120"/>
      <c r="E279" s="120"/>
      <c r="F279" s="120"/>
      <c r="G279" s="120"/>
      <c r="H279" s="120"/>
      <c r="I279" s="120"/>
      <c r="J279" s="120"/>
      <c r="K279" s="174"/>
    </row>
    <row r="280" spans="1:11" s="21" customFormat="1" ht="12">
      <c r="A280" s="120"/>
      <c r="B280" s="120"/>
      <c r="C280" s="120"/>
      <c r="D280" s="120"/>
      <c r="E280" s="120"/>
      <c r="F280" s="120"/>
      <c r="G280" s="120"/>
      <c r="H280" s="120"/>
      <c r="I280" s="120"/>
      <c r="J280" s="120"/>
      <c r="K280" s="174"/>
    </row>
    <row r="281" spans="1:11" s="21" customFormat="1" ht="12">
      <c r="A281" s="120"/>
      <c r="B281" s="120"/>
      <c r="C281" s="120"/>
      <c r="D281" s="120"/>
      <c r="E281" s="120"/>
      <c r="F281" s="120"/>
      <c r="G281" s="120"/>
      <c r="H281" s="120"/>
      <c r="I281" s="120"/>
      <c r="J281" s="120"/>
      <c r="K281" s="174"/>
    </row>
    <row r="282" spans="1:11" s="21" customFormat="1" ht="12">
      <c r="A282" s="120"/>
      <c r="B282" s="120"/>
      <c r="C282" s="120"/>
      <c r="D282" s="120"/>
      <c r="E282" s="120"/>
      <c r="F282" s="120"/>
      <c r="G282" s="120"/>
      <c r="H282" s="120"/>
      <c r="I282" s="120"/>
      <c r="J282" s="120"/>
      <c r="K282" s="174"/>
    </row>
    <row r="283" spans="1:11" s="21" customFormat="1" ht="12">
      <c r="A283" s="120"/>
      <c r="B283" s="120"/>
      <c r="C283" s="120"/>
      <c r="D283" s="120"/>
      <c r="E283" s="120"/>
      <c r="F283" s="120"/>
      <c r="G283" s="120"/>
      <c r="H283" s="120"/>
      <c r="I283" s="120"/>
      <c r="J283" s="120"/>
      <c r="K283" s="174"/>
    </row>
    <row r="284" spans="1:11" s="21" customFormat="1" ht="12">
      <c r="A284" s="120"/>
      <c r="B284" s="120"/>
      <c r="C284" s="120"/>
      <c r="D284" s="120"/>
      <c r="E284" s="120"/>
      <c r="F284" s="120"/>
      <c r="G284" s="120"/>
      <c r="H284" s="120"/>
      <c r="I284" s="120"/>
      <c r="J284" s="120"/>
      <c r="K284" s="174"/>
    </row>
    <row r="285" spans="1:11" s="21" customFormat="1" ht="12">
      <c r="A285" s="120"/>
      <c r="B285" s="120"/>
      <c r="C285" s="120"/>
      <c r="D285" s="120"/>
      <c r="E285" s="120"/>
      <c r="F285" s="120"/>
      <c r="G285" s="120"/>
      <c r="H285" s="120"/>
      <c r="I285" s="120"/>
      <c r="J285" s="120"/>
      <c r="K285" s="174"/>
    </row>
    <row r="286" spans="1:11" s="21" customFormat="1" ht="12">
      <c r="A286" s="120"/>
      <c r="B286" s="120"/>
      <c r="C286" s="120"/>
      <c r="D286" s="120"/>
      <c r="E286" s="120"/>
      <c r="F286" s="120"/>
      <c r="G286" s="120"/>
      <c r="H286" s="120"/>
      <c r="I286" s="120"/>
      <c r="J286" s="120"/>
      <c r="K286" s="174"/>
    </row>
    <row r="287" spans="1:11" s="21" customFormat="1" ht="12">
      <c r="A287" s="120"/>
      <c r="B287" s="120"/>
      <c r="C287" s="120"/>
      <c r="D287" s="120"/>
      <c r="E287" s="120"/>
      <c r="F287" s="120"/>
      <c r="G287" s="120"/>
      <c r="H287" s="120"/>
      <c r="I287" s="120"/>
      <c r="J287" s="120"/>
      <c r="K287" s="174"/>
    </row>
    <row r="288" spans="1:11" s="21" customFormat="1" ht="12">
      <c r="A288" s="120"/>
      <c r="B288" s="120"/>
      <c r="C288" s="120"/>
      <c r="D288" s="120"/>
      <c r="E288" s="120"/>
      <c r="F288" s="120"/>
      <c r="G288" s="120"/>
      <c r="H288" s="120"/>
      <c r="I288" s="120"/>
      <c r="J288" s="120"/>
      <c r="K288" s="174"/>
    </row>
    <row r="289" spans="1:11" s="21" customFormat="1" ht="12">
      <c r="A289" s="120"/>
      <c r="B289" s="120"/>
      <c r="C289" s="120"/>
      <c r="D289" s="120"/>
      <c r="E289" s="120"/>
      <c r="F289" s="120"/>
      <c r="G289" s="120"/>
      <c r="H289" s="120"/>
      <c r="I289" s="120"/>
      <c r="J289" s="120"/>
      <c r="K289" s="174"/>
    </row>
    <row r="290" spans="1:11" s="21" customFormat="1" ht="12">
      <c r="A290" s="120"/>
      <c r="B290" s="120"/>
      <c r="C290" s="120"/>
      <c r="D290" s="120"/>
      <c r="E290" s="120"/>
      <c r="F290" s="120"/>
      <c r="G290" s="120"/>
      <c r="H290" s="120"/>
      <c r="I290" s="120"/>
      <c r="J290" s="120"/>
      <c r="K290" s="174"/>
    </row>
    <row r="291" spans="1:11" s="21" customFormat="1" ht="12">
      <c r="A291" s="120"/>
      <c r="B291" s="120"/>
      <c r="C291" s="120"/>
      <c r="D291" s="120"/>
      <c r="E291" s="120"/>
      <c r="F291" s="120"/>
      <c r="G291" s="120"/>
      <c r="H291" s="120"/>
      <c r="I291" s="120"/>
      <c r="J291" s="120"/>
      <c r="K291" s="174"/>
    </row>
    <row r="292" spans="1:11" s="21" customFormat="1" ht="12">
      <c r="A292" s="120"/>
      <c r="B292" s="120"/>
      <c r="C292" s="120"/>
      <c r="D292" s="120"/>
      <c r="E292" s="120"/>
      <c r="F292" s="120"/>
      <c r="G292" s="120"/>
      <c r="H292" s="120"/>
      <c r="I292" s="120"/>
      <c r="J292" s="120"/>
      <c r="K292" s="174"/>
    </row>
    <row r="293" spans="1:11" s="21" customFormat="1" ht="12">
      <c r="A293" s="120"/>
      <c r="B293" s="120"/>
      <c r="C293" s="120"/>
      <c r="D293" s="120"/>
      <c r="E293" s="120"/>
      <c r="F293" s="120"/>
      <c r="G293" s="120"/>
      <c r="H293" s="120"/>
      <c r="I293" s="120"/>
      <c r="J293" s="120"/>
      <c r="K293" s="174"/>
    </row>
    <row r="294" spans="1:11" s="21" customFormat="1" ht="12">
      <c r="A294" s="120"/>
      <c r="B294" s="120"/>
      <c r="C294" s="120"/>
      <c r="D294" s="120"/>
      <c r="E294" s="120"/>
      <c r="F294" s="120"/>
      <c r="G294" s="120"/>
      <c r="H294" s="120"/>
      <c r="I294" s="120"/>
      <c r="J294" s="120"/>
      <c r="K294" s="174"/>
    </row>
    <row r="295" spans="1:11" s="21" customFormat="1" ht="12">
      <c r="A295" s="120"/>
      <c r="B295" s="120"/>
      <c r="C295" s="120"/>
      <c r="D295" s="120"/>
      <c r="E295" s="120"/>
      <c r="F295" s="120"/>
      <c r="G295" s="120"/>
      <c r="H295" s="120"/>
      <c r="I295" s="120"/>
      <c r="J295" s="120"/>
      <c r="K295" s="174"/>
    </row>
    <row r="296" spans="1:11" s="21" customFormat="1" ht="12">
      <c r="A296" s="120"/>
      <c r="B296" s="120"/>
      <c r="C296" s="120"/>
      <c r="D296" s="120"/>
      <c r="E296" s="120"/>
      <c r="F296" s="120"/>
      <c r="G296" s="120"/>
      <c r="H296" s="120"/>
      <c r="I296" s="120"/>
      <c r="J296" s="120"/>
      <c r="K296" s="174"/>
    </row>
    <row r="297" spans="1:11" s="21" customFormat="1" ht="12">
      <c r="A297" s="120"/>
      <c r="B297" s="120"/>
      <c r="C297" s="120"/>
      <c r="D297" s="120"/>
      <c r="E297" s="120"/>
      <c r="F297" s="120"/>
      <c r="G297" s="120"/>
      <c r="H297" s="120"/>
      <c r="I297" s="120"/>
      <c r="J297" s="120"/>
      <c r="K297" s="174"/>
    </row>
    <row r="298" spans="1:11" s="21" customFormat="1" ht="12">
      <c r="A298" s="120"/>
      <c r="B298" s="120"/>
      <c r="C298" s="120"/>
      <c r="D298" s="120"/>
      <c r="E298" s="120"/>
      <c r="F298" s="120"/>
      <c r="G298" s="120"/>
      <c r="H298" s="120"/>
      <c r="I298" s="120"/>
      <c r="J298" s="120"/>
      <c r="K298" s="174"/>
    </row>
    <row r="299" spans="1:11" s="21" customFormat="1" ht="12">
      <c r="A299" s="138"/>
      <c r="B299" s="138"/>
      <c r="C299" s="120"/>
      <c r="D299" s="120"/>
      <c r="E299" s="120"/>
      <c r="F299" s="120"/>
      <c r="G299" s="120"/>
      <c r="H299" s="120"/>
      <c r="I299" s="120"/>
      <c r="J299" s="120"/>
      <c r="K299" s="174"/>
    </row>
    <row r="300" spans="1:11" s="21" customFormat="1" ht="12">
      <c r="A300" s="120"/>
      <c r="B300" s="120"/>
      <c r="C300" s="120"/>
      <c r="D300" s="120"/>
      <c r="E300" s="120"/>
      <c r="F300" s="120"/>
      <c r="G300" s="120"/>
      <c r="H300" s="120"/>
      <c r="I300" s="120"/>
      <c r="J300" s="120"/>
      <c r="K300" s="174"/>
    </row>
    <row r="301" spans="1:11" s="21" customFormat="1" ht="12">
      <c r="A301" s="120"/>
      <c r="B301" s="120"/>
      <c r="C301" s="120"/>
      <c r="D301" s="120"/>
      <c r="E301" s="120"/>
      <c r="F301" s="120"/>
      <c r="G301" s="120"/>
      <c r="H301" s="120"/>
      <c r="I301" s="120"/>
      <c r="J301" s="120"/>
      <c r="K301" s="174"/>
    </row>
    <row r="302" spans="1:11" s="21" customFormat="1" ht="12">
      <c r="A302" s="120"/>
      <c r="B302" s="120"/>
      <c r="C302" s="120"/>
      <c r="D302" s="120"/>
      <c r="E302" s="120"/>
      <c r="F302" s="120"/>
      <c r="G302" s="120"/>
      <c r="H302" s="120"/>
      <c r="I302" s="120"/>
      <c r="J302" s="120"/>
      <c r="K302" s="174"/>
    </row>
    <row r="303" spans="1:11" s="21" customFormat="1" ht="12">
      <c r="A303" s="120"/>
      <c r="B303" s="120"/>
      <c r="C303" s="120"/>
      <c r="D303" s="120"/>
      <c r="E303" s="120"/>
      <c r="F303" s="120"/>
      <c r="G303" s="120"/>
      <c r="H303" s="120"/>
      <c r="I303" s="120"/>
      <c r="J303" s="120"/>
      <c r="K303" s="174"/>
    </row>
    <row r="304" spans="1:11" s="21" customFormat="1" ht="12">
      <c r="A304" s="120"/>
      <c r="B304" s="120"/>
      <c r="C304" s="120"/>
      <c r="D304" s="120"/>
      <c r="E304" s="120"/>
      <c r="F304" s="120"/>
      <c r="G304" s="120"/>
      <c r="H304" s="120"/>
      <c r="I304" s="120"/>
      <c r="J304" s="120"/>
      <c r="K304" s="174"/>
    </row>
    <row r="305" spans="1:11" s="21" customFormat="1" ht="12">
      <c r="A305" s="120"/>
      <c r="B305" s="120"/>
      <c r="C305" s="120"/>
      <c r="D305" s="120"/>
      <c r="E305" s="120"/>
      <c r="F305" s="120"/>
      <c r="G305" s="120"/>
      <c r="H305" s="120"/>
      <c r="I305" s="120"/>
      <c r="J305" s="120"/>
      <c r="K305" s="174"/>
    </row>
    <row r="306" spans="1:11" s="21" customFormat="1" ht="12">
      <c r="A306" s="120"/>
      <c r="B306" s="120"/>
      <c r="C306" s="120"/>
      <c r="D306" s="120"/>
      <c r="E306" s="120"/>
      <c r="F306" s="120"/>
      <c r="G306" s="120"/>
      <c r="H306" s="120"/>
      <c r="I306" s="120"/>
      <c r="J306" s="120"/>
      <c r="K306" s="174"/>
    </row>
    <row r="307" spans="1:11" s="21" customFormat="1" ht="12">
      <c r="A307" s="120"/>
      <c r="B307" s="120"/>
      <c r="C307" s="120"/>
      <c r="D307" s="120"/>
      <c r="E307" s="120"/>
      <c r="F307" s="120"/>
      <c r="G307" s="120"/>
      <c r="H307" s="120"/>
      <c r="I307" s="120"/>
      <c r="J307" s="120"/>
      <c r="K307" s="174"/>
    </row>
    <row r="308" spans="1:11" s="21" customFormat="1" ht="12">
      <c r="A308" s="120"/>
      <c r="B308" s="120"/>
      <c r="C308" s="120"/>
      <c r="D308" s="120"/>
      <c r="E308" s="120"/>
      <c r="F308" s="120"/>
      <c r="G308" s="120"/>
      <c r="H308" s="120"/>
      <c r="I308" s="120"/>
      <c r="J308" s="120"/>
      <c r="K308" s="174"/>
    </row>
    <row r="309" spans="1:11" s="21" customFormat="1" ht="12">
      <c r="A309" s="120"/>
      <c r="B309" s="120"/>
      <c r="C309" s="120"/>
      <c r="D309" s="120"/>
      <c r="E309" s="120"/>
      <c r="F309" s="120"/>
      <c r="G309" s="120"/>
      <c r="H309" s="120"/>
      <c r="I309" s="120"/>
      <c r="J309" s="120"/>
      <c r="K309" s="174"/>
    </row>
    <row r="310" spans="1:11" s="21" customFormat="1" ht="12">
      <c r="A310" s="120"/>
      <c r="B310" s="120"/>
      <c r="C310" s="120"/>
      <c r="D310" s="120"/>
      <c r="E310" s="120"/>
      <c r="F310" s="120"/>
      <c r="G310" s="120"/>
      <c r="H310" s="120"/>
      <c r="I310" s="120"/>
      <c r="J310" s="120"/>
      <c r="K310" s="174"/>
    </row>
    <row r="311" spans="1:11" s="21" customFormat="1" ht="12">
      <c r="A311" s="120"/>
      <c r="B311" s="120"/>
      <c r="C311" s="120"/>
      <c r="D311" s="120"/>
      <c r="E311" s="120"/>
      <c r="F311" s="120"/>
      <c r="G311" s="120"/>
      <c r="H311" s="120"/>
      <c r="I311" s="120"/>
      <c r="J311" s="120"/>
      <c r="K311" s="174"/>
    </row>
    <row r="312" spans="1:11" s="21" customFormat="1" ht="12">
      <c r="A312" s="120"/>
      <c r="B312" s="120"/>
      <c r="C312" s="120"/>
      <c r="D312" s="120"/>
      <c r="E312" s="120"/>
      <c r="F312" s="120"/>
      <c r="G312" s="120"/>
      <c r="H312" s="120"/>
      <c r="I312" s="120"/>
      <c r="J312" s="120"/>
      <c r="K312" s="174"/>
    </row>
    <row r="313" spans="1:11" s="21" customFormat="1" ht="12">
      <c r="A313" s="120"/>
      <c r="B313" s="120"/>
      <c r="C313" s="120"/>
      <c r="D313" s="120"/>
      <c r="E313" s="120"/>
      <c r="F313" s="120"/>
      <c r="G313" s="120"/>
      <c r="H313" s="120"/>
      <c r="I313" s="120"/>
      <c r="J313" s="120"/>
      <c r="K313" s="174"/>
    </row>
    <row r="314" spans="1:11" s="21" customFormat="1" ht="12">
      <c r="A314" s="120"/>
      <c r="B314" s="120"/>
      <c r="C314" s="120"/>
      <c r="D314" s="120"/>
      <c r="E314" s="120"/>
      <c r="F314" s="120"/>
      <c r="G314" s="120"/>
      <c r="H314" s="120"/>
      <c r="I314" s="120"/>
      <c r="J314" s="120"/>
      <c r="K314" s="174"/>
    </row>
    <row r="315" spans="1:11" s="21" customFormat="1" ht="12">
      <c r="A315" s="120"/>
      <c r="B315" s="120"/>
      <c r="C315" s="120"/>
      <c r="D315" s="120"/>
      <c r="E315" s="120"/>
      <c r="F315" s="120"/>
      <c r="G315" s="120"/>
      <c r="H315" s="120"/>
      <c r="I315" s="120"/>
      <c r="J315" s="120"/>
      <c r="K315" s="174"/>
    </row>
    <row r="316" spans="1:11" s="21" customFormat="1" ht="12">
      <c r="A316" s="120"/>
      <c r="B316" s="120"/>
      <c r="C316" s="120"/>
      <c r="D316" s="120"/>
      <c r="E316" s="120"/>
      <c r="F316" s="120"/>
      <c r="G316" s="120"/>
      <c r="H316" s="120"/>
      <c r="I316" s="120"/>
      <c r="J316" s="120"/>
      <c r="K316" s="174"/>
    </row>
    <row r="317" spans="1:11" s="21" customFormat="1" ht="12">
      <c r="A317" s="120"/>
      <c r="B317" s="120"/>
      <c r="C317" s="120"/>
      <c r="D317" s="120"/>
      <c r="E317" s="120"/>
      <c r="F317" s="120"/>
      <c r="G317" s="120"/>
      <c r="H317" s="120"/>
      <c r="I317" s="120"/>
      <c r="J317" s="120"/>
      <c r="K317" s="174"/>
    </row>
    <row r="318" spans="1:11" s="21" customFormat="1" ht="12">
      <c r="A318" s="120"/>
      <c r="B318" s="120"/>
      <c r="C318" s="120"/>
      <c r="D318" s="120"/>
      <c r="E318" s="120"/>
      <c r="F318" s="120"/>
      <c r="G318" s="120"/>
      <c r="H318" s="120"/>
      <c r="I318" s="120"/>
      <c r="J318" s="120"/>
      <c r="K318" s="174"/>
    </row>
    <row r="319" spans="1:11" s="21" customFormat="1" ht="12">
      <c r="A319" s="120"/>
      <c r="B319" s="120"/>
      <c r="C319" s="120"/>
      <c r="D319" s="120"/>
      <c r="E319" s="120"/>
      <c r="F319" s="120"/>
      <c r="G319" s="120"/>
      <c r="H319" s="120"/>
      <c r="I319" s="120"/>
      <c r="J319" s="120"/>
      <c r="K319" s="174"/>
    </row>
    <row r="320" spans="1:11" s="21" customFormat="1" ht="12">
      <c r="A320" s="120"/>
      <c r="B320" s="120"/>
      <c r="C320" s="120"/>
      <c r="D320" s="120"/>
      <c r="E320" s="120"/>
      <c r="F320" s="120"/>
      <c r="G320" s="120"/>
      <c r="H320" s="120"/>
      <c r="I320" s="120"/>
      <c r="J320" s="120"/>
      <c r="K320" s="174"/>
    </row>
    <row r="321" spans="1:11" s="21" customFormat="1" ht="12">
      <c r="A321" s="120"/>
      <c r="B321" s="120"/>
      <c r="C321" s="120"/>
      <c r="D321" s="120"/>
      <c r="E321" s="120"/>
      <c r="F321" s="120"/>
      <c r="G321" s="120"/>
      <c r="H321" s="120"/>
      <c r="I321" s="120"/>
      <c r="J321" s="120"/>
      <c r="K321" s="174"/>
    </row>
    <row r="322" spans="1:11" s="21" customFormat="1" ht="12">
      <c r="A322" s="120"/>
      <c r="B322" s="120"/>
      <c r="C322" s="120"/>
      <c r="D322" s="120"/>
      <c r="E322" s="120"/>
      <c r="F322" s="120"/>
      <c r="G322" s="120"/>
      <c r="H322" s="120"/>
      <c r="I322" s="120"/>
      <c r="J322" s="120"/>
      <c r="K322" s="174"/>
    </row>
    <row r="323" spans="1:11" s="21" customFormat="1" ht="12">
      <c r="A323" s="120"/>
      <c r="B323" s="120"/>
      <c r="C323" s="120"/>
      <c r="D323" s="120"/>
      <c r="E323" s="120"/>
      <c r="F323" s="120"/>
      <c r="G323" s="120"/>
      <c r="H323" s="120"/>
      <c r="I323" s="120"/>
      <c r="J323" s="120"/>
      <c r="K323" s="174"/>
    </row>
    <row r="368" spans="1:1">
      <c r="A368" s="117"/>
    </row>
    <row r="385" spans="1:1">
      <c r="A385" s="138"/>
    </row>
    <row r="386" spans="1:1">
      <c r="A386" s="138"/>
    </row>
    <row r="387" spans="1:1">
      <c r="A387" s="138"/>
    </row>
    <row r="388" spans="1:1">
      <c r="A388" s="138"/>
    </row>
    <row r="389" spans="1:1">
      <c r="A389" s="138"/>
    </row>
    <row r="390" spans="1:1">
      <c r="A390" s="138"/>
    </row>
    <row r="391" spans="1:1">
      <c r="A391" s="138"/>
    </row>
    <row r="392" spans="1:1">
      <c r="A392" s="138"/>
    </row>
    <row r="393" spans="1:1">
      <c r="A393" s="138"/>
    </row>
    <row r="394" spans="1:1">
      <c r="A394" s="138"/>
    </row>
    <row r="395" spans="1:1">
      <c r="A395" s="138"/>
    </row>
    <row r="396" spans="1:1">
      <c r="A396" s="138"/>
    </row>
    <row r="397" spans="1:1">
      <c r="A397" s="138"/>
    </row>
    <row r="398" spans="1:1">
      <c r="A398" s="138"/>
    </row>
    <row r="399" spans="1:1">
      <c r="A399" s="138"/>
    </row>
    <row r="400" spans="1:1">
      <c r="A400" s="138"/>
    </row>
    <row r="401" spans="1:1">
      <c r="A401" s="138"/>
    </row>
    <row r="402" spans="1:1">
      <c r="A402" s="138"/>
    </row>
    <row r="403" spans="1:1">
      <c r="A403" s="138"/>
    </row>
    <row r="404" spans="1:1">
      <c r="A404" s="138"/>
    </row>
    <row r="405" spans="1:1">
      <c r="A405" s="138"/>
    </row>
    <row r="406" spans="1:1">
      <c r="A406" s="138"/>
    </row>
    <row r="407" spans="1:1">
      <c r="A407" s="138"/>
    </row>
    <row r="408" spans="1:1">
      <c r="A408" s="138"/>
    </row>
    <row r="409" spans="1:1">
      <c r="A409" s="138"/>
    </row>
    <row r="410" spans="1:1">
      <c r="A410" s="138"/>
    </row>
    <row r="411" spans="1:1">
      <c r="A411" s="138"/>
    </row>
    <row r="412" spans="1:1">
      <c r="A412" s="138"/>
    </row>
    <row r="413" spans="1:1">
      <c r="A413" s="138"/>
    </row>
    <row r="414" spans="1:1">
      <c r="A414" s="138"/>
    </row>
    <row r="415" spans="1:1">
      <c r="A415" s="138"/>
    </row>
    <row r="416" spans="1:1">
      <c r="A416" s="138"/>
    </row>
    <row r="417" spans="1:1">
      <c r="A417" s="138"/>
    </row>
    <row r="418" spans="1:1">
      <c r="A418" s="138"/>
    </row>
    <row r="419" spans="1:1">
      <c r="A419" s="138"/>
    </row>
    <row r="420" spans="1:1">
      <c r="A420" s="138"/>
    </row>
    <row r="421" spans="1:1">
      <c r="A421" s="138"/>
    </row>
    <row r="422" spans="1:1">
      <c r="A422" s="138"/>
    </row>
    <row r="423" spans="1:1">
      <c r="A423" s="138"/>
    </row>
    <row r="424" spans="1:1">
      <c r="A424" s="138"/>
    </row>
    <row r="425" spans="1:1">
      <c r="A425" s="138"/>
    </row>
    <row r="426" spans="1:1">
      <c r="A426" s="138"/>
    </row>
    <row r="427" spans="1:1">
      <c r="A427" s="138"/>
    </row>
    <row r="428" spans="1:1">
      <c r="A428" s="138"/>
    </row>
    <row r="429" spans="1:1">
      <c r="A429" s="138"/>
    </row>
    <row r="430" spans="1:1">
      <c r="A430" s="138"/>
    </row>
    <row r="431" spans="1:1">
      <c r="A431" s="138"/>
    </row>
    <row r="432" spans="1:1">
      <c r="A432" s="138"/>
    </row>
    <row r="433" spans="1:1">
      <c r="A433" s="138"/>
    </row>
    <row r="434" spans="1:1">
      <c r="A434" s="138"/>
    </row>
    <row r="435" spans="1:1">
      <c r="A435" s="138"/>
    </row>
    <row r="436" spans="1:1">
      <c r="A436" s="138"/>
    </row>
    <row r="437" spans="1:1">
      <c r="A437" s="138"/>
    </row>
    <row r="438" spans="1:1">
      <c r="A438" s="138"/>
    </row>
    <row r="439" spans="1:1">
      <c r="A439" s="138"/>
    </row>
  </sheetData>
  <mergeCells count="2">
    <mergeCell ref="A7:I9"/>
    <mergeCell ref="B15:H17"/>
  </mergeCells>
  <phoneticPr fontId="27" type="noConversion"/>
  <printOptions horizontalCentered="1"/>
  <pageMargins left="0.75" right="0.25" top="0.5" bottom="0.5" header="0.25" footer="0.25"/>
  <pageSetup scale="92" fitToHeight="0" orientation="portrait" r:id="rId1"/>
  <headerFooter alignWithMargins="0"/>
  <rowBreaks count="1" manualBreakCount="1">
    <brk id="58"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49">
    <pageSetUpPr fitToPage="1"/>
  </sheetPr>
  <dimension ref="A1:L403"/>
  <sheetViews>
    <sheetView view="pageBreakPreview" zoomScale="60" zoomScaleNormal="100" workbookViewId="0">
      <selection sqref="A1:XFD1048576"/>
    </sheetView>
  </sheetViews>
  <sheetFormatPr defaultColWidth="10.85546875" defaultRowHeight="12.75"/>
  <cols>
    <col min="1" max="1" width="7.140625" style="120" customWidth="1"/>
    <col min="2" max="2" width="17.85546875" style="120" customWidth="1"/>
    <col min="3" max="3" width="15.85546875" style="120" customWidth="1"/>
    <col min="4" max="4" width="28" style="120" customWidth="1"/>
    <col min="5" max="5" width="9.85546875" style="120" customWidth="1"/>
    <col min="6" max="7" width="17.85546875" style="120" customWidth="1"/>
    <col min="8" max="8" width="10.85546875" style="136"/>
    <col min="9" max="16384" width="10.85546875" style="11"/>
  </cols>
  <sheetData>
    <row r="1" spans="1:12">
      <c r="A1" s="117" t="s">
        <v>1204</v>
      </c>
      <c r="B1" s="117"/>
      <c r="C1" s="117"/>
      <c r="E1" s="117" t="s">
        <v>1209</v>
      </c>
      <c r="G1" s="143"/>
    </row>
    <row r="2" spans="1:12">
      <c r="A2" s="117"/>
      <c r="B2" s="117"/>
      <c r="C2" s="117"/>
      <c r="E2" s="117"/>
      <c r="G2" s="143"/>
    </row>
    <row r="3" spans="1:12">
      <c r="A3" s="117" t="s">
        <v>2644</v>
      </c>
      <c r="B3" s="117"/>
      <c r="C3" s="117"/>
      <c r="E3" s="117" t="s">
        <v>1514</v>
      </c>
      <c r="G3" s="143"/>
    </row>
    <row r="4" spans="1:12">
      <c r="A4" s="117" t="s">
        <v>2645</v>
      </c>
      <c r="B4" s="117"/>
      <c r="C4" s="123"/>
      <c r="E4" s="117" t="s">
        <v>766</v>
      </c>
      <c r="G4" s="117"/>
    </row>
    <row r="5" spans="1:12">
      <c r="A5" s="117" t="s">
        <v>1935</v>
      </c>
      <c r="B5" s="117"/>
      <c r="C5" s="117"/>
      <c r="E5" s="117" t="s">
        <v>2948</v>
      </c>
      <c r="G5" s="117"/>
    </row>
    <row r="6" spans="1:12">
      <c r="A6" s="117"/>
      <c r="B6" s="117"/>
      <c r="C6" s="117"/>
      <c r="D6" s="117"/>
      <c r="E6" s="117"/>
      <c r="F6" s="117"/>
      <c r="G6" s="117"/>
    </row>
    <row r="7" spans="1:12">
      <c r="A7" s="2307" t="s">
        <v>1506</v>
      </c>
      <c r="B7" s="2297"/>
      <c r="C7" s="2297"/>
      <c r="D7" s="2297"/>
      <c r="E7" s="2297"/>
      <c r="F7" s="2297"/>
      <c r="G7" s="2297"/>
    </row>
    <row r="8" spans="1:12">
      <c r="A8" s="2297"/>
      <c r="B8" s="2297"/>
      <c r="C8" s="2297"/>
      <c r="D8" s="2297"/>
      <c r="E8" s="2297"/>
      <c r="F8" s="2297"/>
      <c r="G8" s="2297"/>
    </row>
    <row r="9" spans="1:12">
      <c r="A9" s="2297"/>
      <c r="B9" s="2297"/>
      <c r="C9" s="2297"/>
      <c r="D9" s="2297"/>
      <c r="E9" s="2297"/>
      <c r="F9" s="2297"/>
      <c r="G9" s="2297"/>
    </row>
    <row r="10" spans="1:12">
      <c r="A10" s="2297"/>
      <c r="B10" s="2297"/>
      <c r="C10" s="2297"/>
      <c r="D10" s="2297"/>
      <c r="E10" s="2297"/>
      <c r="F10" s="2297"/>
      <c r="G10" s="2297"/>
      <c r="H10" s="357"/>
      <c r="I10" s="12"/>
      <c r="J10" s="12"/>
      <c r="K10" s="12"/>
      <c r="L10" s="12"/>
    </row>
    <row r="11" spans="1:12" ht="13.5" thickBot="1">
      <c r="A11" s="124"/>
      <c r="B11" s="124"/>
      <c r="C11" s="124"/>
      <c r="D11" s="124"/>
      <c r="E11" s="194"/>
      <c r="F11" s="194"/>
      <c r="G11" s="194"/>
      <c r="H11" s="357"/>
      <c r="I11" s="12"/>
      <c r="J11" s="12"/>
      <c r="K11" s="12"/>
      <c r="L11" s="12"/>
    </row>
    <row r="12" spans="1:12">
      <c r="A12" s="370" t="s">
        <v>53</v>
      </c>
    </row>
    <row r="13" spans="1:12">
      <c r="A13" s="812" t="s">
        <v>730</v>
      </c>
    </row>
    <row r="14" spans="1:12">
      <c r="A14" s="117"/>
    </row>
    <row r="15" spans="1:12">
      <c r="A15" s="999">
        <v>1</v>
      </c>
      <c r="B15" s="196" t="s">
        <v>692</v>
      </c>
      <c r="C15" s="196"/>
      <c r="D15" s="196"/>
      <c r="E15" s="196"/>
      <c r="F15" s="196"/>
      <c r="G15" s="196"/>
    </row>
    <row r="16" spans="1:12">
      <c r="A16" s="127"/>
      <c r="B16" s="196"/>
      <c r="C16" s="196"/>
      <c r="D16" s="196"/>
      <c r="E16" s="196"/>
      <c r="F16" s="196"/>
      <c r="G16" s="196"/>
    </row>
    <row r="17" spans="1:7">
      <c r="A17" s="127"/>
      <c r="B17" s="196"/>
      <c r="C17" s="196"/>
      <c r="D17" s="196"/>
      <c r="E17" s="196"/>
      <c r="F17" s="196"/>
      <c r="G17" s="196"/>
    </row>
    <row r="18" spans="1:7">
      <c r="A18" s="127"/>
      <c r="B18" s="196"/>
      <c r="C18" s="196"/>
      <c r="D18" s="196"/>
      <c r="E18" s="196"/>
      <c r="F18" s="196"/>
      <c r="G18" s="196"/>
    </row>
    <row r="19" spans="1:7">
      <c r="A19" s="127"/>
      <c r="B19" s="196"/>
      <c r="C19" s="196"/>
      <c r="D19" s="196"/>
      <c r="E19" s="196"/>
      <c r="F19" s="196"/>
      <c r="G19" s="196"/>
    </row>
    <row r="20" spans="1:7">
      <c r="A20" s="127"/>
      <c r="B20" s="196"/>
      <c r="C20" s="196"/>
      <c r="D20" s="196"/>
      <c r="E20" s="196"/>
      <c r="F20" s="196"/>
      <c r="G20" s="196"/>
    </row>
    <row r="21" spans="1:7">
      <c r="A21" s="127"/>
      <c r="B21" s="196"/>
      <c r="C21" s="196"/>
      <c r="D21" s="196"/>
      <c r="E21" s="196"/>
      <c r="F21" s="196"/>
      <c r="G21" s="196"/>
    </row>
    <row r="22" spans="1:7">
      <c r="A22" s="127"/>
      <c r="B22" s="196"/>
      <c r="C22" s="196"/>
      <c r="D22" s="196"/>
      <c r="E22" s="196"/>
      <c r="F22" s="196"/>
      <c r="G22" s="196"/>
    </row>
    <row r="23" spans="1:7">
      <c r="A23" s="127"/>
      <c r="B23" s="196"/>
      <c r="C23" s="196"/>
      <c r="D23" s="196"/>
      <c r="E23" s="196"/>
      <c r="F23" s="196"/>
      <c r="G23" s="196"/>
    </row>
    <row r="24" spans="1:7">
      <c r="A24" s="127"/>
      <c r="B24" s="343"/>
      <c r="C24" s="343"/>
      <c r="D24" s="343"/>
      <c r="E24" s="343"/>
      <c r="F24" s="343"/>
      <c r="G24" s="343"/>
    </row>
    <row r="25" spans="1:7">
      <c r="A25" s="127"/>
    </row>
    <row r="26" spans="1:7">
      <c r="A26" s="127"/>
    </row>
    <row r="27" spans="1:7">
      <c r="A27" s="127"/>
    </row>
    <row r="28" spans="1:7">
      <c r="A28" s="127"/>
    </row>
    <row r="29" spans="1:7">
      <c r="A29" s="127"/>
    </row>
    <row r="30" spans="1:7">
      <c r="A30" s="131"/>
    </row>
    <row r="31" spans="1:7">
      <c r="A31" s="131"/>
    </row>
    <row r="32" spans="1:7">
      <c r="A32" s="131"/>
    </row>
    <row r="33" spans="1:1">
      <c r="A33" s="131"/>
    </row>
    <row r="34" spans="1:1">
      <c r="A34" s="131"/>
    </row>
    <row r="35" spans="1:1">
      <c r="A35" s="131"/>
    </row>
    <row r="36" spans="1:1">
      <c r="A36" s="131"/>
    </row>
    <row r="37" spans="1:1">
      <c r="A37" s="131"/>
    </row>
    <row r="38" spans="1:1">
      <c r="A38" s="131"/>
    </row>
    <row r="39" spans="1:1">
      <c r="A39" s="131"/>
    </row>
    <row r="40" spans="1:1">
      <c r="A40" s="131"/>
    </row>
    <row r="41" spans="1:1">
      <c r="A41" s="131"/>
    </row>
    <row r="42" spans="1:1">
      <c r="A42" s="131"/>
    </row>
    <row r="43" spans="1:1">
      <c r="A43" s="131"/>
    </row>
    <row r="44" spans="1:1">
      <c r="A44" s="131"/>
    </row>
    <row r="45" spans="1:1">
      <c r="A45" s="131"/>
    </row>
    <row r="46" spans="1:1">
      <c r="A46" s="131"/>
    </row>
    <row r="47" spans="1:1">
      <c r="A47" s="131"/>
    </row>
    <row r="48" spans="1:1">
      <c r="A48" s="131"/>
    </row>
    <row r="49" spans="1:1">
      <c r="A49" s="131"/>
    </row>
    <row r="50" spans="1:1">
      <c r="A50" s="131"/>
    </row>
    <row r="51" spans="1:1">
      <c r="A51" s="131"/>
    </row>
    <row r="52" spans="1:1">
      <c r="A52" s="131"/>
    </row>
    <row r="53" spans="1:1">
      <c r="A53" s="131"/>
    </row>
    <row r="54" spans="1:1">
      <c r="A54" s="131"/>
    </row>
    <row r="55" spans="1:1">
      <c r="A55" s="131"/>
    </row>
    <row r="56" spans="1:1">
      <c r="A56" s="131"/>
    </row>
    <row r="57" spans="1:1">
      <c r="A57" s="131"/>
    </row>
    <row r="58" spans="1:1">
      <c r="A58" s="131"/>
    </row>
    <row r="59" spans="1:1">
      <c r="A59" s="131"/>
    </row>
    <row r="60" spans="1:1">
      <c r="A60" s="131"/>
    </row>
    <row r="61" spans="1:1">
      <c r="A61" s="131"/>
    </row>
    <row r="62" spans="1:1">
      <c r="A62" s="131"/>
    </row>
    <row r="63" spans="1:1">
      <c r="A63" s="131"/>
    </row>
    <row r="64" spans="1:1">
      <c r="A64" s="131"/>
    </row>
    <row r="65" spans="1:7">
      <c r="A65" s="189"/>
      <c r="B65" s="153"/>
      <c r="C65" s="153"/>
      <c r="D65" s="153"/>
      <c r="E65" s="153"/>
      <c r="F65" s="153"/>
      <c r="G65" s="153"/>
    </row>
    <row r="66" spans="1:7">
      <c r="A66" s="131"/>
      <c r="B66" s="148"/>
      <c r="C66" s="148"/>
      <c r="D66" s="148"/>
      <c r="E66" s="148"/>
      <c r="F66" s="148"/>
      <c r="G66" s="148"/>
    </row>
    <row r="106" spans="2:4">
      <c r="B106" s="137"/>
      <c r="D106" s="137"/>
    </row>
    <row r="109" spans="2:4">
      <c r="B109" s="137"/>
      <c r="D109" s="137"/>
    </row>
    <row r="229" spans="1:1">
      <c r="A229" s="138"/>
    </row>
    <row r="230" spans="1:1">
      <c r="A230" s="138"/>
    </row>
    <row r="231" spans="1:1">
      <c r="A231" s="138"/>
    </row>
    <row r="232" spans="1:1">
      <c r="A232" s="138"/>
    </row>
    <row r="233" spans="1:1">
      <c r="A233" s="138"/>
    </row>
    <row r="263" spans="1:1">
      <c r="A263" s="138"/>
    </row>
    <row r="332" spans="1:1">
      <c r="A332" s="117"/>
    </row>
    <row r="349" spans="1:1">
      <c r="A349" s="138"/>
    </row>
    <row r="350" spans="1:1">
      <c r="A350" s="138"/>
    </row>
    <row r="351" spans="1:1">
      <c r="A351" s="138"/>
    </row>
    <row r="352" spans="1:1">
      <c r="A352" s="138"/>
    </row>
    <row r="353" spans="1:1">
      <c r="A353" s="138"/>
    </row>
    <row r="354" spans="1:1">
      <c r="A354" s="138"/>
    </row>
    <row r="355" spans="1:1">
      <c r="A355" s="138"/>
    </row>
    <row r="356" spans="1:1">
      <c r="A356" s="138"/>
    </row>
    <row r="357" spans="1:1">
      <c r="A357" s="138"/>
    </row>
    <row r="358" spans="1:1">
      <c r="A358" s="138"/>
    </row>
    <row r="359" spans="1:1">
      <c r="A359" s="138"/>
    </row>
    <row r="360" spans="1:1">
      <c r="A360" s="138"/>
    </row>
    <row r="361" spans="1:1">
      <c r="A361" s="138"/>
    </row>
    <row r="362" spans="1:1">
      <c r="A362" s="138"/>
    </row>
    <row r="363" spans="1:1">
      <c r="A363" s="138"/>
    </row>
    <row r="364" spans="1:1">
      <c r="A364" s="138"/>
    </row>
    <row r="365" spans="1:1">
      <c r="A365" s="138"/>
    </row>
    <row r="366" spans="1:1">
      <c r="A366" s="138"/>
    </row>
    <row r="367" spans="1:1">
      <c r="A367" s="138"/>
    </row>
    <row r="368" spans="1:1">
      <c r="A368" s="138"/>
    </row>
    <row r="369" spans="1:1">
      <c r="A369" s="138"/>
    </row>
    <row r="370" spans="1:1">
      <c r="A370" s="138"/>
    </row>
    <row r="371" spans="1:1">
      <c r="A371" s="138"/>
    </row>
    <row r="372" spans="1:1">
      <c r="A372" s="138"/>
    </row>
    <row r="373" spans="1:1">
      <c r="A373" s="138"/>
    </row>
    <row r="374" spans="1:1">
      <c r="A374" s="138"/>
    </row>
    <row r="375" spans="1:1">
      <c r="A375" s="138"/>
    </row>
    <row r="376" spans="1:1">
      <c r="A376" s="138"/>
    </row>
    <row r="377" spans="1:1">
      <c r="A377" s="138"/>
    </row>
    <row r="378" spans="1:1">
      <c r="A378" s="138"/>
    </row>
    <row r="379" spans="1:1">
      <c r="A379" s="138"/>
    </row>
    <row r="380" spans="1:1">
      <c r="A380" s="138"/>
    </row>
    <row r="381" spans="1:1">
      <c r="A381" s="138"/>
    </row>
    <row r="382" spans="1:1">
      <c r="A382" s="138"/>
    </row>
    <row r="383" spans="1:1">
      <c r="A383" s="138"/>
    </row>
    <row r="384" spans="1:1">
      <c r="A384" s="138"/>
    </row>
    <row r="385" spans="1:1">
      <c r="A385" s="138"/>
    </row>
    <row r="386" spans="1:1">
      <c r="A386" s="138"/>
    </row>
    <row r="387" spans="1:1">
      <c r="A387" s="138"/>
    </row>
    <row r="388" spans="1:1">
      <c r="A388" s="138"/>
    </row>
    <row r="389" spans="1:1">
      <c r="A389" s="138"/>
    </row>
    <row r="390" spans="1:1">
      <c r="A390" s="138"/>
    </row>
    <row r="391" spans="1:1">
      <c r="A391" s="138"/>
    </row>
    <row r="392" spans="1:1">
      <c r="A392" s="138"/>
    </row>
    <row r="393" spans="1:1">
      <c r="A393" s="138"/>
    </row>
    <row r="394" spans="1:1">
      <c r="A394" s="138"/>
    </row>
    <row r="395" spans="1:1">
      <c r="A395" s="138"/>
    </row>
    <row r="396" spans="1:1">
      <c r="A396" s="138"/>
    </row>
    <row r="397" spans="1:1">
      <c r="A397" s="138"/>
    </row>
    <row r="398" spans="1:1">
      <c r="A398" s="138"/>
    </row>
    <row r="399" spans="1:1">
      <c r="A399" s="138"/>
    </row>
    <row r="400" spans="1:1">
      <c r="A400" s="138"/>
    </row>
    <row r="401" spans="1:1">
      <c r="A401" s="138"/>
    </row>
    <row r="402" spans="1:1">
      <c r="A402" s="138"/>
    </row>
    <row r="403" spans="1:1">
      <c r="A403" s="138"/>
    </row>
  </sheetData>
  <mergeCells count="1">
    <mergeCell ref="A7:G10"/>
  </mergeCells>
  <phoneticPr fontId="27" type="noConversion"/>
  <printOptions horizontalCentered="1"/>
  <pageMargins left="0.75" right="0.25" top="0.5" bottom="0.5" header="0.25" footer="0.25"/>
  <pageSetup scale="85" fitToHeight="0" orientation="portrait" r:id="rId1"/>
  <headerFooter alignWithMargins="0"/>
  <rowBreaks count="1" manualBreakCount="1">
    <brk id="67"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50">
    <pageSetUpPr fitToPage="1"/>
  </sheetPr>
  <dimension ref="A1:G64"/>
  <sheetViews>
    <sheetView view="pageBreakPreview" zoomScale="60" zoomScaleNormal="100" workbookViewId="0">
      <selection sqref="A1:XFD1048576"/>
    </sheetView>
  </sheetViews>
  <sheetFormatPr defaultColWidth="9.85546875" defaultRowHeight="12.75"/>
  <cols>
    <col min="1" max="1" width="6.85546875" style="120" customWidth="1"/>
    <col min="2" max="2" width="11.85546875" style="120" customWidth="1"/>
    <col min="3" max="4" width="10.85546875" style="120" customWidth="1"/>
    <col min="5" max="5" width="23.140625" style="120" customWidth="1"/>
    <col min="6" max="6" width="17" style="120" customWidth="1"/>
    <col min="7" max="7" width="29.140625" style="120" customWidth="1"/>
    <col min="8" max="16384" width="9.85546875" style="11"/>
  </cols>
  <sheetData>
    <row r="1" spans="1:7">
      <c r="A1" s="117" t="s">
        <v>1454</v>
      </c>
      <c r="B1" s="117"/>
      <c r="C1" s="117"/>
      <c r="E1" s="117"/>
      <c r="F1" s="117" t="s">
        <v>1209</v>
      </c>
    </row>
    <row r="2" spans="1:7">
      <c r="A2" s="117"/>
      <c r="B2" s="117"/>
      <c r="C2" s="117"/>
      <c r="E2" s="117"/>
      <c r="F2" s="117"/>
    </row>
    <row r="3" spans="1:7">
      <c r="A3" s="117" t="s">
        <v>2644</v>
      </c>
      <c r="B3" s="117"/>
      <c r="C3" s="117"/>
      <c r="E3" s="117"/>
      <c r="F3" s="117" t="s">
        <v>1453</v>
      </c>
    </row>
    <row r="4" spans="1:7">
      <c r="A4" s="117" t="s">
        <v>2645</v>
      </c>
      <c r="B4" s="117"/>
      <c r="C4" s="117"/>
      <c r="E4" s="117"/>
      <c r="F4" s="117" t="s">
        <v>766</v>
      </c>
    </row>
    <row r="5" spans="1:7">
      <c r="A5" s="117" t="s">
        <v>1936</v>
      </c>
      <c r="B5" s="117"/>
      <c r="C5" s="117"/>
      <c r="E5" s="117"/>
      <c r="F5" s="117" t="s">
        <v>2948</v>
      </c>
    </row>
    <row r="6" spans="1:7">
      <c r="A6" s="117"/>
      <c r="B6" s="117"/>
      <c r="C6" s="117"/>
      <c r="D6" s="117"/>
      <c r="E6" s="117"/>
      <c r="F6" s="117"/>
      <c r="G6" s="117"/>
    </row>
    <row r="7" spans="1:7">
      <c r="A7" s="193" t="s">
        <v>1776</v>
      </c>
      <c r="B7" s="117"/>
      <c r="C7" s="117"/>
      <c r="D7" s="117"/>
      <c r="E7" s="117"/>
      <c r="F7" s="117"/>
      <c r="G7" s="117"/>
    </row>
    <row r="8" spans="1:7" ht="13.5" thickBot="1">
      <c r="A8" s="124"/>
      <c r="B8" s="124"/>
      <c r="C8" s="124"/>
      <c r="D8" s="124"/>
      <c r="E8" s="124"/>
      <c r="F8" s="124"/>
      <c r="G8" s="124"/>
    </row>
    <row r="10" spans="1:7">
      <c r="A10" s="153">
        <v>1</v>
      </c>
      <c r="B10" s="120" t="s">
        <v>1087</v>
      </c>
      <c r="G10" s="342" t="s">
        <v>693</v>
      </c>
    </row>
    <row r="11" spans="1:7">
      <c r="A11" s="153">
        <v>2</v>
      </c>
      <c r="G11" s="336"/>
    </row>
    <row r="12" spans="1:7">
      <c r="A12" s="153">
        <v>3</v>
      </c>
      <c r="B12" s="120" t="s">
        <v>1458</v>
      </c>
      <c r="G12" s="342" t="s">
        <v>669</v>
      </c>
    </row>
    <row r="13" spans="1:7">
      <c r="A13" s="153">
        <v>4</v>
      </c>
      <c r="G13" s="336"/>
    </row>
    <row r="14" spans="1:7">
      <c r="A14" s="153">
        <v>5</v>
      </c>
      <c r="B14" s="120" t="s">
        <v>1778</v>
      </c>
      <c r="G14" s="342" t="s">
        <v>669</v>
      </c>
    </row>
    <row r="15" spans="1:7">
      <c r="A15" s="153">
        <v>6</v>
      </c>
      <c r="G15" s="336"/>
    </row>
    <row r="16" spans="1:7">
      <c r="A16" s="153">
        <v>7</v>
      </c>
      <c r="B16" s="120" t="s">
        <v>659</v>
      </c>
      <c r="G16" s="342" t="s">
        <v>669</v>
      </c>
    </row>
    <row r="64" spans="1:7">
      <c r="A64" s="189"/>
      <c r="B64" s="153"/>
      <c r="C64" s="153"/>
      <c r="D64" s="153"/>
      <c r="E64" s="153"/>
      <c r="F64" s="153"/>
      <c r="G64" s="153"/>
    </row>
  </sheetData>
  <phoneticPr fontId="27" type="noConversion"/>
  <printOptions horizontalCentered="1"/>
  <pageMargins left="0.75" right="0.25" top="0.5" bottom="0.5" header="0.25" footer="0.25"/>
  <pageSetup scale="89" fitToHeight="0" orientation="portrait" r:id="rId1"/>
  <headerFooter alignWithMargins="0"/>
  <rowBreaks count="1" manualBreakCount="1">
    <brk id="67"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M43"/>
  <sheetViews>
    <sheetView view="pageBreakPreview" zoomScale="60" zoomScaleNormal="100" workbookViewId="0">
      <selection sqref="A1:XFD1048576"/>
    </sheetView>
  </sheetViews>
  <sheetFormatPr defaultColWidth="9.140625" defaultRowHeight="15"/>
  <cols>
    <col min="1" max="1" width="9.140625" style="371"/>
    <col min="2" max="2" width="1.7109375" style="371" customWidth="1"/>
    <col min="3" max="3" width="38.85546875" style="371" customWidth="1"/>
    <col min="4" max="4" width="1.7109375" style="371" customWidth="1"/>
    <col min="5" max="5" width="18.85546875" style="371" customWidth="1"/>
    <col min="6" max="6" width="1.7109375" style="371" customWidth="1"/>
    <col min="7" max="7" width="10.7109375" style="371" customWidth="1"/>
    <col min="8" max="8" width="1.7109375" style="371" customWidth="1"/>
    <col min="9" max="9" width="9.140625" style="371"/>
    <col min="10" max="10" width="1.7109375" style="371" customWidth="1"/>
    <col min="11" max="11" width="17.28515625" style="371" customWidth="1"/>
    <col min="12" max="13" width="9.140625" style="371"/>
    <col min="14" max="16384" width="9.140625" style="36"/>
  </cols>
  <sheetData>
    <row r="1" spans="1:13">
      <c r="A1" s="1029" t="s">
        <v>1361</v>
      </c>
      <c r="B1" s="1029"/>
      <c r="C1" s="1029"/>
      <c r="D1" s="1029"/>
      <c r="E1" s="1029"/>
      <c r="F1" s="1029"/>
      <c r="G1" s="1029"/>
      <c r="H1" s="1029"/>
      <c r="I1" s="1029" t="s">
        <v>1209</v>
      </c>
      <c r="J1" s="1029"/>
      <c r="K1" s="1029"/>
      <c r="M1" s="36"/>
    </row>
    <row r="2" spans="1:13">
      <c r="A2" s="1029" t="s">
        <v>92</v>
      </c>
      <c r="B2" s="1029"/>
      <c r="C2" s="1029"/>
      <c r="D2" s="1029"/>
      <c r="E2" s="1029"/>
      <c r="F2" s="1029"/>
      <c r="G2" s="1029"/>
      <c r="H2" s="1029"/>
      <c r="I2" s="1029"/>
      <c r="J2" s="1029"/>
      <c r="K2" s="1029"/>
      <c r="M2" s="36"/>
    </row>
    <row r="3" spans="1:13">
      <c r="M3" s="36"/>
    </row>
    <row r="4" spans="1:13">
      <c r="A4" s="117" t="s">
        <v>2644</v>
      </c>
      <c r="B4" s="1029"/>
      <c r="C4" s="1029"/>
      <c r="D4" s="1029"/>
      <c r="E4" s="1029"/>
      <c r="F4" s="1029"/>
      <c r="G4" s="1029"/>
      <c r="H4" s="1029"/>
      <c r="I4" s="1029" t="s">
        <v>1535</v>
      </c>
      <c r="J4" s="1029"/>
      <c r="K4" s="1029"/>
      <c r="M4" s="36"/>
    </row>
    <row r="5" spans="1:13">
      <c r="A5" s="117" t="s">
        <v>2645</v>
      </c>
      <c r="B5" s="1029"/>
      <c r="C5" s="1029"/>
      <c r="D5" s="1029"/>
      <c r="E5" s="1029"/>
      <c r="F5" s="1029"/>
      <c r="G5" s="1029"/>
      <c r="H5" s="1029"/>
      <c r="I5" s="1029" t="s">
        <v>1529</v>
      </c>
      <c r="J5" s="1029"/>
      <c r="K5" s="1029"/>
      <c r="M5" s="36"/>
    </row>
    <row r="6" spans="1:13">
      <c r="A6" s="117" t="s">
        <v>1936</v>
      </c>
      <c r="B6" s="1029"/>
      <c r="C6" s="1029"/>
      <c r="D6" s="1029"/>
      <c r="E6" s="1029"/>
      <c r="F6" s="1029"/>
      <c r="G6" s="1029"/>
      <c r="H6" s="1029"/>
      <c r="I6" s="1029"/>
      <c r="J6" s="1029"/>
      <c r="K6" s="1029"/>
      <c r="M6" s="36"/>
    </row>
    <row r="7" spans="1:13">
      <c r="A7" s="1029" t="s">
        <v>1362</v>
      </c>
      <c r="B7" s="1029"/>
      <c r="C7" s="1029"/>
      <c r="D7" s="1029"/>
      <c r="E7" s="1029"/>
      <c r="F7" s="1029"/>
      <c r="G7" s="1029"/>
      <c r="H7" s="1029"/>
      <c r="I7" s="2064" t="s">
        <v>2950</v>
      </c>
      <c r="J7" s="1029"/>
      <c r="K7" s="1029"/>
      <c r="M7" s="36"/>
    </row>
    <row r="8" spans="1:13">
      <c r="A8" s="1029" t="s">
        <v>1363</v>
      </c>
      <c r="B8" s="1029"/>
      <c r="C8" s="1029"/>
      <c r="D8" s="1029"/>
      <c r="E8" s="1029"/>
      <c r="F8" s="1029"/>
      <c r="G8" s="1029"/>
      <c r="H8" s="1029"/>
      <c r="I8" s="1029"/>
      <c r="J8" s="1029"/>
      <c r="K8" s="1029"/>
    </row>
    <row r="9" spans="1:13" ht="29.25" customHeight="1">
      <c r="A9" s="2329" t="s">
        <v>1775</v>
      </c>
      <c r="B9" s="2329"/>
      <c r="C9" s="2329"/>
      <c r="D9" s="2329"/>
      <c r="E9" s="2329"/>
      <c r="F9" s="2329"/>
      <c r="G9" s="2329"/>
      <c r="H9" s="2329"/>
      <c r="I9" s="2329"/>
      <c r="J9" s="2329"/>
      <c r="K9" s="2329"/>
    </row>
    <row r="10" spans="1:13" ht="15.75" thickBot="1">
      <c r="A10" s="407"/>
      <c r="B10" s="407"/>
      <c r="C10" s="407"/>
      <c r="D10" s="407"/>
      <c r="E10" s="407"/>
      <c r="F10" s="407"/>
      <c r="G10" s="407"/>
      <c r="H10" s="407"/>
      <c r="I10" s="407"/>
      <c r="J10" s="407"/>
      <c r="K10" s="407"/>
    </row>
    <row r="11" spans="1:13">
      <c r="A11" s="1035"/>
      <c r="B11" s="1035"/>
      <c r="C11" s="1036">
        <v>-1</v>
      </c>
      <c r="D11" s="1036"/>
      <c r="E11" s="1036">
        <v>-2</v>
      </c>
      <c r="F11" s="1036"/>
      <c r="G11" s="1036">
        <v>-3</v>
      </c>
      <c r="H11" s="1036"/>
      <c r="I11" s="1036">
        <v>-4</v>
      </c>
      <c r="J11" s="1035"/>
      <c r="K11" s="1036">
        <v>-5</v>
      </c>
    </row>
    <row r="12" spans="1:13">
      <c r="A12" s="1029"/>
      <c r="B12" s="1029"/>
      <c r="C12" s="1029"/>
      <c r="D12" s="1029"/>
      <c r="E12" s="1032" t="s">
        <v>1364</v>
      </c>
      <c r="F12" s="1029"/>
      <c r="G12" s="1029"/>
      <c r="H12" s="1029"/>
      <c r="I12" s="1029"/>
      <c r="J12" s="1029"/>
      <c r="K12" s="1029"/>
    </row>
    <row r="13" spans="1:13">
      <c r="A13" s="1029"/>
      <c r="B13" s="1029"/>
      <c r="C13" s="1029"/>
      <c r="D13" s="1029"/>
      <c r="E13" s="1032" t="s">
        <v>1365</v>
      </c>
      <c r="F13" s="1029"/>
      <c r="G13" s="1029"/>
      <c r="H13" s="1029"/>
      <c r="I13" s="1029"/>
      <c r="J13" s="1029"/>
      <c r="K13" s="1029"/>
    </row>
    <row r="14" spans="1:13" ht="15.75" thickBot="1">
      <c r="A14" s="1033" t="s">
        <v>802</v>
      </c>
      <c r="B14" s="1034"/>
      <c r="C14" s="1033" t="s">
        <v>1131</v>
      </c>
      <c r="D14" s="1034"/>
      <c r="E14" s="1033" t="s">
        <v>1918</v>
      </c>
      <c r="F14" s="1034"/>
      <c r="G14" s="1033" t="s">
        <v>587</v>
      </c>
      <c r="H14" s="1034"/>
      <c r="I14" s="1033" t="s">
        <v>701</v>
      </c>
      <c r="J14" s="1034"/>
      <c r="K14" s="1033" t="s">
        <v>1366</v>
      </c>
    </row>
    <row r="15" spans="1:13">
      <c r="A15" s="374">
        <v>1</v>
      </c>
      <c r="C15" s="371" t="s">
        <v>1367</v>
      </c>
      <c r="E15" s="718">
        <v>2618259.1997000002</v>
      </c>
      <c r="G15" s="376">
        <v>0.46329999999490568</v>
      </c>
      <c r="I15" s="377">
        <v>6.6959321087948331E-2</v>
      </c>
      <c r="K15" s="376">
        <v>3.1E-2</v>
      </c>
    </row>
    <row r="16" spans="1:13">
      <c r="A16" s="374">
        <v>2</v>
      </c>
      <c r="C16" s="371" t="s">
        <v>1368</v>
      </c>
      <c r="E16" s="375">
        <v>248658.33110000001</v>
      </c>
      <c r="G16" s="376">
        <v>4.4000000004034458E-2</v>
      </c>
      <c r="I16" s="377">
        <v>2.3220060000000001E-2</v>
      </c>
      <c r="K16" s="376">
        <v>1E-3</v>
      </c>
    </row>
    <row r="17" spans="1:13">
      <c r="A17" s="374">
        <v>3</v>
      </c>
      <c r="C17" s="371" t="s">
        <v>661</v>
      </c>
      <c r="E17" s="375">
        <v>0</v>
      </c>
      <c r="G17" s="376">
        <v>0</v>
      </c>
      <c r="I17" s="377">
        <v>0</v>
      </c>
      <c r="K17" s="376">
        <v>0</v>
      </c>
    </row>
    <row r="18" spans="1:13">
      <c r="A18" s="374">
        <v>4</v>
      </c>
      <c r="C18" s="371" t="s">
        <v>591</v>
      </c>
      <c r="E18" s="375">
        <v>2784408.1754999999</v>
      </c>
      <c r="G18" s="376">
        <v>0.49270000000105996</v>
      </c>
      <c r="I18" s="377">
        <v>0.10397708544753399</v>
      </c>
      <c r="K18" s="376">
        <v>5.1200000000000002E-2</v>
      </c>
    </row>
    <row r="19" spans="1:13">
      <c r="A19" s="374">
        <v>5</v>
      </c>
      <c r="C19" s="371" t="s">
        <v>1118</v>
      </c>
      <c r="E19" s="375">
        <v>0</v>
      </c>
      <c r="G19" s="376">
        <v>0</v>
      </c>
      <c r="I19" s="377">
        <v>0.02</v>
      </c>
      <c r="K19" s="376">
        <v>0</v>
      </c>
    </row>
    <row r="20" spans="1:13">
      <c r="A20" s="374">
        <v>6</v>
      </c>
      <c r="C20" s="371" t="s">
        <v>1133</v>
      </c>
      <c r="E20" s="375">
        <v>0</v>
      </c>
      <c r="G20" s="376">
        <v>0</v>
      </c>
      <c r="I20" s="377">
        <v>0</v>
      </c>
      <c r="K20" s="376">
        <v>0</v>
      </c>
    </row>
    <row r="21" spans="1:13">
      <c r="A21" s="374">
        <v>7</v>
      </c>
      <c r="C21" s="371" t="s">
        <v>986</v>
      </c>
      <c r="E21" s="375">
        <v>0</v>
      </c>
      <c r="G21" s="376">
        <v>0</v>
      </c>
      <c r="I21" s="377">
        <v>0</v>
      </c>
      <c r="K21" s="376">
        <v>0</v>
      </c>
    </row>
    <row r="22" spans="1:13">
      <c r="A22" s="374">
        <v>8</v>
      </c>
      <c r="C22" s="371" t="s">
        <v>790</v>
      </c>
      <c r="E22" s="400">
        <v>0</v>
      </c>
      <c r="G22" s="376">
        <v>0</v>
      </c>
      <c r="I22" s="377">
        <v>0</v>
      </c>
      <c r="K22" s="376">
        <v>0</v>
      </c>
    </row>
    <row r="23" spans="1:13">
      <c r="A23" s="374">
        <v>9</v>
      </c>
      <c r="C23" s="371" t="s">
        <v>1298</v>
      </c>
      <c r="E23" s="375">
        <v>0</v>
      </c>
      <c r="G23" s="376">
        <v>0</v>
      </c>
      <c r="I23" s="377">
        <v>0</v>
      </c>
      <c r="K23" s="376">
        <v>0</v>
      </c>
    </row>
    <row r="24" spans="1:13">
      <c r="A24" s="374">
        <v>10</v>
      </c>
      <c r="E24" s="378"/>
      <c r="G24" s="379"/>
      <c r="I24" s="380"/>
      <c r="K24" s="379"/>
    </row>
    <row r="25" spans="1:13" ht="15.75" thickBot="1">
      <c r="A25" s="374">
        <v>11</v>
      </c>
      <c r="C25" s="371" t="s">
        <v>81</v>
      </c>
      <c r="E25" s="719">
        <v>5651325.7062999997</v>
      </c>
      <c r="G25" s="381">
        <v>1</v>
      </c>
      <c r="I25" s="376"/>
      <c r="K25" s="381">
        <v>8.3199999999999996E-2</v>
      </c>
    </row>
    <row r="26" spans="1:13" ht="15.75" thickTop="1">
      <c r="A26" s="803">
        <v>12</v>
      </c>
    </row>
    <row r="27" spans="1:13">
      <c r="A27" s="803">
        <v>13</v>
      </c>
      <c r="B27" s="382"/>
      <c r="C27" s="1401" t="s">
        <v>3254</v>
      </c>
      <c r="D27" s="382"/>
      <c r="E27" s="382"/>
      <c r="F27" s="382"/>
      <c r="G27" s="382"/>
      <c r="H27" s="382"/>
      <c r="I27" s="382"/>
      <c r="J27" s="382"/>
    </row>
    <row r="28" spans="1:13" s="39" customFormat="1">
      <c r="A28" s="803">
        <v>14</v>
      </c>
      <c r="B28" s="371"/>
      <c r="C28" s="803"/>
      <c r="D28" s="382"/>
      <c r="E28" s="382"/>
      <c r="F28" s="382"/>
      <c r="G28" s="382"/>
      <c r="H28" s="382"/>
      <c r="I28" s="382"/>
      <c r="J28" s="382"/>
      <c r="K28" s="382"/>
      <c r="L28" s="382"/>
      <c r="M28" s="382"/>
    </row>
    <row r="29" spans="1:13" s="39" customFormat="1">
      <c r="A29" s="803">
        <v>15</v>
      </c>
      <c r="B29" s="387"/>
      <c r="C29" s="387" t="s">
        <v>2650</v>
      </c>
      <c r="D29" s="387"/>
      <c r="E29" s="387"/>
      <c r="F29" s="387"/>
      <c r="G29" s="387"/>
      <c r="H29" s="387"/>
      <c r="I29" s="387"/>
      <c r="J29" s="387"/>
      <c r="K29" s="387"/>
      <c r="L29" s="382"/>
      <c r="M29" s="382"/>
    </row>
    <row r="30" spans="1:13" s="39" customFormat="1">
      <c r="A30" s="374"/>
      <c r="B30" s="387"/>
      <c r="C30" s="387"/>
      <c r="D30" s="387"/>
      <c r="E30" s="387"/>
      <c r="F30" s="387"/>
      <c r="G30" s="387"/>
      <c r="H30" s="387"/>
      <c r="I30" s="387"/>
      <c r="J30" s="387"/>
      <c r="K30" s="387"/>
      <c r="L30" s="382"/>
      <c r="M30" s="382"/>
    </row>
    <row r="31" spans="1:13" s="39" customFormat="1">
      <c r="A31" s="374"/>
      <c r="B31" s="388"/>
      <c r="C31" s="196"/>
      <c r="D31" s="196"/>
      <c r="E31" s="196"/>
      <c r="F31" s="196"/>
      <c r="G31" s="196"/>
      <c r="H31" s="196"/>
      <c r="I31" s="196"/>
      <c r="J31" s="196"/>
      <c r="K31" s="196"/>
      <c r="L31" s="382"/>
      <c r="M31" s="382"/>
    </row>
    <row r="32" spans="1:13" s="39" customFormat="1">
      <c r="A32" s="374"/>
      <c r="B32" s="196"/>
      <c r="C32" s="196"/>
      <c r="D32" s="196"/>
      <c r="E32" s="196"/>
      <c r="F32" s="196"/>
      <c r="G32" s="196"/>
      <c r="H32" s="196"/>
      <c r="I32" s="196"/>
      <c r="J32" s="196"/>
      <c r="K32" s="196"/>
      <c r="L32" s="382"/>
      <c r="M32" s="382"/>
    </row>
    <row r="33" spans="1:11">
      <c r="A33" s="374"/>
      <c r="B33" s="388"/>
      <c r="C33" s="388"/>
      <c r="D33" s="388"/>
      <c r="E33" s="388"/>
      <c r="F33" s="388"/>
      <c r="G33" s="388"/>
      <c r="H33" s="388"/>
      <c r="I33" s="388"/>
      <c r="J33" s="388"/>
      <c r="K33" s="388"/>
    </row>
    <row r="34" spans="1:11">
      <c r="A34" s="374"/>
      <c r="B34" s="389"/>
      <c r="C34" s="196"/>
      <c r="D34" s="196"/>
      <c r="E34" s="196"/>
      <c r="F34" s="196"/>
      <c r="G34" s="196"/>
      <c r="H34" s="196"/>
      <c r="I34" s="196"/>
      <c r="J34" s="196"/>
      <c r="K34" s="196"/>
    </row>
    <row r="35" spans="1:11">
      <c r="B35" s="383"/>
      <c r="C35" s="382"/>
      <c r="D35" s="382"/>
      <c r="E35" s="382"/>
    </row>
    <row r="36" spans="1:11">
      <c r="A36" s="384" t="s">
        <v>1089</v>
      </c>
    </row>
    <row r="37" spans="1:11">
      <c r="A37" s="384" t="s">
        <v>1090</v>
      </c>
    </row>
    <row r="40" spans="1:11">
      <c r="A40" s="385"/>
      <c r="B40" s="386"/>
      <c r="C40" s="386"/>
      <c r="D40" s="386"/>
      <c r="E40" s="386"/>
      <c r="F40" s="386"/>
      <c r="G40" s="386"/>
      <c r="H40" s="386"/>
      <c r="I40" s="386"/>
      <c r="J40" s="386"/>
      <c r="K40" s="386"/>
    </row>
    <row r="42" spans="1:11">
      <c r="B42" s="382"/>
      <c r="C42" s="382"/>
      <c r="D42" s="382"/>
      <c r="E42" s="382"/>
    </row>
    <row r="43" spans="1:11">
      <c r="B43" s="383"/>
      <c r="C43" s="382"/>
      <c r="D43" s="382"/>
      <c r="E43" s="382"/>
    </row>
  </sheetData>
  <mergeCells count="1">
    <mergeCell ref="A9:K9"/>
  </mergeCells>
  <phoneticPr fontId="27" type="noConversion"/>
  <printOptions horizontalCentered="1"/>
  <pageMargins left="0.75" right="0.5" top="0.75" bottom="0.5" header="0.25" footer="0.25"/>
  <pageSetup scale="83"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A1:T33"/>
  <sheetViews>
    <sheetView view="pageBreakPreview" zoomScale="60" zoomScaleNormal="100" workbookViewId="0">
      <selection activeCell="R25" sqref="R25:S26"/>
    </sheetView>
  </sheetViews>
  <sheetFormatPr defaultColWidth="9.140625" defaultRowHeight="15"/>
  <cols>
    <col min="1" max="1" width="6" style="371" customWidth="1"/>
    <col min="2" max="2" width="2.7109375" style="371" customWidth="1"/>
    <col min="3" max="3" width="43.42578125" style="371" customWidth="1"/>
    <col min="4" max="4" width="2.7109375" style="371" customWidth="1"/>
    <col min="5" max="5" width="14.28515625" style="371" customWidth="1"/>
    <col min="6" max="6" width="2.7109375" style="371" customWidth="1"/>
    <col min="7" max="8" width="13.7109375" style="371" customWidth="1"/>
    <col min="9" max="9" width="14.7109375" style="371" customWidth="1"/>
    <col min="10" max="10" width="14.7109375" style="371" bestFit="1" customWidth="1"/>
    <col min="11" max="11" width="15.5703125" style="371" bestFit="1" customWidth="1"/>
    <col min="12" max="12" width="2.7109375" style="371" customWidth="1"/>
    <col min="13" max="13" width="10.85546875" style="371" bestFit="1" customWidth="1"/>
    <col min="14" max="14" width="2.7109375" style="371" customWidth="1"/>
    <col min="15" max="15" width="20.28515625" style="371" customWidth="1"/>
    <col min="16" max="16" width="13.140625" style="371" customWidth="1"/>
    <col min="17" max="17" width="9.140625" style="36"/>
    <col min="18" max="18" width="10.7109375" style="36" bestFit="1" customWidth="1"/>
    <col min="19" max="16384" width="9.140625" style="36"/>
  </cols>
  <sheetData>
    <row r="1" spans="1:16">
      <c r="A1" s="1029" t="s">
        <v>1091</v>
      </c>
      <c r="B1" s="1029"/>
      <c r="C1" s="1029"/>
      <c r="D1" s="1029"/>
      <c r="E1" s="1029"/>
      <c r="F1" s="1029"/>
      <c r="G1" s="1029"/>
      <c r="H1" s="1029"/>
      <c r="I1" s="1029"/>
      <c r="J1" s="1029"/>
      <c r="K1" s="1029" t="s">
        <v>1209</v>
      </c>
      <c r="L1" s="1029"/>
      <c r="M1" s="1029"/>
      <c r="N1" s="1029"/>
      <c r="O1" s="1029"/>
    </row>
    <row r="2" spans="1:16">
      <c r="A2" s="1029" t="s">
        <v>92</v>
      </c>
      <c r="B2" s="1029"/>
      <c r="C2" s="1029"/>
      <c r="D2" s="1029"/>
      <c r="E2" s="1029"/>
      <c r="F2" s="1029"/>
      <c r="G2" s="1029"/>
      <c r="H2" s="1029"/>
      <c r="I2" s="1029"/>
      <c r="J2" s="1029"/>
      <c r="K2" s="1029"/>
      <c r="L2" s="1029"/>
      <c r="M2" s="1029"/>
      <c r="N2" s="1029"/>
      <c r="O2" s="1029"/>
    </row>
    <row r="3" spans="1:16">
      <c r="A3" s="117" t="s">
        <v>2644</v>
      </c>
      <c r="B3" s="1029"/>
      <c r="C3" s="1029"/>
      <c r="D3" s="1029"/>
      <c r="E3" s="1029"/>
      <c r="F3" s="1029"/>
      <c r="G3" s="1029"/>
      <c r="H3" s="1029"/>
      <c r="I3" s="1029"/>
      <c r="J3" s="1029"/>
      <c r="K3" s="1029"/>
      <c r="L3" s="1029"/>
      <c r="M3" s="1029"/>
      <c r="N3" s="1029"/>
      <c r="O3" s="1029"/>
    </row>
    <row r="4" spans="1:16">
      <c r="A4" s="117" t="s">
        <v>2645</v>
      </c>
      <c r="B4" s="1029"/>
      <c r="C4" s="1029"/>
      <c r="D4" s="1029"/>
      <c r="E4" s="1029"/>
      <c r="F4" s="1029"/>
      <c r="G4" s="1029"/>
      <c r="H4" s="1029"/>
      <c r="I4" s="1029"/>
      <c r="J4" s="1029"/>
      <c r="K4" s="1029" t="s">
        <v>1536</v>
      </c>
      <c r="L4" s="1029"/>
      <c r="M4" s="1029"/>
      <c r="N4" s="1029"/>
      <c r="O4" s="1029"/>
    </row>
    <row r="5" spans="1:16">
      <c r="A5" s="117" t="s">
        <v>1936</v>
      </c>
      <c r="B5" s="1029"/>
      <c r="C5" s="1029"/>
      <c r="D5" s="1029"/>
      <c r="E5" s="1029"/>
      <c r="F5" s="1029"/>
      <c r="G5" s="1029"/>
      <c r="H5" s="1029"/>
      <c r="I5" s="1029"/>
      <c r="J5" s="1029"/>
      <c r="K5" s="1029" t="s">
        <v>766</v>
      </c>
      <c r="L5" s="1029"/>
      <c r="M5" s="1029"/>
      <c r="N5" s="1029"/>
      <c r="O5" s="1029"/>
    </row>
    <row r="6" spans="1:16">
      <c r="A6" s="1029" t="s">
        <v>1092</v>
      </c>
      <c r="B6" s="1029"/>
      <c r="C6" s="1029"/>
      <c r="D6" s="1029"/>
      <c r="E6" s="1029"/>
      <c r="F6" s="1029"/>
      <c r="G6" s="1029"/>
      <c r="H6" s="1029"/>
      <c r="I6" s="1029"/>
      <c r="J6" s="1029"/>
      <c r="K6" s="1029"/>
      <c r="L6" s="1029"/>
      <c r="M6" s="1029"/>
      <c r="N6" s="1029"/>
      <c r="O6" s="1029"/>
    </row>
    <row r="7" spans="1:16">
      <c r="A7" s="1029" t="s">
        <v>1363</v>
      </c>
      <c r="B7" s="1029"/>
      <c r="C7" s="1029"/>
      <c r="D7" s="1029"/>
      <c r="E7" s="1029"/>
      <c r="F7" s="1029"/>
      <c r="G7" s="1029"/>
      <c r="H7" s="1029"/>
      <c r="I7" s="1029"/>
      <c r="J7" s="1029"/>
      <c r="K7" s="2064" t="s">
        <v>2950</v>
      </c>
      <c r="L7" s="1029"/>
      <c r="M7" s="1029"/>
      <c r="N7" s="1029"/>
      <c r="O7" s="1029"/>
    </row>
    <row r="8" spans="1:16">
      <c r="A8" s="2330" t="s">
        <v>1765</v>
      </c>
      <c r="B8" s="2330"/>
      <c r="C8" s="2330"/>
      <c r="D8" s="2330"/>
      <c r="E8" s="2330"/>
      <c r="F8" s="2330"/>
      <c r="G8" s="2330"/>
      <c r="H8" s="2330"/>
      <c r="I8" s="2330"/>
      <c r="J8" s="2330"/>
      <c r="K8" s="2330"/>
      <c r="L8" s="2330"/>
      <c r="M8" s="2330"/>
      <c r="N8" s="2330"/>
      <c r="O8" s="2330"/>
    </row>
    <row r="9" spans="1:16" ht="6.75" customHeight="1">
      <c r="A9" s="2330"/>
      <c r="B9" s="2330"/>
      <c r="C9" s="2330"/>
      <c r="D9" s="2330"/>
      <c r="E9" s="2330"/>
      <c r="F9" s="2330"/>
      <c r="G9" s="2330"/>
      <c r="H9" s="2330"/>
      <c r="I9" s="2330"/>
      <c r="J9" s="2330"/>
      <c r="K9" s="2330"/>
      <c r="L9" s="2330"/>
      <c r="M9" s="2330"/>
      <c r="N9" s="2330"/>
      <c r="O9" s="2330"/>
    </row>
    <row r="10" spans="1:16">
      <c r="A10" s="1029"/>
      <c r="B10" s="1029"/>
      <c r="C10" s="1029"/>
      <c r="D10" s="1029"/>
      <c r="E10" s="1029"/>
      <c r="F10" s="1029"/>
      <c r="G10" s="1029"/>
      <c r="H10" s="1029"/>
      <c r="I10" s="1029"/>
      <c r="J10" s="1029"/>
      <c r="K10" s="1029"/>
      <c r="L10" s="1029"/>
      <c r="M10" s="1029"/>
      <c r="N10" s="1029"/>
      <c r="O10" s="1029"/>
    </row>
    <row r="11" spans="1:16" s="40" customFormat="1">
      <c r="A11" s="1031"/>
      <c r="B11" s="1031"/>
      <c r="C11" s="1031">
        <v>-1</v>
      </c>
      <c r="D11" s="1031"/>
      <c r="E11" s="1031">
        <v>-2</v>
      </c>
      <c r="F11" s="1031"/>
      <c r="G11" s="1031">
        <v>-3</v>
      </c>
      <c r="H11" s="2019"/>
      <c r="I11" s="2019"/>
      <c r="J11" s="1031">
        <v>-4</v>
      </c>
      <c r="K11" s="1031">
        <v>-5</v>
      </c>
      <c r="L11" s="1031"/>
      <c r="M11" s="1031">
        <v>-6</v>
      </c>
      <c r="N11" s="1031"/>
      <c r="O11" s="1031">
        <v>-7</v>
      </c>
      <c r="P11" s="390"/>
    </row>
    <row r="12" spans="1:16">
      <c r="A12" s="1029"/>
      <c r="B12" s="1029"/>
      <c r="C12" s="1029"/>
      <c r="D12" s="1029"/>
      <c r="E12" s="1029"/>
      <c r="F12" s="1029"/>
      <c r="G12" s="1029"/>
      <c r="H12" s="2011" t="s">
        <v>1</v>
      </c>
      <c r="I12" s="2011"/>
      <c r="J12" s="2011" t="s">
        <v>869</v>
      </c>
      <c r="K12" s="2331" t="s">
        <v>609</v>
      </c>
      <c r="L12" s="2331"/>
      <c r="M12" s="2331"/>
      <c r="N12" s="1029"/>
      <c r="O12" s="1032" t="s">
        <v>1364</v>
      </c>
    </row>
    <row r="13" spans="1:16">
      <c r="A13" s="1032" t="s">
        <v>53</v>
      </c>
      <c r="B13" s="1032"/>
      <c r="C13" s="1032"/>
      <c r="D13" s="1032"/>
      <c r="E13" s="1032" t="s">
        <v>48</v>
      </c>
      <c r="F13" s="1032"/>
      <c r="G13" s="1032" t="s">
        <v>48</v>
      </c>
      <c r="H13" s="2011" t="s">
        <v>2</v>
      </c>
      <c r="I13" s="2011" t="s">
        <v>2837</v>
      </c>
      <c r="J13" s="2011" t="s">
        <v>1523</v>
      </c>
      <c r="K13" s="1030"/>
      <c r="L13" s="1030"/>
      <c r="M13" s="1037" t="s">
        <v>1093</v>
      </c>
      <c r="N13" s="1029"/>
      <c r="O13" s="1032" t="s">
        <v>1365</v>
      </c>
    </row>
    <row r="14" spans="1:16">
      <c r="A14" s="1038" t="s">
        <v>730</v>
      </c>
      <c r="B14" s="1038"/>
      <c r="C14" s="1038" t="s">
        <v>1131</v>
      </c>
      <c r="D14" s="1038"/>
      <c r="E14" s="1039">
        <v>42004</v>
      </c>
      <c r="F14" s="1038"/>
      <c r="G14" s="1039">
        <v>42369</v>
      </c>
      <c r="H14" s="1038" t="s">
        <v>976</v>
      </c>
      <c r="I14" s="2021" t="s">
        <v>733</v>
      </c>
      <c r="J14" s="1038" t="s">
        <v>976</v>
      </c>
      <c r="K14" s="1038" t="s">
        <v>1093</v>
      </c>
      <c r="L14" s="1040"/>
      <c r="M14" s="1038" t="s">
        <v>900</v>
      </c>
      <c r="N14" s="1040"/>
      <c r="O14" s="1038" t="s">
        <v>1917</v>
      </c>
    </row>
    <row r="15" spans="1:16">
      <c r="A15" s="803">
        <v>1</v>
      </c>
      <c r="C15" s="371" t="s">
        <v>1367</v>
      </c>
      <c r="E15" s="375">
        <v>180000000</v>
      </c>
      <c r="G15" s="375">
        <v>180000000</v>
      </c>
      <c r="H15" s="375">
        <v>180000000</v>
      </c>
      <c r="I15" s="375"/>
      <c r="J15" s="375">
        <v>180000000</v>
      </c>
      <c r="K15" s="391">
        <v>-177381741.8003</v>
      </c>
      <c r="M15" s="376">
        <v>0.46329999999999999</v>
      </c>
      <c r="O15" s="993">
        <v>2618259.1997000002</v>
      </c>
    </row>
    <row r="16" spans="1:16">
      <c r="A16" s="803">
        <v>2</v>
      </c>
      <c r="C16" s="371" t="s">
        <v>1368</v>
      </c>
      <c r="E16" s="400">
        <v>2300000</v>
      </c>
      <c r="F16" s="375"/>
      <c r="G16" s="400">
        <v>17000000</v>
      </c>
      <c r="H16" s="375">
        <v>17100000</v>
      </c>
      <c r="I16" s="375"/>
      <c r="J16" s="375">
        <v>17100000</v>
      </c>
      <c r="K16" s="391">
        <v>-16851341.668900002</v>
      </c>
      <c r="M16" s="376">
        <v>4.3999999999999997E-2</v>
      </c>
      <c r="O16" s="993">
        <v>248658.33110000001</v>
      </c>
    </row>
    <row r="17" spans="1:20">
      <c r="A17" s="803">
        <v>3</v>
      </c>
      <c r="C17" s="371" t="s">
        <v>661</v>
      </c>
      <c r="E17" s="375"/>
      <c r="F17" s="375"/>
      <c r="G17" s="375">
        <v>0</v>
      </c>
      <c r="H17" s="375">
        <v>0</v>
      </c>
      <c r="I17" s="375"/>
      <c r="J17" s="375">
        <v>0</v>
      </c>
      <c r="K17" s="391">
        <v>0</v>
      </c>
      <c r="M17" s="376">
        <v>0</v>
      </c>
      <c r="O17" s="993">
        <v>0</v>
      </c>
      <c r="T17" s="36" t="s">
        <v>2941</v>
      </c>
    </row>
    <row r="18" spans="1:20">
      <c r="A18" s="803">
        <v>4</v>
      </c>
      <c r="C18" s="371" t="s">
        <v>591</v>
      </c>
      <c r="E18" s="375">
        <v>187444000</v>
      </c>
      <c r="F18" s="375"/>
      <c r="G18" s="400">
        <v>201935000</v>
      </c>
      <c r="H18" s="400">
        <v>191433000</v>
      </c>
      <c r="I18" s="400"/>
      <c r="J18" s="375">
        <v>191433000</v>
      </c>
      <c r="K18" s="391">
        <v>-188648591.82449999</v>
      </c>
      <c r="M18" s="376">
        <v>0.49270000000000003</v>
      </c>
      <c r="O18" s="993">
        <v>2784408.1754999999</v>
      </c>
    </row>
    <row r="19" spans="1:20">
      <c r="A19" s="374">
        <v>5</v>
      </c>
      <c r="C19" s="382" t="s">
        <v>1038</v>
      </c>
      <c r="E19" s="375">
        <v>0</v>
      </c>
      <c r="F19" s="375"/>
      <c r="G19" s="375">
        <v>0</v>
      </c>
      <c r="H19" s="375"/>
      <c r="I19" s="375"/>
      <c r="J19" s="375">
        <v>0</v>
      </c>
      <c r="K19" s="391">
        <v>0</v>
      </c>
      <c r="M19" s="392" t="s">
        <v>1097</v>
      </c>
      <c r="O19" s="993">
        <v>0</v>
      </c>
    </row>
    <row r="20" spans="1:20">
      <c r="A20" s="374">
        <v>6</v>
      </c>
      <c r="C20" s="382" t="s">
        <v>24</v>
      </c>
      <c r="E20" s="375"/>
      <c r="F20" s="375"/>
      <c r="G20" s="375">
        <v>0</v>
      </c>
      <c r="H20" s="375"/>
      <c r="I20" s="375"/>
      <c r="J20" s="375">
        <v>0</v>
      </c>
      <c r="K20" s="391">
        <v>0</v>
      </c>
      <c r="M20" s="392" t="s">
        <v>1097</v>
      </c>
      <c r="O20" s="993">
        <v>0</v>
      </c>
    </row>
    <row r="21" spans="1:20">
      <c r="A21" s="374">
        <v>7</v>
      </c>
      <c r="C21" s="382" t="s">
        <v>986</v>
      </c>
      <c r="E21" s="375"/>
      <c r="F21" s="375"/>
      <c r="G21" s="375">
        <v>0</v>
      </c>
      <c r="H21" s="375"/>
      <c r="I21" s="375"/>
      <c r="J21" s="375">
        <v>0</v>
      </c>
      <c r="K21" s="391">
        <v>0</v>
      </c>
      <c r="M21" s="376">
        <v>0</v>
      </c>
      <c r="O21" s="993">
        <v>0</v>
      </c>
    </row>
    <row r="22" spans="1:20">
      <c r="A22" s="374">
        <v>8</v>
      </c>
      <c r="C22" s="371" t="s">
        <v>2791</v>
      </c>
      <c r="E22" s="375">
        <v>-103920.16999999994</v>
      </c>
      <c r="F22" s="375"/>
      <c r="G22" s="375">
        <v>1092.1900000000023</v>
      </c>
      <c r="H22" s="375">
        <v>-95909.428461538468</v>
      </c>
      <c r="I22" s="375">
        <v>1683</v>
      </c>
      <c r="J22" s="375">
        <v>-94226.428461538468</v>
      </c>
      <c r="K22" s="391">
        <v>94226.428461538468</v>
      </c>
      <c r="M22" s="392" t="s">
        <v>1097</v>
      </c>
      <c r="O22" s="993">
        <v>0</v>
      </c>
    </row>
    <row r="23" spans="1:20">
      <c r="A23" s="374">
        <v>9</v>
      </c>
      <c r="C23" s="371" t="s">
        <v>1298</v>
      </c>
      <c r="E23" s="375"/>
      <c r="F23" s="375"/>
      <c r="G23" s="375"/>
      <c r="H23" s="375"/>
      <c r="I23" s="2022"/>
      <c r="J23" s="2022"/>
      <c r="K23" s="391">
        <v>0</v>
      </c>
      <c r="M23" s="376">
        <v>0</v>
      </c>
      <c r="O23" s="993">
        <v>0</v>
      </c>
    </row>
    <row r="24" spans="1:20">
      <c r="A24" s="374">
        <v>10</v>
      </c>
      <c r="E24" s="393"/>
      <c r="F24" s="375"/>
      <c r="G24" s="393"/>
      <c r="H24" s="393"/>
      <c r="I24" s="2020"/>
      <c r="J24" s="2020"/>
      <c r="K24" s="373"/>
      <c r="M24" s="394"/>
      <c r="O24" s="1019"/>
    </row>
    <row r="25" spans="1:20" ht="15.75" thickBot="1">
      <c r="A25" s="374">
        <v>11</v>
      </c>
      <c r="C25" s="371" t="s">
        <v>81</v>
      </c>
      <c r="E25" s="395">
        <v>369640079.82999998</v>
      </c>
      <c r="F25" s="375"/>
      <c r="G25" s="395">
        <v>398936092.19</v>
      </c>
      <c r="H25" s="395">
        <v>388437090.57153845</v>
      </c>
      <c r="I25" s="395">
        <v>1683</v>
      </c>
      <c r="J25" s="395">
        <v>388438773.57153845</v>
      </c>
      <c r="K25" s="395">
        <v>-382787448.86523843</v>
      </c>
      <c r="M25" s="381">
        <v>1</v>
      </c>
      <c r="O25" s="395">
        <v>5651325.7062393166</v>
      </c>
      <c r="P25" s="396"/>
      <c r="R25" s="397"/>
      <c r="S25" s="839"/>
    </row>
    <row r="26" spans="1:20" ht="15.75" thickTop="1">
      <c r="A26" s="803">
        <v>12</v>
      </c>
      <c r="R26" s="1219"/>
    </row>
    <row r="27" spans="1:20">
      <c r="A27" s="803">
        <v>13</v>
      </c>
      <c r="C27" s="2288" t="s">
        <v>1285</v>
      </c>
      <c r="O27" s="397"/>
    </row>
    <row r="28" spans="1:20">
      <c r="A28" s="803">
        <v>14</v>
      </c>
    </row>
    <row r="29" spans="1:20">
      <c r="A29" s="803">
        <v>15</v>
      </c>
      <c r="C29" s="387" t="s">
        <v>2649</v>
      </c>
    </row>
    <row r="30" spans="1:20">
      <c r="A30" s="803">
        <v>16</v>
      </c>
      <c r="C30" s="384" t="s">
        <v>0</v>
      </c>
    </row>
    <row r="31" spans="1:20">
      <c r="A31" s="803">
        <v>17</v>
      </c>
      <c r="C31" s="384" t="s">
        <v>801</v>
      </c>
    </row>
    <row r="32" spans="1:20">
      <c r="A32" s="384"/>
    </row>
    <row r="33" spans="1:15">
      <c r="A33" s="385"/>
      <c r="B33" s="399"/>
      <c r="C33" s="399"/>
      <c r="D33" s="399"/>
      <c r="E33" s="399"/>
      <c r="F33" s="399"/>
      <c r="G33" s="399"/>
      <c r="H33" s="399"/>
      <c r="I33" s="399"/>
      <c r="J33" s="399"/>
      <c r="K33" s="399"/>
      <c r="L33" s="399"/>
      <c r="M33" s="399"/>
      <c r="N33" s="399"/>
      <c r="O33" s="399"/>
    </row>
  </sheetData>
  <mergeCells count="2">
    <mergeCell ref="A8:O9"/>
    <mergeCell ref="K12:M12"/>
  </mergeCells>
  <phoneticPr fontId="27" type="noConversion"/>
  <printOptions horizontalCentered="1"/>
  <pageMargins left="0.75" right="0.5" top="0.75" bottom="0.5" header="0.25" footer="0.25"/>
  <pageSetup scale="7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10">
    <pageSetUpPr fitToPage="1"/>
  </sheetPr>
  <dimension ref="A1:IM70"/>
  <sheetViews>
    <sheetView view="pageBreakPreview" zoomScale="60" zoomScaleNormal="100" workbookViewId="0">
      <selection activeCell="L1" sqref="L1:M1048576"/>
    </sheetView>
  </sheetViews>
  <sheetFormatPr defaultColWidth="10.85546875" defaultRowHeight="12"/>
  <cols>
    <col min="1" max="1" width="4.140625" style="211" customWidth="1"/>
    <col min="2" max="2" width="33" style="211" customWidth="1"/>
    <col min="3" max="4" width="10.7109375" style="211" customWidth="1"/>
    <col min="5" max="5" width="12.7109375" style="211" customWidth="1"/>
    <col min="6" max="7" width="10.7109375" style="211" customWidth="1"/>
    <col min="8" max="8" width="10.7109375" style="1146" customWidth="1"/>
    <col min="9" max="9" width="10.7109375" style="211" customWidth="1"/>
    <col min="10" max="13" width="10.85546875" style="211" customWidth="1"/>
    <col min="14" max="118" width="10.85546875" style="46" customWidth="1"/>
    <col min="119" max="16384" width="10.85546875" style="46"/>
  </cols>
  <sheetData>
    <row r="1" spans="1:13" s="34" customFormat="1">
      <c r="A1" s="203" t="s">
        <v>561</v>
      </c>
      <c r="B1" s="203"/>
      <c r="C1" s="203"/>
      <c r="D1" s="203"/>
      <c r="E1" s="211"/>
      <c r="F1" s="211"/>
      <c r="G1" s="778" t="s">
        <v>1209</v>
      </c>
      <c r="I1" s="203"/>
      <c r="J1" s="211"/>
      <c r="K1" s="211"/>
      <c r="L1" s="211"/>
      <c r="M1" s="211"/>
    </row>
    <row r="2" spans="1:13" s="34" customFormat="1">
      <c r="A2" s="203" t="s">
        <v>470</v>
      </c>
      <c r="B2" s="203"/>
      <c r="C2" s="203"/>
      <c r="D2" s="203"/>
      <c r="E2" s="1130"/>
      <c r="F2" s="211"/>
      <c r="G2" s="1147"/>
      <c r="I2" s="203"/>
      <c r="J2" s="211"/>
      <c r="K2" s="211"/>
      <c r="L2" s="211"/>
      <c r="M2" s="211"/>
    </row>
    <row r="3" spans="1:13" s="34" customFormat="1">
      <c r="A3" s="203"/>
      <c r="B3" s="203"/>
      <c r="C3" s="203"/>
      <c r="D3" s="203"/>
      <c r="E3" s="211"/>
      <c r="F3" s="211"/>
      <c r="G3" s="1133" t="s">
        <v>476</v>
      </c>
      <c r="I3" s="203"/>
      <c r="J3" s="211"/>
      <c r="K3" s="211"/>
      <c r="L3" s="211"/>
      <c r="M3" s="211"/>
    </row>
    <row r="4" spans="1:13" s="34" customFormat="1">
      <c r="A4" s="203" t="s">
        <v>2644</v>
      </c>
      <c r="B4" s="203"/>
      <c r="C4" s="1133"/>
      <c r="D4" s="1133"/>
      <c r="E4" s="1133"/>
      <c r="F4" s="237"/>
      <c r="G4" s="1133" t="s">
        <v>1455</v>
      </c>
      <c r="I4" s="203"/>
      <c r="J4" s="211"/>
      <c r="K4" s="211"/>
      <c r="L4" s="211"/>
      <c r="M4" s="211"/>
    </row>
    <row r="5" spans="1:13" s="34" customFormat="1">
      <c r="A5" s="203" t="s">
        <v>2645</v>
      </c>
      <c r="B5" s="203"/>
      <c r="C5" s="778"/>
      <c r="D5" s="778"/>
      <c r="E5" s="778"/>
      <c r="F5" s="237"/>
      <c r="G5" s="778" t="s">
        <v>2948</v>
      </c>
      <c r="I5" s="203"/>
      <c r="J5" s="211"/>
      <c r="K5" s="211"/>
      <c r="L5" s="211"/>
      <c r="M5" s="211"/>
    </row>
    <row r="6" spans="1:13" s="34" customFormat="1">
      <c r="A6" s="203" t="s">
        <v>1935</v>
      </c>
      <c r="B6" s="203"/>
      <c r="C6" s="778"/>
      <c r="D6" s="778"/>
      <c r="E6" s="778"/>
      <c r="F6" s="237"/>
      <c r="G6" s="1147"/>
      <c r="I6" s="203"/>
      <c r="J6" s="211"/>
      <c r="K6" s="211"/>
      <c r="L6" s="211"/>
      <c r="M6" s="211"/>
    </row>
    <row r="7" spans="1:13" s="34" customFormat="1">
      <c r="A7" s="140" t="s">
        <v>1343</v>
      </c>
      <c r="B7" s="1131"/>
      <c r="C7" s="778"/>
      <c r="D7" s="778"/>
      <c r="E7" s="778"/>
      <c r="F7" s="237"/>
      <c r="G7" s="778" t="s">
        <v>562</v>
      </c>
      <c r="I7" s="203"/>
      <c r="J7" s="211"/>
      <c r="K7" s="211"/>
      <c r="L7" s="211"/>
      <c r="M7" s="211"/>
    </row>
    <row r="8" spans="1:13" s="34" customFormat="1" ht="12.75" thickBot="1">
      <c r="A8" s="283"/>
      <c r="B8" s="283"/>
      <c r="C8" s="283"/>
      <c r="D8" s="283"/>
      <c r="E8" s="1134"/>
      <c r="F8" s="1134"/>
      <c r="G8" s="1134"/>
      <c r="H8" s="1139"/>
      <c r="I8" s="283"/>
      <c r="J8" s="211"/>
      <c r="K8" s="211"/>
      <c r="L8" s="211"/>
      <c r="M8" s="211"/>
    </row>
    <row r="9" spans="1:13" s="1121" customFormat="1">
      <c r="A9" s="1140"/>
      <c r="B9" s="1141" t="s">
        <v>914</v>
      </c>
      <c r="C9" s="1142">
        <v>-2</v>
      </c>
      <c r="D9" s="1143">
        <v>-3</v>
      </c>
      <c r="E9" s="1143">
        <v>-4</v>
      </c>
      <c r="F9" s="1143">
        <v>-5</v>
      </c>
      <c r="G9" s="1143">
        <v>-6</v>
      </c>
      <c r="H9" s="1143">
        <v>-7</v>
      </c>
      <c r="I9" s="1143">
        <v>-8</v>
      </c>
      <c r="J9" s="1144"/>
      <c r="K9" s="1144"/>
      <c r="L9" s="1144"/>
      <c r="M9" s="1144"/>
    </row>
    <row r="10" spans="1:13" s="34" customFormat="1">
      <c r="A10" s="1148"/>
      <c r="B10" s="1148"/>
      <c r="C10" s="1148" t="s">
        <v>1397</v>
      </c>
      <c r="D10" s="1148" t="s">
        <v>74</v>
      </c>
      <c r="E10" s="1086" t="s">
        <v>1523</v>
      </c>
      <c r="F10" s="1149"/>
      <c r="G10" s="1149" t="s">
        <v>869</v>
      </c>
      <c r="H10" s="1150" t="s">
        <v>974</v>
      </c>
      <c r="I10" s="1149" t="s">
        <v>974</v>
      </c>
      <c r="J10" s="211"/>
      <c r="K10" s="211"/>
      <c r="L10" s="211"/>
      <c r="M10" s="211"/>
    </row>
    <row r="11" spans="1:13" s="34" customFormat="1" ht="23.25" customHeight="1">
      <c r="A11" s="1125" t="s">
        <v>802</v>
      </c>
      <c r="B11" s="762" t="s">
        <v>975</v>
      </c>
      <c r="C11" s="1124" t="s">
        <v>1896</v>
      </c>
      <c r="D11" s="1124" t="s">
        <v>1897</v>
      </c>
      <c r="E11" s="761" t="s">
        <v>1524</v>
      </c>
      <c r="F11" s="761" t="s">
        <v>1783</v>
      </c>
      <c r="G11" s="934" t="s">
        <v>976</v>
      </c>
      <c r="H11" s="1145" t="s">
        <v>977</v>
      </c>
      <c r="I11" s="761" t="s">
        <v>978</v>
      </c>
      <c r="J11" s="211"/>
      <c r="K11" s="211"/>
      <c r="L11" s="211"/>
      <c r="M11" s="211"/>
    </row>
    <row r="12" spans="1:13" s="34" customFormat="1">
      <c r="A12" s="281">
        <v>1</v>
      </c>
      <c r="B12" s="203" t="s">
        <v>979</v>
      </c>
      <c r="C12" s="281"/>
      <c r="D12" s="281"/>
      <c r="E12" s="212"/>
      <c r="F12" s="212"/>
      <c r="G12" s="212"/>
      <c r="H12" s="1146"/>
      <c r="I12" s="212"/>
      <c r="J12" s="211"/>
      <c r="K12" s="211"/>
      <c r="L12" s="211"/>
      <c r="M12" s="211"/>
    </row>
    <row r="13" spans="1:13" s="34" customFormat="1">
      <c r="A13" s="1151">
        <v>2</v>
      </c>
      <c r="B13" s="211" t="s">
        <v>563</v>
      </c>
      <c r="C13" s="310">
        <v>2350.34</v>
      </c>
      <c r="D13" s="310">
        <v>2350.34</v>
      </c>
      <c r="E13" s="216">
        <v>2350</v>
      </c>
      <c r="F13" s="216"/>
      <c r="G13" s="216">
        <v>2350</v>
      </c>
      <c r="H13" s="213"/>
      <c r="I13" s="212" t="s">
        <v>560</v>
      </c>
      <c r="J13" s="211"/>
      <c r="K13" s="211"/>
      <c r="L13" s="211"/>
      <c r="M13" s="211"/>
    </row>
    <row r="14" spans="1:13" s="34" customFormat="1">
      <c r="A14" s="1151">
        <v>3</v>
      </c>
      <c r="B14" s="211" t="s">
        <v>564</v>
      </c>
      <c r="C14" s="202">
        <v>104.36</v>
      </c>
      <c r="D14" s="202">
        <v>102.84</v>
      </c>
      <c r="E14" s="212">
        <v>103</v>
      </c>
      <c r="F14" s="212"/>
      <c r="G14" s="212">
        <v>103</v>
      </c>
      <c r="H14" s="213"/>
      <c r="I14" s="212" t="s">
        <v>560</v>
      </c>
      <c r="J14" s="211"/>
      <c r="K14" s="211"/>
      <c r="L14" s="211"/>
      <c r="M14" s="211"/>
    </row>
    <row r="15" spans="1:13" s="34" customFormat="1">
      <c r="A15" s="1151">
        <v>4</v>
      </c>
      <c r="B15" s="211" t="s">
        <v>565</v>
      </c>
      <c r="C15" s="202">
        <v>0</v>
      </c>
      <c r="D15" s="202">
        <v>0</v>
      </c>
      <c r="E15" s="212">
        <v>0</v>
      </c>
      <c r="F15" s="212"/>
      <c r="G15" s="212">
        <v>0</v>
      </c>
      <c r="H15" s="213"/>
      <c r="I15" s="212" t="s">
        <v>560</v>
      </c>
      <c r="J15" s="211"/>
      <c r="K15" s="211"/>
      <c r="L15" s="211"/>
      <c r="M15" s="211"/>
    </row>
    <row r="16" spans="1:13" s="34" customFormat="1">
      <c r="A16" s="1151">
        <v>5</v>
      </c>
      <c r="B16" s="203" t="s">
        <v>566</v>
      </c>
      <c r="C16" s="202"/>
      <c r="D16" s="202"/>
      <c r="E16" s="212"/>
      <c r="F16" s="212"/>
      <c r="G16" s="212"/>
      <c r="H16" s="213"/>
      <c r="I16" s="212" t="s">
        <v>560</v>
      </c>
      <c r="J16" s="211"/>
      <c r="K16" s="211"/>
      <c r="L16" s="211"/>
      <c r="M16" s="211"/>
    </row>
    <row r="17" spans="1:13" s="34" customFormat="1">
      <c r="A17" s="1151">
        <v>6</v>
      </c>
      <c r="B17" s="211" t="s">
        <v>567</v>
      </c>
      <c r="C17" s="202">
        <v>0</v>
      </c>
      <c r="D17" s="202">
        <v>0</v>
      </c>
      <c r="E17" s="212">
        <v>0</v>
      </c>
      <c r="F17" s="212"/>
      <c r="G17" s="212">
        <v>0</v>
      </c>
      <c r="H17" s="213"/>
      <c r="I17" s="212" t="s">
        <v>560</v>
      </c>
      <c r="J17" s="211"/>
      <c r="K17" s="211"/>
      <c r="L17" s="211"/>
      <c r="M17" s="211"/>
    </row>
    <row r="18" spans="1:13" s="34" customFormat="1">
      <c r="A18" s="1151">
        <v>7</v>
      </c>
      <c r="B18" s="211" t="s">
        <v>568</v>
      </c>
      <c r="C18" s="202">
        <v>0</v>
      </c>
      <c r="D18" s="202">
        <v>0</v>
      </c>
      <c r="E18" s="212">
        <v>0</v>
      </c>
      <c r="F18" s="216"/>
      <c r="G18" s="212">
        <v>0</v>
      </c>
      <c r="H18" s="213"/>
      <c r="I18" s="212" t="s">
        <v>560</v>
      </c>
      <c r="J18" s="211"/>
      <c r="K18" s="211"/>
      <c r="L18" s="211"/>
      <c r="M18" s="211"/>
    </row>
    <row r="19" spans="1:13" s="34" customFormat="1">
      <c r="A19" s="1151">
        <v>8</v>
      </c>
      <c r="B19" s="709" t="s">
        <v>370</v>
      </c>
      <c r="C19" s="202">
        <v>0</v>
      </c>
      <c r="D19" s="202">
        <v>0</v>
      </c>
      <c r="E19" s="212">
        <v>0</v>
      </c>
      <c r="F19" s="216"/>
      <c r="G19" s="212">
        <v>0</v>
      </c>
      <c r="H19" s="213"/>
      <c r="I19" s="212"/>
      <c r="J19" s="211"/>
      <c r="K19" s="211"/>
      <c r="L19" s="211"/>
      <c r="M19" s="211"/>
    </row>
    <row r="20" spans="1:13" s="34" customFormat="1">
      <c r="A20" s="1151">
        <v>9</v>
      </c>
      <c r="B20" s="211" t="s">
        <v>569</v>
      </c>
      <c r="C20" s="202">
        <v>244274.56</v>
      </c>
      <c r="D20" s="202">
        <v>248969.19</v>
      </c>
      <c r="E20" s="212">
        <v>245191</v>
      </c>
      <c r="F20" s="766">
        <v>38750</v>
      </c>
      <c r="G20" s="212">
        <v>283941</v>
      </c>
      <c r="H20" s="213"/>
      <c r="I20" s="212" t="s">
        <v>560</v>
      </c>
      <c r="J20" s="211"/>
      <c r="K20" s="211"/>
      <c r="L20" s="211"/>
      <c r="M20" s="211"/>
    </row>
    <row r="21" spans="1:13" s="34" customFormat="1">
      <c r="A21" s="1151">
        <v>10</v>
      </c>
      <c r="B21" s="211" t="s">
        <v>570</v>
      </c>
      <c r="C21" s="202">
        <v>2550470.9499999997</v>
      </c>
      <c r="D21" s="202">
        <v>2567155.31</v>
      </c>
      <c r="E21" s="212">
        <v>2557606</v>
      </c>
      <c r="F21" s="766">
        <v>519000</v>
      </c>
      <c r="G21" s="212">
        <v>3076606</v>
      </c>
      <c r="H21" s="213"/>
      <c r="I21" s="212" t="s">
        <v>560</v>
      </c>
      <c r="J21" s="211"/>
      <c r="K21" s="211"/>
      <c r="L21" s="211"/>
      <c r="M21" s="211"/>
    </row>
    <row r="22" spans="1:13" s="34" customFormat="1">
      <c r="A22" s="1151">
        <v>11</v>
      </c>
      <c r="B22" s="211" t="s">
        <v>571</v>
      </c>
      <c r="C22" s="202">
        <v>0</v>
      </c>
      <c r="D22" s="202">
        <v>0</v>
      </c>
      <c r="E22" s="212">
        <v>0</v>
      </c>
      <c r="G22" s="212">
        <v>0</v>
      </c>
      <c r="H22" s="213"/>
      <c r="I22" s="212" t="s">
        <v>560</v>
      </c>
      <c r="J22" s="211"/>
      <c r="K22" s="211"/>
      <c r="L22" s="211"/>
      <c r="M22" s="211"/>
    </row>
    <row r="23" spans="1:13" s="34" customFormat="1">
      <c r="A23" s="1151">
        <v>12</v>
      </c>
      <c r="B23" s="211" t="s">
        <v>1104</v>
      </c>
      <c r="C23" s="202">
        <v>131589.92000000001</v>
      </c>
      <c r="D23" s="202">
        <v>135174.92000000001</v>
      </c>
      <c r="E23" s="212">
        <v>131866</v>
      </c>
      <c r="G23" s="212">
        <v>131866</v>
      </c>
      <c r="H23" s="213"/>
      <c r="I23" s="212" t="s">
        <v>560</v>
      </c>
      <c r="J23" s="211"/>
      <c r="K23" s="211"/>
      <c r="L23" s="211"/>
      <c r="M23" s="211"/>
    </row>
    <row r="24" spans="1:13" s="34" customFormat="1">
      <c r="A24" s="1151">
        <v>13</v>
      </c>
      <c r="B24" s="211" t="s">
        <v>1105</v>
      </c>
      <c r="C24" s="202">
        <v>1028.94</v>
      </c>
      <c r="D24" s="202">
        <v>5715.54</v>
      </c>
      <c r="E24" s="212">
        <v>4015</v>
      </c>
      <c r="F24" s="766">
        <v>81000</v>
      </c>
      <c r="G24" s="212">
        <v>85015</v>
      </c>
      <c r="H24" s="213"/>
      <c r="I24" s="212" t="s">
        <v>560</v>
      </c>
      <c r="J24" s="211"/>
      <c r="K24" s="211"/>
      <c r="L24" s="211"/>
      <c r="M24" s="211"/>
    </row>
    <row r="25" spans="1:13" s="34" customFormat="1">
      <c r="A25" s="1151">
        <v>14</v>
      </c>
      <c r="B25" s="211" t="s">
        <v>1106</v>
      </c>
      <c r="C25" s="202">
        <v>0</v>
      </c>
      <c r="D25" s="202">
        <v>0</v>
      </c>
      <c r="E25" s="212">
        <v>0</v>
      </c>
      <c r="G25" s="212">
        <v>0</v>
      </c>
      <c r="H25" s="213"/>
      <c r="I25" s="212" t="s">
        <v>560</v>
      </c>
      <c r="J25" s="211"/>
      <c r="K25" s="211"/>
      <c r="L25" s="211"/>
      <c r="M25" s="211"/>
    </row>
    <row r="26" spans="1:13" s="34" customFormat="1">
      <c r="A26" s="1151">
        <v>15</v>
      </c>
      <c r="B26" s="211" t="s">
        <v>1107</v>
      </c>
      <c r="C26" s="202">
        <v>1430.57</v>
      </c>
      <c r="D26" s="202">
        <v>1430.57</v>
      </c>
      <c r="E26" s="212">
        <v>1431</v>
      </c>
      <c r="G26" s="212">
        <v>1431</v>
      </c>
      <c r="H26" s="213"/>
      <c r="I26" s="212" t="s">
        <v>560</v>
      </c>
      <c r="J26" s="211"/>
      <c r="K26" s="211"/>
      <c r="L26" s="211"/>
      <c r="M26" s="211"/>
    </row>
    <row r="27" spans="1:13" s="34" customFormat="1">
      <c r="A27" s="1151">
        <v>16</v>
      </c>
      <c r="B27" s="203" t="s">
        <v>1108</v>
      </c>
      <c r="C27" s="202"/>
      <c r="D27" s="202"/>
      <c r="E27" s="212"/>
      <c r="G27" s="212"/>
      <c r="H27" s="213"/>
      <c r="I27" s="212" t="s">
        <v>560</v>
      </c>
      <c r="J27" s="211"/>
      <c r="K27" s="211"/>
      <c r="L27" s="211"/>
      <c r="M27" s="211"/>
    </row>
    <row r="28" spans="1:13" s="34" customFormat="1">
      <c r="A28" s="1151">
        <v>17</v>
      </c>
      <c r="B28" s="211" t="s">
        <v>1109</v>
      </c>
      <c r="C28" s="202">
        <v>0</v>
      </c>
      <c r="D28" s="202"/>
      <c r="E28" s="212"/>
      <c r="G28" s="212">
        <v>0</v>
      </c>
      <c r="H28" s="213"/>
      <c r="I28" s="212" t="s">
        <v>560</v>
      </c>
      <c r="J28" s="211"/>
      <c r="K28" s="211"/>
      <c r="L28" s="211"/>
      <c r="M28" s="211"/>
    </row>
    <row r="29" spans="1:13" s="34" customFormat="1">
      <c r="A29" s="1151">
        <v>18</v>
      </c>
      <c r="B29" s="211" t="s">
        <v>1110</v>
      </c>
      <c r="C29" s="202">
        <v>295114.01</v>
      </c>
      <c r="D29" s="202">
        <v>598892.46</v>
      </c>
      <c r="E29" s="212">
        <v>517111</v>
      </c>
      <c r="G29" s="212">
        <v>517111</v>
      </c>
      <c r="H29" s="213"/>
      <c r="I29" s="212" t="s">
        <v>560</v>
      </c>
      <c r="J29" s="211"/>
      <c r="K29" s="211"/>
      <c r="L29" s="211"/>
      <c r="M29" s="211"/>
    </row>
    <row r="30" spans="1:13" s="34" customFormat="1">
      <c r="A30" s="1151">
        <v>19</v>
      </c>
      <c r="B30" s="211" t="s">
        <v>1111</v>
      </c>
      <c r="C30" s="202">
        <v>0</v>
      </c>
      <c r="D30" s="202">
        <v>0</v>
      </c>
      <c r="E30" s="212">
        <v>0</v>
      </c>
      <c r="G30" s="212">
        <v>0</v>
      </c>
      <c r="H30" s="213"/>
      <c r="I30" s="212" t="s">
        <v>560</v>
      </c>
      <c r="J30" s="211"/>
      <c r="K30" s="211"/>
      <c r="L30" s="211"/>
      <c r="M30" s="211"/>
    </row>
    <row r="31" spans="1:13" s="34" customFormat="1">
      <c r="A31" s="1151">
        <v>20</v>
      </c>
      <c r="B31" s="211" t="s">
        <v>1112</v>
      </c>
      <c r="C31" s="202">
        <v>243029.37</v>
      </c>
      <c r="D31" s="202">
        <v>247690.16</v>
      </c>
      <c r="E31" s="212">
        <v>247125</v>
      </c>
      <c r="F31" s="766">
        <v>25000</v>
      </c>
      <c r="G31" s="212">
        <v>272125</v>
      </c>
      <c r="H31" s="213"/>
      <c r="I31" s="212" t="s">
        <v>560</v>
      </c>
      <c r="J31" s="211"/>
      <c r="K31" s="211"/>
      <c r="L31" s="211"/>
      <c r="M31" s="211"/>
    </row>
    <row r="32" spans="1:13" s="34" customFormat="1">
      <c r="A32" s="1151">
        <v>21</v>
      </c>
      <c r="B32" s="211" t="s">
        <v>1113</v>
      </c>
      <c r="C32" s="202">
        <v>8716.56</v>
      </c>
      <c r="D32" s="202">
        <v>8716.56</v>
      </c>
      <c r="E32" s="212">
        <v>8717</v>
      </c>
      <c r="G32" s="212">
        <v>8717</v>
      </c>
      <c r="H32" s="213"/>
      <c r="I32" s="212" t="s">
        <v>560</v>
      </c>
      <c r="J32" s="211"/>
      <c r="K32" s="211"/>
      <c r="L32" s="211"/>
      <c r="M32" s="211"/>
    </row>
    <row r="33" spans="1:13" s="34" customFormat="1">
      <c r="A33" s="1151">
        <v>22</v>
      </c>
      <c r="B33" s="203" t="s">
        <v>922</v>
      </c>
      <c r="C33" s="202"/>
      <c r="D33" s="202"/>
      <c r="E33" s="212"/>
      <c r="G33" s="212"/>
      <c r="H33" s="213"/>
      <c r="I33" s="212" t="s">
        <v>560</v>
      </c>
      <c r="J33" s="211"/>
      <c r="K33" s="211"/>
      <c r="L33" s="211"/>
      <c r="M33" s="211"/>
    </row>
    <row r="34" spans="1:13" s="34" customFormat="1">
      <c r="A34" s="1151">
        <v>23</v>
      </c>
      <c r="B34" s="211" t="s">
        <v>791</v>
      </c>
      <c r="C34" s="202">
        <v>18403.25</v>
      </c>
      <c r="D34" s="202">
        <v>18403.25</v>
      </c>
      <c r="E34" s="212">
        <v>18403</v>
      </c>
      <c r="G34" s="212">
        <v>18403</v>
      </c>
      <c r="H34" s="213"/>
      <c r="I34" s="212" t="s">
        <v>560</v>
      </c>
      <c r="J34" s="211"/>
      <c r="K34" s="211"/>
      <c r="L34" s="211"/>
      <c r="M34" s="211"/>
    </row>
    <row r="35" spans="1:13" s="34" customFormat="1">
      <c r="A35" s="1151">
        <v>24</v>
      </c>
      <c r="B35" s="211" t="s">
        <v>1507</v>
      </c>
      <c r="C35" s="202">
        <v>137954.18</v>
      </c>
      <c r="D35" s="202">
        <v>167756.37</v>
      </c>
      <c r="E35" s="212">
        <v>149985</v>
      </c>
      <c r="G35" s="212">
        <v>149985</v>
      </c>
      <c r="H35" s="213"/>
      <c r="I35" s="212" t="s">
        <v>560</v>
      </c>
      <c r="J35" s="211"/>
      <c r="K35" s="211"/>
      <c r="L35" s="211"/>
      <c r="M35" s="211"/>
    </row>
    <row r="36" spans="1:13" s="34" customFormat="1">
      <c r="A36" s="1151">
        <v>25</v>
      </c>
      <c r="B36" s="709" t="s">
        <v>1544</v>
      </c>
      <c r="C36" s="202">
        <v>348.93</v>
      </c>
      <c r="D36" s="202">
        <v>953.28</v>
      </c>
      <c r="E36" s="212">
        <v>476</v>
      </c>
      <c r="G36" s="212">
        <v>476</v>
      </c>
      <c r="H36" s="213"/>
      <c r="I36" s="212"/>
      <c r="J36" s="211"/>
      <c r="K36" s="211"/>
      <c r="L36" s="211"/>
      <c r="M36" s="211"/>
    </row>
    <row r="37" spans="1:13" s="34" customFormat="1">
      <c r="A37" s="1151">
        <v>26</v>
      </c>
      <c r="B37" s="211" t="s">
        <v>1508</v>
      </c>
      <c r="C37" s="202">
        <v>993502.45</v>
      </c>
      <c r="D37" s="202">
        <v>1018738.52</v>
      </c>
      <c r="E37" s="212">
        <v>1006137</v>
      </c>
      <c r="F37" s="766">
        <v>556750</v>
      </c>
      <c r="G37" s="212">
        <v>1562887</v>
      </c>
      <c r="H37" s="213"/>
      <c r="I37" s="212" t="s">
        <v>560</v>
      </c>
      <c r="J37" s="211"/>
      <c r="K37" s="211"/>
      <c r="L37" s="211"/>
      <c r="M37" s="211"/>
    </row>
    <row r="38" spans="1:13" s="34" customFormat="1">
      <c r="A38" s="1151">
        <v>27</v>
      </c>
      <c r="B38" s="211" t="s">
        <v>1509</v>
      </c>
      <c r="C38" s="202">
        <v>63709.93</v>
      </c>
      <c r="D38" s="202">
        <v>67203.92</v>
      </c>
      <c r="E38" s="212">
        <v>67280</v>
      </c>
      <c r="G38" s="212">
        <v>67280</v>
      </c>
      <c r="H38" s="213"/>
      <c r="I38" s="212" t="s">
        <v>560</v>
      </c>
      <c r="J38" s="211"/>
      <c r="K38" s="211"/>
      <c r="L38" s="211"/>
      <c r="M38" s="211"/>
    </row>
    <row r="39" spans="1:13" s="34" customFormat="1">
      <c r="A39" s="1151">
        <v>28</v>
      </c>
      <c r="B39" s="211" t="s">
        <v>1510</v>
      </c>
      <c r="C39" s="202">
        <v>221.52</v>
      </c>
      <c r="D39" s="202">
        <v>221.52</v>
      </c>
      <c r="E39" s="212">
        <v>222</v>
      </c>
      <c r="G39" s="212">
        <v>222</v>
      </c>
      <c r="H39" s="213"/>
      <c r="I39" s="212" t="s">
        <v>560</v>
      </c>
      <c r="J39" s="211"/>
      <c r="K39" s="211"/>
      <c r="L39" s="211"/>
      <c r="M39" s="211"/>
    </row>
    <row r="40" spans="1:13" s="34" customFormat="1">
      <c r="A40" s="1151">
        <v>29</v>
      </c>
      <c r="B40" s="211" t="s">
        <v>1407</v>
      </c>
      <c r="C40" s="202">
        <v>6328.75</v>
      </c>
      <c r="D40" s="202">
        <v>6369.04</v>
      </c>
      <c r="E40" s="212">
        <v>6347</v>
      </c>
      <c r="G40" s="212">
        <v>6347</v>
      </c>
      <c r="H40" s="213"/>
      <c r="I40" s="212" t="s">
        <v>560</v>
      </c>
      <c r="J40" s="211"/>
      <c r="K40" s="211"/>
      <c r="L40" s="211"/>
      <c r="M40" s="211"/>
    </row>
    <row r="41" spans="1:13" s="34" customFormat="1">
      <c r="A41" s="1151">
        <v>30</v>
      </c>
      <c r="B41" s="203" t="s">
        <v>1291</v>
      </c>
      <c r="C41" s="202"/>
      <c r="D41" s="202"/>
      <c r="E41" s="212"/>
      <c r="G41" s="212"/>
      <c r="H41" s="213"/>
      <c r="I41" s="212"/>
      <c r="J41" s="211"/>
      <c r="K41" s="211"/>
      <c r="L41" s="211"/>
      <c r="M41" s="211"/>
    </row>
    <row r="42" spans="1:13" s="34" customFormat="1">
      <c r="A42" s="1151">
        <v>31</v>
      </c>
      <c r="B42" s="324" t="s">
        <v>1541</v>
      </c>
      <c r="C42" s="202">
        <v>0</v>
      </c>
      <c r="D42" s="202">
        <v>0</v>
      </c>
      <c r="E42" s="212">
        <v>0</v>
      </c>
      <c r="G42" s="212">
        <v>0</v>
      </c>
      <c r="H42" s="213"/>
      <c r="I42" s="212"/>
      <c r="J42" s="211"/>
      <c r="K42" s="211"/>
      <c r="L42" s="211"/>
      <c r="M42" s="211"/>
    </row>
    <row r="43" spans="1:13" s="34" customFormat="1">
      <c r="A43" s="1151">
        <v>32</v>
      </c>
      <c r="B43" s="324" t="s">
        <v>1830</v>
      </c>
      <c r="C43" s="202">
        <v>193</v>
      </c>
      <c r="D43" s="202">
        <v>193</v>
      </c>
      <c r="E43" s="212">
        <v>193</v>
      </c>
      <c r="G43" s="212">
        <v>193</v>
      </c>
      <c r="H43" s="213"/>
      <c r="I43" s="212"/>
      <c r="J43" s="211"/>
      <c r="K43" s="211"/>
      <c r="L43" s="211"/>
      <c r="M43" s="211"/>
    </row>
    <row r="44" spans="1:13" s="34" customFormat="1">
      <c r="A44" s="1151">
        <v>33</v>
      </c>
      <c r="B44" s="709" t="s">
        <v>1827</v>
      </c>
      <c r="C44" s="202">
        <v>0</v>
      </c>
      <c r="D44" s="202">
        <v>0</v>
      </c>
      <c r="E44" s="212">
        <v>0</v>
      </c>
      <c r="G44" s="212">
        <v>0</v>
      </c>
      <c r="H44" s="213"/>
      <c r="I44" s="212"/>
      <c r="J44" s="211"/>
      <c r="K44" s="211"/>
      <c r="L44" s="211"/>
      <c r="M44" s="211"/>
    </row>
    <row r="45" spans="1:13" s="34" customFormat="1">
      <c r="A45" s="1151">
        <v>34</v>
      </c>
      <c r="B45" s="709" t="s">
        <v>1828</v>
      </c>
      <c r="C45" s="202">
        <v>0</v>
      </c>
      <c r="D45" s="202">
        <v>0</v>
      </c>
      <c r="E45" s="212">
        <v>0</v>
      </c>
      <c r="G45" s="212">
        <v>0</v>
      </c>
      <c r="H45" s="213"/>
      <c r="I45" s="212"/>
      <c r="J45" s="211"/>
      <c r="K45" s="211"/>
      <c r="L45" s="211"/>
      <c r="M45" s="211"/>
    </row>
    <row r="46" spans="1:13" s="34" customFormat="1">
      <c r="A46" s="1151">
        <v>35</v>
      </c>
      <c r="B46" s="324" t="s">
        <v>396</v>
      </c>
      <c r="C46" s="202">
        <v>0</v>
      </c>
      <c r="D46" s="202">
        <v>0</v>
      </c>
      <c r="E46" s="212">
        <v>0</v>
      </c>
      <c r="G46" s="212">
        <v>0</v>
      </c>
      <c r="H46" s="213"/>
      <c r="I46" s="212"/>
      <c r="J46" s="211"/>
      <c r="K46" s="211"/>
      <c r="L46" s="211"/>
      <c r="M46" s="211"/>
    </row>
    <row r="47" spans="1:13" s="34" customFormat="1">
      <c r="A47" s="1151">
        <v>36</v>
      </c>
      <c r="B47" s="324" t="s">
        <v>374</v>
      </c>
      <c r="C47" s="202">
        <v>8873.93</v>
      </c>
      <c r="D47" s="202">
        <v>9861.34</v>
      </c>
      <c r="E47" s="212">
        <v>9666</v>
      </c>
      <c r="G47" s="212">
        <v>9666</v>
      </c>
      <c r="H47" s="213"/>
      <c r="I47" s="212"/>
      <c r="J47" s="211"/>
      <c r="K47" s="211"/>
      <c r="L47" s="211"/>
      <c r="M47" s="211"/>
    </row>
    <row r="48" spans="1:13" s="34" customFormat="1">
      <c r="A48" s="1151">
        <v>37</v>
      </c>
      <c r="B48" s="324" t="s">
        <v>2264</v>
      </c>
      <c r="C48" s="202">
        <v>2347.39</v>
      </c>
      <c r="D48" s="202">
        <v>2347.39</v>
      </c>
      <c r="E48" s="212">
        <v>2347</v>
      </c>
      <c r="G48" s="212">
        <v>2347</v>
      </c>
      <c r="H48" s="213"/>
      <c r="I48" s="212"/>
      <c r="J48" s="211"/>
      <c r="K48" s="211"/>
      <c r="L48" s="211"/>
      <c r="M48" s="211"/>
    </row>
    <row r="49" spans="1:247" s="34" customFormat="1">
      <c r="A49" s="1151">
        <v>38</v>
      </c>
      <c r="B49" s="324" t="s">
        <v>372</v>
      </c>
      <c r="C49" s="202">
        <v>0</v>
      </c>
      <c r="D49" s="202">
        <v>0</v>
      </c>
      <c r="E49" s="212">
        <v>0</v>
      </c>
      <c r="G49" s="212">
        <v>0</v>
      </c>
      <c r="H49" s="213"/>
      <c r="I49" s="212"/>
      <c r="J49" s="211"/>
      <c r="K49" s="211"/>
      <c r="L49" s="211"/>
      <c r="M49" s="211"/>
    </row>
    <row r="50" spans="1:247" s="34" customFormat="1">
      <c r="A50" s="1151">
        <v>39</v>
      </c>
      <c r="B50" s="324" t="s">
        <v>150</v>
      </c>
      <c r="C50" s="202">
        <v>0</v>
      </c>
      <c r="D50" s="202">
        <v>0</v>
      </c>
      <c r="E50" s="212">
        <v>0</v>
      </c>
      <c r="G50" s="212">
        <v>0</v>
      </c>
      <c r="H50" s="213"/>
      <c r="I50" s="212"/>
      <c r="J50" s="211"/>
      <c r="K50" s="211"/>
      <c r="L50" s="211"/>
      <c r="M50" s="211"/>
    </row>
    <row r="51" spans="1:247" s="34" customFormat="1">
      <c r="A51" s="1151">
        <v>40</v>
      </c>
      <c r="B51" s="324" t="s">
        <v>151</v>
      </c>
      <c r="C51" s="202">
        <v>0</v>
      </c>
      <c r="D51" s="202">
        <v>0</v>
      </c>
      <c r="E51" s="212">
        <v>0</v>
      </c>
      <c r="G51" s="212">
        <v>0</v>
      </c>
      <c r="H51" s="213"/>
      <c r="I51" s="212"/>
      <c r="J51" s="211"/>
      <c r="K51" s="211"/>
      <c r="L51" s="211"/>
      <c r="M51" s="211"/>
    </row>
    <row r="52" spans="1:247" s="34" customFormat="1">
      <c r="A52" s="1151">
        <v>41</v>
      </c>
      <c r="B52" s="203" t="s">
        <v>1172</v>
      </c>
      <c r="C52" s="202"/>
      <c r="D52" s="202"/>
      <c r="E52" s="212"/>
      <c r="G52" s="212"/>
      <c r="H52" s="213"/>
      <c r="I52" s="212" t="s">
        <v>560</v>
      </c>
      <c r="J52" s="211"/>
      <c r="K52" s="211"/>
      <c r="L52" s="211"/>
      <c r="M52" s="211"/>
    </row>
    <row r="53" spans="1:247" s="34" customFormat="1">
      <c r="A53" s="1151">
        <v>42</v>
      </c>
      <c r="B53" s="324" t="s">
        <v>752</v>
      </c>
      <c r="C53" s="202">
        <v>1180.1300000000001</v>
      </c>
      <c r="D53" s="202">
        <v>1150.73</v>
      </c>
      <c r="E53" s="212">
        <v>1164</v>
      </c>
      <c r="G53" s="212">
        <v>1164</v>
      </c>
      <c r="H53" s="213"/>
      <c r="I53" s="212" t="s">
        <v>560</v>
      </c>
      <c r="J53" s="211"/>
      <c r="K53" s="211"/>
      <c r="L53" s="211"/>
      <c r="M53" s="211"/>
    </row>
    <row r="54" spans="1:247" s="34" customFormat="1">
      <c r="A54" s="1151">
        <v>43</v>
      </c>
      <c r="B54" s="324" t="s">
        <v>753</v>
      </c>
      <c r="C54" s="202">
        <v>2503588.9699999997</v>
      </c>
      <c r="D54" s="202">
        <v>2549434.61</v>
      </c>
      <c r="E54" s="212">
        <v>2510389</v>
      </c>
      <c r="F54" s="766">
        <v>16250</v>
      </c>
      <c r="G54" s="212">
        <v>2526639</v>
      </c>
      <c r="H54" s="213"/>
      <c r="I54" s="212" t="s">
        <v>560</v>
      </c>
      <c r="J54" s="211"/>
      <c r="K54" s="211"/>
      <c r="L54" s="211"/>
      <c r="M54" s="211"/>
    </row>
    <row r="55" spans="1:247" s="34" customFormat="1">
      <c r="A55" s="1151">
        <v>44</v>
      </c>
      <c r="B55" s="324" t="s">
        <v>754</v>
      </c>
      <c r="C55" s="202">
        <v>429205.32</v>
      </c>
      <c r="D55" s="202">
        <v>426570.62000000005</v>
      </c>
      <c r="E55" s="212">
        <v>427165</v>
      </c>
      <c r="F55" s="766">
        <v>14944</v>
      </c>
      <c r="G55" s="212">
        <v>442109</v>
      </c>
      <c r="H55" s="213"/>
      <c r="I55" s="212" t="s">
        <v>560</v>
      </c>
      <c r="J55" s="211"/>
      <c r="K55" s="211"/>
      <c r="L55" s="211"/>
      <c r="M55" s="211"/>
    </row>
    <row r="56" spans="1:247" s="34" customFormat="1">
      <c r="A56" s="1151">
        <v>45</v>
      </c>
      <c r="B56" s="324" t="s">
        <v>755</v>
      </c>
      <c r="C56" s="202">
        <v>152091.85</v>
      </c>
      <c r="D56" s="202">
        <v>156433.26</v>
      </c>
      <c r="E56" s="212">
        <v>156394</v>
      </c>
      <c r="F56" s="766">
        <v>57115</v>
      </c>
      <c r="G56" s="212">
        <v>213509</v>
      </c>
      <c r="H56" s="213"/>
      <c r="I56" s="212" t="s">
        <v>560</v>
      </c>
      <c r="J56" s="211"/>
      <c r="K56" s="211"/>
      <c r="L56" s="211"/>
      <c r="M56" s="211"/>
    </row>
    <row r="57" spans="1:247" s="34" customFormat="1">
      <c r="A57" s="1151">
        <v>46</v>
      </c>
      <c r="B57" s="324" t="s">
        <v>1826</v>
      </c>
      <c r="C57" s="202">
        <v>0</v>
      </c>
      <c r="D57" s="202">
        <v>0</v>
      </c>
      <c r="E57" s="212">
        <v>0</v>
      </c>
      <c r="F57" s="212"/>
      <c r="G57" s="212">
        <v>0</v>
      </c>
      <c r="H57" s="213"/>
      <c r="I57" s="212"/>
      <c r="J57" s="211"/>
      <c r="K57" s="211"/>
      <c r="L57" s="211"/>
      <c r="M57" s="211"/>
    </row>
    <row r="58" spans="1:247" s="34" customFormat="1">
      <c r="A58" s="1151">
        <v>47</v>
      </c>
      <c r="B58" s="324" t="s">
        <v>757</v>
      </c>
      <c r="C58" s="202">
        <v>48222.840000000004</v>
      </c>
      <c r="D58" s="202">
        <v>48274.329999999994</v>
      </c>
      <c r="E58" s="212">
        <v>48297</v>
      </c>
      <c r="F58" s="212"/>
      <c r="G58" s="212">
        <v>48297</v>
      </c>
      <c r="H58" s="213"/>
      <c r="I58" s="212" t="s">
        <v>560</v>
      </c>
      <c r="J58" s="211"/>
      <c r="K58" s="211"/>
      <c r="L58" s="211"/>
      <c r="M58" s="211"/>
    </row>
    <row r="59" spans="1:247" s="34" customFormat="1">
      <c r="A59" s="1151">
        <v>48</v>
      </c>
      <c r="B59" s="324" t="s">
        <v>758</v>
      </c>
      <c r="C59" s="202">
        <v>23308.28</v>
      </c>
      <c r="D59" s="202">
        <v>23508.28</v>
      </c>
      <c r="E59" s="212">
        <v>23370</v>
      </c>
      <c r="F59" s="212"/>
      <c r="G59" s="212">
        <v>23370</v>
      </c>
      <c r="H59" s="213"/>
      <c r="I59" s="212" t="s">
        <v>911</v>
      </c>
      <c r="J59" s="210"/>
      <c r="K59" s="140"/>
      <c r="L59" s="212"/>
      <c r="M59" s="212"/>
      <c r="N59" s="1152"/>
      <c r="O59" s="1153"/>
      <c r="P59" s="1152"/>
      <c r="Q59" s="1154"/>
      <c r="R59" s="1155"/>
      <c r="T59" s="1152"/>
      <c r="U59" s="1152"/>
      <c r="V59" s="1152"/>
      <c r="W59" s="1152"/>
      <c r="X59" s="1153"/>
      <c r="Y59" s="1152"/>
      <c r="Z59" s="1154"/>
      <c r="AA59" s="1155"/>
      <c r="AC59" s="1152"/>
      <c r="AD59" s="1152"/>
      <c r="AE59" s="1152"/>
      <c r="AF59" s="1152"/>
      <c r="AG59" s="1153"/>
      <c r="AH59" s="1152"/>
      <c r="AI59" s="1154"/>
      <c r="AJ59" s="1155"/>
      <c r="AL59" s="1152"/>
      <c r="AM59" s="1152"/>
      <c r="AN59" s="1152"/>
      <c r="AO59" s="1152"/>
      <c r="AP59" s="1153"/>
      <c r="AQ59" s="1152"/>
      <c r="AR59" s="1154"/>
      <c r="AS59" s="1155"/>
      <c r="AU59" s="1152"/>
      <c r="AV59" s="1152"/>
      <c r="AW59" s="1152"/>
      <c r="AX59" s="1152"/>
      <c r="AY59" s="1153"/>
      <c r="AZ59" s="1152"/>
      <c r="BA59" s="1154"/>
      <c r="BB59" s="1155"/>
      <c r="BD59" s="1152"/>
      <c r="BE59" s="1152"/>
      <c r="BF59" s="1152"/>
      <c r="BG59" s="1152"/>
      <c r="BH59" s="1153"/>
      <c r="BI59" s="1152"/>
      <c r="BJ59" s="1154"/>
      <c r="BK59" s="1155"/>
      <c r="BM59" s="1152"/>
      <c r="BN59" s="1152"/>
      <c r="BO59" s="1152"/>
      <c r="BP59" s="1152"/>
      <c r="BQ59" s="1153"/>
      <c r="BR59" s="1152"/>
      <c r="BS59" s="1154"/>
      <c r="BT59" s="1155"/>
      <c r="BV59" s="1152"/>
      <c r="BW59" s="1152"/>
      <c r="BX59" s="1152"/>
      <c r="BY59" s="1152"/>
      <c r="BZ59" s="1153"/>
      <c r="CA59" s="1152"/>
      <c r="CB59" s="1154"/>
      <c r="CC59" s="1155"/>
      <c r="CE59" s="1152"/>
      <c r="CF59" s="1152"/>
      <c r="CG59" s="1152"/>
      <c r="CH59" s="1152"/>
      <c r="CI59" s="1153"/>
      <c r="CJ59" s="1152"/>
      <c r="CK59" s="1154"/>
      <c r="CL59" s="1155"/>
      <c r="CN59" s="1152"/>
      <c r="CO59" s="1152"/>
      <c r="CP59" s="1152"/>
      <c r="CQ59" s="1152"/>
      <c r="CR59" s="1153"/>
      <c r="CS59" s="1152"/>
      <c r="CT59" s="1154"/>
      <c r="CU59" s="1155"/>
      <c r="CW59" s="1152"/>
      <c r="CX59" s="1152"/>
      <c r="CY59" s="1152"/>
      <c r="CZ59" s="1152"/>
      <c r="DA59" s="1153"/>
      <c r="DB59" s="1152"/>
      <c r="DC59" s="1154"/>
      <c r="DD59" s="1155"/>
      <c r="DF59" s="1152"/>
      <c r="DG59" s="1152"/>
      <c r="DH59" s="1152"/>
      <c r="DI59" s="1152"/>
      <c r="DJ59" s="1153"/>
      <c r="DK59" s="1152"/>
      <c r="DL59" s="1154"/>
      <c r="DM59" s="1155"/>
      <c r="DO59" s="1152"/>
      <c r="DP59" s="1152"/>
      <c r="DQ59" s="1152"/>
      <c r="DR59" s="1152"/>
      <c r="DS59" s="1153"/>
      <c r="DT59" s="1152"/>
      <c r="DU59" s="1154"/>
      <c r="DV59" s="1155"/>
      <c r="DX59" s="1152"/>
      <c r="DY59" s="1152"/>
      <c r="DZ59" s="1152"/>
      <c r="EA59" s="1152"/>
      <c r="EB59" s="1153"/>
      <c r="EC59" s="1152"/>
      <c r="ED59" s="1154"/>
      <c r="EE59" s="1155"/>
      <c r="EG59" s="1152"/>
      <c r="EH59" s="1152"/>
      <c r="EI59" s="1152"/>
      <c r="EJ59" s="1152"/>
      <c r="EK59" s="1153"/>
      <c r="EL59" s="1152"/>
      <c r="EM59" s="1154"/>
      <c r="EN59" s="1155"/>
      <c r="EP59" s="1152"/>
      <c r="EQ59" s="1152"/>
      <c r="ER59" s="1152"/>
      <c r="ES59" s="1152"/>
      <c r="ET59" s="1153"/>
      <c r="EU59" s="1152"/>
      <c r="EV59" s="1154"/>
      <c r="EW59" s="1155"/>
      <c r="EY59" s="1152"/>
      <c r="EZ59" s="1152"/>
      <c r="FA59" s="1152"/>
      <c r="FB59" s="1152"/>
      <c r="FC59" s="1153"/>
      <c r="FD59" s="1152"/>
      <c r="FE59" s="1154"/>
      <c r="FF59" s="1155"/>
      <c r="FH59" s="1152"/>
      <c r="FI59" s="1152"/>
      <c r="FJ59" s="1152"/>
      <c r="FK59" s="1152"/>
      <c r="FL59" s="1153"/>
      <c r="FM59" s="1152"/>
      <c r="FN59" s="1154"/>
      <c r="FO59" s="1155"/>
      <c r="FQ59" s="1152"/>
      <c r="FR59" s="1152"/>
      <c r="FS59" s="1152"/>
      <c r="FT59" s="1152"/>
      <c r="FU59" s="1153"/>
      <c r="FV59" s="1152"/>
      <c r="FW59" s="1154"/>
      <c r="FX59" s="1155"/>
      <c r="FZ59" s="1152"/>
      <c r="GA59" s="1152"/>
      <c r="GB59" s="1152"/>
      <c r="GC59" s="1152"/>
      <c r="GD59" s="1153"/>
      <c r="GE59" s="1152"/>
      <c r="GF59" s="1154"/>
      <c r="GG59" s="1155"/>
      <c r="GI59" s="1152"/>
      <c r="GJ59" s="1152"/>
      <c r="GK59" s="1152"/>
      <c r="GL59" s="1152"/>
      <c r="GM59" s="1153"/>
      <c r="GN59" s="1152"/>
      <c r="GO59" s="1154"/>
      <c r="GP59" s="1155"/>
      <c r="GR59" s="1152"/>
      <c r="GS59" s="1152"/>
      <c r="GT59" s="1152"/>
      <c r="GU59" s="1152"/>
      <c r="GV59" s="1153"/>
      <c r="GW59" s="1152"/>
      <c r="GX59" s="1154"/>
      <c r="GY59" s="1155"/>
      <c r="HA59" s="1152"/>
      <c r="HB59" s="1152"/>
      <c r="HC59" s="1152"/>
      <c r="HD59" s="1152"/>
      <c r="HE59" s="1153"/>
      <c r="HF59" s="1152"/>
      <c r="HG59" s="1154"/>
      <c r="HH59" s="1155"/>
      <c r="HJ59" s="1152"/>
      <c r="HK59" s="1152"/>
      <c r="HL59" s="1152"/>
      <c r="HM59" s="1152"/>
      <c r="HN59" s="1153"/>
      <c r="HO59" s="1152"/>
      <c r="HP59" s="1154"/>
      <c r="HQ59" s="1155"/>
      <c r="HS59" s="1152"/>
      <c r="HT59" s="1152"/>
      <c r="HU59" s="1152"/>
      <c r="HV59" s="1152"/>
      <c r="HW59" s="1153"/>
      <c r="HX59" s="1152"/>
      <c r="HY59" s="1154"/>
      <c r="HZ59" s="1155"/>
      <c r="IB59" s="1152"/>
      <c r="IC59" s="1152"/>
      <c r="ID59" s="1152"/>
      <c r="IE59" s="1152"/>
      <c r="IF59" s="1153"/>
      <c r="IG59" s="1152"/>
      <c r="IH59" s="1154"/>
      <c r="II59" s="1155"/>
      <c r="IK59" s="1152"/>
      <c r="IL59" s="1152"/>
      <c r="IM59" s="1152"/>
    </row>
    <row r="60" spans="1:247" s="34" customFormat="1">
      <c r="A60" s="1151">
        <v>49</v>
      </c>
      <c r="B60" s="709" t="s">
        <v>395</v>
      </c>
      <c r="C60" s="766">
        <v>1716.3</v>
      </c>
      <c r="D60" s="202">
        <v>2869.64</v>
      </c>
      <c r="E60" s="212">
        <v>2711</v>
      </c>
      <c r="F60" s="1241"/>
      <c r="G60" s="212">
        <v>2711</v>
      </c>
      <c r="H60" s="213"/>
      <c r="I60" s="212"/>
      <c r="J60" s="210"/>
      <c r="K60" s="140"/>
      <c r="L60" s="212"/>
      <c r="M60" s="212"/>
      <c r="N60" s="1152"/>
      <c r="O60" s="1153"/>
      <c r="P60" s="1152"/>
      <c r="Q60" s="1154"/>
      <c r="R60" s="1155"/>
      <c r="T60" s="1152"/>
      <c r="U60" s="1152"/>
      <c r="V60" s="1152"/>
      <c r="W60" s="1152"/>
      <c r="X60" s="1153"/>
      <c r="Y60" s="1152"/>
      <c r="Z60" s="1154"/>
      <c r="AA60" s="1155"/>
      <c r="AC60" s="1152"/>
      <c r="AD60" s="1152"/>
      <c r="AE60" s="1152"/>
      <c r="AF60" s="1152"/>
      <c r="AG60" s="1153"/>
      <c r="AH60" s="1152"/>
      <c r="AI60" s="1154"/>
      <c r="AJ60" s="1155"/>
      <c r="AL60" s="1152"/>
      <c r="AM60" s="1152"/>
      <c r="AN60" s="1152"/>
      <c r="AO60" s="1152"/>
      <c r="AP60" s="1153"/>
      <c r="AQ60" s="1152"/>
      <c r="AR60" s="1154"/>
      <c r="AS60" s="1155"/>
      <c r="AU60" s="1152"/>
      <c r="AV60" s="1152"/>
      <c r="AW60" s="1152"/>
      <c r="AX60" s="1152"/>
      <c r="AY60" s="1153"/>
      <c r="AZ60" s="1152"/>
      <c r="BA60" s="1154"/>
      <c r="BB60" s="1155"/>
      <c r="BD60" s="1152"/>
      <c r="BE60" s="1152"/>
      <c r="BF60" s="1152"/>
      <c r="BG60" s="1152"/>
      <c r="BH60" s="1153"/>
      <c r="BI60" s="1152"/>
      <c r="BJ60" s="1154"/>
      <c r="BK60" s="1155"/>
      <c r="BM60" s="1152"/>
      <c r="BN60" s="1152"/>
      <c r="BO60" s="1152"/>
      <c r="BP60" s="1152"/>
      <c r="BQ60" s="1153"/>
      <c r="BR60" s="1152"/>
      <c r="BS60" s="1154"/>
      <c r="BT60" s="1155"/>
      <c r="BV60" s="1152"/>
      <c r="BW60" s="1152"/>
      <c r="BX60" s="1152"/>
      <c r="BY60" s="1152"/>
      <c r="BZ60" s="1153"/>
      <c r="CA60" s="1152"/>
      <c r="CB60" s="1154"/>
      <c r="CC60" s="1155"/>
      <c r="CE60" s="1152"/>
      <c r="CF60" s="1152"/>
      <c r="CG60" s="1152"/>
      <c r="CH60" s="1152"/>
      <c r="CI60" s="1153"/>
      <c r="CJ60" s="1152"/>
      <c r="CK60" s="1154"/>
      <c r="CL60" s="1155"/>
      <c r="CN60" s="1152"/>
      <c r="CO60" s="1152"/>
      <c r="CP60" s="1152"/>
      <c r="CQ60" s="1152"/>
      <c r="CR60" s="1153"/>
      <c r="CS60" s="1152"/>
      <c r="CT60" s="1154"/>
      <c r="CU60" s="1155"/>
      <c r="CW60" s="1152"/>
      <c r="CX60" s="1152"/>
      <c r="CY60" s="1152"/>
      <c r="CZ60" s="1152"/>
      <c r="DA60" s="1153"/>
      <c r="DB60" s="1152"/>
      <c r="DC60" s="1154"/>
      <c r="DD60" s="1155"/>
      <c r="DF60" s="1152"/>
      <c r="DG60" s="1152"/>
      <c r="DH60" s="1152"/>
      <c r="DI60" s="1152"/>
      <c r="DJ60" s="1153"/>
      <c r="DK60" s="1152"/>
      <c r="DL60" s="1154"/>
      <c r="DM60" s="1155"/>
      <c r="DO60" s="1152"/>
      <c r="DP60" s="1152"/>
      <c r="DQ60" s="1152"/>
      <c r="DR60" s="1152"/>
      <c r="DS60" s="1153"/>
      <c r="DT60" s="1152"/>
      <c r="DU60" s="1154"/>
      <c r="DV60" s="1155"/>
      <c r="DX60" s="1152"/>
      <c r="DY60" s="1152"/>
      <c r="DZ60" s="1152"/>
      <c r="EA60" s="1152"/>
      <c r="EB60" s="1153"/>
      <c r="EC60" s="1152"/>
      <c r="ED60" s="1154"/>
      <c r="EE60" s="1155"/>
      <c r="EG60" s="1152"/>
      <c r="EH60" s="1152"/>
      <c r="EI60" s="1152"/>
      <c r="EJ60" s="1152"/>
      <c r="EK60" s="1153"/>
      <c r="EL60" s="1152"/>
      <c r="EM60" s="1154"/>
      <c r="EN60" s="1155"/>
      <c r="EP60" s="1152"/>
      <c r="EQ60" s="1152"/>
      <c r="ER60" s="1152"/>
      <c r="ES60" s="1152"/>
      <c r="ET60" s="1153"/>
      <c r="EU60" s="1152"/>
      <c r="EV60" s="1154"/>
      <c r="EW60" s="1155"/>
      <c r="EY60" s="1152"/>
      <c r="EZ60" s="1152"/>
      <c r="FA60" s="1152"/>
      <c r="FB60" s="1152"/>
      <c r="FC60" s="1153"/>
      <c r="FD60" s="1152"/>
      <c r="FE60" s="1154"/>
      <c r="FF60" s="1155"/>
      <c r="FH60" s="1152"/>
      <c r="FI60" s="1152"/>
      <c r="FJ60" s="1152"/>
      <c r="FK60" s="1152"/>
      <c r="FL60" s="1153"/>
      <c r="FM60" s="1152"/>
      <c r="FN60" s="1154"/>
      <c r="FO60" s="1155"/>
      <c r="FQ60" s="1152"/>
      <c r="FR60" s="1152"/>
      <c r="FS60" s="1152"/>
      <c r="FT60" s="1152"/>
      <c r="FU60" s="1153"/>
      <c r="FV60" s="1152"/>
      <c r="FW60" s="1154"/>
      <c r="FX60" s="1155"/>
      <c r="FZ60" s="1152"/>
      <c r="GA60" s="1152"/>
      <c r="GB60" s="1152"/>
      <c r="GC60" s="1152"/>
      <c r="GD60" s="1153"/>
      <c r="GE60" s="1152"/>
      <c r="GF60" s="1154"/>
      <c r="GG60" s="1155"/>
      <c r="GI60" s="1152"/>
      <c r="GJ60" s="1152"/>
      <c r="GK60" s="1152"/>
      <c r="GL60" s="1152"/>
      <c r="GM60" s="1153"/>
      <c r="GN60" s="1152"/>
      <c r="GO60" s="1154"/>
      <c r="GP60" s="1155"/>
      <c r="GR60" s="1152"/>
      <c r="GS60" s="1152"/>
      <c r="GT60" s="1152"/>
      <c r="GU60" s="1152"/>
      <c r="GV60" s="1153"/>
      <c r="GW60" s="1152"/>
      <c r="GX60" s="1154"/>
      <c r="GY60" s="1155"/>
      <c r="HA60" s="1152"/>
      <c r="HB60" s="1152"/>
      <c r="HC60" s="1152"/>
      <c r="HD60" s="1152"/>
      <c r="HE60" s="1153"/>
      <c r="HF60" s="1152"/>
      <c r="HG60" s="1154"/>
      <c r="HH60" s="1155"/>
      <c r="HJ60" s="1152"/>
      <c r="HK60" s="1152"/>
      <c r="HL60" s="1152"/>
      <c r="HM60" s="1152"/>
      <c r="HN60" s="1153"/>
      <c r="HO60" s="1152"/>
      <c r="HP60" s="1154"/>
      <c r="HQ60" s="1155"/>
      <c r="HS60" s="1152"/>
      <c r="HT60" s="1152"/>
      <c r="HU60" s="1152"/>
      <c r="HV60" s="1152"/>
      <c r="HW60" s="1153"/>
      <c r="HX60" s="1152"/>
      <c r="HY60" s="1154"/>
      <c r="HZ60" s="1155"/>
      <c r="IB60" s="1152"/>
      <c r="IC60" s="1152"/>
      <c r="ID60" s="1152"/>
      <c r="IE60" s="1152"/>
      <c r="IF60" s="1153"/>
      <c r="IG60" s="1152"/>
      <c r="IH60" s="1154"/>
      <c r="II60" s="1155"/>
      <c r="IK60" s="1152"/>
      <c r="IL60" s="1152"/>
      <c r="IM60" s="1152"/>
    </row>
    <row r="61" spans="1:247" s="34" customFormat="1">
      <c r="A61" s="1151">
        <v>50</v>
      </c>
      <c r="B61" s="324" t="s">
        <v>760</v>
      </c>
      <c r="C61" s="202">
        <v>4957.49</v>
      </c>
      <c r="D61" s="202">
        <v>4847.6799999999994</v>
      </c>
      <c r="E61" s="212">
        <v>4899</v>
      </c>
      <c r="F61" s="212"/>
      <c r="G61" s="212">
        <v>4899</v>
      </c>
      <c r="H61" s="213"/>
      <c r="I61" s="212"/>
      <c r="J61" s="210"/>
      <c r="K61" s="140"/>
      <c r="L61" s="212"/>
      <c r="M61" s="212"/>
      <c r="N61" s="1152"/>
      <c r="O61" s="1153"/>
      <c r="P61" s="1152"/>
      <c r="Q61" s="1154"/>
      <c r="R61" s="1155"/>
      <c r="T61" s="1152"/>
      <c r="U61" s="1152"/>
      <c r="V61" s="1152"/>
      <c r="W61" s="1152"/>
      <c r="X61" s="1153"/>
      <c r="Y61" s="1152"/>
      <c r="Z61" s="1154"/>
      <c r="AA61" s="1155"/>
      <c r="AC61" s="1152"/>
      <c r="AD61" s="1152"/>
      <c r="AE61" s="1152"/>
      <c r="AF61" s="1152"/>
      <c r="AG61" s="1153"/>
      <c r="AH61" s="1152"/>
      <c r="AI61" s="1154"/>
      <c r="AJ61" s="1155"/>
      <c r="AL61" s="1152"/>
      <c r="AM61" s="1152"/>
      <c r="AN61" s="1152"/>
      <c r="AO61" s="1152"/>
      <c r="AP61" s="1153"/>
      <c r="AQ61" s="1152"/>
      <c r="AR61" s="1154"/>
      <c r="AS61" s="1155"/>
      <c r="AU61" s="1152"/>
      <c r="AV61" s="1152"/>
      <c r="AW61" s="1152"/>
      <c r="AX61" s="1152"/>
      <c r="AY61" s="1153"/>
      <c r="AZ61" s="1152"/>
      <c r="BA61" s="1154"/>
      <c r="BB61" s="1155"/>
      <c r="BD61" s="1152"/>
      <c r="BE61" s="1152"/>
      <c r="BF61" s="1152"/>
      <c r="BG61" s="1152"/>
      <c r="BH61" s="1153"/>
      <c r="BI61" s="1152"/>
      <c r="BJ61" s="1154"/>
      <c r="BK61" s="1155"/>
      <c r="BM61" s="1152"/>
      <c r="BN61" s="1152"/>
      <c r="BO61" s="1152"/>
      <c r="BP61" s="1152"/>
      <c r="BQ61" s="1153"/>
      <c r="BR61" s="1152"/>
      <c r="BS61" s="1154"/>
      <c r="BT61" s="1155"/>
      <c r="BV61" s="1152"/>
      <c r="BW61" s="1152"/>
      <c r="BX61" s="1152"/>
      <c r="BY61" s="1152"/>
      <c r="BZ61" s="1153"/>
      <c r="CA61" s="1152"/>
      <c r="CB61" s="1154"/>
      <c r="CC61" s="1155"/>
      <c r="CE61" s="1152"/>
      <c r="CF61" s="1152"/>
      <c r="CG61" s="1152"/>
      <c r="CH61" s="1152"/>
      <c r="CI61" s="1153"/>
      <c r="CJ61" s="1152"/>
      <c r="CK61" s="1154"/>
      <c r="CL61" s="1155"/>
      <c r="CN61" s="1152"/>
      <c r="CO61" s="1152"/>
      <c r="CP61" s="1152"/>
      <c r="CQ61" s="1152"/>
      <c r="CR61" s="1153"/>
      <c r="CS61" s="1152"/>
      <c r="CT61" s="1154"/>
      <c r="CU61" s="1155"/>
      <c r="CW61" s="1152"/>
      <c r="CX61" s="1152"/>
      <c r="CY61" s="1152"/>
      <c r="CZ61" s="1152"/>
      <c r="DA61" s="1153"/>
      <c r="DB61" s="1152"/>
      <c r="DC61" s="1154"/>
      <c r="DD61" s="1155"/>
      <c r="DF61" s="1152"/>
      <c r="DG61" s="1152"/>
      <c r="DH61" s="1152"/>
      <c r="DI61" s="1152"/>
      <c r="DJ61" s="1153"/>
      <c r="DK61" s="1152"/>
      <c r="DL61" s="1154"/>
      <c r="DM61" s="1155"/>
      <c r="DO61" s="1152"/>
      <c r="DP61" s="1152"/>
      <c r="DQ61" s="1152"/>
      <c r="DR61" s="1152"/>
      <c r="DS61" s="1153"/>
      <c r="DT61" s="1152"/>
      <c r="DU61" s="1154"/>
      <c r="DV61" s="1155"/>
      <c r="DX61" s="1152"/>
      <c r="DY61" s="1152"/>
      <c r="DZ61" s="1152"/>
      <c r="EA61" s="1152"/>
      <c r="EB61" s="1153"/>
      <c r="EC61" s="1152"/>
      <c r="ED61" s="1154"/>
      <c r="EE61" s="1155"/>
      <c r="EG61" s="1152"/>
      <c r="EH61" s="1152"/>
      <c r="EI61" s="1152"/>
      <c r="EJ61" s="1152"/>
      <c r="EK61" s="1153"/>
      <c r="EL61" s="1152"/>
      <c r="EM61" s="1154"/>
      <c r="EN61" s="1155"/>
      <c r="EP61" s="1152"/>
      <c r="EQ61" s="1152"/>
      <c r="ER61" s="1152"/>
      <c r="ES61" s="1152"/>
      <c r="ET61" s="1153"/>
      <c r="EU61" s="1152"/>
      <c r="EV61" s="1154"/>
      <c r="EW61" s="1155"/>
      <c r="EY61" s="1152"/>
      <c r="EZ61" s="1152"/>
      <c r="FA61" s="1152"/>
      <c r="FB61" s="1152"/>
      <c r="FC61" s="1153"/>
      <c r="FD61" s="1152"/>
      <c r="FE61" s="1154"/>
      <c r="FF61" s="1155"/>
      <c r="FH61" s="1152"/>
      <c r="FI61" s="1152"/>
      <c r="FJ61" s="1152"/>
      <c r="FK61" s="1152"/>
      <c r="FL61" s="1153"/>
      <c r="FM61" s="1152"/>
      <c r="FN61" s="1154"/>
      <c r="FO61" s="1155"/>
      <c r="FQ61" s="1152"/>
      <c r="FR61" s="1152"/>
      <c r="FS61" s="1152"/>
      <c r="FT61" s="1152"/>
      <c r="FU61" s="1153"/>
      <c r="FV61" s="1152"/>
      <c r="FW61" s="1154"/>
      <c r="FX61" s="1155"/>
      <c r="FZ61" s="1152"/>
      <c r="GA61" s="1152"/>
      <c r="GB61" s="1152"/>
      <c r="GC61" s="1152"/>
      <c r="GD61" s="1153"/>
      <c r="GE61" s="1152"/>
      <c r="GF61" s="1154"/>
      <c r="GG61" s="1155"/>
      <c r="GI61" s="1152"/>
      <c r="GJ61" s="1152"/>
      <c r="GK61" s="1152"/>
      <c r="GL61" s="1152"/>
      <c r="GM61" s="1153"/>
      <c r="GN61" s="1152"/>
      <c r="GO61" s="1154"/>
      <c r="GP61" s="1155"/>
      <c r="GR61" s="1152"/>
      <c r="GS61" s="1152"/>
      <c r="GT61" s="1152"/>
      <c r="GU61" s="1152"/>
      <c r="GV61" s="1153"/>
      <c r="GW61" s="1152"/>
      <c r="GX61" s="1154"/>
      <c r="GY61" s="1155"/>
      <c r="HA61" s="1152"/>
      <c r="HB61" s="1152"/>
      <c r="HC61" s="1152"/>
      <c r="HD61" s="1152"/>
      <c r="HE61" s="1153"/>
      <c r="HF61" s="1152"/>
      <c r="HG61" s="1154"/>
      <c r="HH61" s="1155"/>
      <c r="HJ61" s="1152"/>
      <c r="HK61" s="1152"/>
      <c r="HL61" s="1152"/>
      <c r="HM61" s="1152"/>
      <c r="HN61" s="1153"/>
      <c r="HO61" s="1152"/>
      <c r="HP61" s="1154"/>
      <c r="HQ61" s="1155"/>
      <c r="HS61" s="1152"/>
      <c r="HT61" s="1152"/>
      <c r="HU61" s="1152"/>
      <c r="HV61" s="1152"/>
      <c r="HW61" s="1153"/>
      <c r="HX61" s="1152"/>
      <c r="HY61" s="1154"/>
      <c r="HZ61" s="1155"/>
      <c r="IB61" s="1152"/>
      <c r="IC61" s="1152"/>
      <c r="ID61" s="1152"/>
      <c r="IE61" s="1152"/>
      <c r="IF61" s="1153"/>
      <c r="IG61" s="1152"/>
      <c r="IH61" s="1154"/>
      <c r="II61" s="1155"/>
      <c r="IK61" s="1152"/>
      <c r="IL61" s="1152"/>
      <c r="IM61" s="1152"/>
    </row>
    <row r="62" spans="1:247" s="34" customFormat="1">
      <c r="A62" s="1151">
        <v>51</v>
      </c>
      <c r="B62" s="324" t="s">
        <v>761</v>
      </c>
      <c r="C62" s="202">
        <v>1369.21</v>
      </c>
      <c r="D62" s="202">
        <v>1369.21</v>
      </c>
      <c r="E62" s="212">
        <v>1369</v>
      </c>
      <c r="F62" s="212"/>
      <c r="G62" s="212">
        <v>1369</v>
      </c>
      <c r="H62" s="213"/>
      <c r="I62" s="212"/>
      <c r="J62" s="210"/>
      <c r="K62" s="140"/>
      <c r="L62" s="212"/>
      <c r="M62" s="212"/>
      <c r="N62" s="1152"/>
      <c r="O62" s="1153"/>
      <c r="P62" s="1152"/>
      <c r="Q62" s="1154"/>
      <c r="R62" s="1155"/>
      <c r="T62" s="1152"/>
      <c r="U62" s="1152"/>
      <c r="V62" s="1152"/>
      <c r="W62" s="1152"/>
      <c r="X62" s="1153"/>
      <c r="Y62" s="1152"/>
      <c r="Z62" s="1154"/>
      <c r="AA62" s="1155"/>
      <c r="AC62" s="1152"/>
      <c r="AD62" s="1152"/>
      <c r="AE62" s="1152"/>
      <c r="AF62" s="1152"/>
      <c r="AG62" s="1153"/>
      <c r="AH62" s="1152"/>
      <c r="AI62" s="1154"/>
      <c r="AJ62" s="1155"/>
      <c r="AL62" s="1152"/>
      <c r="AM62" s="1152"/>
      <c r="AN62" s="1152"/>
      <c r="AO62" s="1152"/>
      <c r="AP62" s="1153"/>
      <c r="AQ62" s="1152"/>
      <c r="AR62" s="1154"/>
      <c r="AS62" s="1155"/>
      <c r="AU62" s="1152"/>
      <c r="AV62" s="1152"/>
      <c r="AW62" s="1152"/>
      <c r="AX62" s="1152"/>
      <c r="AY62" s="1153"/>
      <c r="AZ62" s="1152"/>
      <c r="BA62" s="1154"/>
      <c r="BB62" s="1155"/>
      <c r="BD62" s="1152"/>
      <c r="BE62" s="1152"/>
      <c r="BF62" s="1152"/>
      <c r="BG62" s="1152"/>
      <c r="BH62" s="1153"/>
      <c r="BI62" s="1152"/>
      <c r="BJ62" s="1154"/>
      <c r="BK62" s="1155"/>
      <c r="BM62" s="1152"/>
      <c r="BN62" s="1152"/>
      <c r="BO62" s="1152"/>
      <c r="BP62" s="1152"/>
      <c r="BQ62" s="1153"/>
      <c r="BR62" s="1152"/>
      <c r="BS62" s="1154"/>
      <c r="BT62" s="1155"/>
      <c r="BV62" s="1152"/>
      <c r="BW62" s="1152"/>
      <c r="BX62" s="1152"/>
      <c r="BY62" s="1152"/>
      <c r="BZ62" s="1153"/>
      <c r="CA62" s="1152"/>
      <c r="CB62" s="1154"/>
      <c r="CC62" s="1155"/>
      <c r="CE62" s="1152"/>
      <c r="CF62" s="1152"/>
      <c r="CG62" s="1152"/>
      <c r="CH62" s="1152"/>
      <c r="CI62" s="1153"/>
      <c r="CJ62" s="1152"/>
      <c r="CK62" s="1154"/>
      <c r="CL62" s="1155"/>
      <c r="CN62" s="1152"/>
      <c r="CO62" s="1152"/>
      <c r="CP62" s="1152"/>
      <c r="CQ62" s="1152"/>
      <c r="CR62" s="1153"/>
      <c r="CS62" s="1152"/>
      <c r="CT62" s="1154"/>
      <c r="CU62" s="1155"/>
      <c r="CW62" s="1152"/>
      <c r="CX62" s="1152"/>
      <c r="CY62" s="1152"/>
      <c r="CZ62" s="1152"/>
      <c r="DA62" s="1153"/>
      <c r="DB62" s="1152"/>
      <c r="DC62" s="1154"/>
      <c r="DD62" s="1155"/>
      <c r="DF62" s="1152"/>
      <c r="DG62" s="1152"/>
      <c r="DH62" s="1152"/>
      <c r="DI62" s="1152"/>
      <c r="DJ62" s="1153"/>
      <c r="DK62" s="1152"/>
      <c r="DL62" s="1154"/>
      <c r="DM62" s="1155"/>
      <c r="DO62" s="1152"/>
      <c r="DP62" s="1152"/>
      <c r="DQ62" s="1152"/>
      <c r="DR62" s="1152"/>
      <c r="DS62" s="1153"/>
      <c r="DT62" s="1152"/>
      <c r="DU62" s="1154"/>
      <c r="DV62" s="1155"/>
      <c r="DX62" s="1152"/>
      <c r="DY62" s="1152"/>
      <c r="DZ62" s="1152"/>
      <c r="EA62" s="1152"/>
      <c r="EB62" s="1153"/>
      <c r="EC62" s="1152"/>
      <c r="ED62" s="1154"/>
      <c r="EE62" s="1155"/>
      <c r="EG62" s="1152"/>
      <c r="EH62" s="1152"/>
      <c r="EI62" s="1152"/>
      <c r="EJ62" s="1152"/>
      <c r="EK62" s="1153"/>
      <c r="EL62" s="1152"/>
      <c r="EM62" s="1154"/>
      <c r="EN62" s="1155"/>
      <c r="EP62" s="1152"/>
      <c r="EQ62" s="1152"/>
      <c r="ER62" s="1152"/>
      <c r="ES62" s="1152"/>
      <c r="ET62" s="1153"/>
      <c r="EU62" s="1152"/>
      <c r="EV62" s="1154"/>
      <c r="EW62" s="1155"/>
      <c r="EY62" s="1152"/>
      <c r="EZ62" s="1152"/>
      <c r="FA62" s="1152"/>
      <c r="FB62" s="1152"/>
      <c r="FC62" s="1153"/>
      <c r="FD62" s="1152"/>
      <c r="FE62" s="1154"/>
      <c r="FF62" s="1155"/>
      <c r="FH62" s="1152"/>
      <c r="FI62" s="1152"/>
      <c r="FJ62" s="1152"/>
      <c r="FK62" s="1152"/>
      <c r="FL62" s="1153"/>
      <c r="FM62" s="1152"/>
      <c r="FN62" s="1154"/>
      <c r="FO62" s="1155"/>
      <c r="FQ62" s="1152"/>
      <c r="FR62" s="1152"/>
      <c r="FS62" s="1152"/>
      <c r="FT62" s="1152"/>
      <c r="FU62" s="1153"/>
      <c r="FV62" s="1152"/>
      <c r="FW62" s="1154"/>
      <c r="FX62" s="1155"/>
      <c r="FZ62" s="1152"/>
      <c r="GA62" s="1152"/>
      <c r="GB62" s="1152"/>
      <c r="GC62" s="1152"/>
      <c r="GD62" s="1153"/>
      <c r="GE62" s="1152"/>
      <c r="GF62" s="1154"/>
      <c r="GG62" s="1155"/>
      <c r="GI62" s="1152"/>
      <c r="GJ62" s="1152"/>
      <c r="GK62" s="1152"/>
      <c r="GL62" s="1152"/>
      <c r="GM62" s="1153"/>
      <c r="GN62" s="1152"/>
      <c r="GO62" s="1154"/>
      <c r="GP62" s="1155"/>
      <c r="GR62" s="1152"/>
      <c r="GS62" s="1152"/>
      <c r="GT62" s="1152"/>
      <c r="GU62" s="1152"/>
      <c r="GV62" s="1153"/>
      <c r="GW62" s="1152"/>
      <c r="GX62" s="1154"/>
      <c r="GY62" s="1155"/>
      <c r="HA62" s="1152"/>
      <c r="HB62" s="1152"/>
      <c r="HC62" s="1152"/>
      <c r="HD62" s="1152"/>
      <c r="HE62" s="1153"/>
      <c r="HF62" s="1152"/>
      <c r="HG62" s="1154"/>
      <c r="HH62" s="1155"/>
      <c r="HJ62" s="1152"/>
      <c r="HK62" s="1152"/>
      <c r="HL62" s="1152"/>
      <c r="HM62" s="1152"/>
      <c r="HN62" s="1153"/>
      <c r="HO62" s="1152"/>
      <c r="HP62" s="1154"/>
      <c r="HQ62" s="1155"/>
      <c r="HS62" s="1152"/>
      <c r="HT62" s="1152"/>
      <c r="HU62" s="1152"/>
      <c r="HV62" s="1152"/>
      <c r="HW62" s="1153"/>
      <c r="HX62" s="1152"/>
      <c r="HY62" s="1154"/>
      <c r="HZ62" s="1155"/>
      <c r="IB62" s="1152"/>
      <c r="IC62" s="1152"/>
      <c r="ID62" s="1152"/>
      <c r="IE62" s="1152"/>
      <c r="IF62" s="1153"/>
      <c r="IG62" s="1152"/>
      <c r="IH62" s="1154"/>
      <c r="II62" s="1155"/>
      <c r="IK62" s="1152"/>
      <c r="IL62" s="1152"/>
      <c r="IM62" s="1152"/>
    </row>
    <row r="63" spans="1:247" s="34" customFormat="1">
      <c r="A63" s="1151">
        <v>52</v>
      </c>
      <c r="B63" s="324" t="s">
        <v>1155</v>
      </c>
      <c r="C63" s="202">
        <v>48532</v>
      </c>
      <c r="D63" s="202">
        <v>48532</v>
      </c>
      <c r="E63" s="212">
        <v>48532</v>
      </c>
      <c r="F63" s="212"/>
      <c r="G63" s="212">
        <v>48532</v>
      </c>
      <c r="H63" s="213"/>
      <c r="I63" s="212"/>
      <c r="J63" s="210"/>
      <c r="K63" s="140"/>
      <c r="L63" s="212"/>
      <c r="M63" s="212"/>
      <c r="N63" s="1152"/>
      <c r="O63" s="1153"/>
      <c r="P63" s="1152"/>
      <c r="Q63" s="1154"/>
      <c r="R63" s="1155"/>
      <c r="T63" s="1152"/>
      <c r="U63" s="1152"/>
      <c r="V63" s="1152"/>
      <c r="W63" s="1152"/>
      <c r="X63" s="1153"/>
      <c r="Y63" s="1152"/>
      <c r="Z63" s="1154"/>
      <c r="AA63" s="1155"/>
      <c r="AC63" s="1152"/>
      <c r="AD63" s="1152"/>
      <c r="AE63" s="1152"/>
      <c r="AF63" s="1152"/>
      <c r="AG63" s="1153"/>
      <c r="AH63" s="1152"/>
      <c r="AI63" s="1154"/>
      <c r="AJ63" s="1155"/>
      <c r="AL63" s="1152"/>
      <c r="AM63" s="1152"/>
      <c r="AN63" s="1152"/>
      <c r="AO63" s="1152"/>
      <c r="AP63" s="1153"/>
      <c r="AQ63" s="1152"/>
      <c r="AR63" s="1154"/>
      <c r="AS63" s="1155"/>
      <c r="AU63" s="1152"/>
      <c r="AV63" s="1152"/>
      <c r="AW63" s="1152"/>
      <c r="AX63" s="1152"/>
      <c r="AY63" s="1153"/>
      <c r="AZ63" s="1152"/>
      <c r="BA63" s="1154"/>
      <c r="BB63" s="1155"/>
      <c r="BD63" s="1152"/>
      <c r="BE63" s="1152"/>
      <c r="BF63" s="1152"/>
      <c r="BG63" s="1152"/>
      <c r="BH63" s="1153"/>
      <c r="BI63" s="1152"/>
      <c r="BJ63" s="1154"/>
      <c r="BK63" s="1155"/>
      <c r="BM63" s="1152"/>
      <c r="BN63" s="1152"/>
      <c r="BO63" s="1152"/>
      <c r="BP63" s="1152"/>
      <c r="BQ63" s="1153"/>
      <c r="BR63" s="1152"/>
      <c r="BS63" s="1154"/>
      <c r="BT63" s="1155"/>
      <c r="BV63" s="1152"/>
      <c r="BW63" s="1152"/>
      <c r="BX63" s="1152"/>
      <c r="BY63" s="1152"/>
      <c r="BZ63" s="1153"/>
      <c r="CA63" s="1152"/>
      <c r="CB63" s="1154"/>
      <c r="CC63" s="1155"/>
      <c r="CE63" s="1152"/>
      <c r="CF63" s="1152"/>
      <c r="CG63" s="1152"/>
      <c r="CH63" s="1152"/>
      <c r="CI63" s="1153"/>
      <c r="CJ63" s="1152"/>
      <c r="CK63" s="1154"/>
      <c r="CL63" s="1155"/>
      <c r="CN63" s="1152"/>
      <c r="CO63" s="1152"/>
      <c r="CP63" s="1152"/>
      <c r="CQ63" s="1152"/>
      <c r="CR63" s="1153"/>
      <c r="CS63" s="1152"/>
      <c r="CT63" s="1154"/>
      <c r="CU63" s="1155"/>
      <c r="CW63" s="1152"/>
      <c r="CX63" s="1152"/>
      <c r="CY63" s="1152"/>
      <c r="CZ63" s="1152"/>
      <c r="DA63" s="1153"/>
      <c r="DB63" s="1152"/>
      <c r="DC63" s="1154"/>
      <c r="DD63" s="1155"/>
      <c r="DF63" s="1152"/>
      <c r="DG63" s="1152"/>
      <c r="DH63" s="1152"/>
      <c r="DI63" s="1152"/>
      <c r="DJ63" s="1153"/>
      <c r="DK63" s="1152"/>
      <c r="DL63" s="1154"/>
      <c r="DM63" s="1155"/>
      <c r="DO63" s="1152"/>
      <c r="DP63" s="1152"/>
      <c r="DQ63" s="1152"/>
      <c r="DR63" s="1152"/>
      <c r="DS63" s="1153"/>
      <c r="DT63" s="1152"/>
      <c r="DU63" s="1154"/>
      <c r="DV63" s="1155"/>
      <c r="DX63" s="1152"/>
      <c r="DY63" s="1152"/>
      <c r="DZ63" s="1152"/>
      <c r="EA63" s="1152"/>
      <c r="EB63" s="1153"/>
      <c r="EC63" s="1152"/>
      <c r="ED63" s="1154"/>
      <c r="EE63" s="1155"/>
      <c r="EG63" s="1152"/>
      <c r="EH63" s="1152"/>
      <c r="EI63" s="1152"/>
      <c r="EJ63" s="1152"/>
      <c r="EK63" s="1153"/>
      <c r="EL63" s="1152"/>
      <c r="EM63" s="1154"/>
      <c r="EN63" s="1155"/>
      <c r="EP63" s="1152"/>
      <c r="EQ63" s="1152"/>
      <c r="ER63" s="1152"/>
      <c r="ES63" s="1152"/>
      <c r="ET63" s="1153"/>
      <c r="EU63" s="1152"/>
      <c r="EV63" s="1154"/>
      <c r="EW63" s="1155"/>
      <c r="EY63" s="1152"/>
      <c r="EZ63" s="1152"/>
      <c r="FA63" s="1152"/>
      <c r="FB63" s="1152"/>
      <c r="FC63" s="1153"/>
      <c r="FD63" s="1152"/>
      <c r="FE63" s="1154"/>
      <c r="FF63" s="1155"/>
      <c r="FH63" s="1152"/>
      <c r="FI63" s="1152"/>
      <c r="FJ63" s="1152"/>
      <c r="FK63" s="1152"/>
      <c r="FL63" s="1153"/>
      <c r="FM63" s="1152"/>
      <c r="FN63" s="1154"/>
      <c r="FO63" s="1155"/>
      <c r="FQ63" s="1152"/>
      <c r="FR63" s="1152"/>
      <c r="FS63" s="1152"/>
      <c r="FT63" s="1152"/>
      <c r="FU63" s="1153"/>
      <c r="FV63" s="1152"/>
      <c r="FW63" s="1154"/>
      <c r="FX63" s="1155"/>
      <c r="FZ63" s="1152"/>
      <c r="GA63" s="1152"/>
      <c r="GB63" s="1152"/>
      <c r="GC63" s="1152"/>
      <c r="GD63" s="1153"/>
      <c r="GE63" s="1152"/>
      <c r="GF63" s="1154"/>
      <c r="GG63" s="1155"/>
      <c r="GI63" s="1152"/>
      <c r="GJ63" s="1152"/>
      <c r="GK63" s="1152"/>
      <c r="GL63" s="1152"/>
      <c r="GM63" s="1153"/>
      <c r="GN63" s="1152"/>
      <c r="GO63" s="1154"/>
      <c r="GP63" s="1155"/>
      <c r="GR63" s="1152"/>
      <c r="GS63" s="1152"/>
      <c r="GT63" s="1152"/>
      <c r="GU63" s="1152"/>
      <c r="GV63" s="1153"/>
      <c r="GW63" s="1152"/>
      <c r="GX63" s="1154"/>
      <c r="GY63" s="1155"/>
      <c r="HA63" s="1152"/>
      <c r="HB63" s="1152"/>
      <c r="HC63" s="1152"/>
      <c r="HD63" s="1152"/>
      <c r="HE63" s="1153"/>
      <c r="HF63" s="1152"/>
      <c r="HG63" s="1154"/>
      <c r="HH63" s="1155"/>
      <c r="HJ63" s="1152"/>
      <c r="HK63" s="1152"/>
      <c r="HL63" s="1152"/>
      <c r="HM63" s="1152"/>
      <c r="HN63" s="1153"/>
      <c r="HO63" s="1152"/>
      <c r="HP63" s="1154"/>
      <c r="HQ63" s="1155"/>
      <c r="HS63" s="1152"/>
      <c r="HT63" s="1152"/>
      <c r="HU63" s="1152"/>
      <c r="HV63" s="1152"/>
      <c r="HW63" s="1153"/>
      <c r="HX63" s="1152"/>
      <c r="HY63" s="1154"/>
      <c r="HZ63" s="1155"/>
      <c r="IB63" s="1152"/>
      <c r="IC63" s="1152"/>
      <c r="ID63" s="1152"/>
      <c r="IE63" s="1152"/>
      <c r="IF63" s="1153"/>
      <c r="IG63" s="1152"/>
      <c r="IH63" s="1154"/>
      <c r="II63" s="1155"/>
      <c r="IK63" s="1152"/>
      <c r="IL63" s="1152"/>
      <c r="IM63" s="1152"/>
    </row>
    <row r="64" spans="1:247" s="34" customFormat="1" ht="12.75" thickBot="1">
      <c r="A64" s="1151">
        <v>53</v>
      </c>
      <c r="B64" s="265" t="s">
        <v>81</v>
      </c>
      <c r="C64" s="2281">
        <v>7924165.299999998</v>
      </c>
      <c r="D64" s="2281">
        <v>8371235.879999999</v>
      </c>
      <c r="E64" s="2281">
        <v>8200861</v>
      </c>
      <c r="F64" s="2281">
        <v>1308809</v>
      </c>
      <c r="G64" s="2281">
        <v>9509670</v>
      </c>
      <c r="H64" s="1146"/>
      <c r="I64" s="211"/>
      <c r="J64" s="211"/>
      <c r="K64" s="211"/>
      <c r="L64" s="310">
        <v>1308809</v>
      </c>
      <c r="M64" s="211"/>
    </row>
    <row r="65" spans="10:10" ht="12.75" thickTop="1"/>
    <row r="69" spans="10:10">
      <c r="J69" s="211">
        <v>278625</v>
      </c>
    </row>
    <row r="70" spans="10:10">
      <c r="J70" s="211">
        <v>1168184</v>
      </c>
    </row>
  </sheetData>
  <phoneticPr fontId="27" type="noConversion"/>
  <printOptions horizontalCentered="1"/>
  <pageMargins left="0.75" right="0.5" top="0.75" bottom="0.5" header="0.25" footer="0.25"/>
  <pageSetup scale="82" orientation="portrait" r:id="rId1"/>
  <headerFooter alignWithMargins="0">
    <oddFooter xml:space="preserve">&amp;C&amp;"Garmond (W1),Bold"
</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Y41"/>
  <sheetViews>
    <sheetView view="pageBreakPreview" zoomScale="60" zoomScaleNormal="100" workbookViewId="0">
      <selection sqref="A1:XFD1048576"/>
    </sheetView>
  </sheetViews>
  <sheetFormatPr defaultColWidth="9.140625" defaultRowHeight="15"/>
  <cols>
    <col min="1" max="1" width="9.140625" style="371"/>
    <col min="2" max="2" width="1.7109375" style="371" customWidth="1"/>
    <col min="3" max="3" width="18.28515625" style="371" bestFit="1" customWidth="1"/>
    <col min="4" max="4" width="1.7109375" style="371" customWidth="1"/>
    <col min="5" max="5" width="10.140625" style="371" bestFit="1" customWidth="1"/>
    <col min="6" max="6" width="1.7109375" style="371" customWidth="1"/>
    <col min="7" max="7" width="14.140625" style="371" bestFit="1" customWidth="1"/>
    <col min="8" max="8" width="1.7109375" style="371" customWidth="1"/>
    <col min="9" max="9" width="13.42578125" style="371" bestFit="1" customWidth="1"/>
    <col min="10" max="10" width="1.7109375" style="371" customWidth="1"/>
    <col min="11" max="11" width="13.140625" style="371" bestFit="1" customWidth="1"/>
    <col min="12" max="12" width="1.7109375" style="371" customWidth="1"/>
    <col min="13" max="13" width="18.85546875" style="371" bestFit="1" customWidth="1"/>
    <col min="14" max="14" width="1.7109375" style="371" customWidth="1"/>
    <col min="15" max="15" width="20.5703125" style="371" bestFit="1" customWidth="1"/>
    <col min="16" max="16" width="1.7109375" style="371" customWidth="1"/>
    <col min="17" max="17" width="20.5703125" style="371" bestFit="1" customWidth="1"/>
    <col min="18" max="18" width="1.7109375" style="371" customWidth="1"/>
    <col min="19" max="19" width="12.5703125" style="371" bestFit="1" customWidth="1"/>
    <col min="20" max="20" width="1.7109375" style="371" customWidth="1"/>
    <col min="21" max="21" width="15" style="371" bestFit="1" customWidth="1"/>
    <col min="22" max="22" width="1.7109375" style="371" customWidth="1"/>
    <col min="23" max="23" width="17.5703125" style="371" customWidth="1"/>
    <col min="24" max="24" width="1.7109375" style="371" customWidth="1"/>
    <col min="25" max="25" width="11.140625" style="371" bestFit="1" customWidth="1"/>
    <col min="26" max="16384" width="9.140625" style="36"/>
  </cols>
  <sheetData>
    <row r="1" spans="1:25">
      <c r="A1" s="1029" t="s">
        <v>1211</v>
      </c>
      <c r="B1" s="1029"/>
      <c r="C1" s="1029"/>
      <c r="D1" s="1029"/>
      <c r="E1" s="1029"/>
      <c r="F1" s="1029"/>
      <c r="G1" s="1029"/>
      <c r="H1" s="1029"/>
      <c r="I1" s="1029"/>
      <c r="J1" s="1029"/>
      <c r="K1" s="1029"/>
      <c r="L1" s="1029"/>
      <c r="M1" s="1029"/>
      <c r="N1" s="1029"/>
      <c r="O1" s="1029"/>
      <c r="P1" s="1029"/>
      <c r="Q1" s="1029"/>
      <c r="R1" s="1029"/>
      <c r="S1" s="1029"/>
      <c r="T1" s="1029"/>
      <c r="U1" s="1029"/>
      <c r="V1" s="1029"/>
      <c r="W1" s="1041" t="s">
        <v>1209</v>
      </c>
      <c r="X1" s="1029"/>
      <c r="Y1" s="1029"/>
    </row>
    <row r="2" spans="1:25">
      <c r="A2" s="1029" t="s">
        <v>1521</v>
      </c>
      <c r="B2" s="1029"/>
      <c r="C2" s="1029"/>
      <c r="D2" s="1029"/>
      <c r="E2" s="1029"/>
      <c r="F2" s="1029"/>
      <c r="G2" s="1029"/>
      <c r="H2" s="1029"/>
      <c r="I2" s="1029"/>
      <c r="J2" s="1029"/>
      <c r="K2" s="1029"/>
      <c r="L2" s="1029"/>
      <c r="M2" s="1029"/>
      <c r="N2" s="1029"/>
      <c r="O2" s="1029"/>
      <c r="P2" s="1029"/>
      <c r="Q2" s="1029"/>
      <c r="R2" s="1029"/>
      <c r="S2" s="1029"/>
      <c r="T2" s="1029"/>
      <c r="U2" s="1029"/>
      <c r="V2" s="1029"/>
      <c r="W2" s="1041"/>
      <c r="X2" s="1029"/>
      <c r="Y2" s="1029"/>
    </row>
    <row r="3" spans="1:25">
      <c r="A3" s="1029"/>
      <c r="B3" s="1029"/>
      <c r="C3" s="1029"/>
      <c r="D3" s="1029"/>
      <c r="E3" s="1029"/>
      <c r="F3" s="1029"/>
      <c r="G3" s="1029"/>
      <c r="H3" s="1029"/>
      <c r="I3" s="1029"/>
      <c r="J3" s="1029"/>
      <c r="K3" s="1029"/>
      <c r="L3" s="1029"/>
      <c r="M3" s="1029"/>
      <c r="N3" s="1029"/>
      <c r="O3" s="1029"/>
      <c r="P3" s="1029"/>
      <c r="Q3" s="1029"/>
      <c r="R3" s="1029"/>
      <c r="S3" s="1029"/>
      <c r="T3" s="1029"/>
      <c r="U3" s="1029"/>
      <c r="V3" s="1029"/>
      <c r="W3" s="1041"/>
      <c r="X3" s="1029"/>
      <c r="Y3" s="1029"/>
    </row>
    <row r="4" spans="1:25">
      <c r="A4" s="117" t="s">
        <v>2644</v>
      </c>
      <c r="B4" s="1029"/>
      <c r="C4" s="1029"/>
      <c r="D4" s="1029"/>
      <c r="E4" s="1029"/>
      <c r="F4" s="1029"/>
      <c r="G4" s="1029"/>
      <c r="H4" s="1029"/>
      <c r="I4" s="1029"/>
      <c r="J4" s="1029"/>
      <c r="K4" s="1029"/>
      <c r="L4" s="1029"/>
      <c r="M4" s="1029"/>
      <c r="N4" s="1029"/>
      <c r="O4" s="1029"/>
      <c r="P4" s="1029"/>
      <c r="Q4" s="1029"/>
      <c r="R4" s="1029"/>
      <c r="S4" s="1029"/>
      <c r="T4" s="1029"/>
      <c r="U4" s="1029"/>
      <c r="V4" s="1029"/>
      <c r="W4" s="1041" t="s">
        <v>1094</v>
      </c>
      <c r="X4" s="1029"/>
      <c r="Y4" s="1029"/>
    </row>
    <row r="5" spans="1:25">
      <c r="A5" s="117" t="s">
        <v>2645</v>
      </c>
      <c r="B5" s="1029"/>
      <c r="C5" s="1029"/>
      <c r="D5" s="1029"/>
      <c r="E5" s="1029"/>
      <c r="F5" s="1029"/>
      <c r="G5" s="1029"/>
      <c r="H5" s="1029"/>
      <c r="I5" s="1029"/>
      <c r="J5" s="1029"/>
      <c r="K5" s="1029"/>
      <c r="L5" s="1029"/>
      <c r="M5" s="1029"/>
      <c r="N5" s="1029"/>
      <c r="O5" s="1029"/>
      <c r="P5" s="1029"/>
      <c r="Q5" s="1029"/>
      <c r="R5" s="1029"/>
      <c r="S5" s="1029"/>
      <c r="T5" s="1029"/>
      <c r="U5" s="1029"/>
      <c r="V5" s="1029"/>
      <c r="W5" s="1041" t="s">
        <v>766</v>
      </c>
      <c r="X5" s="1029"/>
      <c r="Y5" s="1029"/>
    </row>
    <row r="6" spans="1:25">
      <c r="A6" s="117" t="s">
        <v>1936</v>
      </c>
      <c r="B6" s="1029"/>
      <c r="C6" s="1029"/>
      <c r="D6" s="1029"/>
      <c r="E6" s="1029"/>
      <c r="F6" s="1029"/>
      <c r="G6" s="1029"/>
      <c r="H6" s="1029"/>
      <c r="I6" s="1029"/>
      <c r="J6" s="1029"/>
      <c r="K6" s="1029"/>
      <c r="L6" s="1029"/>
      <c r="M6" s="1029"/>
      <c r="N6" s="1029"/>
      <c r="O6" s="1029"/>
      <c r="P6" s="1029"/>
      <c r="Q6" s="1029"/>
      <c r="R6" s="1029"/>
      <c r="S6" s="1029"/>
      <c r="T6" s="1029"/>
      <c r="U6" s="1029"/>
      <c r="V6" s="1029"/>
      <c r="W6" s="1041"/>
      <c r="X6" s="1029"/>
      <c r="Y6" s="1029"/>
    </row>
    <row r="7" spans="1:25">
      <c r="A7" s="1029" t="s">
        <v>1092</v>
      </c>
      <c r="B7" s="1029"/>
      <c r="C7" s="1029"/>
      <c r="D7" s="1029"/>
      <c r="E7" s="1029"/>
      <c r="F7" s="1029"/>
      <c r="G7" s="1029"/>
      <c r="H7" s="1029"/>
      <c r="I7" s="1029"/>
      <c r="J7" s="1029"/>
      <c r="K7" s="1029"/>
      <c r="L7" s="1029"/>
      <c r="M7" s="1029"/>
      <c r="N7" s="1029"/>
      <c r="O7" s="1029"/>
      <c r="P7" s="1029"/>
      <c r="Q7" s="1029"/>
      <c r="R7" s="1029"/>
      <c r="S7" s="1029"/>
      <c r="T7" s="1029"/>
      <c r="U7" s="1029"/>
      <c r="V7" s="1042"/>
      <c r="W7" s="1029" t="s">
        <v>2950</v>
      </c>
      <c r="X7" s="1029"/>
      <c r="Y7" s="1029"/>
    </row>
    <row r="8" spans="1:25">
      <c r="A8" s="1029" t="s">
        <v>1363</v>
      </c>
      <c r="B8" s="1029"/>
      <c r="C8" s="1029"/>
      <c r="D8" s="1029"/>
      <c r="E8" s="1029"/>
      <c r="F8" s="1029"/>
      <c r="G8" s="1029"/>
      <c r="H8" s="1029"/>
      <c r="I8" s="1029"/>
      <c r="J8" s="1029"/>
      <c r="K8" s="1029"/>
      <c r="L8" s="1029"/>
      <c r="M8" s="1029"/>
      <c r="N8" s="1029"/>
      <c r="O8" s="1029"/>
      <c r="P8" s="1029"/>
      <c r="Q8" s="1029"/>
      <c r="R8" s="1029"/>
      <c r="S8" s="1029"/>
      <c r="T8" s="1029"/>
      <c r="U8" s="1029"/>
      <c r="V8" s="1029"/>
      <c r="W8" s="1029"/>
      <c r="X8" s="1029"/>
      <c r="Y8" s="1029"/>
    </row>
    <row r="9" spans="1:25">
      <c r="A9" s="1029"/>
      <c r="B9" s="1029"/>
      <c r="C9" s="1029"/>
      <c r="D9" s="1029"/>
      <c r="E9" s="1029"/>
      <c r="F9" s="1029"/>
      <c r="G9" s="1029"/>
      <c r="H9" s="1029"/>
      <c r="I9" s="1029"/>
      <c r="J9" s="1029"/>
      <c r="K9" s="1029"/>
      <c r="L9" s="1029"/>
      <c r="M9" s="1029"/>
      <c r="N9" s="1029"/>
      <c r="O9" s="1029"/>
      <c r="P9" s="1029"/>
      <c r="Q9" s="1029"/>
      <c r="R9" s="1029"/>
      <c r="S9" s="1029"/>
      <c r="T9" s="1029"/>
      <c r="U9" s="1029"/>
      <c r="V9" s="1029"/>
      <c r="W9" s="1029"/>
      <c r="X9" s="1029"/>
      <c r="Y9" s="1029"/>
    </row>
    <row r="10" spans="1:25">
      <c r="A10" s="1029" t="s">
        <v>1766</v>
      </c>
      <c r="B10" s="1029"/>
      <c r="C10" s="1029"/>
      <c r="D10" s="1029"/>
      <c r="E10" s="1029"/>
      <c r="F10" s="1029"/>
      <c r="G10" s="1029"/>
      <c r="H10" s="1029"/>
      <c r="I10" s="1029"/>
      <c r="J10" s="1029"/>
      <c r="K10" s="1029"/>
      <c r="L10" s="1029"/>
      <c r="M10" s="1029"/>
      <c r="N10" s="1029"/>
      <c r="O10" s="1029"/>
      <c r="P10" s="1029"/>
      <c r="Q10" s="1029"/>
      <c r="R10" s="1029"/>
      <c r="S10" s="1029"/>
      <c r="T10" s="1029"/>
      <c r="U10" s="1029"/>
      <c r="V10" s="1029"/>
      <c r="W10" s="1029"/>
      <c r="X10" s="1029"/>
      <c r="Y10" s="1029"/>
    </row>
    <row r="11" spans="1:25">
      <c r="A11" s="1029"/>
      <c r="B11" s="1029"/>
      <c r="C11" s="1029"/>
      <c r="D11" s="1029"/>
      <c r="E11" s="1029"/>
      <c r="F11" s="1029"/>
      <c r="G11" s="1029"/>
      <c r="H11" s="1029"/>
      <c r="I11" s="1029"/>
      <c r="J11" s="1029"/>
      <c r="K11" s="1029"/>
      <c r="L11" s="1029"/>
      <c r="M11" s="1029"/>
      <c r="N11" s="1029"/>
      <c r="O11" s="1029"/>
      <c r="P11" s="1029"/>
      <c r="Q11" s="1029"/>
      <c r="R11" s="1029"/>
      <c r="S11" s="1029"/>
      <c r="T11" s="1029"/>
      <c r="U11" s="1029"/>
      <c r="V11" s="1029"/>
      <c r="W11" s="1029"/>
      <c r="X11" s="1029"/>
      <c r="Y11" s="1029"/>
    </row>
    <row r="12" spans="1:25">
      <c r="A12" s="2148"/>
      <c r="B12" s="2148"/>
      <c r="C12" s="2019">
        <v>-1</v>
      </c>
      <c r="D12" s="2148"/>
      <c r="E12" s="2019">
        <v>-2</v>
      </c>
      <c r="F12" s="2148"/>
      <c r="G12" s="2019">
        <v>-3</v>
      </c>
      <c r="H12" s="2148"/>
      <c r="I12" s="2019">
        <v>-4</v>
      </c>
      <c r="J12" s="2148"/>
      <c r="K12" s="2019">
        <v>-5</v>
      </c>
      <c r="L12" s="2148"/>
      <c r="M12" s="2019">
        <v>-6</v>
      </c>
      <c r="N12" s="2148"/>
      <c r="O12" s="2019">
        <v>-7</v>
      </c>
      <c r="P12" s="2148"/>
      <c r="Q12" s="2019">
        <v>-8</v>
      </c>
      <c r="R12" s="2148"/>
      <c r="S12" s="2019">
        <v>-9</v>
      </c>
      <c r="T12" s="2148"/>
      <c r="U12" s="2019">
        <v>-10</v>
      </c>
      <c r="V12" s="2148"/>
      <c r="W12" s="2019">
        <v>-11</v>
      </c>
      <c r="X12" s="2148"/>
      <c r="Y12" s="2019">
        <v>-12</v>
      </c>
    </row>
    <row r="13" spans="1:25" s="38" customFormat="1">
      <c r="A13" s="2111"/>
      <c r="B13" s="2111"/>
      <c r="C13" s="2111" t="s">
        <v>1010</v>
      </c>
      <c r="D13" s="2111"/>
      <c r="E13" s="2111"/>
      <c r="F13" s="2111"/>
      <c r="G13" s="2111" t="s">
        <v>1016</v>
      </c>
      <c r="H13" s="2111"/>
      <c r="I13" s="2111" t="s">
        <v>1017</v>
      </c>
      <c r="J13" s="2111"/>
      <c r="K13" s="2111" t="s">
        <v>1017</v>
      </c>
      <c r="L13" s="2111"/>
      <c r="M13" s="2111" t="s">
        <v>1018</v>
      </c>
      <c r="N13" s="2111"/>
      <c r="O13" s="2111" t="s">
        <v>1018</v>
      </c>
      <c r="P13" s="2111"/>
      <c r="Q13" s="2111" t="s">
        <v>1019</v>
      </c>
      <c r="R13" s="2111"/>
      <c r="S13" s="2111" t="s">
        <v>471</v>
      </c>
      <c r="T13" s="2111"/>
      <c r="U13" s="2111" t="s">
        <v>1020</v>
      </c>
      <c r="V13" s="2111"/>
      <c r="W13" s="2111" t="s">
        <v>890</v>
      </c>
      <c r="X13" s="2111"/>
      <c r="Y13" s="2111" t="s">
        <v>891</v>
      </c>
    </row>
    <row r="14" spans="1:25" s="38" customFormat="1">
      <c r="A14" s="2111" t="s">
        <v>802</v>
      </c>
      <c r="B14" s="2111"/>
      <c r="C14" s="2111" t="s">
        <v>702</v>
      </c>
      <c r="D14" s="2111"/>
      <c r="E14" s="2111" t="s">
        <v>1205</v>
      </c>
      <c r="F14" s="2111"/>
      <c r="G14" s="2111" t="s">
        <v>892</v>
      </c>
      <c r="H14" s="2111"/>
      <c r="I14" s="2111" t="s">
        <v>619</v>
      </c>
      <c r="J14" s="2111"/>
      <c r="K14" s="2111" t="s">
        <v>1206</v>
      </c>
      <c r="L14" s="2111"/>
      <c r="M14" s="2111" t="s">
        <v>620</v>
      </c>
      <c r="N14" s="2111"/>
      <c r="O14" s="2111" t="s">
        <v>1498</v>
      </c>
      <c r="P14" s="2111"/>
      <c r="Q14" s="2111" t="s">
        <v>1499</v>
      </c>
      <c r="R14" s="2111"/>
      <c r="S14" s="2111" t="s">
        <v>1207</v>
      </c>
      <c r="T14" s="2111"/>
      <c r="U14" s="2111" t="s">
        <v>1500</v>
      </c>
      <c r="V14" s="2111"/>
      <c r="W14" s="2111" t="s">
        <v>1501</v>
      </c>
      <c r="X14" s="2111"/>
      <c r="Y14" s="2111" t="s">
        <v>1502</v>
      </c>
    </row>
    <row r="15" spans="1:25">
      <c r="A15" s="1789"/>
      <c r="C15" s="1789"/>
      <c r="E15" s="1789"/>
      <c r="G15" s="1789"/>
      <c r="I15" s="1789"/>
      <c r="K15" s="1789"/>
      <c r="M15" s="1789"/>
      <c r="O15" s="1789"/>
      <c r="Q15" s="1789"/>
      <c r="S15" s="1789"/>
      <c r="U15" s="1789"/>
      <c r="W15" s="1789"/>
      <c r="Y15" s="1789"/>
    </row>
    <row r="16" spans="1:25">
      <c r="A16" s="803">
        <v>1</v>
      </c>
      <c r="C16" s="371" t="s">
        <v>452</v>
      </c>
    </row>
    <row r="17" spans="1:11">
      <c r="A17" s="803"/>
      <c r="K17" s="1221"/>
    </row>
    <row r="18" spans="1:11">
      <c r="A18" s="803">
        <v>2</v>
      </c>
      <c r="C18" s="387" t="s">
        <v>1919</v>
      </c>
    </row>
    <row r="19" spans="1:11">
      <c r="A19" s="803"/>
    </row>
    <row r="20" spans="1:11">
      <c r="A20" s="398"/>
    </row>
    <row r="21" spans="1:11">
      <c r="A21" s="384" t="s">
        <v>438</v>
      </c>
    </row>
    <row r="41" spans="1:25">
      <c r="A41" s="385"/>
      <c r="B41" s="399"/>
      <c r="C41" s="399"/>
      <c r="D41" s="399"/>
      <c r="E41" s="399"/>
      <c r="F41" s="399"/>
      <c r="G41" s="399"/>
      <c r="H41" s="399"/>
      <c r="I41" s="399"/>
      <c r="J41" s="399"/>
      <c r="K41" s="399"/>
      <c r="L41" s="399"/>
      <c r="M41" s="399"/>
      <c r="N41" s="399"/>
      <c r="O41" s="399"/>
      <c r="P41" s="399"/>
      <c r="Q41" s="399"/>
      <c r="R41" s="399"/>
      <c r="S41" s="399"/>
      <c r="T41" s="399"/>
      <c r="U41" s="399"/>
      <c r="V41" s="399"/>
      <c r="W41" s="399"/>
      <c r="X41" s="399"/>
      <c r="Y41" s="399"/>
    </row>
  </sheetData>
  <phoneticPr fontId="27" type="noConversion"/>
  <printOptions horizontalCentered="1"/>
  <pageMargins left="0.75" right="0.5" top="0.75" bottom="0.5" header="0.25" footer="0.25"/>
  <pageSetup scale="58"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P39"/>
  <sheetViews>
    <sheetView view="pageBreakPreview" zoomScale="60" zoomScaleNormal="100" workbookViewId="0">
      <selection sqref="A1:XFD1048576"/>
    </sheetView>
  </sheetViews>
  <sheetFormatPr defaultColWidth="9.140625" defaultRowHeight="15"/>
  <cols>
    <col min="1" max="1" width="6.7109375" style="371" customWidth="1"/>
    <col min="2" max="2" width="1.7109375" style="371" customWidth="1"/>
    <col min="3" max="3" width="11.140625" style="371" customWidth="1"/>
    <col min="4" max="4" width="1.7109375" style="371" customWidth="1"/>
    <col min="5" max="5" width="16.7109375" style="371" customWidth="1"/>
    <col min="6" max="6" width="1.7109375" style="371" customWidth="1"/>
    <col min="7" max="7" width="19.140625" style="371" customWidth="1"/>
    <col min="8" max="8" width="1.7109375" style="371" customWidth="1"/>
    <col min="9" max="9" width="23.28515625" style="371" customWidth="1"/>
    <col min="10" max="10" width="1.7109375" style="371" customWidth="1"/>
    <col min="11" max="11" width="15.5703125" style="371" customWidth="1"/>
    <col min="12" max="12" width="9.140625" style="371"/>
    <col min="13" max="16384" width="9.140625" style="36"/>
  </cols>
  <sheetData>
    <row r="1" spans="1:16">
      <c r="A1" s="1029" t="s">
        <v>1703</v>
      </c>
      <c r="B1" s="1029"/>
      <c r="C1" s="1029"/>
      <c r="D1" s="1029"/>
      <c r="E1" s="1029"/>
      <c r="F1" s="1029"/>
      <c r="G1" s="1029"/>
      <c r="H1" s="1029"/>
      <c r="I1" s="1041" t="s">
        <v>1209</v>
      </c>
      <c r="J1" s="1029"/>
      <c r="K1" s="1029"/>
    </row>
    <row r="2" spans="1:16">
      <c r="A2" s="1029" t="s">
        <v>1704</v>
      </c>
      <c r="B2" s="1029"/>
      <c r="C2" s="1029"/>
      <c r="D2" s="1029"/>
      <c r="E2" s="1029"/>
      <c r="F2" s="1029"/>
      <c r="G2" s="1029"/>
      <c r="H2" s="1029"/>
      <c r="I2" s="1041"/>
      <c r="J2" s="1029"/>
      <c r="K2" s="1029"/>
    </row>
    <row r="3" spans="1:16">
      <c r="A3" s="1029"/>
      <c r="B3" s="1029"/>
      <c r="C3" s="1029"/>
      <c r="D3" s="1029"/>
      <c r="E3" s="1029"/>
      <c r="F3" s="1029"/>
      <c r="G3" s="1029"/>
      <c r="H3" s="1029"/>
      <c r="I3" s="1041"/>
      <c r="J3" s="1029"/>
      <c r="K3" s="1029"/>
    </row>
    <row r="4" spans="1:16">
      <c r="A4" s="117" t="s">
        <v>2644</v>
      </c>
      <c r="B4" s="1029"/>
      <c r="C4" s="1029"/>
      <c r="D4" s="1029"/>
      <c r="E4" s="1029"/>
      <c r="F4" s="1029"/>
      <c r="G4" s="1029"/>
      <c r="H4" s="1029"/>
      <c r="I4" s="1041" t="s">
        <v>622</v>
      </c>
      <c r="J4" s="1029"/>
      <c r="K4" s="1029"/>
    </row>
    <row r="5" spans="1:16">
      <c r="A5" s="117" t="s">
        <v>2645</v>
      </c>
      <c r="B5" s="1029"/>
      <c r="C5" s="1029"/>
      <c r="D5" s="1029"/>
      <c r="E5" s="1029"/>
      <c r="F5" s="1029"/>
      <c r="G5" s="1029"/>
      <c r="H5" s="1029"/>
      <c r="I5" s="1041" t="s">
        <v>766</v>
      </c>
      <c r="J5" s="1029"/>
      <c r="K5" s="1029"/>
    </row>
    <row r="6" spans="1:16">
      <c r="A6" s="117" t="s">
        <v>1936</v>
      </c>
      <c r="B6" s="1029"/>
      <c r="C6" s="1029"/>
      <c r="D6" s="1029"/>
      <c r="E6" s="1029"/>
      <c r="F6" s="1029"/>
      <c r="G6" s="1029"/>
      <c r="H6" s="1029"/>
      <c r="I6" s="1041"/>
      <c r="J6" s="1029"/>
      <c r="K6" s="1029"/>
    </row>
    <row r="7" spans="1:16">
      <c r="A7" s="1029" t="s">
        <v>1092</v>
      </c>
      <c r="B7" s="1029"/>
      <c r="C7" s="1029"/>
      <c r="D7" s="1029"/>
      <c r="E7" s="1029"/>
      <c r="F7" s="1029"/>
      <c r="G7" s="1029"/>
      <c r="H7" s="1029"/>
      <c r="I7" s="2064" t="s">
        <v>2950</v>
      </c>
      <c r="J7" s="1029"/>
      <c r="K7" s="1029"/>
    </row>
    <row r="8" spans="1:16">
      <c r="A8" s="1029" t="s">
        <v>1363</v>
      </c>
      <c r="B8" s="1029"/>
      <c r="C8" s="1029"/>
      <c r="D8" s="1029"/>
      <c r="E8" s="1029"/>
      <c r="F8" s="1029"/>
      <c r="G8" s="1029"/>
      <c r="H8" s="1029"/>
      <c r="I8" s="1029"/>
      <c r="J8" s="1029"/>
      <c r="K8" s="1029"/>
    </row>
    <row r="9" spans="1:16">
      <c r="A9" s="1029"/>
      <c r="B9" s="1029"/>
      <c r="C9" s="1029"/>
      <c r="D9" s="1029"/>
      <c r="E9" s="1029"/>
      <c r="F9" s="1029"/>
      <c r="G9" s="1029"/>
      <c r="H9" s="1029"/>
      <c r="I9" s="1029"/>
      <c r="J9" s="1029"/>
      <c r="K9" s="1029"/>
    </row>
    <row r="10" spans="1:16">
      <c r="A10" s="1029"/>
      <c r="B10" s="1029"/>
      <c r="C10" s="1029"/>
      <c r="D10" s="1029"/>
      <c r="E10" s="1029"/>
      <c r="F10" s="1029"/>
      <c r="G10" s="1029"/>
      <c r="H10" s="1029"/>
      <c r="I10" s="1029"/>
      <c r="J10" s="1029"/>
      <c r="K10" s="1029"/>
    </row>
    <row r="11" spans="1:16" ht="27.75" customHeight="1">
      <c r="A11" s="2329" t="s">
        <v>1767</v>
      </c>
      <c r="B11" s="2329"/>
      <c r="C11" s="2329"/>
      <c r="D11" s="2329"/>
      <c r="E11" s="2329"/>
      <c r="F11" s="2329"/>
      <c r="G11" s="2329"/>
      <c r="H11" s="2329"/>
      <c r="I11" s="2329"/>
      <c r="J11" s="2329"/>
      <c r="K11" s="2329"/>
    </row>
    <row r="12" spans="1:16">
      <c r="A12" s="1029"/>
      <c r="B12" s="1029"/>
      <c r="C12" s="1029"/>
      <c r="D12" s="1029"/>
      <c r="E12" s="1029"/>
      <c r="F12" s="1029"/>
      <c r="G12" s="1029"/>
      <c r="H12" s="1029"/>
      <c r="I12" s="1029"/>
      <c r="J12" s="1029"/>
      <c r="K12" s="1029"/>
      <c r="L12" s="372"/>
      <c r="M12" s="37"/>
      <c r="N12" s="37"/>
      <c r="O12" s="37"/>
      <c r="P12" s="37"/>
    </row>
    <row r="13" spans="1:16">
      <c r="A13" s="1030"/>
      <c r="B13" s="1030"/>
      <c r="C13" s="1031">
        <v>-1</v>
      </c>
      <c r="D13" s="1031"/>
      <c r="E13" s="1031">
        <v>-2</v>
      </c>
      <c r="F13" s="1031"/>
      <c r="G13" s="1031">
        <v>-3</v>
      </c>
      <c r="H13" s="1031"/>
      <c r="I13" s="1031">
        <v>-4</v>
      </c>
      <c r="J13" s="1031"/>
      <c r="K13" s="1031">
        <v>-5</v>
      </c>
      <c r="L13" s="372"/>
      <c r="M13" s="37"/>
      <c r="N13" s="37"/>
      <c r="O13" s="37"/>
      <c r="P13" s="37"/>
    </row>
    <row r="14" spans="1:16">
      <c r="A14" s="1029"/>
      <c r="B14" s="1032"/>
      <c r="C14" s="1029"/>
      <c r="D14" s="1032"/>
      <c r="E14" s="1032" t="s">
        <v>447</v>
      </c>
      <c r="F14" s="1032"/>
      <c r="G14" s="1029"/>
      <c r="H14" s="1032"/>
      <c r="I14" s="1032" t="s">
        <v>434</v>
      </c>
      <c r="J14" s="1032"/>
      <c r="K14" s="1032" t="s">
        <v>699</v>
      </c>
      <c r="L14" s="372"/>
      <c r="M14" s="37"/>
      <c r="N14" s="37"/>
      <c r="O14" s="37"/>
      <c r="P14" s="37"/>
    </row>
    <row r="15" spans="1:16">
      <c r="A15" s="1038" t="s">
        <v>802</v>
      </c>
      <c r="B15" s="1038"/>
      <c r="C15" s="1038" t="s">
        <v>1132</v>
      </c>
      <c r="D15" s="1038"/>
      <c r="E15" s="1038" t="s">
        <v>451</v>
      </c>
      <c r="F15" s="1038"/>
      <c r="G15" s="1038" t="s">
        <v>538</v>
      </c>
      <c r="H15" s="1038"/>
      <c r="I15" s="1038" t="s">
        <v>1900</v>
      </c>
      <c r="J15" s="1038"/>
      <c r="K15" s="1038" t="s">
        <v>701</v>
      </c>
    </row>
    <row r="16" spans="1:16">
      <c r="A16" s="372"/>
      <c r="C16" s="372"/>
      <c r="E16" s="372"/>
      <c r="G16" s="372"/>
      <c r="I16" s="372"/>
      <c r="K16" s="372"/>
    </row>
    <row r="17" spans="1:11">
      <c r="A17" s="803">
        <v>1</v>
      </c>
      <c r="C17" s="371" t="s">
        <v>439</v>
      </c>
      <c r="E17" s="2156">
        <v>397063</v>
      </c>
      <c r="G17" s="401" t="s">
        <v>450</v>
      </c>
      <c r="I17" s="2156">
        <v>17100000</v>
      </c>
      <c r="K17" s="376">
        <v>2.3220060000000001E-2</v>
      </c>
    </row>
    <row r="18" spans="1:11">
      <c r="A18" s="803">
        <v>2</v>
      </c>
      <c r="E18" s="1792"/>
      <c r="G18" s="372"/>
      <c r="I18" s="1792"/>
      <c r="K18" s="1789"/>
    </row>
    <row r="19" spans="1:11" ht="15.75" thickBot="1">
      <c r="A19" s="803">
        <v>3</v>
      </c>
      <c r="C19" s="371" t="s">
        <v>81</v>
      </c>
      <c r="E19" s="1793">
        <v>397063</v>
      </c>
      <c r="G19" s="372"/>
      <c r="I19" s="1793">
        <v>17100000</v>
      </c>
      <c r="K19" s="1794">
        <v>2.3220060000000001E-2</v>
      </c>
    </row>
    <row r="20" spans="1:11" ht="15.75" thickTop="1">
      <c r="A20" s="803">
        <v>4</v>
      </c>
      <c r="G20" s="372"/>
    </row>
    <row r="21" spans="1:11">
      <c r="A21" s="803">
        <v>5</v>
      </c>
    </row>
    <row r="22" spans="1:11">
      <c r="A22" s="803">
        <v>6</v>
      </c>
      <c r="C22" s="387" t="s">
        <v>2648</v>
      </c>
    </row>
    <row r="23" spans="1:11">
      <c r="A23" s="374"/>
    </row>
    <row r="24" spans="1:11">
      <c r="A24" s="374"/>
    </row>
    <row r="26" spans="1:11">
      <c r="A26" s="384" t="s">
        <v>438</v>
      </c>
    </row>
    <row r="39" spans="1:11">
      <c r="A39" s="385"/>
      <c r="B39" s="399"/>
      <c r="C39" s="399"/>
      <c r="D39" s="399"/>
      <c r="E39" s="399"/>
      <c r="F39" s="399"/>
      <c r="G39" s="399"/>
      <c r="H39" s="399"/>
      <c r="I39" s="399"/>
      <c r="J39" s="399"/>
      <c r="K39" s="399"/>
    </row>
  </sheetData>
  <mergeCells count="1">
    <mergeCell ref="A11:K11"/>
  </mergeCells>
  <phoneticPr fontId="27" type="noConversion"/>
  <printOptions horizontalCentered="1"/>
  <pageMargins left="0.75" right="0.5" top="0.75" bottom="0.5" header="0.25" footer="0.25"/>
  <pageSetup scale="93" fitToHeight="0"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Z45"/>
  <sheetViews>
    <sheetView view="pageBreakPreview" zoomScale="60" zoomScaleNormal="100" workbookViewId="0">
      <selection sqref="A1:XFD1048576"/>
    </sheetView>
  </sheetViews>
  <sheetFormatPr defaultColWidth="9.140625" defaultRowHeight="12"/>
  <cols>
    <col min="1" max="1" width="4.42578125" style="371" customWidth="1"/>
    <col min="2" max="2" width="1.7109375" style="371" customWidth="1"/>
    <col min="3" max="3" width="22.85546875" style="371" customWidth="1"/>
    <col min="4" max="4" width="1.7109375" style="371" customWidth="1"/>
    <col min="5" max="5" width="12.85546875" style="371" customWidth="1"/>
    <col min="6" max="6" width="1.7109375" style="371" customWidth="1"/>
    <col min="7" max="7" width="16.42578125" style="371" bestFit="1" customWidth="1"/>
    <col min="8" max="8" width="1.7109375" style="371" customWidth="1"/>
    <col min="9" max="9" width="18.85546875" style="371" bestFit="1" customWidth="1"/>
    <col min="10" max="10" width="1.7109375" style="371" customWidth="1"/>
    <col min="11" max="11" width="13" style="371" customWidth="1"/>
    <col min="12" max="12" width="1.7109375" style="371" customWidth="1"/>
    <col min="13" max="13" width="20.5703125" style="371" bestFit="1" customWidth="1"/>
    <col min="14" max="14" width="1.7109375" style="371" customWidth="1"/>
    <col min="15" max="15" width="15.5703125" style="371" bestFit="1" customWidth="1"/>
    <col min="16" max="16" width="1.7109375" style="371" customWidth="1"/>
    <col min="17" max="17" width="18.42578125" style="371" bestFit="1" customWidth="1"/>
    <col min="18" max="18" width="1.7109375" style="371" customWidth="1"/>
    <col min="19" max="19" width="17.5703125" style="371" bestFit="1" customWidth="1"/>
    <col min="20" max="20" width="1.7109375" style="371" customWidth="1"/>
    <col min="21" max="21" width="14.42578125" style="371" bestFit="1" customWidth="1"/>
    <col min="22" max="22" width="1.7109375" style="371" customWidth="1"/>
    <col min="23" max="23" width="14.140625" style="371" customWidth="1"/>
    <col min="24" max="24" width="1.7109375" style="371" customWidth="1"/>
    <col min="25" max="25" width="12.85546875" style="371" bestFit="1" customWidth="1"/>
    <col min="26" max="16384" width="9.140625" style="371"/>
  </cols>
  <sheetData>
    <row r="1" spans="1:25">
      <c r="A1" s="1029" t="s">
        <v>539</v>
      </c>
      <c r="B1" s="1029"/>
      <c r="C1" s="1029"/>
      <c r="D1" s="1029"/>
      <c r="E1" s="1029"/>
      <c r="F1" s="1029"/>
      <c r="G1" s="1029"/>
      <c r="H1" s="1029"/>
      <c r="I1" s="1029"/>
      <c r="J1" s="1029"/>
      <c r="K1" s="1029"/>
      <c r="L1" s="1029"/>
      <c r="M1" s="1029"/>
      <c r="N1" s="1029"/>
      <c r="O1" s="1029"/>
      <c r="P1" s="1029"/>
      <c r="Q1" s="1029"/>
      <c r="R1" s="1029"/>
      <c r="S1" s="1029"/>
      <c r="T1" s="1029"/>
      <c r="U1" s="1029"/>
      <c r="V1" s="1029"/>
      <c r="W1" s="1044" t="s">
        <v>1209</v>
      </c>
      <c r="X1" s="1029"/>
      <c r="Y1" s="1029"/>
    </row>
    <row r="2" spans="1:25">
      <c r="A2" s="1029" t="s">
        <v>92</v>
      </c>
      <c r="B2" s="1029"/>
      <c r="C2" s="1029"/>
      <c r="D2" s="1029"/>
      <c r="E2" s="1029"/>
      <c r="F2" s="1029"/>
      <c r="G2" s="1029"/>
      <c r="H2" s="1029"/>
      <c r="I2" s="1029"/>
      <c r="J2" s="1029"/>
      <c r="K2" s="1029"/>
      <c r="L2" s="1029"/>
      <c r="M2" s="1029"/>
      <c r="N2" s="1029"/>
      <c r="O2" s="1029"/>
      <c r="P2" s="1029"/>
      <c r="Q2" s="1029"/>
      <c r="R2" s="1029"/>
      <c r="S2" s="1029"/>
      <c r="T2" s="1029"/>
      <c r="U2" s="1029"/>
      <c r="V2" s="1029"/>
      <c r="W2" s="1044"/>
      <c r="X2" s="1029"/>
      <c r="Y2" s="1029"/>
    </row>
    <row r="3" spans="1:25">
      <c r="A3" s="1029"/>
      <c r="B3" s="1029"/>
      <c r="C3" s="1029"/>
      <c r="D3" s="1029"/>
      <c r="E3" s="1029"/>
      <c r="F3" s="1029"/>
      <c r="G3" s="1029"/>
      <c r="H3" s="1029"/>
      <c r="I3" s="1029"/>
      <c r="J3" s="1029"/>
      <c r="K3" s="1029"/>
      <c r="L3" s="1029"/>
      <c r="M3" s="1029"/>
      <c r="N3" s="1029"/>
      <c r="O3" s="1029"/>
      <c r="P3" s="1029"/>
      <c r="Q3" s="1029"/>
      <c r="R3" s="1029"/>
      <c r="S3" s="1029"/>
      <c r="T3" s="1029"/>
      <c r="U3" s="1029"/>
      <c r="V3" s="1029"/>
      <c r="W3" s="1044"/>
      <c r="X3" s="1029"/>
      <c r="Y3" s="1029"/>
    </row>
    <row r="4" spans="1:25">
      <c r="A4" s="117" t="s">
        <v>2644</v>
      </c>
      <c r="B4" s="1029"/>
      <c r="C4" s="1029"/>
      <c r="D4" s="1029"/>
      <c r="E4" s="1029"/>
      <c r="F4" s="1029"/>
      <c r="G4" s="1029"/>
      <c r="H4" s="1029"/>
      <c r="I4" s="1029"/>
      <c r="J4" s="1029"/>
      <c r="K4" s="1029"/>
      <c r="L4" s="1029"/>
      <c r="M4" s="1029"/>
      <c r="N4" s="1029"/>
      <c r="O4" s="1029"/>
      <c r="P4" s="1029"/>
      <c r="Q4" s="1029"/>
      <c r="R4" s="1029"/>
      <c r="S4" s="1029"/>
      <c r="T4" s="1029"/>
      <c r="U4" s="1029"/>
      <c r="V4" s="1029"/>
      <c r="W4" s="1044" t="s">
        <v>540</v>
      </c>
      <c r="X4" s="1029"/>
      <c r="Y4" s="1029"/>
    </row>
    <row r="5" spans="1:25">
      <c r="A5" s="117" t="s">
        <v>2645</v>
      </c>
      <c r="B5" s="1029"/>
      <c r="C5" s="1029"/>
      <c r="D5" s="1029"/>
      <c r="E5" s="1029"/>
      <c r="F5" s="1029"/>
      <c r="G5" s="1029"/>
      <c r="H5" s="1029"/>
      <c r="I5" s="1029"/>
      <c r="J5" s="1029"/>
      <c r="K5" s="1029"/>
      <c r="L5" s="1029"/>
      <c r="M5" s="1029"/>
      <c r="N5" s="1029"/>
      <c r="O5" s="1029"/>
      <c r="P5" s="1029"/>
      <c r="Q5" s="1029"/>
      <c r="R5" s="1029"/>
      <c r="S5" s="1029"/>
      <c r="T5" s="1029"/>
      <c r="U5" s="1029"/>
      <c r="V5" s="1029"/>
      <c r="W5" s="1044" t="s">
        <v>766</v>
      </c>
      <c r="X5" s="1029"/>
      <c r="Y5" s="1029"/>
    </row>
    <row r="6" spans="1:25">
      <c r="A6" s="117" t="s">
        <v>1936</v>
      </c>
      <c r="B6" s="1029"/>
      <c r="C6" s="1029"/>
      <c r="D6" s="1029"/>
      <c r="E6" s="1029"/>
      <c r="F6" s="1029"/>
      <c r="G6" s="1029"/>
      <c r="H6" s="1029"/>
      <c r="I6" s="1029"/>
      <c r="J6" s="1029"/>
      <c r="K6" s="1029"/>
      <c r="L6" s="1029"/>
      <c r="M6" s="1029"/>
      <c r="N6" s="1029"/>
      <c r="O6" s="1029"/>
      <c r="P6" s="1029"/>
      <c r="Q6" s="1029"/>
      <c r="R6" s="1029"/>
      <c r="S6" s="1029"/>
      <c r="T6" s="1029"/>
      <c r="U6" s="1029"/>
      <c r="V6" s="1029"/>
      <c r="W6" s="1043"/>
      <c r="X6" s="1029"/>
      <c r="Y6" s="1029"/>
    </row>
    <row r="7" spans="1:25">
      <c r="A7" s="1029" t="s">
        <v>1092</v>
      </c>
      <c r="B7" s="1029"/>
      <c r="C7" s="1029"/>
      <c r="D7" s="1029"/>
      <c r="E7" s="1029"/>
      <c r="F7" s="1029"/>
      <c r="G7" s="1029"/>
      <c r="H7" s="1029"/>
      <c r="I7" s="1029"/>
      <c r="J7" s="1029"/>
      <c r="K7" s="1029"/>
      <c r="L7" s="1029"/>
      <c r="M7" s="1029"/>
      <c r="N7" s="1029"/>
      <c r="O7" s="1029"/>
      <c r="P7" s="1029"/>
      <c r="Q7" s="1029"/>
      <c r="R7" s="1029"/>
      <c r="S7" s="1029"/>
      <c r="T7" s="1029"/>
      <c r="U7" s="1029"/>
      <c r="V7" s="1029"/>
      <c r="W7" s="1029" t="s">
        <v>2950</v>
      </c>
      <c r="X7" s="1029"/>
      <c r="Y7" s="1029"/>
    </row>
    <row r="8" spans="1:25">
      <c r="A8" s="1029" t="s">
        <v>1363</v>
      </c>
      <c r="B8" s="1029"/>
      <c r="C8" s="1029"/>
      <c r="D8" s="1029"/>
      <c r="E8" s="1029"/>
      <c r="F8" s="1029"/>
      <c r="G8" s="1029"/>
      <c r="H8" s="1029"/>
      <c r="I8" s="1029"/>
      <c r="J8" s="1029"/>
      <c r="K8" s="1029"/>
      <c r="L8" s="1029"/>
      <c r="M8" s="1029"/>
      <c r="N8" s="1029"/>
      <c r="O8" s="1029"/>
      <c r="P8" s="1029"/>
      <c r="Q8" s="1029"/>
      <c r="R8" s="1029"/>
      <c r="S8" s="1029"/>
      <c r="T8" s="1029"/>
      <c r="U8" s="1029"/>
      <c r="V8" s="1029"/>
      <c r="W8" s="1029"/>
      <c r="X8" s="1029"/>
      <c r="Y8" s="1029"/>
    </row>
    <row r="9" spans="1:25">
      <c r="A9" s="1029"/>
      <c r="B9" s="1029"/>
      <c r="C9" s="1029"/>
      <c r="D9" s="1029"/>
      <c r="E9" s="1029"/>
      <c r="F9" s="1029"/>
      <c r="G9" s="1029"/>
      <c r="H9" s="1029"/>
      <c r="I9" s="1029"/>
      <c r="J9" s="1029"/>
      <c r="K9" s="1029"/>
      <c r="L9" s="1029"/>
      <c r="M9" s="1029"/>
      <c r="N9" s="1029"/>
      <c r="O9" s="1029"/>
      <c r="P9" s="1029"/>
      <c r="Q9" s="1029"/>
      <c r="R9" s="1029"/>
      <c r="S9" s="1029"/>
      <c r="T9" s="1029"/>
      <c r="U9" s="1029"/>
      <c r="V9" s="1029"/>
      <c r="W9" s="1029"/>
      <c r="X9" s="1029"/>
      <c r="Y9" s="1029"/>
    </row>
    <row r="10" spans="1:25">
      <c r="A10" s="117" t="s">
        <v>1768</v>
      </c>
      <c r="B10" s="1029"/>
      <c r="C10" s="1029"/>
      <c r="D10" s="1029"/>
      <c r="E10" s="1029"/>
      <c r="F10" s="1029"/>
      <c r="G10" s="1029"/>
      <c r="H10" s="1029"/>
      <c r="I10" s="1029"/>
      <c r="J10" s="1029"/>
      <c r="K10" s="1029"/>
      <c r="L10" s="1029"/>
      <c r="M10" s="1029"/>
      <c r="N10" s="1029"/>
      <c r="O10" s="1029"/>
      <c r="P10" s="1029"/>
      <c r="Q10" s="1029"/>
      <c r="R10" s="1029"/>
      <c r="S10" s="1029"/>
      <c r="T10" s="1029"/>
      <c r="U10" s="1029"/>
      <c r="V10" s="1029"/>
      <c r="W10" s="1029"/>
      <c r="X10" s="1029"/>
      <c r="Y10" s="1029"/>
    </row>
    <row r="11" spans="1:25">
      <c r="A11" s="1029"/>
      <c r="B11" s="1029"/>
      <c r="C11" s="1029"/>
      <c r="D11" s="1029"/>
      <c r="E11" s="1029"/>
      <c r="F11" s="1029"/>
      <c r="G11" s="1029"/>
      <c r="H11" s="1029"/>
      <c r="I11" s="1029"/>
      <c r="J11" s="1029"/>
      <c r="K11" s="1029"/>
      <c r="L11" s="1029"/>
      <c r="M11" s="1029"/>
      <c r="N11" s="1029"/>
      <c r="O11" s="1029"/>
      <c r="P11" s="1029"/>
      <c r="Q11" s="1029"/>
      <c r="R11" s="1029"/>
      <c r="S11" s="1029"/>
      <c r="T11" s="1029"/>
      <c r="U11" s="1029"/>
      <c r="V11" s="1029"/>
      <c r="W11" s="1029"/>
      <c r="X11" s="1029"/>
      <c r="Y11" s="1029"/>
    </row>
    <row r="12" spans="1:25">
      <c r="A12" s="2148"/>
      <c r="B12" s="2148"/>
      <c r="C12" s="2019">
        <v>-1</v>
      </c>
      <c r="D12" s="2148"/>
      <c r="E12" s="2019">
        <v>-2</v>
      </c>
      <c r="F12" s="2148"/>
      <c r="G12" s="2019">
        <v>-3</v>
      </c>
      <c r="H12" s="2148"/>
      <c r="I12" s="2019">
        <v>-4</v>
      </c>
      <c r="J12" s="2148"/>
      <c r="K12" s="2019">
        <v>-5</v>
      </c>
      <c r="L12" s="2148"/>
      <c r="M12" s="2019">
        <v>-6</v>
      </c>
      <c r="N12" s="2148"/>
      <c r="O12" s="2019">
        <v>-7</v>
      </c>
      <c r="P12" s="2148"/>
      <c r="Q12" s="2019">
        <v>-8</v>
      </c>
      <c r="R12" s="2148"/>
      <c r="S12" s="2019">
        <v>-9</v>
      </c>
      <c r="T12" s="2148"/>
      <c r="U12" s="2019">
        <v>-10</v>
      </c>
      <c r="V12" s="2148"/>
      <c r="W12" s="2019">
        <v>-11</v>
      </c>
      <c r="X12" s="2148"/>
      <c r="Y12" s="2019">
        <v>-12</v>
      </c>
    </row>
    <row r="13" spans="1:25" s="803" customFormat="1">
      <c r="A13" s="2111"/>
      <c r="B13" s="2111"/>
      <c r="C13" s="2111"/>
      <c r="D13" s="2111"/>
      <c r="E13" s="2111"/>
      <c r="F13" s="2111"/>
      <c r="G13" s="2111"/>
      <c r="H13" s="2111"/>
      <c r="I13" s="2111" t="s">
        <v>1769</v>
      </c>
      <c r="J13" s="2111"/>
      <c r="K13" s="2111" t="s">
        <v>441</v>
      </c>
      <c r="L13" s="2111"/>
      <c r="M13" s="2111" t="s">
        <v>440</v>
      </c>
      <c r="N13" s="2111"/>
      <c r="O13" s="2111" t="s">
        <v>442</v>
      </c>
      <c r="P13" s="2111"/>
      <c r="Q13" s="2111" t="s">
        <v>541</v>
      </c>
      <c r="R13" s="2111"/>
      <c r="S13" s="2111" t="s">
        <v>541</v>
      </c>
      <c r="T13" s="2111"/>
      <c r="U13" s="2111" t="s">
        <v>445</v>
      </c>
      <c r="V13" s="2111"/>
      <c r="W13" s="2111" t="s">
        <v>447</v>
      </c>
      <c r="X13" s="2111"/>
      <c r="Y13" s="2111" t="s">
        <v>699</v>
      </c>
    </row>
    <row r="14" spans="1:25" s="803" customFormat="1">
      <c r="A14" s="2111" t="s">
        <v>53</v>
      </c>
      <c r="B14" s="2111"/>
      <c r="C14" s="2111" t="s">
        <v>1010</v>
      </c>
      <c r="D14" s="2111"/>
      <c r="E14" s="2111" t="s">
        <v>542</v>
      </c>
      <c r="F14" s="2111"/>
      <c r="G14" s="2111" t="s">
        <v>1017</v>
      </c>
      <c r="H14" s="2111"/>
      <c r="I14" s="2111" t="s">
        <v>543</v>
      </c>
      <c r="J14" s="2111"/>
      <c r="K14" s="2111" t="s">
        <v>1206</v>
      </c>
      <c r="L14" s="2111"/>
      <c r="M14" s="2111" t="s">
        <v>1018</v>
      </c>
      <c r="N14" s="2111"/>
      <c r="O14" s="2111" t="s">
        <v>443</v>
      </c>
      <c r="P14" s="2111"/>
      <c r="Q14" s="2111" t="s">
        <v>1018</v>
      </c>
      <c r="R14" s="2111"/>
      <c r="S14" s="2111" t="s">
        <v>673</v>
      </c>
      <c r="T14" s="2111"/>
      <c r="U14" s="2111" t="s">
        <v>446</v>
      </c>
      <c r="V14" s="2111"/>
      <c r="W14" s="2111" t="s">
        <v>448</v>
      </c>
      <c r="X14" s="2111"/>
      <c r="Y14" s="2111" t="s">
        <v>449</v>
      </c>
    </row>
    <row r="15" spans="1:25" s="803" customFormat="1">
      <c r="A15" s="2021" t="s">
        <v>730</v>
      </c>
      <c r="B15" s="2021"/>
      <c r="C15" s="2021" t="s">
        <v>702</v>
      </c>
      <c r="D15" s="2021"/>
      <c r="E15" s="2021" t="s">
        <v>538</v>
      </c>
      <c r="F15" s="2021"/>
      <c r="G15" s="2021" t="s">
        <v>619</v>
      </c>
      <c r="H15" s="2021"/>
      <c r="I15" s="2021" t="s">
        <v>1198</v>
      </c>
      <c r="J15" s="2021"/>
      <c r="K15" s="2021" t="s">
        <v>677</v>
      </c>
      <c r="L15" s="2021"/>
      <c r="M15" s="2021" t="s">
        <v>1499</v>
      </c>
      <c r="N15" s="2021"/>
      <c r="O15" s="2021" t="s">
        <v>444</v>
      </c>
      <c r="P15" s="2021"/>
      <c r="Q15" s="2021" t="s">
        <v>678</v>
      </c>
      <c r="R15" s="2021"/>
      <c r="S15" s="2021" t="s">
        <v>679</v>
      </c>
      <c r="T15" s="2021"/>
      <c r="U15" s="2021" t="s">
        <v>680</v>
      </c>
      <c r="V15" s="2021"/>
      <c r="W15" s="2021" t="s">
        <v>1208</v>
      </c>
      <c r="X15" s="2021"/>
      <c r="Y15" s="2021" t="s">
        <v>779</v>
      </c>
    </row>
    <row r="16" spans="1:25">
      <c r="A16" s="803"/>
      <c r="E16" s="387"/>
      <c r="G16" s="375"/>
      <c r="I16" s="375"/>
      <c r="K16" s="391"/>
      <c r="M16" s="402"/>
      <c r="N16" s="402"/>
      <c r="O16" s="717"/>
      <c r="P16" s="402"/>
      <c r="Q16" s="402"/>
      <c r="S16" s="375"/>
      <c r="U16" s="375"/>
      <c r="W16" s="375"/>
      <c r="Y16" s="1768"/>
    </row>
    <row r="17" spans="1:26" ht="17.25" customHeight="1">
      <c r="A17" s="803">
        <v>1</v>
      </c>
      <c r="C17" s="1785" t="s">
        <v>2651</v>
      </c>
      <c r="E17" s="1786" t="s">
        <v>2630</v>
      </c>
      <c r="G17" s="375">
        <v>180000000</v>
      </c>
      <c r="I17" s="375">
        <v>180000000</v>
      </c>
      <c r="K17" s="391"/>
      <c r="M17" s="402">
        <v>0</v>
      </c>
      <c r="O17" s="717">
        <v>974514</v>
      </c>
      <c r="Q17" s="402">
        <v>0</v>
      </c>
      <c r="S17" s="375">
        <v>143425</v>
      </c>
      <c r="U17" s="400">
        <v>11844000</v>
      </c>
      <c r="W17" s="375">
        <v>11987425</v>
      </c>
      <c r="Y17" s="1768">
        <v>6.6959321087948331E-2</v>
      </c>
    </row>
    <row r="18" spans="1:26">
      <c r="A18" s="803">
        <v>2</v>
      </c>
      <c r="C18" s="371" t="s">
        <v>2652</v>
      </c>
      <c r="E18" s="1787">
        <v>49460</v>
      </c>
      <c r="G18" s="375"/>
      <c r="I18" s="375"/>
      <c r="K18" s="402"/>
      <c r="M18" s="402"/>
      <c r="N18" s="402"/>
      <c r="O18" s="402"/>
      <c r="P18" s="402"/>
      <c r="Q18" s="402"/>
      <c r="S18" s="375"/>
      <c r="U18" s="375"/>
      <c r="W18" s="375"/>
      <c r="Y18" s="1768"/>
    </row>
    <row r="19" spans="1:26">
      <c r="A19" s="803">
        <v>3</v>
      </c>
      <c r="C19" s="890" t="s">
        <v>2653</v>
      </c>
      <c r="G19" s="1788"/>
      <c r="I19" s="1788"/>
      <c r="K19" s="1789"/>
      <c r="M19" s="1789"/>
      <c r="O19" s="1789"/>
      <c r="Q19" s="1789"/>
      <c r="S19" s="1788"/>
      <c r="U19" s="1788"/>
      <c r="W19" s="1788"/>
      <c r="Y19" s="1788"/>
    </row>
    <row r="20" spans="1:26" ht="12.75" thickBot="1">
      <c r="A20" s="803">
        <v>4</v>
      </c>
      <c r="C20" s="371" t="s">
        <v>81</v>
      </c>
      <c r="G20" s="1790">
        <v>180000000</v>
      </c>
      <c r="I20" s="1790">
        <v>180000000</v>
      </c>
      <c r="K20" s="1790">
        <v>0</v>
      </c>
      <c r="M20" s="1790">
        <v>0</v>
      </c>
      <c r="O20" s="1790">
        <v>974514</v>
      </c>
      <c r="Q20" s="1790">
        <v>0</v>
      </c>
      <c r="S20" s="1790">
        <v>143425</v>
      </c>
      <c r="U20" s="1790">
        <v>11844000</v>
      </c>
      <c r="W20" s="1790">
        <v>11987425</v>
      </c>
      <c r="Y20" s="1791">
        <v>6.6959321087948331E-2</v>
      </c>
    </row>
    <row r="21" spans="1:26" ht="12.75" thickTop="1">
      <c r="A21" s="803">
        <v>5</v>
      </c>
      <c r="G21" s="375"/>
      <c r="I21" s="375"/>
      <c r="S21" s="375"/>
      <c r="U21" s="375"/>
      <c r="W21" s="375"/>
      <c r="Y21" s="375"/>
    </row>
    <row r="22" spans="1:26">
      <c r="A22" s="803">
        <v>6</v>
      </c>
      <c r="G22" s="375"/>
      <c r="I22" s="375"/>
      <c r="S22" s="375"/>
      <c r="U22" s="375"/>
      <c r="W22" s="375"/>
      <c r="Y22" s="375"/>
    </row>
    <row r="23" spans="1:26">
      <c r="A23" s="803">
        <v>7</v>
      </c>
      <c r="C23" s="387" t="s">
        <v>2647</v>
      </c>
    </row>
    <row r="24" spans="1:26">
      <c r="G24" s="375"/>
      <c r="I24" s="375"/>
      <c r="S24" s="375"/>
      <c r="U24" s="375"/>
      <c r="W24" s="375"/>
    </row>
    <row r="25" spans="1:26">
      <c r="A25" s="384" t="s">
        <v>436</v>
      </c>
      <c r="G25" s="375"/>
      <c r="I25" s="375"/>
      <c r="S25" s="375"/>
      <c r="U25" s="375"/>
      <c r="W25" s="375"/>
    </row>
    <row r="26" spans="1:26">
      <c r="A26" s="384" t="s">
        <v>437</v>
      </c>
      <c r="G26" s="375"/>
      <c r="I26" s="375"/>
      <c r="S26" s="375"/>
      <c r="U26" s="375"/>
      <c r="W26" s="375"/>
    </row>
    <row r="27" spans="1:26">
      <c r="G27" s="375"/>
      <c r="I27" s="375"/>
      <c r="S27" s="375"/>
      <c r="U27" s="375"/>
      <c r="W27" s="375"/>
      <c r="Z27" s="2149"/>
    </row>
    <row r="28" spans="1:26">
      <c r="G28" s="375"/>
      <c r="I28" s="375"/>
      <c r="S28" s="375"/>
      <c r="U28" s="375"/>
      <c r="W28" s="375"/>
    </row>
    <row r="29" spans="1:26">
      <c r="A29" s="385"/>
      <c r="B29" s="399"/>
      <c r="C29" s="399"/>
      <c r="D29" s="399"/>
      <c r="E29" s="399"/>
      <c r="F29" s="399"/>
      <c r="G29" s="403"/>
      <c r="H29" s="399"/>
      <c r="I29" s="403"/>
      <c r="J29" s="399"/>
      <c r="K29" s="399"/>
      <c r="L29" s="399"/>
      <c r="M29" s="399"/>
      <c r="N29" s="399"/>
      <c r="O29" s="399"/>
      <c r="P29" s="399"/>
      <c r="Q29" s="399"/>
      <c r="R29" s="399"/>
      <c r="S29" s="403"/>
      <c r="T29" s="399"/>
      <c r="U29" s="403"/>
      <c r="V29" s="399"/>
      <c r="W29" s="403"/>
      <c r="X29" s="399"/>
      <c r="Y29" s="399"/>
    </row>
    <row r="30" spans="1:26">
      <c r="G30" s="375"/>
      <c r="I30" s="375"/>
      <c r="U30" s="375"/>
      <c r="W30" s="375"/>
    </row>
    <row r="31" spans="1:26">
      <c r="G31" s="375"/>
      <c r="I31" s="375"/>
      <c r="U31" s="375"/>
      <c r="W31" s="375"/>
    </row>
    <row r="32" spans="1:26">
      <c r="G32" s="375"/>
      <c r="I32" s="375"/>
      <c r="U32" s="375"/>
      <c r="W32" s="375"/>
    </row>
    <row r="33" spans="7:23">
      <c r="G33" s="375"/>
      <c r="U33" s="375"/>
      <c r="W33" s="375"/>
    </row>
    <row r="34" spans="7:23">
      <c r="G34" s="375"/>
      <c r="U34" s="375"/>
    </row>
    <row r="35" spans="7:23">
      <c r="G35" s="375"/>
    </row>
    <row r="36" spans="7:23">
      <c r="G36" s="375"/>
    </row>
    <row r="37" spans="7:23">
      <c r="G37" s="375"/>
    </row>
    <row r="38" spans="7:23">
      <c r="G38" s="375"/>
    </row>
    <row r="39" spans="7:23">
      <c r="G39" s="375"/>
    </row>
    <row r="40" spans="7:23">
      <c r="G40" s="375"/>
    </row>
    <row r="41" spans="7:23">
      <c r="G41" s="375"/>
    </row>
    <row r="42" spans="7:23">
      <c r="G42" s="375"/>
    </row>
    <row r="43" spans="7:23">
      <c r="G43" s="375"/>
    </row>
    <row r="44" spans="7:23">
      <c r="G44" s="375"/>
    </row>
    <row r="45" spans="7:23">
      <c r="G45" s="375"/>
    </row>
  </sheetData>
  <phoneticPr fontId="27" type="noConversion"/>
  <printOptions horizontalCentered="1"/>
  <pageMargins left="0.75" right="0.5" top="0.75" bottom="0.5" header="0.25" footer="0.25"/>
  <pageSetup scale="57"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A1:AA48"/>
  <sheetViews>
    <sheetView view="pageBreakPreview" zoomScale="60" zoomScaleNormal="100" workbookViewId="0">
      <selection sqref="A1:XFD1048576"/>
    </sheetView>
  </sheetViews>
  <sheetFormatPr defaultColWidth="9.140625" defaultRowHeight="15"/>
  <cols>
    <col min="1" max="1" width="5.140625" style="371" customWidth="1"/>
    <col min="2" max="2" width="1.7109375" style="371" customWidth="1"/>
    <col min="3" max="3" width="16.7109375" style="371" customWidth="1"/>
    <col min="4" max="4" width="1.7109375" style="371" customWidth="1"/>
    <col min="5" max="5" width="11" style="371" bestFit="1" customWidth="1"/>
    <col min="6" max="6" width="1.7109375" style="371" customWidth="1"/>
    <col min="7" max="7" width="13.42578125" style="371" bestFit="1" customWidth="1"/>
    <col min="8" max="8" width="1.7109375" style="371" customWidth="1"/>
    <col min="9" max="9" width="14.140625" style="371" bestFit="1" customWidth="1"/>
    <col min="10" max="10" width="1.7109375" style="371" customWidth="1"/>
    <col min="11" max="11" width="15.7109375" style="371" bestFit="1" customWidth="1"/>
    <col min="12" max="12" width="1.7109375" style="371" customWidth="1"/>
    <col min="13" max="13" width="18.140625" style="371" customWidth="1"/>
    <col min="14" max="14" width="1.7109375" style="371" customWidth="1"/>
    <col min="15" max="15" width="16.7109375" style="371" customWidth="1"/>
    <col min="16" max="16" width="1.7109375" style="371" customWidth="1"/>
    <col min="17" max="17" width="18.42578125" style="371" bestFit="1" customWidth="1"/>
    <col min="18" max="18" width="1.7109375" style="371" customWidth="1"/>
    <col min="19" max="19" width="17.5703125" style="371" bestFit="1" customWidth="1"/>
    <col min="20" max="20" width="1.7109375" style="371" customWidth="1"/>
    <col min="21" max="21" width="16.5703125" style="371" bestFit="1" customWidth="1"/>
    <col min="22" max="22" width="1.7109375" style="371" customWidth="1"/>
    <col min="23" max="23" width="16.140625" style="371" bestFit="1" customWidth="1"/>
    <col min="24" max="24" width="1.7109375" style="371" customWidth="1"/>
    <col min="25" max="25" width="14.140625" style="371" customWidth="1"/>
    <col min="26" max="26" width="1.7109375" style="371" customWidth="1"/>
    <col min="27" max="27" width="14.5703125" style="371" bestFit="1" customWidth="1"/>
    <col min="28" max="16384" width="9.140625" style="36"/>
  </cols>
  <sheetData>
    <row r="1" spans="1:27">
      <c r="A1" s="1029" t="s">
        <v>653</v>
      </c>
      <c r="B1" s="1029"/>
      <c r="C1" s="1029"/>
      <c r="D1" s="1029"/>
      <c r="E1" s="1029"/>
      <c r="F1" s="1029"/>
      <c r="G1" s="1029"/>
      <c r="H1" s="1029"/>
      <c r="I1" s="1029"/>
      <c r="J1" s="1029"/>
      <c r="K1" s="1029"/>
      <c r="L1" s="1029"/>
      <c r="M1" s="1029"/>
      <c r="N1" s="1029"/>
      <c r="O1" s="1029"/>
      <c r="P1" s="1029"/>
      <c r="Q1" s="1029"/>
      <c r="R1" s="1029"/>
      <c r="S1" s="1029"/>
      <c r="T1" s="1029"/>
      <c r="U1" s="1029"/>
      <c r="V1" s="1029"/>
      <c r="W1" s="1029"/>
      <c r="X1" s="1029"/>
      <c r="Y1" s="1044" t="s">
        <v>1209</v>
      </c>
      <c r="Z1" s="1029"/>
      <c r="AA1" s="1029"/>
    </row>
    <row r="2" spans="1:27">
      <c r="A2" s="1029" t="s">
        <v>92</v>
      </c>
      <c r="B2" s="1029"/>
      <c r="C2" s="1029"/>
      <c r="D2" s="1029"/>
      <c r="E2" s="1029"/>
      <c r="F2" s="1029"/>
      <c r="G2" s="1029"/>
      <c r="H2" s="1029"/>
      <c r="I2" s="1029"/>
      <c r="J2" s="1029"/>
      <c r="K2" s="1029"/>
      <c r="L2" s="1029"/>
      <c r="M2" s="1029"/>
      <c r="N2" s="1029"/>
      <c r="O2" s="1029"/>
      <c r="P2" s="1029"/>
      <c r="Q2" s="1029"/>
      <c r="R2" s="1029"/>
      <c r="S2" s="1029"/>
      <c r="T2" s="1029"/>
      <c r="U2" s="1029"/>
      <c r="V2" s="1029"/>
      <c r="W2" s="1029"/>
      <c r="X2" s="1029"/>
      <c r="Y2" s="1044"/>
      <c r="Z2" s="1029"/>
      <c r="AA2" s="1029"/>
    </row>
    <row r="3" spans="1:27">
      <c r="A3" s="1029"/>
      <c r="B3" s="1029"/>
      <c r="C3" s="1029"/>
      <c r="D3" s="1029"/>
      <c r="E3" s="1029"/>
      <c r="F3" s="1029"/>
      <c r="G3" s="1029"/>
      <c r="H3" s="1029"/>
      <c r="I3" s="1029"/>
      <c r="J3" s="1029"/>
      <c r="K3" s="1029"/>
      <c r="L3" s="1029"/>
      <c r="M3" s="1029"/>
      <c r="N3" s="1029"/>
      <c r="O3" s="1029"/>
      <c r="P3" s="1029"/>
      <c r="Q3" s="1029"/>
      <c r="R3" s="1029"/>
      <c r="S3" s="1029"/>
      <c r="T3" s="1029"/>
      <c r="U3" s="1029"/>
      <c r="V3" s="1029"/>
      <c r="W3" s="1029"/>
      <c r="X3" s="1029"/>
      <c r="Y3" s="1044"/>
      <c r="Z3" s="1029"/>
      <c r="AA3" s="1029"/>
    </row>
    <row r="4" spans="1:27">
      <c r="A4" s="117" t="s">
        <v>2644</v>
      </c>
      <c r="B4" s="1029"/>
      <c r="C4" s="1029"/>
      <c r="D4" s="1029"/>
      <c r="E4" s="1029"/>
      <c r="F4" s="1029"/>
      <c r="G4" s="1029"/>
      <c r="H4" s="1029"/>
      <c r="I4" s="1029"/>
      <c r="J4" s="1029"/>
      <c r="K4" s="1029"/>
      <c r="L4" s="1029"/>
      <c r="M4" s="1029"/>
      <c r="N4" s="1029"/>
      <c r="O4" s="1029"/>
      <c r="P4" s="1029"/>
      <c r="Q4" s="1029"/>
      <c r="R4" s="1029"/>
      <c r="S4" s="1029"/>
      <c r="T4" s="1029"/>
      <c r="U4" s="1029"/>
      <c r="V4" s="1029"/>
      <c r="W4" s="1029"/>
      <c r="X4" s="1029"/>
      <c r="Y4" s="1044" t="s">
        <v>654</v>
      </c>
      <c r="Z4" s="1029"/>
      <c r="AA4" s="1029"/>
    </row>
    <row r="5" spans="1:27">
      <c r="A5" s="117" t="s">
        <v>2645</v>
      </c>
      <c r="B5" s="1029"/>
      <c r="C5" s="1029"/>
      <c r="D5" s="1029"/>
      <c r="E5" s="1029"/>
      <c r="F5" s="1029"/>
      <c r="G5" s="1029"/>
      <c r="H5" s="1029"/>
      <c r="I5" s="1029"/>
      <c r="J5" s="1029"/>
      <c r="K5" s="1029"/>
      <c r="L5" s="1029"/>
      <c r="M5" s="1029"/>
      <c r="N5" s="1029"/>
      <c r="O5" s="1029"/>
      <c r="P5" s="1029"/>
      <c r="Q5" s="1029"/>
      <c r="R5" s="1029"/>
      <c r="S5" s="1029"/>
      <c r="T5" s="1029"/>
      <c r="U5" s="1029"/>
      <c r="V5" s="1029"/>
      <c r="W5" s="1029"/>
      <c r="X5" s="1029"/>
      <c r="Y5" s="1044" t="s">
        <v>766</v>
      </c>
      <c r="Z5" s="1029"/>
      <c r="AA5" s="1029"/>
    </row>
    <row r="6" spans="1:27">
      <c r="A6" s="117" t="s">
        <v>1936</v>
      </c>
      <c r="B6" s="1029"/>
      <c r="C6" s="1029"/>
      <c r="D6" s="1029"/>
      <c r="E6" s="1029"/>
      <c r="F6" s="1029"/>
      <c r="G6" s="1029"/>
      <c r="H6" s="1029"/>
      <c r="I6" s="1029"/>
      <c r="J6" s="1029"/>
      <c r="K6" s="1029"/>
      <c r="L6" s="1029"/>
      <c r="M6" s="1029"/>
      <c r="N6" s="1029"/>
      <c r="O6" s="1029"/>
      <c r="P6" s="1029"/>
      <c r="Q6" s="1029"/>
      <c r="R6" s="1029"/>
      <c r="S6" s="1029"/>
      <c r="T6" s="1029"/>
      <c r="U6" s="1029"/>
      <c r="V6" s="1029"/>
      <c r="W6" s="1029"/>
      <c r="X6" s="1029"/>
      <c r="Y6" s="1044"/>
      <c r="Z6" s="1029"/>
      <c r="AA6" s="1029"/>
    </row>
    <row r="7" spans="1:27">
      <c r="A7" s="1029" t="s">
        <v>1092</v>
      </c>
      <c r="B7" s="1029"/>
      <c r="C7" s="1029"/>
      <c r="D7" s="1029"/>
      <c r="E7" s="1029"/>
      <c r="F7" s="1029"/>
      <c r="G7" s="1029"/>
      <c r="H7" s="1029"/>
      <c r="I7" s="1029"/>
      <c r="J7" s="1029"/>
      <c r="K7" s="1029"/>
      <c r="L7" s="1029"/>
      <c r="M7" s="1029"/>
      <c r="N7" s="1029"/>
      <c r="O7" s="1029"/>
      <c r="P7" s="1029"/>
      <c r="Q7" s="1029"/>
      <c r="R7" s="1029"/>
      <c r="S7" s="1029"/>
      <c r="T7" s="1029"/>
      <c r="U7" s="1029"/>
      <c r="V7" s="1029"/>
      <c r="W7" s="1029"/>
      <c r="X7" s="1029"/>
      <c r="Y7" s="1029" t="s">
        <v>2950</v>
      </c>
      <c r="Z7" s="1029"/>
      <c r="AA7" s="1029"/>
    </row>
    <row r="8" spans="1:27">
      <c r="A8" s="1029" t="s">
        <v>1363</v>
      </c>
      <c r="B8" s="1029"/>
      <c r="C8" s="1029"/>
      <c r="D8" s="1029"/>
      <c r="E8" s="1029"/>
      <c r="F8" s="1029"/>
      <c r="G8" s="1029"/>
      <c r="H8" s="1029"/>
      <c r="I8" s="1029"/>
      <c r="J8" s="1029"/>
      <c r="K8" s="1029"/>
      <c r="L8" s="1029"/>
      <c r="M8" s="1029"/>
      <c r="N8" s="1029"/>
      <c r="O8" s="1029"/>
      <c r="P8" s="1029"/>
      <c r="Q8" s="1029"/>
      <c r="R8" s="1029"/>
      <c r="S8" s="1029"/>
      <c r="T8" s="1029"/>
      <c r="U8" s="1029"/>
      <c r="V8" s="1029"/>
      <c r="W8" s="1029"/>
      <c r="X8" s="1029"/>
      <c r="Y8" s="1029"/>
      <c r="Z8" s="1029"/>
      <c r="AA8" s="1029"/>
    </row>
    <row r="9" spans="1:27">
      <c r="A9" s="1029"/>
      <c r="B9" s="1029"/>
      <c r="C9" s="1029"/>
      <c r="D9" s="1029"/>
      <c r="E9" s="1029"/>
      <c r="F9" s="1029"/>
      <c r="G9" s="1029"/>
      <c r="H9" s="1029"/>
      <c r="I9" s="1029"/>
      <c r="J9" s="1029"/>
      <c r="K9" s="1029"/>
      <c r="L9" s="1029"/>
      <c r="M9" s="1029"/>
      <c r="N9" s="1029"/>
      <c r="O9" s="1029"/>
      <c r="P9" s="1029"/>
      <c r="Q9" s="1029"/>
      <c r="R9" s="1029"/>
      <c r="S9" s="1029"/>
      <c r="T9" s="1029"/>
      <c r="U9" s="1029"/>
      <c r="V9" s="1029"/>
      <c r="W9" s="1029"/>
      <c r="X9" s="1029"/>
      <c r="Y9" s="1029"/>
      <c r="Z9" s="1029"/>
      <c r="AA9" s="1029"/>
    </row>
    <row r="10" spans="1:27">
      <c r="A10" s="117" t="s">
        <v>1770</v>
      </c>
      <c r="B10" s="1029"/>
      <c r="C10" s="1029"/>
      <c r="D10" s="1029"/>
      <c r="E10" s="1029"/>
      <c r="F10" s="1029"/>
      <c r="G10" s="1029"/>
      <c r="H10" s="1029"/>
      <c r="I10" s="1029"/>
      <c r="J10" s="1029"/>
      <c r="K10" s="1029"/>
      <c r="L10" s="1029"/>
      <c r="M10" s="1029"/>
      <c r="N10" s="1029"/>
      <c r="O10" s="1029"/>
      <c r="P10" s="1029"/>
      <c r="Q10" s="1029"/>
      <c r="R10" s="1029"/>
      <c r="S10" s="1029"/>
      <c r="T10" s="1029"/>
      <c r="U10" s="1029"/>
      <c r="V10" s="1029"/>
      <c r="W10" s="1029"/>
      <c r="X10" s="1029"/>
      <c r="Y10" s="1029"/>
      <c r="Z10" s="1029"/>
      <c r="AA10" s="1029"/>
    </row>
    <row r="11" spans="1:27">
      <c r="A11" s="1029"/>
      <c r="B11" s="1029"/>
      <c r="C11" s="1029"/>
      <c r="D11" s="1029"/>
      <c r="E11" s="1029"/>
      <c r="F11" s="1029"/>
      <c r="G11" s="1029"/>
      <c r="H11" s="1029"/>
      <c r="I11" s="1029"/>
      <c r="J11" s="1029"/>
      <c r="K11" s="1029"/>
      <c r="L11" s="1029"/>
      <c r="M11" s="1029"/>
      <c r="N11" s="1029"/>
      <c r="O11" s="1029"/>
      <c r="P11" s="1029"/>
      <c r="Q11" s="1029"/>
      <c r="R11" s="1029"/>
      <c r="S11" s="1029"/>
      <c r="T11" s="1029"/>
      <c r="U11" s="1029"/>
      <c r="V11" s="1029"/>
      <c r="W11" s="1029"/>
      <c r="X11" s="1029"/>
      <c r="Y11" s="1029"/>
      <c r="Z11" s="1029"/>
      <c r="AA11" s="1029"/>
    </row>
    <row r="12" spans="1:27">
      <c r="A12" s="2148"/>
      <c r="B12" s="2148"/>
      <c r="C12" s="2019">
        <v>-1</v>
      </c>
      <c r="D12" s="2148"/>
      <c r="E12" s="2019">
        <v>-2</v>
      </c>
      <c r="F12" s="2148"/>
      <c r="G12" s="2019">
        <v>-3</v>
      </c>
      <c r="H12" s="2148"/>
      <c r="I12" s="2019">
        <v>-4</v>
      </c>
      <c r="J12" s="2148"/>
      <c r="K12" s="2019">
        <v>-5</v>
      </c>
      <c r="L12" s="2148"/>
      <c r="M12" s="2019">
        <v>-6</v>
      </c>
      <c r="N12" s="2148"/>
      <c r="O12" s="2019">
        <v>-7</v>
      </c>
      <c r="P12" s="2148"/>
      <c r="Q12" s="2019">
        <v>-8</v>
      </c>
      <c r="R12" s="2148"/>
      <c r="S12" s="2019">
        <v>-9</v>
      </c>
      <c r="T12" s="2148"/>
      <c r="U12" s="2019">
        <v>-10</v>
      </c>
      <c r="V12" s="2148"/>
      <c r="W12" s="2019">
        <v>-11</v>
      </c>
      <c r="X12" s="2148"/>
      <c r="Y12" s="2019">
        <v>-12</v>
      </c>
      <c r="Z12" s="2148"/>
      <c r="AA12" s="2019">
        <v>-13</v>
      </c>
    </row>
    <row r="13" spans="1:27" s="38" customFormat="1" ht="15" customHeight="1">
      <c r="A13" s="2111"/>
      <c r="B13" s="2111"/>
      <c r="C13" s="2111"/>
      <c r="D13" s="2111"/>
      <c r="E13" s="2111"/>
      <c r="F13" s="2111"/>
      <c r="G13" s="2111"/>
      <c r="H13" s="2111"/>
      <c r="I13" s="2111" t="s">
        <v>1521</v>
      </c>
      <c r="J13" s="2111"/>
      <c r="K13" s="2111"/>
      <c r="L13" s="2111"/>
      <c r="M13" s="2332" t="s">
        <v>671</v>
      </c>
      <c r="N13" s="2111"/>
      <c r="O13" s="2332" t="s">
        <v>672</v>
      </c>
      <c r="P13" s="2111"/>
      <c r="Q13" s="2111" t="s">
        <v>541</v>
      </c>
      <c r="R13" s="2111"/>
      <c r="S13" s="2111" t="s">
        <v>541</v>
      </c>
      <c r="T13" s="2111"/>
      <c r="U13" s="2111"/>
      <c r="V13" s="2111"/>
      <c r="W13" s="2111"/>
      <c r="X13" s="2111"/>
      <c r="Y13" s="2111"/>
      <c r="Z13" s="2111"/>
      <c r="AA13" s="2111"/>
    </row>
    <row r="14" spans="1:27" s="38" customFormat="1">
      <c r="A14" s="2111" t="s">
        <v>53</v>
      </c>
      <c r="B14" s="2111"/>
      <c r="C14" s="2111" t="s">
        <v>1010</v>
      </c>
      <c r="D14" s="2111"/>
      <c r="E14" s="2111" t="s">
        <v>542</v>
      </c>
      <c r="F14" s="2111"/>
      <c r="G14" s="2111" t="s">
        <v>1017</v>
      </c>
      <c r="H14" s="2111"/>
      <c r="I14" s="2111" t="s">
        <v>543</v>
      </c>
      <c r="J14" s="2111"/>
      <c r="K14" s="2111" t="s">
        <v>544</v>
      </c>
      <c r="L14" s="2111"/>
      <c r="M14" s="2332"/>
      <c r="N14" s="2111"/>
      <c r="O14" s="2332"/>
      <c r="P14" s="2111"/>
      <c r="Q14" s="2111" t="s">
        <v>1018</v>
      </c>
      <c r="R14" s="2111"/>
      <c r="S14" s="2111" t="s">
        <v>673</v>
      </c>
      <c r="T14" s="2111"/>
      <c r="U14" s="2111" t="s">
        <v>655</v>
      </c>
      <c r="V14" s="2111"/>
      <c r="W14" s="2111" t="s">
        <v>674</v>
      </c>
      <c r="X14" s="2111"/>
      <c r="Y14" s="2111" t="s">
        <v>675</v>
      </c>
      <c r="Z14" s="2111"/>
      <c r="AA14" s="2111" t="s">
        <v>676</v>
      </c>
    </row>
    <row r="15" spans="1:27" s="38" customFormat="1">
      <c r="A15" s="2021" t="s">
        <v>730</v>
      </c>
      <c r="B15" s="2021"/>
      <c r="C15" s="2021" t="s">
        <v>702</v>
      </c>
      <c r="D15" s="2021"/>
      <c r="E15" s="2021" t="s">
        <v>538</v>
      </c>
      <c r="F15" s="2021"/>
      <c r="G15" s="2021" t="s">
        <v>619</v>
      </c>
      <c r="H15" s="2021"/>
      <c r="I15" s="2021" t="s">
        <v>1198</v>
      </c>
      <c r="J15" s="2021"/>
      <c r="K15" s="2021" t="s">
        <v>677</v>
      </c>
      <c r="L15" s="2021"/>
      <c r="M15" s="2021" t="s">
        <v>2993</v>
      </c>
      <c r="N15" s="2021"/>
      <c r="O15" s="2021" t="s">
        <v>2993</v>
      </c>
      <c r="P15" s="2021"/>
      <c r="Q15" s="2021" t="s">
        <v>678</v>
      </c>
      <c r="R15" s="2021"/>
      <c r="S15" s="2021" t="s">
        <v>679</v>
      </c>
      <c r="T15" s="2021"/>
      <c r="U15" s="2021" t="s">
        <v>656</v>
      </c>
      <c r="V15" s="2021"/>
      <c r="W15" s="2021" t="s">
        <v>680</v>
      </c>
      <c r="X15" s="2021"/>
      <c r="Y15" s="2021" t="s">
        <v>1208</v>
      </c>
      <c r="Z15" s="2021"/>
      <c r="AA15" s="2021" t="s">
        <v>779</v>
      </c>
    </row>
    <row r="16" spans="1:27">
      <c r="A16" s="803">
        <v>1</v>
      </c>
      <c r="C16" s="371" t="s">
        <v>435</v>
      </c>
      <c r="G16" s="375"/>
      <c r="I16" s="375"/>
      <c r="K16" s="391"/>
      <c r="M16" s="402"/>
      <c r="N16" s="402"/>
      <c r="O16" s="402"/>
      <c r="P16" s="402"/>
      <c r="Q16" s="402"/>
      <c r="S16" s="375"/>
      <c r="W16" s="375"/>
      <c r="Y16" s="375"/>
      <c r="AA16" s="1768"/>
    </row>
    <row r="17" spans="1:27">
      <c r="A17" s="803"/>
      <c r="G17" s="375"/>
      <c r="I17" s="375"/>
      <c r="K17" s="1221"/>
      <c r="S17" s="375"/>
      <c r="W17" s="375"/>
      <c r="Y17" s="375"/>
      <c r="AA17" s="375"/>
    </row>
    <row r="18" spans="1:27">
      <c r="A18" s="803">
        <v>2</v>
      </c>
      <c r="C18" s="387" t="s">
        <v>2646</v>
      </c>
      <c r="G18" s="375"/>
      <c r="I18" s="375"/>
      <c r="S18" s="375"/>
      <c r="W18" s="375"/>
      <c r="Y18" s="375"/>
      <c r="AA18" s="375"/>
    </row>
    <row r="19" spans="1:27">
      <c r="A19" s="803"/>
      <c r="G19" s="375"/>
      <c r="I19" s="375"/>
      <c r="S19" s="375"/>
      <c r="W19" s="375"/>
      <c r="Y19" s="375"/>
      <c r="AA19" s="375"/>
    </row>
    <row r="20" spans="1:27">
      <c r="G20" s="375"/>
      <c r="I20" s="375"/>
      <c r="S20" s="375"/>
      <c r="W20" s="375"/>
      <c r="Y20" s="375"/>
    </row>
    <row r="21" spans="1:27">
      <c r="A21" s="384" t="s">
        <v>913</v>
      </c>
      <c r="G21" s="375"/>
      <c r="I21" s="375"/>
      <c r="S21" s="375"/>
      <c r="W21" s="375"/>
      <c r="Y21" s="375"/>
    </row>
    <row r="22" spans="1:27">
      <c r="A22" s="384" t="s">
        <v>1041</v>
      </c>
      <c r="G22" s="375"/>
      <c r="I22" s="375"/>
      <c r="S22" s="375"/>
      <c r="W22" s="375"/>
      <c r="Y22" s="375"/>
    </row>
    <row r="23" spans="1:27">
      <c r="G23" s="375"/>
      <c r="I23" s="375"/>
      <c r="S23" s="375"/>
      <c r="W23" s="375"/>
      <c r="Y23" s="375"/>
    </row>
    <row r="24" spans="1:27">
      <c r="G24" s="375"/>
      <c r="I24" s="375"/>
      <c r="S24" s="375"/>
      <c r="W24" s="375"/>
      <c r="Y24" s="375"/>
    </row>
    <row r="25" spans="1:27">
      <c r="G25" s="375"/>
      <c r="I25" s="375"/>
      <c r="S25" s="375"/>
      <c r="W25" s="375"/>
      <c r="Y25" s="375"/>
    </row>
    <row r="26" spans="1:27">
      <c r="G26" s="375"/>
      <c r="I26" s="375"/>
      <c r="W26" s="375"/>
      <c r="Y26" s="375"/>
    </row>
    <row r="27" spans="1:27">
      <c r="G27" s="375"/>
      <c r="I27" s="375"/>
      <c r="W27" s="375"/>
      <c r="Y27" s="375"/>
    </row>
    <row r="28" spans="1:27">
      <c r="G28" s="375"/>
      <c r="I28" s="375"/>
      <c r="W28" s="375"/>
      <c r="Y28" s="375"/>
    </row>
    <row r="29" spans="1:27">
      <c r="G29" s="375"/>
      <c r="W29" s="375"/>
      <c r="Y29" s="375"/>
    </row>
    <row r="30" spans="1:27">
      <c r="G30" s="375"/>
      <c r="W30" s="375"/>
    </row>
    <row r="31" spans="1:27">
      <c r="G31" s="375"/>
    </row>
    <row r="32" spans="1:27">
      <c r="G32" s="375"/>
    </row>
    <row r="33" spans="1:27">
      <c r="G33" s="375"/>
    </row>
    <row r="34" spans="1:27">
      <c r="G34" s="375"/>
    </row>
    <row r="35" spans="1:27">
      <c r="G35" s="375"/>
    </row>
    <row r="36" spans="1:27">
      <c r="G36" s="375"/>
    </row>
    <row r="37" spans="1:27">
      <c r="G37" s="375"/>
    </row>
    <row r="38" spans="1:27">
      <c r="G38" s="375"/>
    </row>
    <row r="39" spans="1:27">
      <c r="G39" s="375"/>
    </row>
    <row r="40" spans="1:27">
      <c r="G40" s="375"/>
    </row>
    <row r="41" spans="1:27">
      <c r="G41" s="375"/>
    </row>
    <row r="48" spans="1:27">
      <c r="A48" s="404"/>
      <c r="B48" s="399"/>
      <c r="C48" s="399"/>
      <c r="D48" s="399"/>
      <c r="E48" s="399"/>
      <c r="F48" s="399"/>
      <c r="G48" s="399"/>
      <c r="H48" s="399"/>
      <c r="I48" s="399"/>
      <c r="J48" s="399"/>
      <c r="K48" s="399"/>
      <c r="L48" s="399"/>
      <c r="M48" s="399"/>
      <c r="N48" s="399"/>
      <c r="O48" s="399"/>
      <c r="P48" s="399"/>
      <c r="Q48" s="399"/>
      <c r="R48" s="399"/>
      <c r="S48" s="399"/>
      <c r="T48" s="399"/>
      <c r="U48" s="399"/>
      <c r="V48" s="399"/>
      <c r="W48" s="399"/>
      <c r="X48" s="399"/>
      <c r="Y48" s="399"/>
      <c r="Z48" s="399"/>
      <c r="AA48" s="399"/>
    </row>
  </sheetData>
  <mergeCells count="2">
    <mergeCell ref="M13:M14"/>
    <mergeCell ref="O13:O14"/>
  </mergeCells>
  <phoneticPr fontId="27" type="noConversion"/>
  <printOptions horizontalCentered="1"/>
  <pageMargins left="0.75" right="0.5" top="0.75" bottom="0.5" header="0.25" footer="0.25"/>
  <pageSetup scale="55"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57">
    <pageSetUpPr fitToPage="1"/>
  </sheetPr>
  <dimension ref="A1:K284"/>
  <sheetViews>
    <sheetView view="pageBreakPreview" zoomScale="60" zoomScaleNormal="100" workbookViewId="0">
      <selection activeCell="K17" sqref="K17"/>
    </sheetView>
  </sheetViews>
  <sheetFormatPr defaultColWidth="10.85546875" defaultRowHeight="12.75"/>
  <cols>
    <col min="1" max="1" width="6.85546875" style="158" customWidth="1"/>
    <col min="2" max="2" width="26" style="158" customWidth="1"/>
    <col min="3" max="4" width="15.85546875" style="158" customWidth="1"/>
    <col min="5" max="6" width="16.85546875" style="158" customWidth="1"/>
    <col min="7" max="7" width="10.85546875" style="158"/>
    <col min="8" max="16384" width="10.85546875" style="11"/>
  </cols>
  <sheetData>
    <row r="1" spans="1:7" s="21" customFormat="1" ht="12">
      <c r="A1" s="159" t="s">
        <v>780</v>
      </c>
      <c r="B1" s="159"/>
      <c r="C1" s="405"/>
      <c r="E1" s="159" t="s">
        <v>1209</v>
      </c>
      <c r="G1" s="158"/>
    </row>
    <row r="2" spans="1:7" s="21" customFormat="1" ht="12">
      <c r="A2" s="159"/>
      <c r="B2" s="159"/>
      <c r="C2" s="405"/>
      <c r="E2" s="159"/>
      <c r="G2" s="158"/>
    </row>
    <row r="3" spans="1:7" s="21" customFormat="1" ht="12">
      <c r="A3" s="159" t="s">
        <v>2644</v>
      </c>
      <c r="B3" s="159"/>
      <c r="C3" s="405"/>
      <c r="E3" s="257" t="s">
        <v>1099</v>
      </c>
      <c r="G3" s="158"/>
    </row>
    <row r="4" spans="1:7" s="21" customFormat="1" ht="12">
      <c r="A4" s="159" t="s">
        <v>2645</v>
      </c>
      <c r="B4" s="159"/>
      <c r="C4" s="406"/>
      <c r="E4" s="1044" t="s">
        <v>766</v>
      </c>
      <c r="G4" s="158"/>
    </row>
    <row r="5" spans="1:7" s="21" customFormat="1" ht="12">
      <c r="A5" s="117" t="s">
        <v>1936</v>
      </c>
      <c r="B5" s="159"/>
      <c r="C5" s="159"/>
      <c r="E5" s="2064" t="s">
        <v>2950</v>
      </c>
      <c r="G5" s="158"/>
    </row>
    <row r="6" spans="1:7" s="21" customFormat="1" ht="12">
      <c r="A6" s="159" t="s">
        <v>885</v>
      </c>
      <c r="B6" s="159"/>
      <c r="C6" s="159"/>
      <c r="D6" s="159"/>
      <c r="E6" s="159"/>
      <c r="F6" s="159"/>
      <c r="G6" s="158"/>
    </row>
    <row r="7" spans="1:7" s="21" customFormat="1" ht="12">
      <c r="A7" s="159" t="s">
        <v>1039</v>
      </c>
      <c r="B7" s="159"/>
      <c r="C7" s="159"/>
      <c r="D7" s="159"/>
      <c r="E7" s="159"/>
      <c r="F7" s="159"/>
      <c r="G7" s="158"/>
    </row>
    <row r="8" spans="1:7" s="21" customFormat="1" ht="12">
      <c r="A8" s="159"/>
      <c r="B8" s="159"/>
      <c r="C8" s="159"/>
      <c r="D8" s="159"/>
      <c r="E8" s="159"/>
      <c r="F8" s="159"/>
      <c r="G8" s="158"/>
    </row>
    <row r="9" spans="1:7" s="21" customFormat="1" ht="12">
      <c r="A9" s="159" t="s">
        <v>1771</v>
      </c>
      <c r="B9" s="159"/>
      <c r="C9" s="159"/>
      <c r="D9" s="159"/>
      <c r="E9" s="159"/>
      <c r="F9" s="159"/>
      <c r="G9" s="158"/>
    </row>
    <row r="10" spans="1:7" s="21" customFormat="1" thickBot="1">
      <c r="A10" s="124"/>
      <c r="B10" s="124"/>
      <c r="C10" s="124"/>
      <c r="D10" s="124"/>
      <c r="E10" s="124"/>
      <c r="F10" s="124"/>
      <c r="G10" s="158"/>
    </row>
    <row r="11" spans="1:7" s="21" customFormat="1" ht="12">
      <c r="A11" s="159"/>
      <c r="B11" s="162" t="s">
        <v>914</v>
      </c>
      <c r="C11" s="162" t="s">
        <v>915</v>
      </c>
      <c r="D11" s="162" t="s">
        <v>916</v>
      </c>
      <c r="E11" s="162" t="s">
        <v>917</v>
      </c>
      <c r="F11" s="162" t="s">
        <v>526</v>
      </c>
      <c r="G11" s="158"/>
    </row>
    <row r="12" spans="1:7" s="21" customFormat="1" ht="12">
      <c r="A12" s="159"/>
      <c r="B12" s="159"/>
      <c r="C12" s="159"/>
      <c r="D12" s="159"/>
      <c r="E12" s="159"/>
      <c r="F12" s="162" t="s">
        <v>1164</v>
      </c>
      <c r="G12" s="158"/>
    </row>
    <row r="13" spans="1:7" s="21" customFormat="1" ht="12">
      <c r="A13" s="162" t="s">
        <v>53</v>
      </c>
      <c r="B13" s="162" t="s">
        <v>781</v>
      </c>
      <c r="C13" s="162" t="s">
        <v>1161</v>
      </c>
      <c r="D13" s="162" t="s">
        <v>782</v>
      </c>
      <c r="E13" s="162" t="s">
        <v>782</v>
      </c>
      <c r="F13" s="162" t="s">
        <v>527</v>
      </c>
      <c r="G13" s="158"/>
    </row>
    <row r="14" spans="1:7" s="21" customFormat="1" ht="12">
      <c r="A14" s="806" t="s">
        <v>730</v>
      </c>
      <c r="B14" s="806" t="s">
        <v>1171</v>
      </c>
      <c r="C14" s="806" t="s">
        <v>527</v>
      </c>
      <c r="D14" s="806" t="s">
        <v>1036</v>
      </c>
      <c r="E14" s="806" t="s">
        <v>1037</v>
      </c>
      <c r="F14" s="806" t="s">
        <v>510</v>
      </c>
      <c r="G14" s="158"/>
    </row>
    <row r="15" spans="1:7" s="21" customFormat="1" ht="12">
      <c r="A15" s="158"/>
      <c r="B15" s="158"/>
      <c r="C15" s="158"/>
      <c r="D15" s="158"/>
      <c r="E15" s="158"/>
      <c r="F15" s="158"/>
      <c r="G15" s="158"/>
    </row>
    <row r="16" spans="1:7" s="21" customFormat="1" ht="12">
      <c r="A16" s="341">
        <v>1</v>
      </c>
      <c r="B16" s="712" t="s">
        <v>1901</v>
      </c>
      <c r="C16" s="715"/>
      <c r="D16" s="715"/>
      <c r="E16" s="715"/>
      <c r="F16" s="715"/>
      <c r="G16" s="158"/>
    </row>
    <row r="17" spans="1:11" s="21" customFormat="1" ht="12">
      <c r="A17" s="341">
        <v>2</v>
      </c>
      <c r="B17" s="713" t="s">
        <v>1902</v>
      </c>
      <c r="C17" s="714">
        <v>0</v>
      </c>
      <c r="D17" s="714"/>
      <c r="E17" s="714"/>
      <c r="F17" s="714">
        <v>0</v>
      </c>
      <c r="G17" s="158"/>
      <c r="K17" s="1220"/>
    </row>
    <row r="18" spans="1:11">
      <c r="A18" s="341">
        <v>3</v>
      </c>
      <c r="B18" s="713" t="s">
        <v>1903</v>
      </c>
      <c r="C18" s="714">
        <v>0</v>
      </c>
      <c r="D18" s="714"/>
      <c r="E18" s="714"/>
      <c r="F18" s="714">
        <v>0</v>
      </c>
    </row>
    <row r="19" spans="1:11">
      <c r="A19" s="341">
        <v>4</v>
      </c>
      <c r="B19" s="713" t="s">
        <v>1904</v>
      </c>
      <c r="C19" s="714">
        <v>0</v>
      </c>
      <c r="D19" s="714"/>
      <c r="E19" s="714"/>
      <c r="F19" s="714">
        <v>0</v>
      </c>
    </row>
    <row r="20" spans="1:11">
      <c r="A20" s="341">
        <v>5</v>
      </c>
      <c r="B20" s="713" t="s">
        <v>1905</v>
      </c>
      <c r="C20" s="714">
        <v>0</v>
      </c>
      <c r="D20" s="714"/>
      <c r="E20" s="714"/>
      <c r="F20" s="714">
        <v>0</v>
      </c>
    </row>
    <row r="21" spans="1:11">
      <c r="A21" s="341">
        <v>6</v>
      </c>
      <c r="B21" s="713" t="s">
        <v>1906</v>
      </c>
      <c r="C21" s="714">
        <v>0</v>
      </c>
      <c r="D21" s="714"/>
      <c r="E21" s="714"/>
      <c r="F21" s="714">
        <v>0</v>
      </c>
    </row>
    <row r="22" spans="1:11">
      <c r="A22" s="341">
        <v>7</v>
      </c>
      <c r="B22" s="713" t="s">
        <v>1907</v>
      </c>
      <c r="C22" s="714">
        <v>0</v>
      </c>
      <c r="D22" s="714"/>
      <c r="E22" s="714"/>
      <c r="F22" s="714">
        <v>0</v>
      </c>
    </row>
    <row r="23" spans="1:11">
      <c r="A23" s="341">
        <v>8</v>
      </c>
      <c r="B23" s="713" t="s">
        <v>1908</v>
      </c>
      <c r="C23" s="714">
        <v>0</v>
      </c>
      <c r="D23" s="714"/>
      <c r="E23" s="714"/>
      <c r="F23" s="714">
        <v>0</v>
      </c>
    </row>
    <row r="24" spans="1:11">
      <c r="A24" s="341">
        <v>9</v>
      </c>
      <c r="B24" s="713" t="s">
        <v>1909</v>
      </c>
      <c r="C24" s="714">
        <v>0</v>
      </c>
      <c r="D24" s="714"/>
      <c r="E24" s="714"/>
      <c r="F24" s="714">
        <v>0</v>
      </c>
    </row>
    <row r="25" spans="1:11">
      <c r="A25" s="341">
        <v>10</v>
      </c>
      <c r="B25" s="713" t="s">
        <v>1910</v>
      </c>
      <c r="C25" s="714">
        <v>0</v>
      </c>
      <c r="D25" s="714"/>
      <c r="E25" s="714"/>
      <c r="F25" s="714">
        <v>0</v>
      </c>
    </row>
    <row r="26" spans="1:11">
      <c r="A26" s="341">
        <v>11</v>
      </c>
      <c r="B26" s="713" t="s">
        <v>1911</v>
      </c>
      <c r="C26" s="714">
        <v>0</v>
      </c>
      <c r="D26" s="714"/>
      <c r="E26" s="714"/>
      <c r="F26" s="714">
        <v>0</v>
      </c>
    </row>
    <row r="27" spans="1:11">
      <c r="A27" s="341">
        <v>12</v>
      </c>
      <c r="B27" s="713" t="s">
        <v>1912</v>
      </c>
      <c r="C27" s="714">
        <v>0</v>
      </c>
      <c r="D27" s="714"/>
      <c r="E27" s="714"/>
      <c r="F27" s="714">
        <v>0</v>
      </c>
    </row>
    <row r="28" spans="1:11">
      <c r="A28" s="341">
        <v>13</v>
      </c>
      <c r="B28" s="713" t="s">
        <v>1913</v>
      </c>
      <c r="C28" s="714">
        <v>0</v>
      </c>
      <c r="D28" s="714"/>
      <c r="E28" s="714"/>
      <c r="F28" s="714">
        <v>0</v>
      </c>
    </row>
    <row r="29" spans="1:11">
      <c r="A29" s="341">
        <v>14</v>
      </c>
      <c r="B29" s="492"/>
      <c r="C29" s="714"/>
      <c r="D29" s="714"/>
      <c r="E29" s="714"/>
      <c r="F29" s="714"/>
    </row>
    <row r="30" spans="1:11">
      <c r="A30" s="341">
        <v>15</v>
      </c>
      <c r="B30" s="491"/>
      <c r="C30" s="714"/>
      <c r="D30" s="2333" t="s">
        <v>434</v>
      </c>
      <c r="E30" s="2333"/>
      <c r="F30" s="716">
        <v>0</v>
      </c>
    </row>
    <row r="31" spans="1:11">
      <c r="A31" s="218"/>
      <c r="B31" s="253"/>
      <c r="C31" s="243"/>
      <c r="D31" s="243"/>
      <c r="E31" s="243"/>
      <c r="F31" s="243"/>
    </row>
    <row r="32" spans="1:11">
      <c r="A32" s="218"/>
      <c r="B32" s="253"/>
      <c r="C32" s="243"/>
      <c r="D32" s="243"/>
      <c r="E32" s="243"/>
      <c r="F32" s="243"/>
    </row>
    <row r="33" spans="1:6">
      <c r="A33" s="218"/>
      <c r="B33" s="255"/>
      <c r="C33" s="243"/>
      <c r="D33" s="243"/>
      <c r="E33" s="243"/>
      <c r="F33" s="243"/>
    </row>
    <row r="34" spans="1:6">
      <c r="A34" s="218"/>
      <c r="B34" s="255"/>
      <c r="C34" s="243"/>
      <c r="D34" s="243"/>
      <c r="E34" s="243"/>
      <c r="F34" s="243"/>
    </row>
    <row r="35" spans="1:6">
      <c r="A35" s="218"/>
      <c r="B35" s="255"/>
      <c r="C35" s="243"/>
      <c r="D35" s="243"/>
      <c r="E35" s="243"/>
      <c r="F35" s="243"/>
    </row>
    <row r="36" spans="1:6">
      <c r="A36" s="218"/>
      <c r="B36" s="255"/>
      <c r="C36" s="243"/>
      <c r="D36" s="243"/>
      <c r="E36" s="243"/>
      <c r="F36" s="243"/>
    </row>
    <row r="37" spans="1:6">
      <c r="A37" s="218"/>
      <c r="B37" s="255"/>
      <c r="C37" s="243"/>
      <c r="D37" s="243"/>
      <c r="E37" s="243"/>
      <c r="F37" s="243"/>
    </row>
    <row r="38" spans="1:6">
      <c r="A38" s="218"/>
      <c r="B38" s="255"/>
      <c r="C38" s="243"/>
      <c r="D38" s="243"/>
      <c r="E38" s="243"/>
      <c r="F38" s="243"/>
    </row>
    <row r="39" spans="1:6">
      <c r="A39" s="218"/>
      <c r="B39" s="255"/>
      <c r="C39" s="243"/>
      <c r="D39" s="243"/>
      <c r="E39" s="243"/>
      <c r="F39" s="243"/>
    </row>
    <row r="40" spans="1:6">
      <c r="A40" s="218"/>
      <c r="B40" s="255"/>
      <c r="C40" s="243"/>
      <c r="D40" s="243"/>
      <c r="E40" s="243"/>
      <c r="F40" s="243"/>
    </row>
    <row r="41" spans="1:6">
      <c r="A41" s="218"/>
      <c r="B41" s="255"/>
      <c r="C41" s="243"/>
      <c r="D41" s="243"/>
      <c r="E41" s="243"/>
      <c r="F41" s="243"/>
    </row>
    <row r="42" spans="1:6">
      <c r="A42" s="255"/>
    </row>
    <row r="43" spans="1:6">
      <c r="A43" s="255"/>
      <c r="B43" s="159" t="s">
        <v>1040</v>
      </c>
    </row>
    <row r="44" spans="1:6">
      <c r="A44" s="255"/>
    </row>
    <row r="45" spans="1:6">
      <c r="A45" s="255"/>
      <c r="B45" s="218"/>
      <c r="C45" s="218"/>
      <c r="D45" s="218"/>
      <c r="E45" s="218"/>
      <c r="F45" s="218"/>
    </row>
    <row r="50" spans="1:6">
      <c r="A50" s="409"/>
      <c r="B50" s="255"/>
      <c r="C50" s="255"/>
      <c r="D50" s="255"/>
      <c r="E50" s="255"/>
      <c r="F50" s="255"/>
    </row>
    <row r="110" spans="1:2">
      <c r="A110" s="408"/>
      <c r="B110" s="408"/>
    </row>
    <row r="111" spans="1:2">
      <c r="A111" s="408"/>
      <c r="B111" s="408"/>
    </row>
    <row r="112" spans="1:2">
      <c r="A112" s="408"/>
      <c r="B112" s="408"/>
    </row>
    <row r="113" spans="1:2">
      <c r="A113" s="408"/>
      <c r="B113" s="408"/>
    </row>
    <row r="114" spans="1:2">
      <c r="A114" s="408"/>
      <c r="B114" s="408"/>
    </row>
    <row r="144" spans="1:2">
      <c r="A144" s="408"/>
      <c r="B144" s="408"/>
    </row>
    <row r="213" spans="1:1">
      <c r="A213" s="159"/>
    </row>
    <row r="230" spans="1:1">
      <c r="A230" s="408"/>
    </row>
    <row r="231" spans="1:1">
      <c r="A231" s="408"/>
    </row>
    <row r="232" spans="1:1">
      <c r="A232" s="408"/>
    </row>
    <row r="233" spans="1:1">
      <c r="A233" s="408"/>
    </row>
    <row r="234" spans="1:1">
      <c r="A234" s="408"/>
    </row>
    <row r="235" spans="1:1">
      <c r="A235" s="408"/>
    </row>
    <row r="236" spans="1:1">
      <c r="A236" s="408"/>
    </row>
    <row r="237" spans="1:1">
      <c r="A237" s="408"/>
    </row>
    <row r="238" spans="1:1">
      <c r="A238" s="408"/>
    </row>
    <row r="239" spans="1:1">
      <c r="A239" s="408"/>
    </row>
    <row r="240" spans="1:1">
      <c r="A240" s="408"/>
    </row>
    <row r="241" spans="1:1">
      <c r="A241" s="408"/>
    </row>
    <row r="242" spans="1:1">
      <c r="A242" s="408"/>
    </row>
    <row r="243" spans="1:1">
      <c r="A243" s="408"/>
    </row>
    <row r="244" spans="1:1">
      <c r="A244" s="408"/>
    </row>
    <row r="245" spans="1:1">
      <c r="A245" s="408"/>
    </row>
    <row r="246" spans="1:1">
      <c r="A246" s="408"/>
    </row>
    <row r="247" spans="1:1">
      <c r="A247" s="408"/>
    </row>
    <row r="248" spans="1:1">
      <c r="A248" s="408"/>
    </row>
    <row r="249" spans="1:1">
      <c r="A249" s="408"/>
    </row>
    <row r="250" spans="1:1">
      <c r="A250" s="408"/>
    </row>
    <row r="251" spans="1:1">
      <c r="A251" s="408"/>
    </row>
    <row r="252" spans="1:1">
      <c r="A252" s="408"/>
    </row>
    <row r="253" spans="1:1">
      <c r="A253" s="408"/>
    </row>
    <row r="254" spans="1:1">
      <c r="A254" s="408"/>
    </row>
    <row r="255" spans="1:1">
      <c r="A255" s="408"/>
    </row>
    <row r="256" spans="1:1">
      <c r="A256" s="408"/>
    </row>
    <row r="257" spans="1:1">
      <c r="A257" s="408"/>
    </row>
    <row r="258" spans="1:1">
      <c r="A258" s="408"/>
    </row>
    <row r="259" spans="1:1">
      <c r="A259" s="408"/>
    </row>
    <row r="260" spans="1:1">
      <c r="A260" s="408"/>
    </row>
    <row r="261" spans="1:1">
      <c r="A261" s="408"/>
    </row>
    <row r="262" spans="1:1">
      <c r="A262" s="408"/>
    </row>
    <row r="263" spans="1:1">
      <c r="A263" s="408"/>
    </row>
    <row r="264" spans="1:1">
      <c r="A264" s="408"/>
    </row>
    <row r="265" spans="1:1">
      <c r="A265" s="408"/>
    </row>
    <row r="266" spans="1:1">
      <c r="A266" s="408"/>
    </row>
    <row r="267" spans="1:1">
      <c r="A267" s="408"/>
    </row>
    <row r="268" spans="1:1">
      <c r="A268" s="408"/>
    </row>
    <row r="269" spans="1:1">
      <c r="A269" s="408"/>
    </row>
    <row r="270" spans="1:1">
      <c r="A270" s="408"/>
    </row>
    <row r="271" spans="1:1">
      <c r="A271" s="408"/>
    </row>
    <row r="272" spans="1:1">
      <c r="A272" s="408"/>
    </row>
    <row r="273" spans="1:1">
      <c r="A273" s="408"/>
    </row>
    <row r="274" spans="1:1">
      <c r="A274" s="408"/>
    </row>
    <row r="275" spans="1:1">
      <c r="A275" s="408"/>
    </row>
    <row r="276" spans="1:1">
      <c r="A276" s="408"/>
    </row>
    <row r="277" spans="1:1">
      <c r="A277" s="408"/>
    </row>
    <row r="278" spans="1:1">
      <c r="A278" s="408"/>
    </row>
    <row r="279" spans="1:1">
      <c r="A279" s="408"/>
    </row>
    <row r="280" spans="1:1">
      <c r="A280" s="408"/>
    </row>
    <row r="281" spans="1:1">
      <c r="A281" s="408"/>
    </row>
    <row r="282" spans="1:1">
      <c r="A282" s="408"/>
    </row>
    <row r="283" spans="1:1">
      <c r="A283" s="408"/>
    </row>
    <row r="284" spans="1:1">
      <c r="A284" s="408"/>
    </row>
  </sheetData>
  <mergeCells count="1">
    <mergeCell ref="D30:E30"/>
  </mergeCells>
  <phoneticPr fontId="27" type="noConversion"/>
  <printOptions horizontalCentered="1"/>
  <pageMargins left="0.75" right="0.5" top="0.75" bottom="0.5" header="0.25" footer="0.25"/>
  <pageSetup scale="96" fitToHeight="0" orientation="portrait"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59">
    <pageSetUpPr fitToPage="1"/>
  </sheetPr>
  <dimension ref="A1:H407"/>
  <sheetViews>
    <sheetView view="pageBreakPreview" zoomScale="60" zoomScaleNormal="100" workbookViewId="0">
      <selection activeCell="J1" sqref="J1:N1048576"/>
    </sheetView>
  </sheetViews>
  <sheetFormatPr defaultColWidth="10.85546875" defaultRowHeight="12"/>
  <cols>
    <col min="1" max="1" width="6.85546875" style="120" customWidth="1"/>
    <col min="2" max="2" width="10.42578125" style="120" hidden="1" customWidth="1"/>
    <col min="3" max="3" width="34.5703125" style="129" customWidth="1"/>
    <col min="4" max="4" width="11.7109375" style="120" customWidth="1"/>
    <col min="5" max="5" width="2.7109375" style="120" customWidth="1"/>
    <col min="6" max="6" width="11.7109375" style="120" customWidth="1"/>
    <col min="7" max="7" width="2.7109375" style="120" customWidth="1"/>
    <col min="8" max="8" width="11.7109375" style="120" customWidth="1"/>
    <col min="9" max="16384" width="10.85546875" style="120"/>
  </cols>
  <sheetData>
    <row r="1" spans="1:8">
      <c r="A1" s="117" t="s">
        <v>843</v>
      </c>
      <c r="B1" s="117"/>
      <c r="C1" s="118"/>
      <c r="E1" s="117"/>
      <c r="F1" s="119" t="s">
        <v>1209</v>
      </c>
      <c r="H1" s="119"/>
    </row>
    <row r="2" spans="1:8">
      <c r="A2" s="117"/>
      <c r="B2" s="117"/>
      <c r="C2" s="118"/>
      <c r="E2" s="117"/>
      <c r="F2" s="119"/>
      <c r="H2" s="119"/>
    </row>
    <row r="3" spans="1:8">
      <c r="A3" s="117" t="s">
        <v>2644</v>
      </c>
      <c r="B3" s="117"/>
      <c r="C3" s="118"/>
      <c r="E3" s="117"/>
      <c r="F3" s="119" t="s">
        <v>1101</v>
      </c>
      <c r="H3" s="119"/>
    </row>
    <row r="4" spans="1:8">
      <c r="A4" s="117" t="s">
        <v>2645</v>
      </c>
      <c r="B4" s="117"/>
      <c r="C4" s="118"/>
      <c r="E4" s="117"/>
      <c r="F4" s="140" t="s">
        <v>766</v>
      </c>
      <c r="H4" s="119"/>
    </row>
    <row r="5" spans="1:8">
      <c r="A5" s="117" t="s">
        <v>1936</v>
      </c>
      <c r="B5" s="117"/>
      <c r="C5" s="118"/>
      <c r="E5" s="117"/>
      <c r="F5" s="119" t="s">
        <v>2951</v>
      </c>
      <c r="H5" s="119"/>
    </row>
    <row r="6" spans="1:8">
      <c r="A6" s="117" t="s">
        <v>1102</v>
      </c>
      <c r="B6" s="117"/>
      <c r="C6" s="118"/>
      <c r="D6" s="117"/>
      <c r="E6" s="117"/>
      <c r="F6" s="119"/>
      <c r="G6" s="119"/>
      <c r="H6" s="119"/>
    </row>
    <row r="7" spans="1:8">
      <c r="A7" s="117" t="s">
        <v>1092</v>
      </c>
      <c r="B7" s="117"/>
      <c r="C7" s="118"/>
      <c r="D7" s="117"/>
      <c r="E7" s="117"/>
      <c r="F7" s="117"/>
      <c r="G7" s="117"/>
      <c r="H7" s="117"/>
    </row>
    <row r="8" spans="1:8">
      <c r="A8" s="123" t="s">
        <v>1103</v>
      </c>
      <c r="B8" s="123"/>
      <c r="C8" s="118"/>
      <c r="D8" s="117"/>
      <c r="E8" s="117"/>
      <c r="F8" s="117"/>
      <c r="G8" s="117"/>
      <c r="H8" s="117"/>
    </row>
    <row r="9" spans="1:8" ht="12.75" thickBot="1">
      <c r="A9" s="124"/>
      <c r="B9" s="124"/>
      <c r="C9" s="125"/>
      <c r="D9" s="124"/>
      <c r="E9" s="124"/>
      <c r="F9" s="124"/>
      <c r="G9" s="124"/>
      <c r="H9" s="124"/>
    </row>
    <row r="10" spans="1:8">
      <c r="A10" s="197"/>
      <c r="B10" s="126" t="s">
        <v>914</v>
      </c>
      <c r="C10" s="206">
        <v>-1</v>
      </c>
      <c r="D10" s="206">
        <v>-2</v>
      </c>
      <c r="E10" s="933"/>
      <c r="F10" s="206">
        <v>-3</v>
      </c>
      <c r="H10" s="206">
        <v>-4</v>
      </c>
    </row>
    <row r="11" spans="1:8">
      <c r="C11" s="118"/>
      <c r="D11" s="262" t="s">
        <v>1738</v>
      </c>
      <c r="E11" s="203"/>
      <c r="F11" s="933" t="s">
        <v>1737</v>
      </c>
      <c r="G11" s="933"/>
    </row>
    <row r="12" spans="1:8">
      <c r="A12" s="933" t="s">
        <v>53</v>
      </c>
      <c r="C12" s="118"/>
      <c r="D12" s="262" t="s">
        <v>1739</v>
      </c>
      <c r="E12" s="203"/>
      <c r="F12" s="262" t="s">
        <v>1739</v>
      </c>
      <c r="G12" s="933"/>
      <c r="H12" s="933" t="s">
        <v>1485</v>
      </c>
    </row>
    <row r="13" spans="1:8">
      <c r="A13" s="156" t="s">
        <v>669</v>
      </c>
      <c r="B13" s="169" t="s">
        <v>11</v>
      </c>
      <c r="C13" s="1959" t="s">
        <v>1487</v>
      </c>
      <c r="D13" s="2073" t="s">
        <v>2792</v>
      </c>
      <c r="E13" s="1960"/>
      <c r="F13" s="2073" t="s">
        <v>2793</v>
      </c>
      <c r="G13" s="200"/>
      <c r="H13" s="156" t="s">
        <v>1491</v>
      </c>
    </row>
    <row r="14" spans="1:8">
      <c r="A14" s="1210">
        <v>1</v>
      </c>
      <c r="B14" s="933"/>
      <c r="C14" s="726" t="s">
        <v>2632</v>
      </c>
      <c r="D14" s="211"/>
      <c r="E14" s="211"/>
      <c r="F14" s="211"/>
      <c r="G14" s="130"/>
      <c r="H14" s="130"/>
    </row>
    <row r="15" spans="1:8">
      <c r="A15" s="1210">
        <v>2</v>
      </c>
      <c r="B15" s="933">
        <v>68021</v>
      </c>
      <c r="C15" s="900" t="s">
        <v>1928</v>
      </c>
      <c r="D15" s="935">
        <v>32.270000000000003</v>
      </c>
      <c r="E15" s="2074"/>
      <c r="F15" s="935">
        <v>32.479999999999997</v>
      </c>
      <c r="G15" s="757"/>
      <c r="H15" s="757">
        <v>41.06</v>
      </c>
    </row>
    <row r="16" spans="1:8">
      <c r="A16" s="1210">
        <v>3</v>
      </c>
      <c r="B16" s="933"/>
      <c r="C16" s="900"/>
      <c r="D16" s="935"/>
      <c r="E16" s="2074"/>
      <c r="F16" s="2074"/>
      <c r="G16" s="757"/>
      <c r="H16" s="757"/>
    </row>
    <row r="17" spans="1:8">
      <c r="A17" s="1210">
        <v>4</v>
      </c>
      <c r="B17" s="933"/>
      <c r="C17" s="900" t="s">
        <v>1927</v>
      </c>
      <c r="D17" s="935"/>
      <c r="E17" s="2075"/>
      <c r="F17" s="2074"/>
      <c r="G17" s="757"/>
      <c r="H17" s="757"/>
    </row>
    <row r="18" spans="1:8">
      <c r="A18" s="1210">
        <v>5</v>
      </c>
      <c r="B18" s="933"/>
      <c r="C18" s="900" t="s">
        <v>1929</v>
      </c>
      <c r="D18" s="935">
        <v>3.31</v>
      </c>
      <c r="E18" s="2074"/>
      <c r="F18" s="2074">
        <v>3.33</v>
      </c>
      <c r="G18" s="757"/>
      <c r="H18" s="757">
        <v>4.21</v>
      </c>
    </row>
    <row r="19" spans="1:8">
      <c r="A19" s="1210">
        <v>6</v>
      </c>
      <c r="B19" s="933"/>
      <c r="C19" s="900"/>
      <c r="D19" s="935"/>
      <c r="E19" s="2074"/>
      <c r="F19" s="2074"/>
      <c r="G19" s="757"/>
      <c r="H19" s="757"/>
    </row>
    <row r="20" spans="1:8">
      <c r="A20" s="1210">
        <v>7</v>
      </c>
      <c r="B20" s="933"/>
      <c r="C20" s="900" t="s">
        <v>1931</v>
      </c>
      <c r="D20" s="935"/>
      <c r="E20" s="2074"/>
      <c r="F20" s="2074"/>
      <c r="G20" s="757"/>
      <c r="H20" s="757"/>
    </row>
    <row r="21" spans="1:8">
      <c r="A21" s="1210">
        <v>8</v>
      </c>
      <c r="B21" s="933">
        <v>68050</v>
      </c>
      <c r="C21" s="775" t="s">
        <v>1930</v>
      </c>
      <c r="D21" s="935">
        <v>63.43</v>
      </c>
      <c r="E21" s="2074"/>
      <c r="F21" s="935">
        <v>63.84</v>
      </c>
      <c r="G21" s="755"/>
      <c r="H21" s="757">
        <v>80.7</v>
      </c>
    </row>
    <row r="22" spans="1:8">
      <c r="A22" s="1210">
        <v>9</v>
      </c>
      <c r="B22" s="1473"/>
      <c r="C22" s="469"/>
      <c r="D22" s="2074"/>
      <c r="E22" s="2074"/>
      <c r="F22" s="2074"/>
      <c r="G22" s="755"/>
      <c r="H22" s="757"/>
    </row>
    <row r="23" spans="1:8">
      <c r="A23" s="1210">
        <v>10</v>
      </c>
      <c r="B23" s="933"/>
      <c r="C23" s="726" t="s">
        <v>2631</v>
      </c>
      <c r="D23" s="935"/>
      <c r="E23" s="2076"/>
      <c r="F23" s="2076"/>
      <c r="G23" s="757"/>
      <c r="H23" s="757"/>
    </row>
    <row r="24" spans="1:8">
      <c r="A24" s="1210">
        <v>11</v>
      </c>
      <c r="C24" s="120" t="s">
        <v>1920</v>
      </c>
      <c r="D24" s="935">
        <v>32.270000000000003</v>
      </c>
      <c r="E24" s="2076"/>
      <c r="F24" s="935">
        <v>32.479999999999997</v>
      </c>
      <c r="G24" s="757"/>
      <c r="H24" s="757">
        <v>41.06</v>
      </c>
    </row>
    <row r="25" spans="1:8">
      <c r="A25" s="1210">
        <v>12</v>
      </c>
      <c r="B25" s="1473">
        <v>68026</v>
      </c>
      <c r="C25" s="120" t="s">
        <v>1921</v>
      </c>
      <c r="D25" s="935">
        <v>82.78</v>
      </c>
      <c r="E25" s="2075"/>
      <c r="F25" s="935">
        <v>83.32</v>
      </c>
      <c r="G25" s="757"/>
      <c r="H25" s="757">
        <v>105.32</v>
      </c>
    </row>
    <row r="26" spans="1:8">
      <c r="A26" s="1210">
        <v>13</v>
      </c>
      <c r="B26" s="1473">
        <v>68027</v>
      </c>
      <c r="C26" s="120" t="s">
        <v>1922</v>
      </c>
      <c r="D26" s="2074">
        <v>186.24</v>
      </c>
      <c r="E26" s="2074"/>
      <c r="F26" s="935">
        <v>187.46</v>
      </c>
      <c r="G26" s="757"/>
      <c r="H26" s="757">
        <v>236.97</v>
      </c>
    </row>
    <row r="27" spans="1:8">
      <c r="A27" s="1210">
        <v>14</v>
      </c>
      <c r="B27" s="1473">
        <v>68028</v>
      </c>
      <c r="C27" s="120" t="s">
        <v>1923</v>
      </c>
      <c r="D27" s="2077">
        <v>331.09</v>
      </c>
      <c r="E27" s="2074"/>
      <c r="F27" s="935">
        <v>333.25</v>
      </c>
      <c r="G27" s="757"/>
      <c r="H27" s="757">
        <v>421.26</v>
      </c>
    </row>
    <row r="28" spans="1:8">
      <c r="A28" s="1210">
        <v>15</v>
      </c>
      <c r="B28" s="1473">
        <v>68029</v>
      </c>
      <c r="C28" s="120" t="s">
        <v>1924</v>
      </c>
      <c r="D28" s="2074">
        <v>745.15</v>
      </c>
      <c r="E28" s="2074"/>
      <c r="F28" s="935">
        <v>750.02</v>
      </c>
      <c r="G28" s="755"/>
      <c r="H28" s="757">
        <v>948.1</v>
      </c>
    </row>
    <row r="29" spans="1:8">
      <c r="A29" s="1210">
        <v>16</v>
      </c>
      <c r="B29" s="1473">
        <v>68030</v>
      </c>
      <c r="C29" s="120" t="s">
        <v>1925</v>
      </c>
      <c r="D29" s="2074">
        <v>1324.37</v>
      </c>
      <c r="E29" s="2074"/>
      <c r="F29" s="935">
        <v>1333.02</v>
      </c>
      <c r="G29" s="756"/>
      <c r="H29" s="757">
        <v>1685.07</v>
      </c>
    </row>
    <row r="30" spans="1:8">
      <c r="A30" s="1210">
        <v>17</v>
      </c>
      <c r="B30" s="1473">
        <v>68031</v>
      </c>
      <c r="C30" s="120" t="s">
        <v>1926</v>
      </c>
      <c r="D30" s="935">
        <v>2980.25</v>
      </c>
      <c r="E30" s="2074"/>
      <c r="F30" s="935">
        <v>2999.72</v>
      </c>
      <c r="G30" s="757"/>
      <c r="H30" s="757">
        <v>3791.95</v>
      </c>
    </row>
    <row r="31" spans="1:8">
      <c r="A31" s="1210">
        <v>18</v>
      </c>
      <c r="B31" s="1473">
        <v>68032</v>
      </c>
      <c r="C31" s="900"/>
      <c r="D31" s="935"/>
      <c r="E31" s="2074"/>
      <c r="F31" s="2074"/>
      <c r="G31" s="757"/>
      <c r="H31" s="757"/>
    </row>
    <row r="32" spans="1:8">
      <c r="A32" s="1210">
        <v>19</v>
      </c>
      <c r="B32" s="1473">
        <v>68033</v>
      </c>
      <c r="C32" s="900"/>
      <c r="D32" s="2077"/>
      <c r="E32" s="2075"/>
      <c r="F32" s="2074"/>
      <c r="G32" s="757"/>
      <c r="H32" s="757"/>
    </row>
    <row r="33" spans="1:8">
      <c r="A33" s="1210">
        <v>20</v>
      </c>
      <c r="B33" s="1473"/>
      <c r="C33" s="900" t="s">
        <v>1927</v>
      </c>
      <c r="D33" s="935">
        <v>3.97</v>
      </c>
      <c r="E33" s="2075"/>
      <c r="F33" s="935">
        <v>4</v>
      </c>
      <c r="G33" s="757"/>
      <c r="H33" s="757">
        <v>5.0599999999999996</v>
      </c>
    </row>
    <row r="34" spans="1:8">
      <c r="A34" s="1210"/>
      <c r="B34" s="1473"/>
      <c r="C34" s="775"/>
      <c r="D34" s="757"/>
      <c r="E34" s="758"/>
      <c r="F34" s="759"/>
      <c r="G34" s="757"/>
      <c r="H34" s="935"/>
    </row>
    <row r="35" spans="1:8">
      <c r="A35" s="1210"/>
      <c r="B35" s="1473"/>
      <c r="C35" s="775"/>
      <c r="D35" s="757"/>
      <c r="E35" s="758"/>
      <c r="F35" s="759"/>
      <c r="G35" s="757"/>
      <c r="H35" s="757"/>
    </row>
    <row r="36" spans="1:8">
      <c r="A36" s="1210"/>
      <c r="C36" s="135"/>
      <c r="D36" s="757"/>
      <c r="E36" s="758"/>
      <c r="F36" s="758"/>
      <c r="G36" s="757"/>
      <c r="H36" s="755"/>
    </row>
    <row r="37" spans="1:8">
      <c r="A37" s="1210"/>
      <c r="B37" s="933">
        <v>68026</v>
      </c>
      <c r="C37" s="1478"/>
      <c r="D37" s="756"/>
      <c r="E37" s="756"/>
      <c r="F37" s="756"/>
      <c r="G37" s="757"/>
      <c r="H37" s="757"/>
    </row>
    <row r="38" spans="1:8">
      <c r="A38" s="1210"/>
      <c r="B38" s="933">
        <v>68027</v>
      </c>
      <c r="C38" s="1478"/>
      <c r="D38" s="755"/>
      <c r="E38" s="756"/>
      <c r="F38" s="755"/>
      <c r="G38" s="757"/>
      <c r="H38" s="757"/>
    </row>
    <row r="39" spans="1:8">
      <c r="A39" s="1210"/>
      <c r="B39" s="933">
        <v>68028</v>
      </c>
      <c r="C39" s="1478"/>
      <c r="D39" s="756"/>
      <c r="E39" s="756"/>
      <c r="F39" s="756"/>
      <c r="G39" s="757"/>
      <c r="H39" s="757"/>
    </row>
    <row r="40" spans="1:8">
      <c r="A40" s="1210"/>
      <c r="B40" s="933">
        <v>68029</v>
      </c>
      <c r="C40" s="1478"/>
      <c r="D40" s="756"/>
      <c r="E40" s="756"/>
      <c r="F40" s="756"/>
      <c r="G40" s="755"/>
      <c r="H40" s="757"/>
    </row>
    <row r="41" spans="1:8">
      <c r="A41" s="1210"/>
      <c r="B41" s="933">
        <v>68030</v>
      </c>
      <c r="C41" s="1478"/>
      <c r="D41" s="757"/>
      <c r="E41" s="756"/>
      <c r="F41" s="757"/>
      <c r="G41" s="756"/>
      <c r="H41" s="757"/>
    </row>
    <row r="42" spans="1:8">
      <c r="A42" s="1210"/>
      <c r="B42" s="933">
        <v>68031</v>
      </c>
      <c r="C42" s="1478"/>
      <c r="D42" s="757"/>
      <c r="E42" s="756"/>
      <c r="F42" s="757"/>
      <c r="G42" s="757"/>
      <c r="H42" s="757"/>
    </row>
    <row r="43" spans="1:8">
      <c r="A43" s="1210"/>
      <c r="B43" s="933">
        <v>68032</v>
      </c>
      <c r="C43" s="1478"/>
      <c r="D43" s="755"/>
      <c r="E43" s="758"/>
      <c r="F43" s="755"/>
      <c r="G43" s="757"/>
      <c r="H43" s="757"/>
    </row>
    <row r="44" spans="1:8">
      <c r="A44" s="1210"/>
      <c r="B44" s="933">
        <v>68033</v>
      </c>
      <c r="C44" s="1478"/>
      <c r="D44" s="757"/>
      <c r="E44" s="758"/>
      <c r="F44" s="757"/>
      <c r="G44" s="757"/>
      <c r="H44" s="757"/>
    </row>
    <row r="45" spans="1:8">
      <c r="A45" s="1210"/>
      <c r="B45" s="933"/>
      <c r="C45" s="900"/>
      <c r="D45" s="757"/>
      <c r="E45" s="756"/>
      <c r="F45" s="757"/>
      <c r="G45" s="757"/>
      <c r="H45" s="935"/>
    </row>
    <row r="46" spans="1:8">
      <c r="A46" s="1210"/>
      <c r="B46" s="933"/>
      <c r="C46" s="775"/>
      <c r="D46" s="757"/>
      <c r="E46" s="758"/>
      <c r="F46" s="757"/>
      <c r="G46" s="757"/>
      <c r="H46" s="936"/>
    </row>
    <row r="47" spans="1:8" s="211" customFormat="1">
      <c r="A47" s="262"/>
      <c r="B47" s="262"/>
      <c r="G47" s="936"/>
      <c r="H47" s="130"/>
    </row>
    <row r="48" spans="1:8">
      <c r="A48" s="933"/>
      <c r="B48" s="933"/>
      <c r="C48" s="120"/>
      <c r="G48" s="130"/>
      <c r="H48" s="130"/>
    </row>
    <row r="49" spans="1:8">
      <c r="A49" s="933"/>
      <c r="B49" s="933"/>
      <c r="C49" s="120"/>
      <c r="G49" s="130"/>
      <c r="H49" s="130"/>
    </row>
    <row r="50" spans="1:8">
      <c r="A50" s="933"/>
      <c r="B50" s="933"/>
      <c r="F50" s="141"/>
      <c r="G50" s="130"/>
      <c r="H50" s="410"/>
    </row>
    <row r="51" spans="1:8">
      <c r="A51" s="189"/>
      <c r="B51" s="189"/>
      <c r="C51" s="344"/>
      <c r="D51" s="153"/>
      <c r="E51" s="153"/>
      <c r="F51" s="410"/>
      <c r="G51" s="410"/>
      <c r="H51" s="130"/>
    </row>
    <row r="52" spans="1:8">
      <c r="A52" s="933"/>
      <c r="B52" s="933"/>
      <c r="F52" s="130"/>
      <c r="G52" s="130"/>
      <c r="H52" s="130"/>
    </row>
    <row r="53" spans="1:8">
      <c r="F53" s="130"/>
      <c r="G53" s="130"/>
      <c r="H53" s="130"/>
    </row>
    <row r="54" spans="1:8">
      <c r="F54" s="130"/>
      <c r="G54" s="130"/>
      <c r="H54" s="130"/>
    </row>
    <row r="55" spans="1:8">
      <c r="F55" s="130"/>
      <c r="G55" s="130"/>
      <c r="H55" s="130"/>
    </row>
    <row r="56" spans="1:8">
      <c r="F56" s="130"/>
      <c r="G56" s="130"/>
      <c r="H56" s="130"/>
    </row>
    <row r="57" spans="1:8">
      <c r="F57" s="130"/>
      <c r="G57" s="130"/>
      <c r="H57" s="130"/>
    </row>
    <row r="58" spans="1:8">
      <c r="F58" s="130"/>
      <c r="G58" s="130"/>
      <c r="H58" s="130"/>
    </row>
    <row r="59" spans="1:8">
      <c r="F59" s="130"/>
      <c r="G59" s="130"/>
      <c r="H59" s="130"/>
    </row>
    <row r="60" spans="1:8">
      <c r="F60" s="130"/>
      <c r="G60" s="130"/>
      <c r="H60" s="130"/>
    </row>
    <row r="61" spans="1:8">
      <c r="F61" s="130"/>
      <c r="G61" s="130"/>
      <c r="H61" s="130"/>
    </row>
    <row r="62" spans="1:8">
      <c r="F62" s="130"/>
      <c r="G62" s="130"/>
      <c r="H62" s="130"/>
    </row>
    <row r="63" spans="1:8">
      <c r="F63" s="130"/>
      <c r="G63" s="130"/>
      <c r="H63" s="130"/>
    </row>
    <row r="64" spans="1:8">
      <c r="F64" s="130"/>
      <c r="G64" s="130"/>
      <c r="H64" s="130"/>
    </row>
    <row r="65" spans="6:8">
      <c r="F65" s="130"/>
      <c r="G65" s="130"/>
      <c r="H65" s="130"/>
    </row>
    <row r="66" spans="6:8">
      <c r="F66" s="130"/>
      <c r="G66" s="130"/>
      <c r="H66" s="130"/>
    </row>
    <row r="67" spans="6:8">
      <c r="F67" s="130"/>
      <c r="G67" s="130"/>
      <c r="H67" s="130"/>
    </row>
    <row r="68" spans="6:8">
      <c r="F68" s="130"/>
      <c r="G68" s="130"/>
      <c r="H68" s="130"/>
    </row>
    <row r="69" spans="6:8">
      <c r="F69" s="130"/>
      <c r="G69" s="130"/>
    </row>
    <row r="107" spans="6:6">
      <c r="F107" s="137"/>
    </row>
    <row r="110" spans="6:6">
      <c r="F110" s="137"/>
    </row>
    <row r="233" spans="1:5">
      <c r="A233" s="138"/>
      <c r="B233" s="138"/>
      <c r="C233" s="139"/>
      <c r="D233" s="138"/>
      <c r="E233" s="138"/>
    </row>
    <row r="234" spans="1:5">
      <c r="A234" s="138"/>
      <c r="B234" s="138"/>
      <c r="C234" s="139"/>
      <c r="D234" s="138"/>
      <c r="E234" s="138"/>
    </row>
    <row r="235" spans="1:5">
      <c r="A235" s="138"/>
      <c r="B235" s="138"/>
      <c r="C235" s="139"/>
      <c r="D235" s="138"/>
      <c r="E235" s="138"/>
    </row>
    <row r="236" spans="1:5">
      <c r="A236" s="138"/>
      <c r="B236" s="138"/>
      <c r="C236" s="139"/>
      <c r="D236" s="138"/>
      <c r="E236" s="138"/>
    </row>
    <row r="237" spans="1:5">
      <c r="A237" s="138"/>
      <c r="B237" s="138"/>
      <c r="C237" s="139"/>
      <c r="D237" s="138"/>
      <c r="E237" s="138"/>
    </row>
    <row r="267" spans="1:5">
      <c r="A267" s="138"/>
      <c r="B267" s="138"/>
      <c r="C267" s="139"/>
      <c r="D267" s="138"/>
      <c r="E267" s="138"/>
    </row>
    <row r="336" spans="1:2">
      <c r="A336" s="117"/>
      <c r="B336" s="117"/>
    </row>
    <row r="353" spans="1:2">
      <c r="A353" s="138"/>
      <c r="B353" s="138"/>
    </row>
    <row r="354" spans="1:2">
      <c r="A354" s="138"/>
      <c r="B354" s="138"/>
    </row>
    <row r="355" spans="1:2">
      <c r="A355" s="138"/>
      <c r="B355" s="138"/>
    </row>
    <row r="356" spans="1:2">
      <c r="A356" s="138"/>
      <c r="B356" s="138"/>
    </row>
    <row r="357" spans="1:2">
      <c r="A357" s="138"/>
      <c r="B357" s="138"/>
    </row>
    <row r="358" spans="1:2">
      <c r="A358" s="138"/>
      <c r="B358" s="138"/>
    </row>
    <row r="359" spans="1:2">
      <c r="A359" s="138"/>
      <c r="B359" s="138"/>
    </row>
    <row r="360" spans="1:2">
      <c r="A360" s="138"/>
      <c r="B360" s="138"/>
    </row>
    <row r="361" spans="1:2">
      <c r="A361" s="138"/>
      <c r="B361" s="138"/>
    </row>
    <row r="362" spans="1:2">
      <c r="A362" s="138"/>
      <c r="B362" s="138"/>
    </row>
    <row r="363" spans="1:2">
      <c r="A363" s="138"/>
      <c r="B363" s="138"/>
    </row>
    <row r="364" spans="1:2">
      <c r="A364" s="138"/>
      <c r="B364" s="138"/>
    </row>
    <row r="365" spans="1:2">
      <c r="A365" s="138"/>
      <c r="B365" s="138"/>
    </row>
    <row r="366" spans="1:2">
      <c r="A366" s="138"/>
      <c r="B366" s="138"/>
    </row>
    <row r="367" spans="1:2">
      <c r="A367" s="138"/>
      <c r="B367" s="138"/>
    </row>
    <row r="368" spans="1:2">
      <c r="A368" s="138"/>
      <c r="B368" s="138"/>
    </row>
    <row r="369" spans="1:2">
      <c r="A369" s="138"/>
      <c r="B369" s="138"/>
    </row>
    <row r="370" spans="1:2">
      <c r="A370" s="138"/>
      <c r="B370" s="138"/>
    </row>
    <row r="371" spans="1:2">
      <c r="A371" s="138"/>
      <c r="B371" s="138"/>
    </row>
    <row r="372" spans="1:2">
      <c r="A372" s="138"/>
      <c r="B372" s="138"/>
    </row>
    <row r="373" spans="1:2">
      <c r="A373" s="138"/>
      <c r="B373" s="138"/>
    </row>
    <row r="374" spans="1:2">
      <c r="A374" s="138"/>
      <c r="B374" s="138"/>
    </row>
    <row r="375" spans="1:2">
      <c r="A375" s="138"/>
      <c r="B375" s="138"/>
    </row>
    <row r="376" spans="1:2">
      <c r="A376" s="138"/>
      <c r="B376" s="138"/>
    </row>
    <row r="377" spans="1:2">
      <c r="A377" s="138"/>
      <c r="B377" s="138"/>
    </row>
    <row r="378" spans="1:2">
      <c r="A378" s="138"/>
      <c r="B378" s="138"/>
    </row>
    <row r="379" spans="1:2">
      <c r="A379" s="138"/>
      <c r="B379" s="138"/>
    </row>
    <row r="380" spans="1:2">
      <c r="A380" s="138"/>
      <c r="B380" s="138"/>
    </row>
    <row r="381" spans="1:2">
      <c r="A381" s="138"/>
      <c r="B381" s="138"/>
    </row>
    <row r="382" spans="1:2">
      <c r="A382" s="138"/>
      <c r="B382" s="138"/>
    </row>
    <row r="383" spans="1:2">
      <c r="A383" s="138"/>
      <c r="B383" s="138"/>
    </row>
    <row r="384" spans="1:2">
      <c r="A384" s="138"/>
      <c r="B384" s="138"/>
    </row>
    <row r="385" spans="1:2">
      <c r="A385" s="138"/>
      <c r="B385" s="138"/>
    </row>
    <row r="386" spans="1:2">
      <c r="A386" s="138"/>
      <c r="B386" s="138"/>
    </row>
    <row r="387" spans="1:2">
      <c r="A387" s="138"/>
      <c r="B387" s="138"/>
    </row>
    <row r="388" spans="1:2">
      <c r="A388" s="138"/>
      <c r="B388" s="138"/>
    </row>
    <row r="389" spans="1:2">
      <c r="A389" s="138"/>
      <c r="B389" s="138"/>
    </row>
    <row r="390" spans="1:2">
      <c r="A390" s="138"/>
      <c r="B390" s="138"/>
    </row>
    <row r="391" spans="1:2">
      <c r="A391" s="138"/>
      <c r="B391" s="138"/>
    </row>
    <row r="392" spans="1:2">
      <c r="A392" s="138"/>
      <c r="B392" s="138"/>
    </row>
    <row r="393" spans="1:2">
      <c r="A393" s="138"/>
      <c r="B393" s="138"/>
    </row>
    <row r="394" spans="1:2">
      <c r="A394" s="138"/>
      <c r="B394" s="138"/>
    </row>
    <row r="395" spans="1:2">
      <c r="A395" s="138"/>
      <c r="B395" s="138"/>
    </row>
    <row r="396" spans="1:2">
      <c r="A396" s="138"/>
      <c r="B396" s="138"/>
    </row>
    <row r="397" spans="1:2">
      <c r="A397" s="138"/>
      <c r="B397" s="138"/>
    </row>
    <row r="398" spans="1:2">
      <c r="A398" s="138"/>
      <c r="B398" s="138"/>
    </row>
    <row r="399" spans="1:2">
      <c r="A399" s="138"/>
      <c r="B399" s="138"/>
    </row>
    <row r="400" spans="1:2">
      <c r="A400" s="138"/>
      <c r="B400" s="138"/>
    </row>
    <row r="401" spans="1:2">
      <c r="A401" s="138"/>
      <c r="B401" s="138"/>
    </row>
    <row r="402" spans="1:2">
      <c r="A402" s="138"/>
      <c r="B402" s="138"/>
    </row>
    <row r="403" spans="1:2">
      <c r="A403" s="138"/>
      <c r="B403" s="138"/>
    </row>
    <row r="404" spans="1:2">
      <c r="A404" s="138"/>
      <c r="B404" s="138"/>
    </row>
    <row r="405" spans="1:2">
      <c r="A405" s="138"/>
      <c r="B405" s="138"/>
    </row>
    <row r="406" spans="1:2">
      <c r="A406" s="138"/>
      <c r="B406" s="138"/>
    </row>
    <row r="407" spans="1:2">
      <c r="A407" s="138"/>
      <c r="B407" s="138"/>
    </row>
  </sheetData>
  <phoneticPr fontId="0" type="noConversion"/>
  <printOptions horizontalCentered="1"/>
  <pageMargins left="0.75" right="0.5" top="0.75" bottom="0.5" header="0.25" footer="0.25"/>
  <pageSetup orientation="portrait" r:id="rId1"/>
  <headerFooter alignWithMargins="0"/>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2">
    <pageSetUpPr fitToPage="1"/>
  </sheetPr>
  <dimension ref="A1:O64"/>
  <sheetViews>
    <sheetView view="pageBreakPreview" zoomScale="60" zoomScaleNormal="100" workbookViewId="0">
      <selection activeCell="N1" sqref="N1:Q1048576"/>
    </sheetView>
  </sheetViews>
  <sheetFormatPr defaultColWidth="9.140625" defaultRowHeight="12"/>
  <cols>
    <col min="1" max="1" width="4.7109375" style="738" customWidth="1"/>
    <col min="2" max="2" width="7.140625" style="738" hidden="1" customWidth="1"/>
    <col min="3" max="3" width="7.42578125" style="738" customWidth="1"/>
    <col min="4" max="4" width="31.7109375" style="738" customWidth="1"/>
    <col min="5" max="5" width="10.140625" style="738" customWidth="1"/>
    <col min="6" max="6" width="11.7109375" style="730" customWidth="1"/>
    <col min="7" max="7" width="10" style="738" customWidth="1"/>
    <col min="8" max="8" width="11.28515625" style="730" customWidth="1"/>
    <col min="9" max="9" width="10.7109375" style="730" customWidth="1"/>
    <col min="10" max="11" width="11.28515625" style="729" customWidth="1"/>
    <col min="12" max="12" width="11.140625" style="729" customWidth="1"/>
    <col min="13" max="16384" width="9.140625" style="729"/>
  </cols>
  <sheetData>
    <row r="1" spans="1:15" s="1055" customFormat="1">
      <c r="A1" s="780" t="s">
        <v>97</v>
      </c>
      <c r="B1" s="780"/>
      <c r="C1" s="780"/>
      <c r="D1" s="1045"/>
      <c r="E1" s="1045"/>
      <c r="F1" s="1046"/>
      <c r="G1" s="1047"/>
      <c r="H1" s="1046"/>
      <c r="J1" s="1056"/>
      <c r="K1" s="903"/>
      <c r="L1" s="903" t="s">
        <v>1209</v>
      </c>
    </row>
    <row r="2" spans="1:15" s="1055" customFormat="1">
      <c r="A2" s="117" t="s">
        <v>2644</v>
      </c>
      <c r="B2" s="780"/>
      <c r="C2" s="780"/>
      <c r="D2" s="1045"/>
      <c r="E2" s="1045"/>
      <c r="F2" s="1046"/>
      <c r="G2" s="1048"/>
      <c r="H2" s="1046"/>
      <c r="J2" s="1056"/>
      <c r="K2" s="903"/>
      <c r="L2" s="903" t="s">
        <v>1100</v>
      </c>
    </row>
    <row r="3" spans="1:15" s="1055" customFormat="1">
      <c r="A3" s="117" t="s">
        <v>2645</v>
      </c>
      <c r="B3" s="780"/>
      <c r="C3" s="780"/>
      <c r="D3" s="1045"/>
      <c r="E3" s="1045"/>
      <c r="F3" s="1046"/>
      <c r="G3" s="1048"/>
      <c r="H3" s="1046"/>
      <c r="J3" s="1056"/>
      <c r="K3" s="903"/>
      <c r="L3" s="903" t="s">
        <v>766</v>
      </c>
    </row>
    <row r="4" spans="1:15" s="1055" customFormat="1">
      <c r="A4" s="117" t="s">
        <v>1936</v>
      </c>
      <c r="B4" s="780"/>
      <c r="C4" s="780"/>
      <c r="D4" s="1045"/>
      <c r="E4" s="1045"/>
      <c r="F4" s="1046"/>
      <c r="G4" s="1048"/>
      <c r="H4" s="1046"/>
      <c r="J4" s="1056"/>
      <c r="K4" s="930"/>
      <c r="L4" s="930" t="s">
        <v>2951</v>
      </c>
    </row>
    <row r="5" spans="1:15" s="1055" customFormat="1">
      <c r="A5" s="998" t="s">
        <v>1092</v>
      </c>
      <c r="B5" s="780"/>
      <c r="C5" s="780"/>
      <c r="D5" s="1045"/>
      <c r="E5" s="1045"/>
      <c r="F5" s="1046"/>
      <c r="G5" s="1048"/>
      <c r="H5" s="1046"/>
      <c r="I5" s="1057"/>
    </row>
    <row r="6" spans="1:15" s="1055" customFormat="1">
      <c r="A6" s="997" t="s">
        <v>727</v>
      </c>
      <c r="B6" s="780"/>
      <c r="C6" s="780"/>
      <c r="D6" s="780"/>
      <c r="E6" s="998"/>
      <c r="F6" s="1046"/>
      <c r="G6" s="998"/>
      <c r="H6" s="1046"/>
      <c r="I6" s="1046"/>
    </row>
    <row r="7" spans="1:15" s="1055" customFormat="1" ht="18.600000000000001" customHeight="1">
      <c r="A7" s="1045"/>
      <c r="B7" s="1058"/>
      <c r="C7" s="1058"/>
      <c r="D7" s="2334" t="s">
        <v>98</v>
      </c>
      <c r="E7" s="2299"/>
      <c r="F7" s="2299"/>
      <c r="G7" s="2299"/>
      <c r="H7" s="2299"/>
      <c r="I7" s="2299"/>
      <c r="J7" s="2299"/>
      <c r="K7" s="2299"/>
      <c r="L7" s="1475"/>
      <c r="N7" s="1058"/>
      <c r="O7" s="1058"/>
    </row>
    <row r="8" spans="1:15" s="1055" customFormat="1" ht="12.75">
      <c r="A8" s="1049"/>
      <c r="B8" s="1059"/>
      <c r="C8" s="1059"/>
      <c r="D8" s="2335"/>
      <c r="E8" s="2335"/>
      <c r="F8" s="2335"/>
      <c r="G8" s="2335"/>
      <c r="H8" s="2335"/>
      <c r="I8" s="2335"/>
      <c r="J8" s="2335"/>
      <c r="K8" s="2335"/>
      <c r="L8" s="1474"/>
    </row>
    <row r="9" spans="1:15" s="1055" customFormat="1">
      <c r="A9" s="1050"/>
      <c r="B9" s="1050"/>
      <c r="C9" s="1050"/>
      <c r="D9" s="1050">
        <v>-1</v>
      </c>
      <c r="E9" s="1050">
        <v>-2</v>
      </c>
      <c r="F9" s="1050">
        <v>-3</v>
      </c>
      <c r="G9" s="1050">
        <v>-4</v>
      </c>
      <c r="H9" s="1050">
        <v>-5</v>
      </c>
      <c r="I9" s="1050">
        <v>-8</v>
      </c>
      <c r="J9" s="1050">
        <v>-9</v>
      </c>
      <c r="K9" s="1050">
        <v>-12</v>
      </c>
      <c r="L9" s="1050">
        <v>-13</v>
      </c>
    </row>
    <row r="10" spans="1:15" s="1055" customFormat="1" ht="15" customHeight="1">
      <c r="A10" s="1060"/>
      <c r="B10" s="1060"/>
      <c r="C10" s="1060"/>
      <c r="D10" s="1060"/>
      <c r="E10" s="1060"/>
      <c r="F10" s="1051" t="s">
        <v>99</v>
      </c>
      <c r="G10" s="1060" t="s">
        <v>74</v>
      </c>
      <c r="H10" s="1060" t="s">
        <v>74</v>
      </c>
      <c r="I10" s="1051" t="s">
        <v>1483</v>
      </c>
      <c r="J10" s="1051"/>
      <c r="K10" s="1051"/>
      <c r="L10" s="1051"/>
    </row>
    <row r="11" spans="1:15" s="1062" customFormat="1" ht="24.75" customHeight="1">
      <c r="A11" s="1060" t="s">
        <v>53</v>
      </c>
      <c r="B11" s="1060"/>
      <c r="C11" s="1060"/>
      <c r="D11" s="1060"/>
      <c r="E11" s="1060" t="s">
        <v>828</v>
      </c>
      <c r="F11" s="1051" t="s">
        <v>1731</v>
      </c>
      <c r="G11" s="1051" t="s">
        <v>100</v>
      </c>
      <c r="H11" s="1061" t="s">
        <v>455</v>
      </c>
      <c r="I11" s="1051" t="s">
        <v>100</v>
      </c>
      <c r="J11" s="1052"/>
      <c r="K11" s="1051"/>
      <c r="L11" s="1051"/>
    </row>
    <row r="12" spans="1:15" s="1055" customFormat="1" ht="25.5" customHeight="1">
      <c r="A12" s="1063" t="s">
        <v>730</v>
      </c>
      <c r="B12" s="1063" t="s">
        <v>11</v>
      </c>
      <c r="C12" s="1063"/>
      <c r="D12" s="1063" t="s">
        <v>1487</v>
      </c>
      <c r="E12" s="1053" t="s">
        <v>1932</v>
      </c>
      <c r="F12" s="1053" t="s">
        <v>1932</v>
      </c>
      <c r="G12" s="2073" t="s">
        <v>2792</v>
      </c>
      <c r="H12" s="1053" t="s">
        <v>1932</v>
      </c>
      <c r="I12" s="2073" t="s">
        <v>2793</v>
      </c>
      <c r="J12" s="1053" t="s">
        <v>1732</v>
      </c>
      <c r="K12" s="1054" t="s">
        <v>101</v>
      </c>
      <c r="L12" s="1054" t="s">
        <v>1733</v>
      </c>
    </row>
    <row r="13" spans="1:15">
      <c r="A13" s="732">
        <v>1</v>
      </c>
      <c r="B13" s="733"/>
      <c r="C13" s="734" t="s">
        <v>102</v>
      </c>
      <c r="D13" s="732"/>
      <c r="E13" s="913"/>
      <c r="F13" s="912"/>
      <c r="G13" s="908"/>
      <c r="H13" s="908"/>
      <c r="I13" s="891"/>
      <c r="J13" s="891"/>
      <c r="K13" s="891"/>
      <c r="L13" s="891"/>
    </row>
    <row r="14" spans="1:15">
      <c r="A14" s="732">
        <v>2</v>
      </c>
      <c r="B14" s="732">
        <v>68021</v>
      </c>
      <c r="C14" s="744"/>
      <c r="D14" s="900" t="s">
        <v>1928</v>
      </c>
      <c r="E14" s="694">
        <v>12374</v>
      </c>
      <c r="F14" s="914"/>
      <c r="G14" s="750">
        <v>32.270000000000003</v>
      </c>
      <c r="H14" s="1339">
        <v>399308.98000000004</v>
      </c>
      <c r="I14" s="750">
        <v>32.479999999999997</v>
      </c>
      <c r="J14" s="1339">
        <v>401907.51999999996</v>
      </c>
      <c r="K14" s="750">
        <v>41.06</v>
      </c>
      <c r="L14" s="1339">
        <v>508076.44</v>
      </c>
    </row>
    <row r="15" spans="1:15" ht="12.75" thickBot="1">
      <c r="A15" s="732">
        <v>3</v>
      </c>
      <c r="B15" s="736"/>
      <c r="C15" s="744"/>
      <c r="D15" s="917" t="s">
        <v>1734</v>
      </c>
      <c r="E15" s="905">
        <v>12374</v>
      </c>
      <c r="F15" s="912"/>
      <c r="G15" s="908"/>
      <c r="H15" s="1340">
        <v>399308.98000000004</v>
      </c>
      <c r="I15" s="750"/>
      <c r="J15" s="1340">
        <v>401907.51999999996</v>
      </c>
      <c r="K15" s="908"/>
      <c r="L15" s="1340">
        <v>508076.44</v>
      </c>
    </row>
    <row r="16" spans="1:15" ht="12.75" thickTop="1">
      <c r="A16" s="732">
        <v>4</v>
      </c>
      <c r="B16" s="736"/>
      <c r="C16" s="739" t="s">
        <v>103</v>
      </c>
      <c r="D16" s="735"/>
      <c r="E16" s="748"/>
      <c r="F16" s="912"/>
      <c r="G16" s="908"/>
      <c r="H16" s="1394"/>
      <c r="I16" s="908"/>
      <c r="J16" s="1394"/>
      <c r="K16" s="908"/>
      <c r="L16" s="1394"/>
    </row>
    <row r="17" spans="1:12">
      <c r="A17" s="732">
        <v>5</v>
      </c>
      <c r="B17" s="740">
        <v>68021</v>
      </c>
      <c r="C17" s="731"/>
      <c r="D17" s="775" t="s">
        <v>1927</v>
      </c>
      <c r="E17" s="745"/>
      <c r="F17" s="916"/>
      <c r="G17" s="750"/>
      <c r="H17" s="1394"/>
      <c r="I17" s="750"/>
      <c r="J17" s="1394"/>
      <c r="K17" s="750"/>
      <c r="L17" s="1394"/>
    </row>
    <row r="18" spans="1:12">
      <c r="A18" s="732">
        <v>6</v>
      </c>
      <c r="B18" s="740">
        <v>68021</v>
      </c>
      <c r="C18" s="731"/>
      <c r="D18" s="775" t="s">
        <v>1929</v>
      </c>
      <c r="E18" s="745"/>
      <c r="F18" s="916">
        <v>110241</v>
      </c>
      <c r="G18" s="750">
        <v>3.31</v>
      </c>
      <c r="H18" s="1394">
        <v>364897.71</v>
      </c>
      <c r="I18" s="750">
        <v>3.33</v>
      </c>
      <c r="J18" s="1394">
        <v>367102.53</v>
      </c>
      <c r="K18" s="750">
        <v>4.21</v>
      </c>
      <c r="L18" s="1394">
        <v>464114.61</v>
      </c>
    </row>
    <row r="19" spans="1:12">
      <c r="A19" s="732">
        <v>7</v>
      </c>
      <c r="B19" s="740"/>
      <c r="C19" s="731"/>
      <c r="D19" s="919" t="s">
        <v>1875</v>
      </c>
      <c r="E19" s="645"/>
      <c r="F19" s="904">
        <v>110241</v>
      </c>
      <c r="G19" s="750"/>
      <c r="H19" s="1393">
        <v>364897.71</v>
      </c>
      <c r="I19" s="911"/>
      <c r="J19" s="1393">
        <v>367102.53</v>
      </c>
      <c r="K19" s="911"/>
      <c r="L19" s="1393">
        <v>464114.61</v>
      </c>
    </row>
    <row r="20" spans="1:12" ht="12.75" thickBot="1">
      <c r="A20" s="732">
        <v>8</v>
      </c>
      <c r="B20" s="740"/>
      <c r="C20" s="746"/>
      <c r="D20" s="737" t="s">
        <v>104</v>
      </c>
      <c r="E20" s="895">
        <v>12374</v>
      </c>
      <c r="F20" s="915">
        <v>110241</v>
      </c>
      <c r="G20" s="750"/>
      <c r="H20" s="1340">
        <v>764206.69000000006</v>
      </c>
      <c r="I20" s="750"/>
      <c r="J20" s="1340">
        <v>769010.05</v>
      </c>
      <c r="K20" s="750"/>
      <c r="L20" s="1340">
        <v>972191.05</v>
      </c>
    </row>
    <row r="21" spans="1:12" ht="13.5" thickTop="1" thickBot="1">
      <c r="A21" s="732">
        <v>9</v>
      </c>
      <c r="B21" s="736"/>
      <c r="C21" s="744"/>
      <c r="D21" s="737" t="s">
        <v>105</v>
      </c>
      <c r="E21" s="748"/>
      <c r="F21" s="912"/>
      <c r="G21" s="908"/>
      <c r="H21" s="907">
        <v>61.759066591239701</v>
      </c>
      <c r="I21" s="908"/>
      <c r="J21" s="907">
        <v>62.14724826248586</v>
      </c>
      <c r="K21" s="908"/>
      <c r="L21" s="907">
        <v>78.567241797316953</v>
      </c>
    </row>
    <row r="22" spans="1:12" ht="12.75" thickTop="1">
      <c r="A22" s="732">
        <v>10</v>
      </c>
      <c r="B22" s="736"/>
      <c r="C22" s="744"/>
      <c r="D22" s="737"/>
      <c r="E22" s="748"/>
      <c r="F22" s="912"/>
      <c r="G22" s="908"/>
      <c r="H22" s="750"/>
      <c r="I22" s="908"/>
      <c r="J22" s="750"/>
      <c r="K22" s="908"/>
      <c r="L22" s="750"/>
    </row>
    <row r="23" spans="1:12">
      <c r="A23" s="732">
        <v>11</v>
      </c>
      <c r="B23" s="736"/>
      <c r="C23" s="135" t="s">
        <v>1931</v>
      </c>
      <c r="D23" s="737"/>
      <c r="E23" s="748"/>
      <c r="F23" s="912"/>
      <c r="G23" s="908"/>
      <c r="H23" s="750"/>
      <c r="I23" s="908"/>
      <c r="J23" s="750"/>
      <c r="K23" s="908"/>
      <c r="L23" s="750"/>
    </row>
    <row r="24" spans="1:12">
      <c r="A24" s="732">
        <v>12</v>
      </c>
      <c r="B24" s="736"/>
      <c r="C24" s="900" t="s">
        <v>1930</v>
      </c>
      <c r="D24" s="737"/>
      <c r="E24" s="748">
        <v>11</v>
      </c>
      <c r="F24" s="912"/>
      <c r="G24" s="908">
        <v>63.43</v>
      </c>
      <c r="H24" s="1339">
        <v>697.73</v>
      </c>
      <c r="I24" s="908">
        <v>63.84</v>
      </c>
      <c r="J24" s="1339">
        <v>702.24</v>
      </c>
      <c r="K24" s="908">
        <v>80.7</v>
      </c>
      <c r="L24" s="1339">
        <v>887.7</v>
      </c>
    </row>
    <row r="25" spans="1:12" ht="12.75" thickBot="1">
      <c r="A25" s="732">
        <v>13</v>
      </c>
      <c r="B25" s="740"/>
      <c r="C25" s="746"/>
      <c r="D25" s="919" t="s">
        <v>1933</v>
      </c>
      <c r="E25" s="895">
        <v>11</v>
      </c>
      <c r="F25" s="912"/>
      <c r="G25" s="750"/>
      <c r="H25" s="895">
        <v>697.73</v>
      </c>
      <c r="I25" s="750"/>
      <c r="J25" s="895">
        <v>702.24</v>
      </c>
      <c r="K25" s="750"/>
      <c r="L25" s="895">
        <v>887.7</v>
      </c>
    </row>
    <row r="26" spans="1:12" ht="13.5" thickTop="1" thickBot="1">
      <c r="A26" s="732">
        <v>14</v>
      </c>
      <c r="B26" s="736"/>
      <c r="C26" s="744"/>
      <c r="D26" s="737" t="s">
        <v>105</v>
      </c>
      <c r="E26" s="748"/>
      <c r="F26" s="912"/>
      <c r="G26" s="908"/>
      <c r="H26" s="907">
        <v>63.43</v>
      </c>
      <c r="I26" s="908"/>
      <c r="J26" s="907">
        <v>11.071102002207157</v>
      </c>
      <c r="K26" s="908"/>
      <c r="L26" s="907">
        <v>13.905075187969924</v>
      </c>
    </row>
    <row r="27" spans="1:12" ht="12.75" thickTop="1">
      <c r="A27" s="732">
        <v>15</v>
      </c>
      <c r="B27" s="736"/>
      <c r="C27" s="744"/>
      <c r="D27" s="737"/>
      <c r="E27" s="748"/>
      <c r="F27" s="912"/>
      <c r="G27" s="908"/>
      <c r="H27" s="750"/>
      <c r="I27" s="908"/>
      <c r="J27" s="750"/>
      <c r="K27" s="908"/>
      <c r="L27" s="750"/>
    </row>
    <row r="28" spans="1:12">
      <c r="A28" s="732">
        <v>16</v>
      </c>
      <c r="B28" s="733"/>
      <c r="C28" s="896" t="s">
        <v>106</v>
      </c>
      <c r="D28" s="732"/>
      <c r="E28" s="749"/>
      <c r="F28" s="912"/>
      <c r="G28" s="908"/>
      <c r="H28" s="908"/>
      <c r="I28" s="908"/>
      <c r="J28" s="908"/>
      <c r="K28" s="908"/>
      <c r="L28" s="908"/>
    </row>
    <row r="29" spans="1:12">
      <c r="A29" s="732">
        <v>17</v>
      </c>
      <c r="B29" s="727">
        <v>68026</v>
      </c>
      <c r="C29" s="747"/>
      <c r="D29" s="918" t="s">
        <v>107</v>
      </c>
      <c r="E29" s="694"/>
      <c r="F29" s="912"/>
      <c r="G29" s="750">
        <v>32.270000000000003</v>
      </c>
      <c r="H29" s="1339">
        <v>0</v>
      </c>
      <c r="I29" s="750">
        <v>32.479999999999997</v>
      </c>
      <c r="J29" s="1339">
        <v>0</v>
      </c>
      <c r="K29" s="750">
        <v>41.06</v>
      </c>
      <c r="L29" s="1339">
        <v>0</v>
      </c>
    </row>
    <row r="30" spans="1:12">
      <c r="A30" s="732">
        <v>18</v>
      </c>
      <c r="B30" s="727">
        <v>68028</v>
      </c>
      <c r="C30" s="747"/>
      <c r="D30" s="918" t="s">
        <v>108</v>
      </c>
      <c r="E30" s="694">
        <v>920</v>
      </c>
      <c r="F30" s="912"/>
      <c r="G30" s="750">
        <v>82.78</v>
      </c>
      <c r="H30" s="1339">
        <v>76157.600000000006</v>
      </c>
      <c r="I30" s="750">
        <v>83.32</v>
      </c>
      <c r="J30" s="1339">
        <v>76654.399999999994</v>
      </c>
      <c r="K30" s="750">
        <v>105.32</v>
      </c>
      <c r="L30" s="1339">
        <v>96894.399999999994</v>
      </c>
    </row>
    <row r="31" spans="1:12">
      <c r="A31" s="732">
        <v>19</v>
      </c>
      <c r="B31" s="727">
        <v>68029</v>
      </c>
      <c r="C31" s="747"/>
      <c r="D31" s="918" t="s">
        <v>109</v>
      </c>
      <c r="E31" s="694"/>
      <c r="F31" s="912"/>
      <c r="G31" s="750">
        <v>186.24</v>
      </c>
      <c r="H31" s="1339">
        <v>0</v>
      </c>
      <c r="I31" s="750">
        <v>187.46</v>
      </c>
      <c r="J31" s="1339">
        <v>0</v>
      </c>
      <c r="K31" s="750">
        <v>236.97</v>
      </c>
      <c r="L31" s="1339">
        <v>0</v>
      </c>
    </row>
    <row r="32" spans="1:12">
      <c r="A32" s="732">
        <v>20</v>
      </c>
      <c r="B32" s="736">
        <v>68030</v>
      </c>
      <c r="C32" s="744"/>
      <c r="D32" s="918" t="s">
        <v>110</v>
      </c>
      <c r="E32" s="694">
        <v>211</v>
      </c>
      <c r="F32" s="914"/>
      <c r="G32" s="750">
        <v>331.09</v>
      </c>
      <c r="H32" s="1339">
        <v>69859.989999999991</v>
      </c>
      <c r="I32" s="750">
        <v>333.25</v>
      </c>
      <c r="J32" s="1339">
        <v>70315.75</v>
      </c>
      <c r="K32" s="750">
        <v>421.26</v>
      </c>
      <c r="L32" s="1339">
        <v>88885.86</v>
      </c>
    </row>
    <row r="33" spans="1:12">
      <c r="A33" s="732">
        <v>21</v>
      </c>
      <c r="B33" s="736">
        <v>68031</v>
      </c>
      <c r="C33" s="744"/>
      <c r="D33" s="918" t="s">
        <v>111</v>
      </c>
      <c r="E33" s="694">
        <v>6</v>
      </c>
      <c r="F33" s="914"/>
      <c r="G33" s="750">
        <v>745.15</v>
      </c>
      <c r="H33" s="1339">
        <v>4470.8999999999996</v>
      </c>
      <c r="I33" s="750">
        <v>750.02</v>
      </c>
      <c r="J33" s="1339">
        <v>4500.12</v>
      </c>
      <c r="K33" s="750">
        <v>948.1</v>
      </c>
      <c r="L33" s="1339">
        <v>5688.6</v>
      </c>
    </row>
    <row r="34" spans="1:12">
      <c r="A34" s="732">
        <v>22</v>
      </c>
      <c r="B34" s="736">
        <v>68032</v>
      </c>
      <c r="C34" s="744"/>
      <c r="D34" s="918" t="s">
        <v>112</v>
      </c>
      <c r="E34" s="694"/>
      <c r="F34" s="914"/>
      <c r="G34" s="750">
        <v>1324.37</v>
      </c>
      <c r="H34" s="1339">
        <v>0</v>
      </c>
      <c r="I34" s="750">
        <v>1333.02</v>
      </c>
      <c r="J34" s="1339">
        <v>0</v>
      </c>
      <c r="K34" s="750">
        <v>1685.07</v>
      </c>
      <c r="L34" s="1339">
        <v>0</v>
      </c>
    </row>
    <row r="35" spans="1:12">
      <c r="A35" s="732">
        <v>23</v>
      </c>
      <c r="B35" s="736">
        <v>68033</v>
      </c>
      <c r="C35" s="744"/>
      <c r="D35" s="918" t="s">
        <v>113</v>
      </c>
      <c r="E35" s="694">
        <v>42</v>
      </c>
      <c r="F35" s="914"/>
      <c r="G35" s="750">
        <v>2980.25</v>
      </c>
      <c r="H35" s="1339">
        <v>125170.5</v>
      </c>
      <c r="I35" s="750">
        <v>2999.72</v>
      </c>
      <c r="J35" s="1339">
        <v>125988.23999999999</v>
      </c>
      <c r="K35" s="750">
        <v>3791.95</v>
      </c>
      <c r="L35" s="1339">
        <v>159261.9</v>
      </c>
    </row>
    <row r="36" spans="1:12" ht="12.75" thickBot="1">
      <c r="A36" s="732">
        <v>24</v>
      </c>
      <c r="B36" s="736"/>
      <c r="C36" s="744"/>
      <c r="D36" s="894" t="s">
        <v>114</v>
      </c>
      <c r="E36" s="895">
        <v>1179</v>
      </c>
      <c r="F36" s="912"/>
      <c r="G36" s="908"/>
      <c r="H36" s="1340">
        <v>275658.99</v>
      </c>
      <c r="I36" s="908"/>
      <c r="J36" s="1340">
        <v>277458.51</v>
      </c>
      <c r="K36" s="908"/>
      <c r="L36" s="1340">
        <v>350730.76</v>
      </c>
    </row>
    <row r="37" spans="1:12" ht="12.75" thickTop="1">
      <c r="A37" s="732">
        <v>25</v>
      </c>
      <c r="B37" s="736"/>
      <c r="C37" s="744"/>
      <c r="D37" s="894"/>
      <c r="E37" s="645"/>
      <c r="F37" s="912"/>
      <c r="G37" s="908"/>
      <c r="H37" s="1339"/>
      <c r="I37" s="908"/>
      <c r="J37" s="1339"/>
      <c r="K37" s="908"/>
      <c r="L37" s="1339"/>
    </row>
    <row r="38" spans="1:12">
      <c r="A38" s="732">
        <v>26</v>
      </c>
      <c r="B38" s="736"/>
      <c r="C38" s="739"/>
      <c r="D38" s="1359" t="s">
        <v>1934</v>
      </c>
      <c r="E38" s="748"/>
      <c r="F38" s="912">
        <v>185181</v>
      </c>
      <c r="G38" s="908">
        <v>3.97</v>
      </c>
      <c r="H38" s="1394">
        <v>735168.57000000007</v>
      </c>
      <c r="I38" s="908">
        <v>4</v>
      </c>
      <c r="J38" s="1394">
        <v>740724</v>
      </c>
      <c r="K38" s="908">
        <v>5.0599999999999996</v>
      </c>
      <c r="L38" s="1394">
        <v>937015.85999999987</v>
      </c>
    </row>
    <row r="39" spans="1:12" ht="12.75" thickBot="1">
      <c r="A39" s="732">
        <v>27</v>
      </c>
      <c r="B39" s="736"/>
      <c r="C39" s="744"/>
      <c r="D39" s="894" t="s">
        <v>115</v>
      </c>
      <c r="E39" s="749"/>
      <c r="F39" s="915">
        <v>185181</v>
      </c>
      <c r="G39" s="750"/>
      <c r="H39" s="915">
        <v>735168.57000000007</v>
      </c>
      <c r="I39" s="750"/>
      <c r="J39" s="915">
        <v>740724</v>
      </c>
      <c r="K39" s="750"/>
      <c r="L39" s="1340">
        <v>937015.85999999987</v>
      </c>
    </row>
    <row r="40" spans="1:12" ht="13.5" thickTop="1" thickBot="1">
      <c r="A40" s="732">
        <v>28</v>
      </c>
      <c r="B40" s="740"/>
      <c r="C40" s="746"/>
      <c r="D40" s="897" t="s">
        <v>116</v>
      </c>
      <c r="E40" s="741">
        <v>1179</v>
      </c>
      <c r="F40" s="915">
        <v>185181</v>
      </c>
      <c r="G40" s="750"/>
      <c r="H40" s="1395">
        <v>1010827.56</v>
      </c>
      <c r="I40" s="908"/>
      <c r="J40" s="1395">
        <v>1018182.51</v>
      </c>
      <c r="K40" s="908"/>
      <c r="L40" s="1395">
        <v>1287746.6199999999</v>
      </c>
    </row>
    <row r="41" spans="1:12" ht="13.5" thickTop="1" thickBot="1">
      <c r="A41" s="732">
        <v>29</v>
      </c>
      <c r="B41" s="891"/>
      <c r="C41" s="891"/>
      <c r="D41" s="737" t="s">
        <v>117</v>
      </c>
      <c r="E41" s="748"/>
      <c r="F41" s="912"/>
      <c r="G41" s="908"/>
      <c r="H41" s="907">
        <v>857.36010178117056</v>
      </c>
      <c r="I41" s="908"/>
      <c r="J41" s="907">
        <v>863.59839694656489</v>
      </c>
      <c r="K41" s="908"/>
      <c r="L41" s="907">
        <v>1092.2363189143341</v>
      </c>
    </row>
    <row r="42" spans="1:12" ht="12.75" thickTop="1">
      <c r="A42" s="732">
        <v>30</v>
      </c>
      <c r="B42" s="898"/>
      <c r="C42" s="898"/>
      <c r="D42" s="892"/>
      <c r="E42" s="906"/>
      <c r="F42" s="902"/>
      <c r="G42" s="909"/>
      <c r="H42" s="908"/>
      <c r="I42" s="909"/>
      <c r="J42" s="908"/>
      <c r="K42" s="909"/>
      <c r="L42" s="908"/>
    </row>
    <row r="43" spans="1:12">
      <c r="A43" s="732">
        <v>31</v>
      </c>
      <c r="B43" s="901" t="s">
        <v>124</v>
      </c>
      <c r="C43" s="728" t="s">
        <v>119</v>
      </c>
      <c r="D43" s="920"/>
      <c r="E43" s="892"/>
      <c r="F43" s="899"/>
      <c r="G43" s="909"/>
      <c r="H43" s="1394">
        <v>2125</v>
      </c>
      <c r="I43" s="909"/>
      <c r="J43" s="1394">
        <v>2125</v>
      </c>
      <c r="K43" s="909"/>
      <c r="L43" s="1394">
        <v>2125</v>
      </c>
    </row>
    <row r="44" spans="1:12">
      <c r="A44" s="732">
        <v>32</v>
      </c>
      <c r="B44" s="731" t="s">
        <v>119</v>
      </c>
      <c r="C44" s="728"/>
      <c r="D44" s="743"/>
      <c r="E44" s="743"/>
      <c r="F44" s="901"/>
      <c r="G44" s="910"/>
      <c r="H44" s="1396"/>
      <c r="I44" s="910"/>
      <c r="J44" s="1396"/>
      <c r="K44" s="908"/>
      <c r="L44" s="1396"/>
    </row>
    <row r="45" spans="1:12">
      <c r="A45" s="732">
        <v>33</v>
      </c>
      <c r="B45" s="898"/>
      <c r="C45" s="898"/>
      <c r="D45" s="902" t="s">
        <v>120</v>
      </c>
      <c r="E45" s="743"/>
      <c r="F45" s="893"/>
      <c r="G45" s="910"/>
      <c r="H45" s="1397">
        <v>2125</v>
      </c>
      <c r="I45" s="910"/>
      <c r="J45" s="1397">
        <v>2125</v>
      </c>
      <c r="K45" s="910"/>
      <c r="L45" s="1397">
        <v>2125</v>
      </c>
    </row>
    <row r="46" spans="1:12">
      <c r="A46" s="732">
        <v>34</v>
      </c>
      <c r="B46" s="898" t="s">
        <v>121</v>
      </c>
      <c r="C46" s="898"/>
      <c r="D46" s="736"/>
      <c r="E46" s="736"/>
      <c r="F46" s="901"/>
      <c r="G46" s="910"/>
      <c r="H46" s="1394"/>
      <c r="I46" s="910"/>
      <c r="J46" s="1394"/>
      <c r="K46" s="910"/>
      <c r="L46" s="1394"/>
    </row>
    <row r="47" spans="1:12" ht="12.75" thickBot="1">
      <c r="A47" s="732">
        <v>35</v>
      </c>
      <c r="B47" s="898" t="s">
        <v>122</v>
      </c>
      <c r="C47" s="898" t="s">
        <v>122</v>
      </c>
      <c r="D47" s="901"/>
      <c r="E47" s="901"/>
      <c r="F47" s="901"/>
      <c r="G47" s="910"/>
      <c r="H47" s="1340">
        <v>1777856.98</v>
      </c>
      <c r="I47" s="910"/>
      <c r="J47" s="1340">
        <v>1790019.8</v>
      </c>
      <c r="K47" s="910"/>
      <c r="L47" s="1340">
        <v>2262950.37</v>
      </c>
    </row>
    <row r="48" spans="1:12" ht="12.75" thickTop="1">
      <c r="A48" s="732">
        <v>36</v>
      </c>
      <c r="B48" s="898"/>
      <c r="C48" s="898"/>
      <c r="D48" s="901"/>
      <c r="E48" s="901"/>
      <c r="F48" s="901"/>
      <c r="G48" s="910"/>
      <c r="H48" s="1339"/>
      <c r="I48" s="910"/>
      <c r="J48" s="1339"/>
      <c r="K48" s="910"/>
      <c r="L48" s="1339"/>
    </row>
    <row r="49" spans="1:12">
      <c r="A49" s="732">
        <v>37</v>
      </c>
      <c r="B49" s="898" t="s">
        <v>123</v>
      </c>
      <c r="C49" s="898" t="s">
        <v>2973</v>
      </c>
      <c r="D49" s="893"/>
      <c r="E49" s="893"/>
      <c r="F49" s="901"/>
      <c r="G49" s="910"/>
      <c r="I49" s="910"/>
      <c r="J49" s="1249">
        <v>1933425.6500000001</v>
      </c>
      <c r="K49" s="908" t="s">
        <v>2997</v>
      </c>
      <c r="L49" s="1339">
        <v>2262811.5841548499</v>
      </c>
    </row>
    <row r="50" spans="1:12">
      <c r="A50" s="732">
        <v>38</v>
      </c>
      <c r="B50" s="731"/>
      <c r="C50" s="898" t="s">
        <v>2971</v>
      </c>
      <c r="D50" s="743"/>
      <c r="E50" s="743"/>
      <c r="F50" s="901"/>
      <c r="G50" s="910"/>
      <c r="I50" s="910"/>
      <c r="J50" s="2100">
        <v>-152521.12</v>
      </c>
      <c r="K50" s="908"/>
      <c r="L50" s="1394"/>
    </row>
    <row r="51" spans="1:12">
      <c r="A51" s="732">
        <v>39</v>
      </c>
      <c r="B51" s="731"/>
      <c r="C51" s="2099" t="s">
        <v>2972</v>
      </c>
      <c r="D51" s="743"/>
      <c r="E51" s="743"/>
      <c r="F51" s="901"/>
      <c r="G51" s="910"/>
      <c r="I51" s="910"/>
      <c r="J51" s="2101">
        <v>1780904.5300000003</v>
      </c>
      <c r="K51" s="2103"/>
      <c r="L51" s="2106"/>
    </row>
    <row r="52" spans="1:12" ht="12.75" thickBot="1">
      <c r="A52" s="732">
        <v>40</v>
      </c>
      <c r="B52" s="736" t="s">
        <v>612</v>
      </c>
      <c r="C52" s="736" t="s">
        <v>612</v>
      </c>
      <c r="D52" s="893"/>
      <c r="E52" s="893"/>
      <c r="F52" s="901"/>
      <c r="G52" s="910"/>
      <c r="I52" s="910"/>
      <c r="J52" s="2154">
        <v>-9115.2699999997858</v>
      </c>
      <c r="K52" s="2104" t="s">
        <v>612</v>
      </c>
      <c r="L52" s="1395">
        <v>-1986.2141548497602</v>
      </c>
    </row>
    <row r="53" spans="1:12" ht="12.75" thickTop="1">
      <c r="A53" s="732">
        <v>41</v>
      </c>
      <c r="B53" s="901" t="s">
        <v>900</v>
      </c>
      <c r="C53" s="901" t="s">
        <v>900</v>
      </c>
      <c r="D53" s="901"/>
      <c r="E53" s="901"/>
      <c r="F53" s="901"/>
      <c r="G53" s="910"/>
      <c r="I53" s="901"/>
      <c r="J53" s="2102">
        <v>-4.7145697068825924E-3</v>
      </c>
      <c r="L53" s="2102">
        <v>-8.777638265413081E-4</v>
      </c>
    </row>
    <row r="54" spans="1:12" s="738" customFormat="1">
      <c r="B54" s="742"/>
      <c r="F54" s="730"/>
      <c r="G54" s="751"/>
      <c r="H54" s="751"/>
      <c r="I54" s="730"/>
    </row>
    <row r="55" spans="1:12" s="738" customFormat="1">
      <c r="B55" s="742"/>
      <c r="F55" s="730"/>
      <c r="G55" s="751"/>
      <c r="H55" s="751"/>
      <c r="I55" s="730"/>
      <c r="J55" s="729"/>
      <c r="K55" s="2105"/>
      <c r="L55" s="729"/>
    </row>
    <row r="56" spans="1:12">
      <c r="K56" s="908"/>
    </row>
    <row r="57" spans="1:12">
      <c r="D57" s="738" t="s">
        <v>2974</v>
      </c>
      <c r="E57" s="730"/>
      <c r="F57" s="738"/>
      <c r="G57" s="150">
        <v>282269</v>
      </c>
      <c r="K57" s="2103"/>
    </row>
    <row r="58" spans="1:12">
      <c r="D58" s="738" t="s">
        <v>2975</v>
      </c>
      <c r="E58" s="730"/>
      <c r="F58" s="738"/>
      <c r="G58" s="730"/>
      <c r="K58" s="2104"/>
    </row>
    <row r="59" spans="1:12">
      <c r="D59" s="738" t="s">
        <v>714</v>
      </c>
      <c r="E59" s="730"/>
      <c r="F59" s="738">
        <v>110241</v>
      </c>
      <c r="G59" s="730"/>
    </row>
    <row r="60" spans="1:12">
      <c r="D60" s="738" t="s">
        <v>2976</v>
      </c>
      <c r="E60" s="730"/>
      <c r="F60" s="738"/>
      <c r="G60" s="730"/>
      <c r="K60" s="738"/>
    </row>
    <row r="61" spans="1:12">
      <c r="D61" s="738" t="s">
        <v>2977</v>
      </c>
      <c r="E61" s="730"/>
      <c r="F61" s="738">
        <v>185181</v>
      </c>
      <c r="G61" s="730"/>
    </row>
    <row r="62" spans="1:12">
      <c r="E62" s="730"/>
      <c r="F62" s="738"/>
      <c r="G62" s="738">
        <v>295422</v>
      </c>
    </row>
    <row r="63" spans="1:12">
      <c r="D63" s="738" t="s">
        <v>612</v>
      </c>
      <c r="G63" s="738">
        <v>-13153</v>
      </c>
    </row>
    <row r="64" spans="1:12">
      <c r="D64" s="738" t="s">
        <v>2978</v>
      </c>
      <c r="G64" s="2107">
        <v>1.0465973946837945</v>
      </c>
    </row>
  </sheetData>
  <mergeCells count="1">
    <mergeCell ref="D7:K8"/>
  </mergeCells>
  <phoneticPr fontId="27" type="noConversion"/>
  <printOptions horizontalCentered="1"/>
  <pageMargins left="0.75" right="0.5" top="0.75" bottom="0.5" header="0.25" footer="0.25"/>
  <pageSetup scale="77" orientation="landscape" r:id="rId1"/>
  <headerFooter alignWithMargins="0"/>
  <legacy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A1:P46"/>
  <sheetViews>
    <sheetView view="pageBreakPreview" zoomScale="60" zoomScaleNormal="100" workbookViewId="0">
      <selection sqref="A1:XFD1048576"/>
    </sheetView>
  </sheetViews>
  <sheetFormatPr defaultColWidth="9.140625" defaultRowHeight="12.75"/>
  <cols>
    <col min="1" max="1" width="9.140625" style="2030"/>
    <col min="2" max="2" width="2.42578125" style="2030" customWidth="1"/>
    <col min="3" max="3" width="14.28515625" style="2030" customWidth="1"/>
    <col min="4" max="4" width="1.42578125" style="2030" customWidth="1"/>
    <col min="5" max="5" width="15.7109375" style="2030" customWidth="1"/>
    <col min="6" max="6" width="1.5703125" style="2030" customWidth="1"/>
    <col min="7" max="7" width="15.7109375" style="2030" customWidth="1"/>
    <col min="8" max="8" width="1.5703125" style="2030" customWidth="1"/>
    <col min="9" max="9" width="15.7109375" style="2030" customWidth="1"/>
    <col min="10" max="10" width="1.5703125" style="2030" customWidth="1"/>
    <col min="11" max="11" width="15.7109375" style="2030" customWidth="1"/>
    <col min="12" max="12" width="1.5703125" style="2030" customWidth="1"/>
    <col min="13" max="13" width="15.7109375" style="2030" customWidth="1"/>
    <col min="14" max="14" width="1.5703125" style="2030" customWidth="1"/>
    <col min="15" max="15" width="15.7109375" style="2030" customWidth="1"/>
    <col min="16" max="16" width="1.5703125" style="2030" customWidth="1"/>
    <col min="17" max="16384" width="9.140625" style="2030"/>
  </cols>
  <sheetData>
    <row r="1" spans="1:16">
      <c r="A1" s="2035" t="s">
        <v>887</v>
      </c>
      <c r="B1" s="2035"/>
      <c r="C1" s="2035"/>
      <c r="E1" s="2035"/>
      <c r="G1" s="2035"/>
      <c r="H1" s="2035"/>
      <c r="I1" s="2035"/>
      <c r="O1" s="2036" t="s">
        <v>1209</v>
      </c>
      <c r="P1" s="2037"/>
    </row>
    <row r="2" spans="1:16">
      <c r="A2" s="2035" t="s">
        <v>2644</v>
      </c>
      <c r="B2" s="2035"/>
      <c r="C2" s="2035"/>
      <c r="E2" s="2035"/>
      <c r="G2" s="2035"/>
      <c r="H2" s="2035"/>
      <c r="I2" s="2035"/>
      <c r="O2" s="2036" t="s">
        <v>809</v>
      </c>
      <c r="P2" s="2037"/>
    </row>
    <row r="3" spans="1:16">
      <c r="A3" s="1576" t="s">
        <v>2645</v>
      </c>
      <c r="B3" s="2035"/>
      <c r="C3" s="2035"/>
      <c r="E3" s="2035"/>
      <c r="G3" s="2035"/>
      <c r="H3" s="2035"/>
      <c r="I3" s="2035"/>
      <c r="O3" s="2036" t="s">
        <v>766</v>
      </c>
      <c r="P3" s="2037"/>
    </row>
    <row r="4" spans="1:16">
      <c r="A4" s="2035" t="s">
        <v>1936</v>
      </c>
      <c r="B4" s="2035"/>
      <c r="C4" s="2035"/>
      <c r="E4" s="2035"/>
      <c r="G4" s="2035"/>
      <c r="H4" s="2035"/>
      <c r="I4" s="2035"/>
      <c r="O4" s="2038" t="s">
        <v>2951</v>
      </c>
      <c r="P4" s="2037"/>
    </row>
    <row r="5" spans="1:16">
      <c r="A5" s="2035" t="s">
        <v>631</v>
      </c>
      <c r="B5" s="2035"/>
      <c r="C5" s="2035"/>
      <c r="E5" s="2035"/>
      <c r="G5" s="2035"/>
      <c r="H5" s="2035"/>
      <c r="I5" s="2035"/>
    </row>
    <row r="6" spans="1:16">
      <c r="A6" s="2035" t="s">
        <v>810</v>
      </c>
      <c r="B6" s="2035"/>
      <c r="C6" s="2035"/>
      <c r="D6" s="2035"/>
      <c r="E6" s="2035"/>
      <c r="F6" s="2035"/>
      <c r="G6" s="2035"/>
      <c r="H6" s="2035"/>
      <c r="I6" s="2035"/>
    </row>
    <row r="7" spans="1:16" ht="9" customHeight="1" thickBot="1">
      <c r="A7" s="2039"/>
      <c r="B7" s="2039"/>
      <c r="C7" s="2039"/>
      <c r="D7" s="2039"/>
      <c r="E7" s="2039"/>
      <c r="F7" s="2039"/>
      <c r="G7" s="2039"/>
      <c r="H7" s="2039"/>
      <c r="I7" s="2039"/>
      <c r="J7" s="2039"/>
      <c r="K7" s="2040"/>
    </row>
    <row r="8" spans="1:16">
      <c r="A8" s="2041" t="s">
        <v>1295</v>
      </c>
      <c r="B8" s="1065"/>
      <c r="C8" s="1066" t="s">
        <v>914</v>
      </c>
      <c r="D8" s="1065"/>
      <c r="E8" s="1066" t="s">
        <v>915</v>
      </c>
      <c r="F8" s="1065"/>
      <c r="G8" s="1066" t="s">
        <v>916</v>
      </c>
      <c r="H8" s="1065"/>
      <c r="I8" s="1066" t="s">
        <v>917</v>
      </c>
      <c r="J8" s="1065"/>
      <c r="K8" s="1066" t="s">
        <v>526</v>
      </c>
      <c r="L8" s="1065"/>
      <c r="M8" s="1066" t="s">
        <v>76</v>
      </c>
      <c r="N8" s="1065"/>
      <c r="O8" s="1066" t="s">
        <v>822</v>
      </c>
      <c r="P8" s="2040"/>
    </row>
    <row r="9" spans="1:16">
      <c r="A9" s="1067" t="s">
        <v>53</v>
      </c>
      <c r="B9" s="1067"/>
      <c r="C9" s="1067" t="s">
        <v>811</v>
      </c>
      <c r="D9" s="970"/>
      <c r="E9" s="1067"/>
      <c r="F9" s="970"/>
      <c r="G9" s="1067" t="s">
        <v>812</v>
      </c>
      <c r="H9" s="970"/>
      <c r="I9" s="1067" t="s">
        <v>712</v>
      </c>
      <c r="J9" s="970"/>
      <c r="K9" s="1070" t="s">
        <v>95</v>
      </c>
      <c r="L9" s="970"/>
      <c r="M9" s="1067"/>
      <c r="N9" s="970"/>
      <c r="O9" s="1067"/>
    </row>
    <row r="10" spans="1:16">
      <c r="A10" s="1068" t="s">
        <v>730</v>
      </c>
      <c r="B10" s="1068"/>
      <c r="C10" s="1068" t="s">
        <v>1163</v>
      </c>
      <c r="D10" s="1069"/>
      <c r="E10" s="1068" t="s">
        <v>714</v>
      </c>
      <c r="F10" s="1069"/>
      <c r="G10" s="1068" t="s">
        <v>1736</v>
      </c>
      <c r="H10" s="1069"/>
      <c r="I10" s="1068" t="s">
        <v>715</v>
      </c>
      <c r="J10" s="1069"/>
      <c r="K10" s="1071" t="s">
        <v>96</v>
      </c>
      <c r="L10" s="1069"/>
      <c r="M10" s="1068" t="s">
        <v>1170</v>
      </c>
      <c r="N10" s="1069"/>
      <c r="O10" s="1068" t="s">
        <v>81</v>
      </c>
    </row>
    <row r="11" spans="1:16">
      <c r="A11" s="922">
        <v>1</v>
      </c>
      <c r="B11" s="921"/>
      <c r="C11" s="921" t="s">
        <v>1008</v>
      </c>
      <c r="D11" s="921"/>
      <c r="E11" s="2033"/>
      <c r="F11" s="2033"/>
      <c r="G11" s="2033"/>
      <c r="H11" s="2033"/>
      <c r="I11" s="2033"/>
      <c r="J11" s="2033"/>
      <c r="K11" s="2033"/>
      <c r="L11" s="923"/>
      <c r="M11" s="923"/>
      <c r="N11" s="923"/>
      <c r="O11" s="923">
        <v>0</v>
      </c>
    </row>
    <row r="12" spans="1:16">
      <c r="A12" s="922">
        <v>2</v>
      </c>
      <c r="B12" s="921"/>
      <c r="C12" s="921" t="s">
        <v>1009</v>
      </c>
      <c r="D12" s="921"/>
      <c r="E12" s="2033"/>
      <c r="F12" s="2033"/>
      <c r="G12" s="2033"/>
      <c r="H12" s="2033"/>
      <c r="I12" s="2033"/>
      <c r="J12" s="2033"/>
      <c r="K12" s="2033"/>
      <c r="L12" s="923"/>
      <c r="M12" s="923"/>
      <c r="N12" s="923"/>
      <c r="O12" s="923">
        <v>0</v>
      </c>
    </row>
    <row r="13" spans="1:16">
      <c r="A13" s="922">
        <v>3</v>
      </c>
      <c r="B13" s="921"/>
      <c r="C13" s="921" t="s">
        <v>1064</v>
      </c>
      <c r="D13" s="921"/>
      <c r="E13" s="2033"/>
      <c r="F13" s="2033"/>
      <c r="G13" s="2033"/>
      <c r="H13" s="2033"/>
      <c r="I13" s="2033"/>
      <c r="J13" s="2033"/>
      <c r="K13" s="2033"/>
      <c r="L13" s="923"/>
      <c r="M13" s="923"/>
      <c r="N13" s="923"/>
      <c r="O13" s="923">
        <v>0</v>
      </c>
    </row>
    <row r="14" spans="1:16">
      <c r="A14" s="922">
        <v>4</v>
      </c>
      <c r="B14" s="921"/>
      <c r="C14" s="921" t="s">
        <v>1065</v>
      </c>
      <c r="D14" s="921"/>
      <c r="E14" s="2033"/>
      <c r="F14" s="2033"/>
      <c r="G14" s="2033"/>
      <c r="H14" s="2033"/>
      <c r="I14" s="2033"/>
      <c r="J14" s="2033"/>
      <c r="K14" s="2033"/>
      <c r="L14" s="923"/>
      <c r="M14" s="923"/>
      <c r="N14" s="923"/>
      <c r="O14" s="923">
        <v>0</v>
      </c>
    </row>
    <row r="15" spans="1:16">
      <c r="A15" s="922">
        <v>5</v>
      </c>
      <c r="B15" s="921"/>
      <c r="C15" s="921" t="s">
        <v>1066</v>
      </c>
      <c r="D15" s="921"/>
      <c r="E15" s="2033"/>
      <c r="F15" s="2033"/>
      <c r="G15" s="2033"/>
      <c r="H15" s="2033"/>
      <c r="I15" s="2033"/>
      <c r="J15" s="2033"/>
      <c r="K15" s="2033"/>
      <c r="L15" s="923"/>
      <c r="M15" s="923"/>
      <c r="N15" s="923"/>
      <c r="O15" s="923">
        <v>0</v>
      </c>
    </row>
    <row r="16" spans="1:16">
      <c r="A16" s="922">
        <v>6</v>
      </c>
      <c r="B16" s="921"/>
      <c r="C16" s="921" t="s">
        <v>1067</v>
      </c>
      <c r="D16" s="921"/>
      <c r="E16" s="2033"/>
      <c r="F16" s="2034"/>
      <c r="G16" s="2033"/>
      <c r="H16" s="2034"/>
      <c r="I16" s="2033"/>
      <c r="J16" s="2034"/>
      <c r="K16" s="2033"/>
      <c r="L16" s="925"/>
      <c r="M16" s="923"/>
      <c r="N16" s="925"/>
      <c r="O16" s="925">
        <v>0</v>
      </c>
    </row>
    <row r="17" spans="1:15">
      <c r="A17" s="922">
        <v>7</v>
      </c>
      <c r="B17" s="921"/>
      <c r="C17" s="921" t="s">
        <v>1068</v>
      </c>
      <c r="D17" s="921"/>
      <c r="E17" s="2033"/>
      <c r="F17" s="2033"/>
      <c r="G17" s="2033"/>
      <c r="H17" s="2033"/>
      <c r="I17" s="2033"/>
      <c r="J17" s="2033"/>
      <c r="K17" s="2033"/>
      <c r="L17" s="923"/>
      <c r="M17" s="923"/>
      <c r="N17" s="923"/>
      <c r="O17" s="923">
        <v>0</v>
      </c>
    </row>
    <row r="18" spans="1:15">
      <c r="A18" s="922">
        <v>8</v>
      </c>
      <c r="B18" s="921"/>
      <c r="C18" s="921" t="s">
        <v>1069</v>
      </c>
      <c r="D18" s="921"/>
      <c r="E18" s="2033"/>
      <c r="F18" s="2033"/>
      <c r="G18" s="2033"/>
      <c r="H18" s="2033"/>
      <c r="I18" s="2033"/>
      <c r="J18" s="2033"/>
      <c r="K18" s="2033"/>
      <c r="L18" s="923"/>
      <c r="M18" s="923"/>
      <c r="N18" s="923"/>
      <c r="O18" s="923">
        <v>0</v>
      </c>
    </row>
    <row r="19" spans="1:15">
      <c r="A19" s="922">
        <v>9</v>
      </c>
      <c r="B19" s="921"/>
      <c r="C19" s="921" t="s">
        <v>1006</v>
      </c>
      <c r="D19" s="921"/>
      <c r="E19" s="2033"/>
      <c r="F19" s="2033"/>
      <c r="G19" s="2033"/>
      <c r="H19" s="2033"/>
      <c r="I19" s="2033"/>
      <c r="J19" s="2033"/>
      <c r="K19" s="2033"/>
      <c r="L19" s="923"/>
      <c r="M19" s="923"/>
      <c r="N19" s="923"/>
      <c r="O19" s="923">
        <v>0</v>
      </c>
    </row>
    <row r="20" spans="1:15">
      <c r="A20" s="922">
        <v>10</v>
      </c>
      <c r="B20" s="921"/>
      <c r="C20" s="921" t="s">
        <v>1318</v>
      </c>
      <c r="D20" s="921"/>
      <c r="E20" s="2033"/>
      <c r="F20" s="2033"/>
      <c r="G20" s="2033"/>
      <c r="H20" s="2033"/>
      <c r="I20" s="2033"/>
      <c r="J20" s="2033"/>
      <c r="K20" s="2033"/>
      <c r="L20" s="923"/>
      <c r="M20" s="923"/>
      <c r="N20" s="923"/>
      <c r="O20" s="923">
        <v>0</v>
      </c>
    </row>
    <row r="21" spans="1:15">
      <c r="A21" s="922">
        <v>11</v>
      </c>
      <c r="B21" s="921"/>
      <c r="C21" s="921" t="s">
        <v>1007</v>
      </c>
      <c r="D21" s="921"/>
      <c r="E21" s="2033"/>
      <c r="F21" s="2033"/>
      <c r="G21" s="2033"/>
      <c r="H21" s="2033"/>
      <c r="I21" s="2033"/>
      <c r="J21" s="2033"/>
      <c r="K21" s="2033"/>
      <c r="L21" s="923"/>
      <c r="M21" s="923"/>
      <c r="N21" s="923"/>
      <c r="O21" s="923">
        <v>0</v>
      </c>
    </row>
    <row r="22" spans="1:15">
      <c r="A22" s="922">
        <v>12</v>
      </c>
      <c r="B22" s="921"/>
      <c r="C22" s="921" t="s">
        <v>876</v>
      </c>
      <c r="D22" s="921"/>
      <c r="E22" s="2033"/>
      <c r="F22" s="2033"/>
      <c r="G22" s="2033"/>
      <c r="H22" s="2033"/>
      <c r="I22" s="2033"/>
      <c r="J22" s="2033"/>
      <c r="K22" s="2042"/>
      <c r="L22" s="923"/>
      <c r="M22" s="926"/>
      <c r="N22" s="923"/>
      <c r="O22" s="926">
        <v>0</v>
      </c>
    </row>
    <row r="23" spans="1:15">
      <c r="A23" s="922">
        <v>13</v>
      </c>
      <c r="B23" s="921"/>
      <c r="C23" s="921"/>
      <c r="D23" s="921"/>
      <c r="E23" s="1327"/>
      <c r="F23" s="923"/>
      <c r="G23" s="1327"/>
      <c r="H23" s="923"/>
      <c r="I23" s="1327"/>
      <c r="J23" s="923"/>
      <c r="K23" s="923"/>
      <c r="L23" s="923"/>
      <c r="M23" s="1327"/>
      <c r="N23" s="923"/>
      <c r="O23" s="923"/>
    </row>
    <row r="24" spans="1:15" ht="13.5" thickBot="1">
      <c r="A24" s="922">
        <v>14</v>
      </c>
      <c r="B24" s="921"/>
      <c r="C24" s="921" t="s">
        <v>81</v>
      </c>
      <c r="D24" s="921"/>
      <c r="E24" s="927">
        <v>0</v>
      </c>
      <c r="F24" s="923"/>
      <c r="G24" s="928">
        <v>0</v>
      </c>
      <c r="H24" s="924"/>
      <c r="I24" s="928">
        <v>0</v>
      </c>
      <c r="J24" s="923"/>
      <c r="K24" s="927">
        <v>0</v>
      </c>
      <c r="L24" s="923"/>
      <c r="M24" s="927">
        <v>0</v>
      </c>
      <c r="N24" s="923"/>
      <c r="O24" s="927">
        <v>0</v>
      </c>
    </row>
    <row r="25" spans="1:15" ht="9" customHeight="1">
      <c r="A25" s="921"/>
      <c r="B25" s="921"/>
      <c r="C25" s="921"/>
      <c r="D25" s="921"/>
      <c r="E25" s="921"/>
      <c r="F25" s="921"/>
      <c r="G25" s="921"/>
      <c r="H25" s="921"/>
      <c r="I25" s="921"/>
      <c r="J25" s="921"/>
      <c r="K25" s="921"/>
      <c r="L25" s="921"/>
      <c r="M25" s="921"/>
      <c r="N25" s="921"/>
      <c r="O25" s="921"/>
    </row>
    <row r="26" spans="1:15" ht="13.5" thickBot="1">
      <c r="A26" s="929"/>
      <c r="B26" s="929"/>
      <c r="C26" s="929"/>
      <c r="D26" s="929"/>
      <c r="E26" s="929"/>
      <c r="F26" s="929"/>
      <c r="G26" s="929"/>
      <c r="H26" s="929"/>
      <c r="I26" s="929"/>
      <c r="J26" s="929"/>
      <c r="K26" s="929"/>
      <c r="L26" s="929"/>
      <c r="M26" s="929"/>
      <c r="N26" s="929"/>
      <c r="O26" s="929"/>
    </row>
    <row r="27" spans="1:15">
      <c r="A27" s="1064" t="s">
        <v>1300</v>
      </c>
      <c r="B27" s="1065"/>
      <c r="C27" s="1066" t="s">
        <v>914</v>
      </c>
      <c r="D27" s="1065"/>
      <c r="E27" s="1066" t="s">
        <v>915</v>
      </c>
      <c r="F27" s="1065"/>
      <c r="G27" s="1066" t="s">
        <v>916</v>
      </c>
      <c r="H27" s="1065"/>
      <c r="I27" s="1066" t="s">
        <v>917</v>
      </c>
      <c r="J27" s="1065"/>
      <c r="K27" s="1066" t="s">
        <v>526</v>
      </c>
      <c r="L27" s="1065"/>
      <c r="M27" s="1066" t="s">
        <v>76</v>
      </c>
      <c r="N27" s="1065"/>
      <c r="O27" s="1066" t="s">
        <v>822</v>
      </c>
    </row>
    <row r="28" spans="1:15">
      <c r="A28" s="1067" t="s">
        <v>53</v>
      </c>
      <c r="B28" s="1067"/>
      <c r="C28" s="1067" t="s">
        <v>811</v>
      </c>
      <c r="D28" s="970"/>
      <c r="E28" s="1067"/>
      <c r="F28" s="970"/>
      <c r="G28" s="1067" t="s">
        <v>812</v>
      </c>
      <c r="H28" s="970"/>
      <c r="I28" s="1067" t="s">
        <v>712</v>
      </c>
      <c r="J28" s="970"/>
      <c r="K28" s="1067" t="s">
        <v>95</v>
      </c>
      <c r="L28" s="970"/>
      <c r="M28" s="1067"/>
      <c r="N28" s="970"/>
      <c r="O28" s="1067"/>
    </row>
    <row r="29" spans="1:15">
      <c r="A29" s="1068" t="s">
        <v>730</v>
      </c>
      <c r="B29" s="1068"/>
      <c r="C29" s="1068" t="s">
        <v>1163</v>
      </c>
      <c r="D29" s="1069"/>
      <c r="E29" s="1068" t="s">
        <v>714</v>
      </c>
      <c r="F29" s="1069"/>
      <c r="G29" s="1068" t="s">
        <v>1736</v>
      </c>
      <c r="H29" s="1069"/>
      <c r="I29" s="1068" t="s">
        <v>715</v>
      </c>
      <c r="J29" s="1069"/>
      <c r="K29" s="1068" t="s">
        <v>96</v>
      </c>
      <c r="L29" s="1069"/>
      <c r="M29" s="1068" t="s">
        <v>1170</v>
      </c>
      <c r="N29" s="1069"/>
      <c r="O29" s="1068" t="s">
        <v>81</v>
      </c>
    </row>
    <row r="30" spans="1:15">
      <c r="A30" s="922">
        <v>1</v>
      </c>
      <c r="B30" s="921"/>
      <c r="C30" s="921" t="s">
        <v>1008</v>
      </c>
      <c r="D30" s="921"/>
      <c r="E30" s="2031">
        <v>0</v>
      </c>
      <c r="F30" s="2051"/>
      <c r="G30" s="2031">
        <v>0</v>
      </c>
      <c r="H30" s="2051"/>
      <c r="I30" s="2031">
        <v>0</v>
      </c>
      <c r="J30" s="2051"/>
      <c r="K30" s="2051"/>
      <c r="L30" s="2051"/>
      <c r="M30" s="2031">
        <v>0</v>
      </c>
      <c r="N30" s="2051"/>
      <c r="O30" s="2031">
        <v>0</v>
      </c>
    </row>
    <row r="31" spans="1:15">
      <c r="A31" s="922">
        <v>2</v>
      </c>
      <c r="B31" s="921"/>
      <c r="C31" s="921" t="s">
        <v>1009</v>
      </c>
      <c r="D31" s="921"/>
      <c r="E31" s="2031">
        <v>2062</v>
      </c>
      <c r="F31" s="2051"/>
      <c r="G31" s="2031">
        <v>1</v>
      </c>
      <c r="H31" s="2051"/>
      <c r="I31" s="2031">
        <v>196</v>
      </c>
      <c r="J31" s="2051"/>
      <c r="K31" s="2051"/>
      <c r="L31" s="2051"/>
      <c r="M31" s="2031">
        <v>0</v>
      </c>
      <c r="N31" s="2051"/>
      <c r="O31" s="2031">
        <v>2259</v>
      </c>
    </row>
    <row r="32" spans="1:15">
      <c r="A32" s="922">
        <v>3</v>
      </c>
      <c r="B32" s="921"/>
      <c r="C32" s="921" t="s">
        <v>1064</v>
      </c>
      <c r="D32" s="921"/>
      <c r="E32" s="2031">
        <v>0</v>
      </c>
      <c r="F32" s="2051"/>
      <c r="G32" s="2031">
        <v>0</v>
      </c>
      <c r="H32" s="2051"/>
      <c r="I32" s="2031">
        <v>0</v>
      </c>
      <c r="J32" s="2051"/>
      <c r="K32" s="2051"/>
      <c r="L32" s="2051"/>
      <c r="M32" s="2031">
        <v>0</v>
      </c>
      <c r="N32" s="2051"/>
      <c r="O32" s="2031">
        <v>0</v>
      </c>
    </row>
    <row r="33" spans="1:15">
      <c r="A33" s="922">
        <v>4</v>
      </c>
      <c r="B33" s="921"/>
      <c r="C33" s="921" t="s">
        <v>1065</v>
      </c>
      <c r="D33" s="921"/>
      <c r="E33" s="2031">
        <v>2062</v>
      </c>
      <c r="F33" s="2051"/>
      <c r="G33" s="2031">
        <v>2</v>
      </c>
      <c r="H33" s="2051"/>
      <c r="I33" s="2031">
        <v>196</v>
      </c>
      <c r="J33" s="2051"/>
      <c r="K33" s="2051"/>
      <c r="L33" s="2051"/>
      <c r="M33" s="2031">
        <v>0</v>
      </c>
      <c r="N33" s="2051"/>
      <c r="O33" s="2031">
        <v>2260</v>
      </c>
    </row>
    <row r="34" spans="1:15">
      <c r="A34" s="922">
        <v>5</v>
      </c>
      <c r="B34" s="921"/>
      <c r="C34" s="921" t="s">
        <v>1066</v>
      </c>
      <c r="D34" s="921"/>
      <c r="E34" s="2031">
        <v>0</v>
      </c>
      <c r="F34" s="2051"/>
      <c r="G34" s="2031">
        <v>0</v>
      </c>
      <c r="H34" s="2051"/>
      <c r="I34" s="2031">
        <v>0</v>
      </c>
      <c r="J34" s="2051"/>
      <c r="K34" s="2051"/>
      <c r="L34" s="2051"/>
      <c r="M34" s="2031">
        <v>0</v>
      </c>
      <c r="N34" s="2051"/>
      <c r="O34" s="2031">
        <v>0</v>
      </c>
    </row>
    <row r="35" spans="1:15">
      <c r="A35" s="922">
        <v>6</v>
      </c>
      <c r="B35" s="921"/>
      <c r="C35" s="921" t="s">
        <v>1067</v>
      </c>
      <c r="D35" s="921"/>
      <c r="E35" s="2031">
        <v>2062</v>
      </c>
      <c r="F35" s="2051"/>
      <c r="G35" s="2031">
        <v>2</v>
      </c>
      <c r="H35" s="2052"/>
      <c r="I35" s="2031">
        <v>196</v>
      </c>
      <c r="J35" s="2052"/>
      <c r="K35" s="2051"/>
      <c r="L35" s="2052"/>
      <c r="M35" s="2031">
        <v>0</v>
      </c>
      <c r="N35" s="2052"/>
      <c r="O35" s="2032">
        <v>2260</v>
      </c>
    </row>
    <row r="36" spans="1:15">
      <c r="A36" s="922">
        <v>7</v>
      </c>
      <c r="B36" s="921"/>
      <c r="C36" s="921" t="s">
        <v>1068</v>
      </c>
      <c r="D36" s="921"/>
      <c r="E36" s="2031">
        <v>0</v>
      </c>
      <c r="F36" s="2051"/>
      <c r="G36" s="2031">
        <v>0</v>
      </c>
      <c r="H36" s="2051"/>
      <c r="I36" s="2031">
        <v>0</v>
      </c>
      <c r="J36" s="2051"/>
      <c r="K36" s="2051"/>
      <c r="L36" s="2051"/>
      <c r="M36" s="2031">
        <v>0</v>
      </c>
      <c r="N36" s="2051"/>
      <c r="O36" s="2031">
        <v>0</v>
      </c>
    </row>
    <row r="37" spans="1:15">
      <c r="A37" s="922">
        <v>8</v>
      </c>
      <c r="B37" s="921"/>
      <c r="C37" s="921" t="s">
        <v>1069</v>
      </c>
      <c r="D37" s="921"/>
      <c r="E37" s="2031">
        <v>2062</v>
      </c>
      <c r="F37" s="2051"/>
      <c r="G37" s="2031">
        <v>2</v>
      </c>
      <c r="H37" s="2051"/>
      <c r="I37" s="2031">
        <v>197</v>
      </c>
      <c r="J37" s="2051"/>
      <c r="K37" s="2051"/>
      <c r="L37" s="2051"/>
      <c r="M37" s="2031">
        <v>0</v>
      </c>
      <c r="N37" s="2051"/>
      <c r="O37" s="2031">
        <v>2261</v>
      </c>
    </row>
    <row r="38" spans="1:15">
      <c r="A38" s="922">
        <v>9</v>
      </c>
      <c r="B38" s="921"/>
      <c r="C38" s="921" t="s">
        <v>1006</v>
      </c>
      <c r="D38" s="921"/>
      <c r="E38" s="2031">
        <v>0</v>
      </c>
      <c r="F38" s="2051"/>
      <c r="G38" s="2031">
        <v>0</v>
      </c>
      <c r="H38" s="2051"/>
      <c r="I38" s="2031">
        <v>0</v>
      </c>
      <c r="J38" s="2051"/>
      <c r="K38" s="2051"/>
      <c r="L38" s="2051"/>
      <c r="M38" s="2031">
        <v>0</v>
      </c>
      <c r="N38" s="2051"/>
      <c r="O38" s="2031">
        <v>0</v>
      </c>
    </row>
    <row r="39" spans="1:15">
      <c r="A39" s="922">
        <v>10</v>
      </c>
      <c r="B39" s="921"/>
      <c r="C39" s="921" t="s">
        <v>1318</v>
      </c>
      <c r="D39" s="921"/>
      <c r="E39" s="2031">
        <v>2063</v>
      </c>
      <c r="F39" s="2051"/>
      <c r="G39" s="2031">
        <v>2</v>
      </c>
      <c r="H39" s="2051"/>
      <c r="I39" s="2031">
        <v>197</v>
      </c>
      <c r="J39" s="2051"/>
      <c r="K39" s="2051"/>
      <c r="L39" s="2051"/>
      <c r="M39" s="2031">
        <v>0</v>
      </c>
      <c r="N39" s="2051"/>
      <c r="O39" s="2031">
        <v>2262</v>
      </c>
    </row>
    <row r="40" spans="1:15">
      <c r="A40" s="922">
        <v>11</v>
      </c>
      <c r="B40" s="921"/>
      <c r="C40" s="921" t="s">
        <v>1007</v>
      </c>
      <c r="D40" s="921"/>
      <c r="E40" s="2031">
        <v>0</v>
      </c>
      <c r="F40" s="2051"/>
      <c r="G40" s="2031">
        <v>0</v>
      </c>
      <c r="H40" s="2051"/>
      <c r="I40" s="2031">
        <v>0</v>
      </c>
      <c r="J40" s="2051"/>
      <c r="K40" s="2051"/>
      <c r="L40" s="2051"/>
      <c r="M40" s="2031">
        <v>0</v>
      </c>
      <c r="N40" s="2051"/>
      <c r="O40" s="2031">
        <v>0</v>
      </c>
    </row>
    <row r="41" spans="1:15">
      <c r="A41" s="922">
        <v>12</v>
      </c>
      <c r="B41" s="921"/>
      <c r="C41" s="921" t="s">
        <v>876</v>
      </c>
      <c r="D41" s="921"/>
      <c r="E41" s="2053">
        <v>2063</v>
      </c>
      <c r="F41" s="2051"/>
      <c r="G41" s="2053">
        <v>2</v>
      </c>
      <c r="H41" s="2051"/>
      <c r="I41" s="2053">
        <v>197</v>
      </c>
      <c r="J41" s="2051"/>
      <c r="K41" s="2054"/>
      <c r="L41" s="2051"/>
      <c r="M41" s="2054">
        <v>0</v>
      </c>
      <c r="N41" s="2051"/>
      <c r="O41" s="2053">
        <v>2262</v>
      </c>
    </row>
    <row r="42" spans="1:15">
      <c r="A42" s="922">
        <v>13</v>
      </c>
      <c r="B42" s="921"/>
      <c r="C42" s="921"/>
      <c r="D42" s="921"/>
      <c r="E42" s="2051"/>
      <c r="F42" s="2051"/>
      <c r="G42" s="2051"/>
      <c r="H42" s="2051"/>
      <c r="I42" s="2051"/>
      <c r="J42" s="2051"/>
      <c r="K42" s="2051"/>
      <c r="L42" s="2051"/>
      <c r="M42" s="2051"/>
      <c r="N42" s="2051"/>
      <c r="O42" s="2051"/>
    </row>
    <row r="43" spans="1:15" ht="13.5" thickBot="1">
      <c r="A43" s="922">
        <v>14</v>
      </c>
      <c r="B43" s="921"/>
      <c r="C43" s="921" t="s">
        <v>81</v>
      </c>
      <c r="D43" s="921"/>
      <c r="E43" s="2055">
        <v>12374</v>
      </c>
      <c r="F43" s="2051"/>
      <c r="G43" s="2055">
        <v>11</v>
      </c>
      <c r="H43" s="2051"/>
      <c r="I43" s="2055">
        <v>1179</v>
      </c>
      <c r="J43" s="2051"/>
      <c r="K43" s="2055">
        <v>0</v>
      </c>
      <c r="L43" s="2051"/>
      <c r="M43" s="2055">
        <v>0</v>
      </c>
      <c r="N43" s="2051"/>
      <c r="O43" s="2055">
        <v>13564</v>
      </c>
    </row>
    <row r="44" spans="1:15">
      <c r="A44" s="921"/>
      <c r="B44" s="921"/>
      <c r="C44" s="921"/>
      <c r="D44" s="921"/>
      <c r="E44" s="921"/>
      <c r="F44" s="921"/>
      <c r="G44" s="921"/>
      <c r="H44" s="921"/>
      <c r="I44" s="921"/>
      <c r="J44" s="921"/>
      <c r="K44" s="921"/>
      <c r="L44" s="921"/>
      <c r="M44" s="921"/>
      <c r="N44" s="921"/>
      <c r="O44" s="921"/>
    </row>
    <row r="45" spans="1:15">
      <c r="A45" s="921"/>
      <c r="B45" s="921"/>
      <c r="C45" s="921"/>
      <c r="D45" s="921"/>
      <c r="E45" s="921"/>
      <c r="F45" s="921"/>
      <c r="G45" s="921"/>
      <c r="H45" s="921"/>
      <c r="I45" s="921"/>
      <c r="J45" s="921"/>
      <c r="K45" s="921"/>
      <c r="L45" s="921"/>
      <c r="M45" s="921"/>
      <c r="N45" s="921"/>
      <c r="O45" s="921"/>
    </row>
    <row r="46" spans="1:15">
      <c r="A46" s="921"/>
      <c r="B46" s="921"/>
      <c r="C46" s="921"/>
      <c r="D46" s="921"/>
      <c r="E46" s="921"/>
      <c r="F46" s="921"/>
      <c r="G46" s="921"/>
      <c r="H46" s="921"/>
      <c r="I46" s="921"/>
      <c r="J46" s="921"/>
      <c r="K46" s="921"/>
      <c r="L46" s="921"/>
      <c r="M46" s="921"/>
      <c r="N46" s="921"/>
      <c r="O46" s="921"/>
    </row>
  </sheetData>
  <phoneticPr fontId="27" type="noConversion"/>
  <printOptions horizontalCentered="1"/>
  <pageMargins left="0.75" right="0.5" top="0.75" bottom="0.5" header="0.25" footer="0.25"/>
  <pageSetup scale="71"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pageSetUpPr fitToPage="1"/>
  </sheetPr>
  <dimension ref="A1:M52"/>
  <sheetViews>
    <sheetView view="pageBreakPreview" zoomScale="60" zoomScaleNormal="100" workbookViewId="0">
      <selection sqref="A1:XFD1048576"/>
    </sheetView>
  </sheetViews>
  <sheetFormatPr defaultColWidth="10.7109375" defaultRowHeight="15"/>
  <cols>
    <col min="1" max="1" width="5.28515625" style="412" customWidth="1"/>
    <col min="2" max="2" width="12.85546875" style="412" customWidth="1"/>
    <col min="3" max="3" width="8.7109375" style="412" customWidth="1"/>
    <col min="4" max="4" width="15.7109375" style="412" customWidth="1"/>
    <col min="5" max="5" width="1.28515625" style="412" customWidth="1"/>
    <col min="6" max="6" width="12.85546875" style="412" bestFit="1" customWidth="1"/>
    <col min="7" max="7" width="4.5703125" style="412" customWidth="1"/>
    <col min="8" max="8" width="12.85546875" style="412" bestFit="1" customWidth="1"/>
    <col min="9" max="9" width="4.42578125" style="412" customWidth="1"/>
    <col min="10" max="10" width="12.85546875" style="412" bestFit="1" customWidth="1"/>
    <col min="11" max="11" width="4.7109375" style="412" customWidth="1"/>
    <col min="12" max="12" width="12.42578125" style="412" customWidth="1"/>
    <col min="13" max="13" width="3.7109375" style="62" bestFit="1" customWidth="1"/>
    <col min="14" max="16384" width="10.7109375" style="62"/>
  </cols>
  <sheetData>
    <row r="1" spans="1:13">
      <c r="A1" s="781" t="s">
        <v>888</v>
      </c>
      <c r="B1" s="782"/>
      <c r="C1" s="782"/>
      <c r="D1" s="782"/>
      <c r="E1" s="781"/>
      <c r="F1" s="782"/>
      <c r="G1" s="782"/>
      <c r="H1" s="782"/>
      <c r="I1" s="782"/>
      <c r="J1" s="781" t="s">
        <v>1209</v>
      </c>
      <c r="K1" s="783"/>
      <c r="L1" s="782"/>
      <c r="M1" s="63"/>
    </row>
    <row r="2" spans="1:13">
      <c r="A2" s="781"/>
      <c r="B2" s="782"/>
      <c r="C2" s="782"/>
      <c r="D2" s="782"/>
      <c r="E2" s="781"/>
      <c r="F2" s="782"/>
      <c r="G2" s="782"/>
      <c r="H2" s="782"/>
      <c r="I2" s="782"/>
      <c r="J2" s="786"/>
      <c r="K2" s="783"/>
      <c r="L2" s="784"/>
      <c r="M2" s="63"/>
    </row>
    <row r="3" spans="1:13">
      <c r="A3" s="117" t="s">
        <v>2644</v>
      </c>
      <c r="B3" s="782"/>
      <c r="C3" s="781"/>
      <c r="D3" s="782"/>
      <c r="E3" s="782"/>
      <c r="F3" s="782"/>
      <c r="G3" s="782"/>
      <c r="H3" s="782"/>
      <c r="I3" s="782"/>
      <c r="J3" s="781" t="s">
        <v>789</v>
      </c>
      <c r="K3" s="783"/>
      <c r="L3" s="782"/>
      <c r="M3" s="63"/>
    </row>
    <row r="4" spans="1:13">
      <c r="A4" s="117" t="s">
        <v>2645</v>
      </c>
      <c r="B4" s="782"/>
      <c r="C4" s="782"/>
      <c r="D4" s="782"/>
      <c r="E4" s="781"/>
      <c r="F4" s="782"/>
      <c r="G4" s="782"/>
      <c r="H4" s="781"/>
      <c r="I4" s="782"/>
      <c r="J4" s="781" t="s">
        <v>766</v>
      </c>
      <c r="K4" s="783"/>
      <c r="L4" s="782"/>
      <c r="M4" s="63"/>
    </row>
    <row r="5" spans="1:13">
      <c r="A5" s="781" t="s">
        <v>1936</v>
      </c>
      <c r="B5" s="782"/>
      <c r="C5" s="782"/>
      <c r="D5" s="782"/>
      <c r="E5" s="781"/>
      <c r="F5" s="782"/>
      <c r="G5" s="782"/>
      <c r="H5" s="781"/>
      <c r="I5" s="782"/>
      <c r="J5" s="781"/>
      <c r="K5" s="783"/>
      <c r="L5" s="782"/>
      <c r="M5" s="63"/>
    </row>
    <row r="6" spans="1:13">
      <c r="A6" s="781" t="s">
        <v>1092</v>
      </c>
      <c r="B6" s="782"/>
      <c r="C6" s="782"/>
      <c r="D6" s="781"/>
      <c r="E6" s="781"/>
      <c r="F6" s="782"/>
      <c r="G6" s="782"/>
      <c r="H6" s="781"/>
      <c r="I6" s="782"/>
      <c r="J6" s="119" t="s">
        <v>2951</v>
      </c>
      <c r="K6" s="783"/>
      <c r="L6" s="782"/>
      <c r="M6" s="63"/>
    </row>
    <row r="7" spans="1:13">
      <c r="A7" s="781" t="s">
        <v>717</v>
      </c>
      <c r="B7" s="782"/>
      <c r="C7" s="782"/>
      <c r="D7" s="781"/>
      <c r="E7" s="781"/>
      <c r="F7" s="782"/>
      <c r="G7" s="782"/>
      <c r="H7" s="781"/>
      <c r="I7" s="782"/>
      <c r="J7" s="783"/>
      <c r="K7" s="783"/>
      <c r="L7" s="783"/>
      <c r="M7" s="63"/>
    </row>
    <row r="8" spans="1:13">
      <c r="A8" s="785" t="s">
        <v>727</v>
      </c>
      <c r="B8" s="782"/>
      <c r="C8" s="782"/>
      <c r="D8" s="782"/>
      <c r="E8" s="782"/>
      <c r="F8" s="782"/>
      <c r="G8" s="782"/>
      <c r="H8" s="782"/>
      <c r="I8" s="782"/>
      <c r="J8" s="785"/>
      <c r="K8" s="782"/>
      <c r="L8" s="782"/>
    </row>
    <row r="9" spans="1:13" ht="26.25" customHeight="1">
      <c r="B9" s="2336" t="s">
        <v>1772</v>
      </c>
      <c r="C9" s="2299"/>
      <c r="D9" s="2299"/>
      <c r="E9" s="2299"/>
      <c r="F9" s="2299"/>
      <c r="G9" s="2299"/>
      <c r="H9" s="2299"/>
      <c r="I9" s="2299"/>
      <c r="J9" s="2299"/>
      <c r="K9" s="2299"/>
      <c r="L9" s="2299"/>
    </row>
    <row r="10" spans="1:13" s="1074" customFormat="1" ht="12.75">
      <c r="A10" s="1072"/>
      <c r="B10" s="1072"/>
      <c r="C10" s="1072"/>
      <c r="D10" s="1072"/>
      <c r="E10" s="1072"/>
      <c r="F10" s="1072"/>
      <c r="G10" s="1072"/>
      <c r="H10" s="1072"/>
      <c r="I10" s="1072"/>
      <c r="J10" s="1072"/>
      <c r="K10" s="1072"/>
      <c r="L10" s="1072"/>
    </row>
    <row r="11" spans="1:13" s="1074" customFormat="1" ht="12.75">
      <c r="A11" s="1075"/>
      <c r="B11" s="1075" t="s">
        <v>914</v>
      </c>
      <c r="C11" s="1073"/>
      <c r="D11" s="1073"/>
      <c r="E11" s="1073"/>
      <c r="F11" s="1073"/>
      <c r="G11" s="1075" t="s">
        <v>915</v>
      </c>
      <c r="H11" s="1073"/>
      <c r="I11" s="1073"/>
      <c r="J11" s="1073"/>
      <c r="K11" s="1075" t="s">
        <v>916</v>
      </c>
      <c r="L11" s="1073"/>
    </row>
    <row r="12" spans="1:13" s="1074" customFormat="1" ht="12.75">
      <c r="A12" s="1075" t="s">
        <v>53</v>
      </c>
      <c r="B12" s="1075"/>
      <c r="C12" s="1073"/>
      <c r="D12" s="1073"/>
      <c r="E12" s="1073"/>
      <c r="F12" s="1076"/>
      <c r="G12" s="1077" t="s">
        <v>1483</v>
      </c>
      <c r="H12" s="1076"/>
      <c r="I12" s="1073"/>
      <c r="J12" s="1076"/>
      <c r="K12" s="1077" t="s">
        <v>1485</v>
      </c>
      <c r="L12" s="1076"/>
    </row>
    <row r="13" spans="1:13" s="1078" customFormat="1" ht="12.75">
      <c r="A13" s="1077" t="s">
        <v>730</v>
      </c>
      <c r="B13" s="1077" t="s">
        <v>574</v>
      </c>
      <c r="C13" s="1076"/>
      <c r="D13" s="1076"/>
      <c r="E13" s="1076"/>
      <c r="F13" s="1077" t="s">
        <v>1151</v>
      </c>
      <c r="G13" s="1077"/>
      <c r="H13" s="1077" t="s">
        <v>1152</v>
      </c>
      <c r="I13" s="1076"/>
      <c r="J13" s="1077" t="s">
        <v>1151</v>
      </c>
      <c r="K13" s="1077"/>
      <c r="L13" s="1077" t="s">
        <v>1152</v>
      </c>
    </row>
    <row r="14" spans="1:13">
      <c r="C14" s="411"/>
      <c r="E14" s="413"/>
      <c r="G14" s="416"/>
      <c r="K14" s="416"/>
    </row>
    <row r="15" spans="1:13">
      <c r="A15" s="415">
        <v>1</v>
      </c>
      <c r="B15" s="412" t="s">
        <v>1153</v>
      </c>
      <c r="C15" s="411"/>
      <c r="F15" s="417">
        <v>21</v>
      </c>
      <c r="G15" s="417"/>
      <c r="H15" s="417">
        <v>42</v>
      </c>
      <c r="I15" s="417"/>
      <c r="J15" s="417">
        <v>36.71</v>
      </c>
      <c r="K15" s="417"/>
      <c r="L15" s="418">
        <v>45.03</v>
      </c>
      <c r="M15" s="65"/>
    </row>
    <row r="16" spans="1:13">
      <c r="A16" s="415"/>
      <c r="C16" s="411"/>
      <c r="F16" s="417"/>
      <c r="G16" s="417"/>
      <c r="H16" s="417"/>
      <c r="I16" s="417"/>
      <c r="J16" s="417"/>
      <c r="K16" s="417"/>
      <c r="L16" s="417"/>
      <c r="M16" s="61"/>
    </row>
    <row r="17" spans="1:13">
      <c r="A17" s="415">
        <v>2</v>
      </c>
      <c r="B17" s="412" t="s">
        <v>1154</v>
      </c>
      <c r="C17" s="411"/>
      <c r="F17" s="417">
        <v>21</v>
      </c>
      <c r="G17" s="417"/>
      <c r="H17" s="417">
        <v>42</v>
      </c>
      <c r="I17" s="417"/>
      <c r="J17" s="417">
        <v>36.71</v>
      </c>
      <c r="K17" s="417"/>
      <c r="L17" s="418">
        <v>45.03</v>
      </c>
      <c r="M17" s="65"/>
    </row>
    <row r="18" spans="1:13">
      <c r="A18" s="415"/>
      <c r="C18" s="411"/>
      <c r="F18" s="417"/>
      <c r="G18" s="417"/>
      <c r="H18" s="417"/>
      <c r="I18" s="417"/>
      <c r="J18" s="417"/>
      <c r="K18" s="417"/>
      <c r="L18" s="417"/>
      <c r="M18" s="61"/>
    </row>
    <row r="19" spans="1:13">
      <c r="A19" s="415">
        <v>3</v>
      </c>
      <c r="B19" s="412" t="s">
        <v>726</v>
      </c>
      <c r="C19" s="411"/>
      <c r="F19" s="419" t="s">
        <v>2932</v>
      </c>
      <c r="G19" s="419"/>
      <c r="H19" s="419" t="s">
        <v>2932</v>
      </c>
      <c r="I19" s="419"/>
      <c r="J19" s="419" t="s">
        <v>2932</v>
      </c>
      <c r="K19" s="419"/>
      <c r="L19" s="419" t="s">
        <v>2932</v>
      </c>
      <c r="M19" s="65"/>
    </row>
    <row r="20" spans="1:13">
      <c r="A20" s="415"/>
      <c r="C20" s="411"/>
      <c r="F20" s="417"/>
      <c r="G20" s="417"/>
      <c r="H20" s="417"/>
      <c r="I20" s="417"/>
      <c r="J20" s="417"/>
      <c r="K20" s="417"/>
      <c r="L20" s="417"/>
      <c r="M20" s="61"/>
    </row>
    <row r="21" spans="1:13">
      <c r="A21" s="415">
        <v>4</v>
      </c>
      <c r="B21" s="412" t="s">
        <v>1527</v>
      </c>
      <c r="C21" s="411"/>
      <c r="F21" s="417">
        <v>21</v>
      </c>
      <c r="G21" s="417"/>
      <c r="H21" s="417">
        <v>42</v>
      </c>
      <c r="I21" s="417"/>
      <c r="J21" s="417">
        <v>36.71</v>
      </c>
      <c r="K21" s="417"/>
      <c r="L21" s="418">
        <v>45.03</v>
      </c>
      <c r="M21" s="65"/>
    </row>
    <row r="22" spans="1:13">
      <c r="A22" s="415"/>
      <c r="C22" s="411"/>
      <c r="F22" s="417"/>
      <c r="G22" s="417"/>
      <c r="H22" s="417"/>
      <c r="I22" s="417"/>
      <c r="J22" s="417"/>
      <c r="K22" s="417"/>
      <c r="L22" s="417"/>
    </row>
    <row r="23" spans="1:13">
      <c r="A23" s="415">
        <v>5</v>
      </c>
      <c r="B23" s="412" t="s">
        <v>1528</v>
      </c>
      <c r="F23" s="417"/>
      <c r="H23" s="417"/>
      <c r="J23" s="417">
        <v>36.71</v>
      </c>
      <c r="K23" s="417"/>
      <c r="L23" s="418">
        <v>45.03</v>
      </c>
    </row>
    <row r="24" spans="1:13">
      <c r="A24" s="415"/>
      <c r="C24" s="411"/>
    </row>
    <row r="25" spans="1:13" s="64" customFormat="1">
      <c r="A25" s="415">
        <v>6</v>
      </c>
      <c r="B25" s="413" t="s">
        <v>2929</v>
      </c>
      <c r="C25" s="420"/>
      <c r="D25" s="413"/>
      <c r="E25" s="413"/>
      <c r="F25" s="413"/>
      <c r="G25" s="413"/>
      <c r="H25" s="413"/>
      <c r="I25" s="412"/>
      <c r="J25" s="417">
        <v>8.84</v>
      </c>
      <c r="K25" s="412"/>
      <c r="L25" s="418" t="s">
        <v>877</v>
      </c>
    </row>
    <row r="26" spans="1:13" s="64" customFormat="1">
      <c r="A26" s="415"/>
      <c r="B26" s="413"/>
      <c r="C26" s="421"/>
      <c r="D26" s="413"/>
      <c r="E26" s="413"/>
      <c r="F26" s="421"/>
      <c r="G26" s="413"/>
      <c r="H26" s="413"/>
      <c r="I26" s="412"/>
      <c r="J26" s="412"/>
      <c r="K26" s="412"/>
      <c r="L26" s="415"/>
    </row>
    <row r="27" spans="1:13" s="64" customFormat="1">
      <c r="A27" s="415">
        <v>7</v>
      </c>
      <c r="B27" s="413" t="s">
        <v>2930</v>
      </c>
      <c r="C27" s="422"/>
      <c r="D27" s="413"/>
      <c r="E27" s="413"/>
      <c r="F27" s="2162" t="s">
        <v>910</v>
      </c>
      <c r="G27" s="413"/>
      <c r="H27" s="413"/>
      <c r="I27" s="413"/>
      <c r="J27" s="2044" t="s">
        <v>910</v>
      </c>
      <c r="K27" s="412"/>
      <c r="L27" s="418" t="s">
        <v>877</v>
      </c>
    </row>
    <row r="28" spans="1:13" s="64" customFormat="1">
      <c r="A28" s="415"/>
      <c r="B28" s="413"/>
      <c r="C28" s="423"/>
      <c r="D28" s="413"/>
      <c r="E28" s="413"/>
      <c r="F28" s="423"/>
      <c r="G28" s="413"/>
      <c r="H28" s="413"/>
      <c r="I28" s="413"/>
      <c r="J28" s="413"/>
      <c r="K28" s="413"/>
      <c r="L28" s="413"/>
    </row>
    <row r="29" spans="1:13" s="64" customFormat="1">
      <c r="A29" s="415">
        <v>8</v>
      </c>
      <c r="B29" s="2043" t="s">
        <v>2931</v>
      </c>
      <c r="C29" s="422"/>
      <c r="D29" s="413"/>
      <c r="E29" s="413"/>
      <c r="F29" s="422"/>
      <c r="G29" s="413"/>
      <c r="H29" s="413"/>
      <c r="I29" s="413"/>
      <c r="J29" s="413"/>
      <c r="K29" s="413"/>
      <c r="L29" s="413"/>
    </row>
    <row r="30" spans="1:13" s="64" customFormat="1">
      <c r="A30" s="414"/>
      <c r="B30" s="413"/>
      <c r="C30" s="423"/>
      <c r="D30" s="413"/>
      <c r="E30" s="413"/>
      <c r="F30" s="423"/>
      <c r="G30" s="413"/>
      <c r="H30" s="413"/>
      <c r="I30" s="413"/>
      <c r="J30" s="413"/>
      <c r="K30" s="413"/>
      <c r="L30" s="413"/>
    </row>
    <row r="31" spans="1:13">
      <c r="A31" s="415"/>
    </row>
    <row r="32" spans="1:13">
      <c r="A32" s="415"/>
    </row>
    <row r="33" spans="1:12">
      <c r="A33" s="415"/>
    </row>
    <row r="34" spans="1:12">
      <c r="A34" s="415"/>
    </row>
    <row r="35" spans="1:12">
      <c r="A35" s="415"/>
    </row>
    <row r="36" spans="1:12">
      <c r="A36" s="415"/>
    </row>
    <row r="37" spans="1:12">
      <c r="A37" s="415"/>
    </row>
    <row r="38" spans="1:12">
      <c r="A38" s="415"/>
    </row>
    <row r="39" spans="1:12">
      <c r="A39" s="415"/>
    </row>
    <row r="40" spans="1:12">
      <c r="A40" s="415"/>
    </row>
    <row r="41" spans="1:12">
      <c r="A41" s="415"/>
    </row>
    <row r="42" spans="1:12">
      <c r="A42" s="415"/>
    </row>
    <row r="43" spans="1:12">
      <c r="A43" s="415"/>
    </row>
    <row r="44" spans="1:12">
      <c r="A44" s="415"/>
    </row>
    <row r="45" spans="1:12">
      <c r="A45" s="415"/>
    </row>
    <row r="46" spans="1:12">
      <c r="A46" s="415"/>
    </row>
    <row r="47" spans="1:12">
      <c r="A47" s="415"/>
    </row>
    <row r="48" spans="1:12">
      <c r="A48" s="428"/>
      <c r="B48" s="425"/>
      <c r="C48" s="425"/>
      <c r="D48" s="425"/>
      <c r="E48" s="425"/>
      <c r="F48" s="425"/>
      <c r="G48" s="425"/>
      <c r="H48" s="425"/>
      <c r="I48" s="425"/>
      <c r="J48" s="425"/>
      <c r="K48" s="425"/>
      <c r="L48" s="425"/>
    </row>
    <row r="49" spans="2:12">
      <c r="B49" s="424"/>
      <c r="C49" s="425"/>
      <c r="D49" s="425"/>
      <c r="E49" s="425"/>
      <c r="F49" s="425"/>
      <c r="G49" s="426"/>
      <c r="H49" s="425"/>
      <c r="I49" s="425"/>
      <c r="J49" s="425"/>
      <c r="K49" s="425"/>
      <c r="L49" s="425"/>
    </row>
    <row r="52" spans="2:12">
      <c r="G52" s="427"/>
    </row>
  </sheetData>
  <mergeCells count="1">
    <mergeCell ref="B9:L9"/>
  </mergeCells>
  <phoneticPr fontId="27" type="noConversion"/>
  <printOptions horizontalCentered="1"/>
  <pageMargins left="0.75" right="0.5" top="0.75" bottom="0.5" header="0.25" footer="0.25"/>
  <pageSetup scale="86" orientation="portrait"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A1:O44"/>
  <sheetViews>
    <sheetView view="pageBreakPreview" zoomScale="60" zoomScaleNormal="100" workbookViewId="0">
      <selection sqref="A1:XFD1048576"/>
    </sheetView>
  </sheetViews>
  <sheetFormatPr defaultColWidth="9.140625" defaultRowHeight="12.75"/>
  <cols>
    <col min="1" max="1" width="8.42578125" style="435" customWidth="1"/>
    <col min="2" max="2" width="1.5703125" style="435" customWidth="1"/>
    <col min="3" max="3" width="13.7109375" style="435" customWidth="1"/>
    <col min="4" max="4" width="1.7109375" style="435" customWidth="1"/>
    <col min="5" max="5" width="12.5703125" style="435" customWidth="1"/>
    <col min="6" max="6" width="1.85546875" style="435" customWidth="1"/>
    <col min="7" max="7" width="13.28515625" style="435" bestFit="1" customWidth="1"/>
    <col min="8" max="8" width="1.5703125" style="435" customWidth="1"/>
    <col min="9" max="9" width="10.140625" style="435" bestFit="1" customWidth="1"/>
    <col min="10" max="10" width="1.7109375" style="435" customWidth="1"/>
    <col min="11" max="11" width="12.28515625" style="435" bestFit="1" customWidth="1"/>
    <col min="12" max="12" width="1.7109375" style="435" customWidth="1"/>
    <col min="13" max="13" width="12.7109375" style="435" bestFit="1" customWidth="1"/>
    <col min="14" max="14" width="9.140625" style="435"/>
    <col min="15" max="16384" width="9.140625" style="68"/>
  </cols>
  <sheetData>
    <row r="1" spans="1:15" s="66" customFormat="1" ht="15">
      <c r="A1" s="787" t="s">
        <v>1215</v>
      </c>
      <c r="B1" s="787"/>
      <c r="C1" s="787"/>
      <c r="D1" s="788"/>
      <c r="E1" s="789"/>
      <c r="F1" s="788"/>
      <c r="G1" s="789"/>
      <c r="H1" s="789"/>
      <c r="I1" s="789"/>
      <c r="J1" s="789" t="s">
        <v>1209</v>
      </c>
      <c r="K1" s="790"/>
      <c r="L1" s="430"/>
      <c r="M1" s="431"/>
      <c r="O1" s="67"/>
    </row>
    <row r="2" spans="1:15" s="66" customFormat="1" ht="15">
      <c r="A2" s="787"/>
      <c r="B2" s="787"/>
      <c r="C2" s="787"/>
      <c r="D2" s="788"/>
      <c r="E2" s="789"/>
      <c r="F2" s="788"/>
      <c r="G2" s="789"/>
      <c r="H2" s="789"/>
      <c r="I2" s="789"/>
      <c r="J2" s="789"/>
      <c r="K2" s="790"/>
      <c r="L2" s="430"/>
      <c r="M2" s="430"/>
      <c r="O2" s="67"/>
    </row>
    <row r="3" spans="1:15" s="66" customFormat="1" ht="15">
      <c r="A3" s="117" t="s">
        <v>2644</v>
      </c>
      <c r="B3" s="787"/>
      <c r="C3" s="789"/>
      <c r="D3" s="788"/>
      <c r="E3" s="787"/>
      <c r="F3" s="788"/>
      <c r="G3" s="789"/>
      <c r="H3" s="789"/>
      <c r="I3" s="789"/>
      <c r="J3" s="789" t="s">
        <v>686</v>
      </c>
      <c r="K3" s="790"/>
      <c r="L3" s="430"/>
      <c r="M3" s="431"/>
      <c r="O3" s="67"/>
    </row>
    <row r="4" spans="1:15" s="66" customFormat="1" ht="15">
      <c r="A4" s="117" t="s">
        <v>2645</v>
      </c>
      <c r="B4" s="787"/>
      <c r="C4" s="787"/>
      <c r="D4" s="788"/>
      <c r="E4" s="787"/>
      <c r="F4" s="788"/>
      <c r="G4" s="789"/>
      <c r="H4" s="789"/>
      <c r="I4" s="787"/>
      <c r="J4" s="789" t="s">
        <v>766</v>
      </c>
      <c r="K4" s="790"/>
      <c r="L4" s="430"/>
      <c r="M4" s="431"/>
      <c r="O4" s="67"/>
    </row>
    <row r="5" spans="1:15" s="66" customFormat="1" ht="15">
      <c r="A5" s="117" t="e">
        <v>#REF!</v>
      </c>
      <c r="B5" s="787"/>
      <c r="C5" s="787"/>
      <c r="D5" s="788"/>
      <c r="E5" s="787"/>
      <c r="F5" s="788"/>
      <c r="G5" s="789"/>
      <c r="H5" s="789"/>
      <c r="I5" s="787"/>
      <c r="J5" s="789"/>
      <c r="K5" s="790"/>
      <c r="L5" s="430"/>
      <c r="M5" s="431"/>
      <c r="O5" s="67"/>
    </row>
    <row r="6" spans="1:15" s="66" customFormat="1" ht="15">
      <c r="A6" s="787" t="s">
        <v>1092</v>
      </c>
      <c r="B6" s="787"/>
      <c r="C6" s="787"/>
      <c r="D6" s="787"/>
      <c r="E6" s="789"/>
      <c r="F6" s="787"/>
      <c r="G6" s="789"/>
      <c r="H6" s="789"/>
      <c r="I6" s="787"/>
      <c r="J6" s="474" t="s">
        <v>2951</v>
      </c>
      <c r="K6" s="790"/>
      <c r="L6" s="790"/>
      <c r="M6" s="791"/>
      <c r="O6" s="67"/>
    </row>
    <row r="7" spans="1:15" s="66" customFormat="1" ht="15">
      <c r="A7" s="787" t="s">
        <v>717</v>
      </c>
      <c r="B7" s="787"/>
      <c r="C7" s="787"/>
      <c r="D7" s="787"/>
      <c r="E7" s="789"/>
      <c r="F7" s="787"/>
      <c r="G7" s="789"/>
      <c r="H7" s="789"/>
      <c r="I7" s="787"/>
      <c r="J7" s="789"/>
      <c r="K7" s="790"/>
      <c r="L7" s="790"/>
      <c r="M7" s="790"/>
      <c r="N7" s="431"/>
      <c r="O7" s="67"/>
    </row>
    <row r="8" spans="1:15" s="66" customFormat="1" ht="15">
      <c r="A8" s="792" t="s">
        <v>687</v>
      </c>
      <c r="B8" s="792"/>
      <c r="C8" s="792"/>
      <c r="D8" s="792"/>
      <c r="E8" s="789"/>
      <c r="F8" s="789"/>
      <c r="G8" s="789"/>
      <c r="H8" s="792"/>
      <c r="I8" s="789"/>
      <c r="J8" s="789"/>
      <c r="K8" s="789"/>
      <c r="L8" s="789"/>
      <c r="M8" s="789"/>
      <c r="N8" s="429"/>
    </row>
    <row r="9" spans="1:15" s="66" customFormat="1" ht="28.5" customHeight="1">
      <c r="A9" s="2337" t="s">
        <v>1773</v>
      </c>
      <c r="B9" s="2299"/>
      <c r="C9" s="2299"/>
      <c r="D9" s="2299"/>
      <c r="E9" s="2299"/>
      <c r="F9" s="2299"/>
      <c r="G9" s="2299"/>
      <c r="H9" s="2299"/>
      <c r="I9" s="2299"/>
      <c r="J9" s="2299"/>
      <c r="K9" s="2299"/>
      <c r="L9" s="2299"/>
      <c r="M9" s="2299"/>
      <c r="N9" s="429"/>
    </row>
    <row r="10" spans="1:15" s="1081" customFormat="1">
      <c r="A10" s="1079"/>
      <c r="B10" s="1079"/>
      <c r="C10" s="1079"/>
      <c r="D10" s="1079"/>
      <c r="E10" s="1079"/>
      <c r="F10" s="1079"/>
      <c r="G10" s="1079"/>
      <c r="H10" s="1079"/>
      <c r="I10" s="1079"/>
      <c r="J10" s="1079"/>
      <c r="K10" s="1079"/>
      <c r="L10" s="1079"/>
      <c r="M10" s="1079"/>
      <c r="N10" s="1080"/>
    </row>
    <row r="11" spans="1:15" s="1081" customFormat="1">
      <c r="A11" s="1080"/>
      <c r="B11" s="1080"/>
      <c r="C11" s="1399">
        <v>-1</v>
      </c>
      <c r="D11" s="1398"/>
      <c r="E11" s="1399">
        <v>-2</v>
      </c>
      <c r="F11" s="1400"/>
      <c r="G11" s="1399">
        <v>-3</v>
      </c>
      <c r="H11" s="1400"/>
      <c r="I11" s="1399">
        <v>-4</v>
      </c>
      <c r="J11" s="1400"/>
      <c r="K11" s="1399">
        <v>-5</v>
      </c>
      <c r="L11" s="1399"/>
      <c r="M11" s="1399">
        <v>-6</v>
      </c>
      <c r="N11" s="1080"/>
    </row>
    <row r="12" spans="1:15" s="1081" customFormat="1">
      <c r="A12" s="1083" t="s">
        <v>627</v>
      </c>
      <c r="B12" s="1083"/>
      <c r="C12" s="1083" t="s">
        <v>688</v>
      </c>
      <c r="D12" s="1083"/>
      <c r="E12" s="1083" t="s">
        <v>689</v>
      </c>
      <c r="F12" s="1080"/>
      <c r="G12" s="1083" t="s">
        <v>690</v>
      </c>
      <c r="H12" s="1083"/>
      <c r="I12" s="1083" t="s">
        <v>691</v>
      </c>
      <c r="J12" s="1083"/>
      <c r="K12" s="1083" t="s">
        <v>1170</v>
      </c>
      <c r="L12" s="1080"/>
      <c r="M12" s="1080"/>
      <c r="N12" s="1080"/>
    </row>
    <row r="13" spans="1:15" s="1085" customFormat="1">
      <c r="A13" s="1082" t="s">
        <v>636</v>
      </c>
      <c r="B13" s="1082"/>
      <c r="C13" s="1082" t="s">
        <v>1409</v>
      </c>
      <c r="D13" s="1082"/>
      <c r="E13" s="1082" t="s">
        <v>31</v>
      </c>
      <c r="F13" s="1084"/>
      <c r="G13" s="1082" t="s">
        <v>1410</v>
      </c>
      <c r="H13" s="1082"/>
      <c r="I13" s="1082" t="s">
        <v>783</v>
      </c>
      <c r="J13" s="1082"/>
      <c r="K13" s="1082" t="s">
        <v>575</v>
      </c>
      <c r="L13" s="1084"/>
      <c r="M13" s="1082" t="s">
        <v>81</v>
      </c>
      <c r="N13" s="1084"/>
    </row>
    <row r="14" spans="1:15" s="66" customFormat="1" ht="15">
      <c r="A14" s="433">
        <v>1</v>
      </c>
      <c r="B14" s="433"/>
      <c r="C14" s="1952">
        <v>21</v>
      </c>
      <c r="D14" s="1953">
        <v>0</v>
      </c>
      <c r="E14" s="1954">
        <v>0</v>
      </c>
      <c r="F14" s="1955"/>
      <c r="G14" s="1954">
        <v>0</v>
      </c>
      <c r="H14" s="1955"/>
      <c r="I14" s="1954"/>
      <c r="J14" s="1955"/>
      <c r="K14" s="1952">
        <v>2104</v>
      </c>
      <c r="L14" s="1955"/>
      <c r="M14" s="1954">
        <v>2125</v>
      </c>
      <c r="N14" s="429"/>
    </row>
    <row r="15" spans="1:15" s="66" customFormat="1" ht="15">
      <c r="A15" s="433">
        <v>2</v>
      </c>
      <c r="B15" s="429"/>
      <c r="C15" s="429"/>
      <c r="D15" s="429"/>
      <c r="E15" s="429"/>
      <c r="F15" s="429"/>
      <c r="G15" s="430"/>
      <c r="H15" s="429"/>
      <c r="I15" s="429"/>
      <c r="J15" s="429"/>
      <c r="K15" s="429"/>
      <c r="L15" s="429"/>
      <c r="M15" s="429"/>
      <c r="N15" s="429"/>
    </row>
    <row r="16" spans="1:15" s="66" customFormat="1" ht="15">
      <c r="A16" s="433">
        <v>3</v>
      </c>
      <c r="B16" s="429" t="s">
        <v>694</v>
      </c>
      <c r="C16" s="429"/>
      <c r="D16" s="429"/>
      <c r="E16" s="429"/>
      <c r="F16" s="429"/>
      <c r="G16" s="430"/>
      <c r="H16" s="429"/>
      <c r="I16" s="429"/>
      <c r="J16" s="429"/>
      <c r="K16" s="429"/>
      <c r="L16" s="429"/>
      <c r="M16" s="429"/>
      <c r="N16" s="429"/>
    </row>
    <row r="17" spans="1:14" s="66" customFormat="1" ht="15">
      <c r="A17" s="433">
        <v>4</v>
      </c>
      <c r="B17" s="429"/>
      <c r="C17" s="429" t="s">
        <v>1760</v>
      </c>
      <c r="D17" s="429"/>
      <c r="E17" s="429"/>
      <c r="F17" s="429"/>
      <c r="G17" s="430"/>
      <c r="H17" s="429"/>
      <c r="I17" s="429"/>
      <c r="J17" s="429"/>
      <c r="K17" s="434"/>
      <c r="L17" s="429"/>
      <c r="M17" s="429"/>
      <c r="N17" s="429"/>
    </row>
    <row r="18" spans="1:14" s="66" customFormat="1" ht="15">
      <c r="A18" s="433">
        <v>5</v>
      </c>
      <c r="B18" s="429"/>
      <c r="C18" s="429" t="s">
        <v>695</v>
      </c>
      <c r="D18" s="429"/>
      <c r="E18" s="429"/>
      <c r="F18" s="429"/>
      <c r="G18" s="429"/>
      <c r="H18" s="429"/>
      <c r="I18" s="429"/>
      <c r="J18" s="429"/>
      <c r="K18" s="434"/>
      <c r="L18" s="429"/>
      <c r="M18" s="432"/>
      <c r="N18" s="429"/>
    </row>
    <row r="19" spans="1:14" s="66" customFormat="1" ht="15">
      <c r="A19" s="433">
        <v>6</v>
      </c>
      <c r="B19" s="429"/>
      <c r="C19" s="429" t="s">
        <v>1735</v>
      </c>
      <c r="D19" s="429"/>
      <c r="E19" s="429"/>
      <c r="F19" s="429"/>
      <c r="G19" s="429"/>
      <c r="H19" s="429"/>
      <c r="I19" s="429"/>
      <c r="J19" s="429"/>
      <c r="K19" s="2066"/>
      <c r="L19" s="429"/>
      <c r="M19" s="432"/>
      <c r="N19" s="429"/>
    </row>
    <row r="20" spans="1:14" s="2068" customFormat="1">
      <c r="A20" s="433">
        <v>7</v>
      </c>
      <c r="B20" s="436"/>
      <c r="C20" s="432" t="s">
        <v>696</v>
      </c>
      <c r="D20" s="436"/>
      <c r="E20" s="436"/>
      <c r="F20" s="436"/>
      <c r="G20" s="436"/>
      <c r="H20" s="436"/>
      <c r="I20" s="436"/>
      <c r="J20" s="436"/>
      <c r="K20" s="2067"/>
      <c r="L20" s="436"/>
      <c r="M20" s="436"/>
      <c r="N20" s="436"/>
    </row>
    <row r="21" spans="1:14" s="2068" customFormat="1">
      <c r="A21" s="433">
        <v>8</v>
      </c>
      <c r="B21" s="436"/>
      <c r="C21" s="432" t="s">
        <v>2953</v>
      </c>
      <c r="D21" s="436"/>
      <c r="E21" s="436"/>
      <c r="F21" s="436"/>
      <c r="G21" s="436"/>
      <c r="H21" s="436"/>
      <c r="I21" s="436"/>
      <c r="J21" s="436"/>
      <c r="K21" s="2069">
        <v>1350</v>
      </c>
      <c r="L21" s="436"/>
      <c r="M21" s="436"/>
      <c r="N21" s="436"/>
    </row>
    <row r="22" spans="1:14" s="2068" customFormat="1">
      <c r="A22" s="433">
        <v>9</v>
      </c>
      <c r="B22" s="436"/>
      <c r="C22" s="432" t="s">
        <v>2954</v>
      </c>
      <c r="D22" s="436"/>
      <c r="E22" s="436"/>
      <c r="F22" s="436"/>
      <c r="G22" s="436"/>
      <c r="H22" s="436"/>
      <c r="I22" s="436"/>
      <c r="J22" s="436"/>
      <c r="K22" s="2069">
        <v>750</v>
      </c>
      <c r="L22" s="436"/>
      <c r="M22" s="436"/>
      <c r="N22" s="436"/>
    </row>
    <row r="23" spans="1:14" s="2068" customFormat="1">
      <c r="A23" s="433">
        <v>10</v>
      </c>
      <c r="B23" s="436"/>
      <c r="C23" s="432" t="s">
        <v>2955</v>
      </c>
      <c r="D23" s="436"/>
      <c r="E23" s="436"/>
      <c r="F23" s="436"/>
      <c r="G23" s="436"/>
      <c r="H23" s="436"/>
      <c r="I23" s="436"/>
      <c r="J23" s="436"/>
      <c r="K23" s="2069">
        <v>4</v>
      </c>
      <c r="L23" s="436"/>
      <c r="M23" s="436"/>
      <c r="N23" s="436"/>
    </row>
    <row r="24" spans="1:14">
      <c r="A24" s="433">
        <v>11</v>
      </c>
      <c r="C24" s="429" t="s">
        <v>1436</v>
      </c>
      <c r="K24" s="2070">
        <v>2104</v>
      </c>
      <c r="M24" s="437"/>
    </row>
    <row r="25" spans="1:14">
      <c r="A25" s="433">
        <v>12</v>
      </c>
      <c r="K25" s="2071"/>
    </row>
    <row r="26" spans="1:14">
      <c r="A26" s="433">
        <v>13</v>
      </c>
      <c r="C26" s="435" t="s">
        <v>1437</v>
      </c>
    </row>
    <row r="44" spans="1:13">
      <c r="A44" s="438"/>
      <c r="B44" s="439"/>
      <c r="C44" s="439"/>
      <c r="D44" s="439"/>
      <c r="E44" s="439"/>
      <c r="F44" s="439"/>
      <c r="G44" s="439"/>
      <c r="H44" s="439"/>
      <c r="I44" s="439"/>
      <c r="J44" s="439"/>
      <c r="K44" s="439"/>
      <c r="L44" s="439"/>
      <c r="M44" s="439"/>
    </row>
  </sheetData>
  <mergeCells count="1">
    <mergeCell ref="A9:M9"/>
  </mergeCells>
  <phoneticPr fontId="27" type="noConversion"/>
  <printOptions horizontalCentered="1"/>
  <pageMargins left="0.75" right="0.5" top="0.75" bottom="0.5" header="0.25" footer="0.25"/>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30">
    <pageSetUpPr fitToPage="1"/>
  </sheetPr>
  <dimension ref="A1:IQ333"/>
  <sheetViews>
    <sheetView view="pageBreakPreview" zoomScale="60" zoomScaleNormal="100" workbookViewId="0">
      <selection sqref="A1:XFD1048576"/>
    </sheetView>
  </sheetViews>
  <sheetFormatPr defaultColWidth="10.85546875" defaultRowHeight="12"/>
  <cols>
    <col min="1" max="1" width="6.42578125" style="211" customWidth="1"/>
    <col min="2" max="2" width="37.7109375" style="211" customWidth="1"/>
    <col min="3" max="3" width="11.28515625" style="211" customWidth="1"/>
    <col min="4" max="14" width="10.7109375" style="211" customWidth="1"/>
    <col min="15" max="15" width="11.42578125" style="211" customWidth="1"/>
    <col min="16" max="16" width="10.7109375" style="211" customWidth="1"/>
    <col min="17" max="20" width="10.85546875" style="211" customWidth="1"/>
    <col min="21" max="126" width="10.85546875" style="46" customWidth="1"/>
    <col min="127" max="16384" width="10.85546875" style="46"/>
  </cols>
  <sheetData>
    <row r="1" spans="1:20" s="34" customFormat="1">
      <c r="A1" s="203" t="s">
        <v>561</v>
      </c>
      <c r="B1" s="203"/>
      <c r="C1" s="203"/>
      <c r="D1" s="203"/>
      <c r="E1" s="203"/>
      <c r="F1" s="203"/>
      <c r="G1" s="203"/>
      <c r="H1" s="203"/>
      <c r="I1" s="203"/>
      <c r="J1" s="203"/>
      <c r="K1" s="203"/>
      <c r="L1" s="1130" t="s">
        <v>1209</v>
      </c>
      <c r="M1" s="1130"/>
      <c r="O1" s="203"/>
      <c r="P1" s="211"/>
      <c r="Q1" s="211"/>
      <c r="R1" s="211"/>
      <c r="S1" s="211"/>
      <c r="T1" s="211"/>
    </row>
    <row r="2" spans="1:20" s="34" customFormat="1">
      <c r="A2" s="203" t="s">
        <v>470</v>
      </c>
      <c r="B2" s="203"/>
      <c r="C2" s="203"/>
      <c r="D2" s="203"/>
      <c r="E2" s="203"/>
      <c r="F2" s="203"/>
      <c r="G2" s="203"/>
      <c r="H2" s="203"/>
      <c r="I2" s="203"/>
      <c r="J2" s="203"/>
      <c r="K2" s="203"/>
      <c r="L2" s="1132" t="s">
        <v>476</v>
      </c>
      <c r="M2" s="1130"/>
      <c r="O2" s="203"/>
      <c r="P2" s="211"/>
      <c r="Q2" s="211"/>
      <c r="R2" s="211"/>
      <c r="S2" s="211"/>
      <c r="T2" s="211"/>
    </row>
    <row r="3" spans="1:20" s="34" customFormat="1" ht="11.25" customHeight="1">
      <c r="A3" s="203" t="s">
        <v>2644</v>
      </c>
      <c r="B3" s="203"/>
      <c r="C3" s="1177"/>
      <c r="D3" s="1177"/>
      <c r="E3" s="1177"/>
      <c r="F3" s="1177"/>
      <c r="G3" s="1177"/>
      <c r="H3" s="1177"/>
      <c r="I3" s="1177"/>
      <c r="J3" s="1177"/>
      <c r="K3" s="1177"/>
      <c r="L3" s="1132" t="s">
        <v>1504</v>
      </c>
      <c r="M3" s="1110"/>
      <c r="O3" s="203"/>
      <c r="P3" s="211"/>
      <c r="Q3" s="211"/>
      <c r="R3" s="211"/>
      <c r="S3" s="211"/>
      <c r="T3" s="211"/>
    </row>
    <row r="4" spans="1:20" s="34" customFormat="1" ht="11.25" customHeight="1">
      <c r="A4" s="203" t="s">
        <v>2645</v>
      </c>
      <c r="B4" s="203"/>
      <c r="C4" s="1109"/>
      <c r="D4" s="1109"/>
      <c r="E4" s="1109"/>
      <c r="F4" s="1109"/>
      <c r="G4" s="1109"/>
      <c r="H4" s="1109"/>
      <c r="I4" s="1109"/>
      <c r="J4" s="1109"/>
      <c r="K4" s="1109"/>
      <c r="L4" s="1130" t="s">
        <v>2948</v>
      </c>
      <c r="M4" s="1110"/>
      <c r="O4" s="203"/>
      <c r="P4" s="211"/>
      <c r="Q4" s="211"/>
      <c r="R4" s="211"/>
      <c r="S4" s="211"/>
      <c r="T4" s="211"/>
    </row>
    <row r="5" spans="1:20" s="34" customFormat="1" ht="11.25" customHeight="1">
      <c r="A5" s="203" t="s">
        <v>1935</v>
      </c>
      <c r="B5" s="203"/>
      <c r="C5" s="1109"/>
      <c r="D5" s="1109"/>
      <c r="E5" s="1109"/>
      <c r="F5" s="1109"/>
      <c r="G5" s="1109"/>
      <c r="H5" s="1109"/>
      <c r="I5" s="1109"/>
      <c r="J5" s="1109"/>
      <c r="K5" s="1109"/>
      <c r="L5" s="1138"/>
      <c r="M5" s="1110"/>
      <c r="O5" s="203"/>
      <c r="P5" s="211"/>
      <c r="Q5" s="211"/>
      <c r="R5" s="211"/>
      <c r="S5" s="211"/>
      <c r="T5" s="211"/>
    </row>
    <row r="6" spans="1:20" s="34" customFormat="1" ht="11.25" customHeight="1" thickBot="1">
      <c r="A6" s="140" t="s">
        <v>1343</v>
      </c>
      <c r="B6" s="1131"/>
      <c r="C6" s="1109"/>
      <c r="D6" s="1109"/>
      <c r="E6" s="1109"/>
      <c r="F6" s="1109"/>
      <c r="G6" s="1109"/>
      <c r="H6" s="1109"/>
      <c r="I6" s="1109"/>
      <c r="J6" s="1109"/>
      <c r="K6" s="1109"/>
      <c r="L6" s="1130" t="s">
        <v>562</v>
      </c>
      <c r="M6" s="1110"/>
      <c r="O6" s="203"/>
      <c r="P6" s="211"/>
      <c r="Q6" s="211"/>
      <c r="R6" s="211"/>
      <c r="S6" s="211"/>
      <c r="T6" s="211"/>
    </row>
    <row r="7" spans="1:20" s="1121" customFormat="1">
      <c r="A7" s="1250"/>
      <c r="B7" s="1251" t="s">
        <v>914</v>
      </c>
      <c r="C7" s="1252">
        <v>-2</v>
      </c>
      <c r="D7" s="1252">
        <v>-3</v>
      </c>
      <c r="E7" s="1252">
        <v>-4</v>
      </c>
      <c r="F7" s="1252">
        <v>-5</v>
      </c>
      <c r="G7" s="1252">
        <v>-6</v>
      </c>
      <c r="H7" s="1252">
        <v>-7</v>
      </c>
      <c r="I7" s="1252">
        <v>-8</v>
      </c>
      <c r="J7" s="1252">
        <v>-9</v>
      </c>
      <c r="K7" s="1252">
        <v>-10</v>
      </c>
      <c r="L7" s="1252">
        <v>-11</v>
      </c>
      <c r="M7" s="1252">
        <v>-12</v>
      </c>
      <c r="N7" s="1252">
        <v>-13</v>
      </c>
      <c r="O7" s="1252">
        <v>-14</v>
      </c>
      <c r="P7" s="1252">
        <v>-15</v>
      </c>
      <c r="Q7" s="1144"/>
      <c r="R7" s="1144"/>
      <c r="S7" s="1144"/>
      <c r="T7" s="1144"/>
    </row>
    <row r="8" spans="1:20" s="34" customFormat="1" ht="24">
      <c r="A8" s="762" t="s">
        <v>802</v>
      </c>
      <c r="B8" s="762" t="s">
        <v>975</v>
      </c>
      <c r="C8" s="207" t="s">
        <v>1899</v>
      </c>
      <c r="D8" s="207">
        <v>42014</v>
      </c>
      <c r="E8" s="208">
        <v>42036</v>
      </c>
      <c r="F8" s="208">
        <v>42064</v>
      </c>
      <c r="G8" s="208">
        <v>42095</v>
      </c>
      <c r="H8" s="208">
        <v>42125</v>
      </c>
      <c r="I8" s="208">
        <v>42156</v>
      </c>
      <c r="J8" s="208">
        <v>42186</v>
      </c>
      <c r="K8" s="208">
        <v>42217</v>
      </c>
      <c r="L8" s="208">
        <v>42248</v>
      </c>
      <c r="M8" s="208">
        <v>42278</v>
      </c>
      <c r="N8" s="208">
        <v>42309</v>
      </c>
      <c r="O8" s="208">
        <v>42339</v>
      </c>
      <c r="P8" s="209" t="s">
        <v>45</v>
      </c>
      <c r="Q8" s="211"/>
      <c r="R8" s="211"/>
      <c r="S8" s="211"/>
      <c r="T8" s="211"/>
    </row>
    <row r="9" spans="1:20" s="34" customFormat="1">
      <c r="A9" s="281">
        <v>1</v>
      </c>
      <c r="B9" s="203" t="s">
        <v>979</v>
      </c>
      <c r="C9" s="281"/>
      <c r="D9" s="281"/>
      <c r="E9" s="281"/>
      <c r="F9" s="281"/>
      <c r="G9" s="281"/>
      <c r="H9" s="212"/>
      <c r="I9" s="212"/>
      <c r="J9" s="212"/>
      <c r="K9" s="212"/>
      <c r="L9" s="1146"/>
      <c r="M9" s="1146"/>
      <c r="N9" s="1146"/>
      <c r="O9" s="1146"/>
      <c r="P9" s="1146"/>
      <c r="Q9" s="211"/>
      <c r="R9" s="211"/>
      <c r="S9" s="211"/>
      <c r="T9" s="211"/>
    </row>
    <row r="10" spans="1:20" s="34" customFormat="1">
      <c r="A10" s="1151">
        <v>2</v>
      </c>
      <c r="B10" s="211" t="s">
        <v>563</v>
      </c>
      <c r="C10" s="310">
        <v>2350.34</v>
      </c>
      <c r="D10" s="310">
        <v>2350.34</v>
      </c>
      <c r="E10" s="310">
        <v>2350.34</v>
      </c>
      <c r="F10" s="310">
        <v>2350.34</v>
      </c>
      <c r="G10" s="310">
        <v>2350.34</v>
      </c>
      <c r="H10" s="310">
        <v>2350.34</v>
      </c>
      <c r="I10" s="310">
        <v>2350.34</v>
      </c>
      <c r="J10" s="310">
        <v>2350.34</v>
      </c>
      <c r="K10" s="310">
        <v>2350.34</v>
      </c>
      <c r="L10" s="310">
        <v>2350.34</v>
      </c>
      <c r="M10" s="310">
        <v>2350.34</v>
      </c>
      <c r="N10" s="310">
        <v>2350.34</v>
      </c>
      <c r="O10" s="310">
        <v>2350.34</v>
      </c>
      <c r="P10" s="202">
        <v>2350</v>
      </c>
      <c r="Q10" s="211"/>
      <c r="R10" s="211"/>
      <c r="S10" s="211"/>
      <c r="T10" s="211"/>
    </row>
    <row r="11" spans="1:20" s="34" customFormat="1">
      <c r="A11" s="1151">
        <v>3</v>
      </c>
      <c r="B11" s="211" t="s">
        <v>564</v>
      </c>
      <c r="C11" s="202">
        <v>104.36</v>
      </c>
      <c r="D11" s="202">
        <v>104.28</v>
      </c>
      <c r="E11" s="202">
        <v>104.12</v>
      </c>
      <c r="F11" s="202">
        <v>103.72</v>
      </c>
      <c r="G11" s="202">
        <v>103.63</v>
      </c>
      <c r="H11" s="202">
        <v>103.47</v>
      </c>
      <c r="I11" s="202">
        <v>103.39</v>
      </c>
      <c r="J11" s="202">
        <v>103.33</v>
      </c>
      <c r="K11" s="202">
        <v>103.18</v>
      </c>
      <c r="L11" s="202">
        <v>103.09</v>
      </c>
      <c r="M11" s="202">
        <v>103.04</v>
      </c>
      <c r="N11" s="202">
        <v>102.88</v>
      </c>
      <c r="O11" s="202">
        <v>102.84</v>
      </c>
      <c r="P11" s="202">
        <v>103</v>
      </c>
      <c r="Q11" s="211"/>
      <c r="R11" s="211"/>
      <c r="S11" s="211"/>
      <c r="T11" s="211"/>
    </row>
    <row r="12" spans="1:20" s="34" customFormat="1">
      <c r="A12" s="1151">
        <v>4</v>
      </c>
      <c r="B12" s="211" t="s">
        <v>565</v>
      </c>
      <c r="C12" s="202"/>
      <c r="D12" s="202"/>
      <c r="E12" s="202"/>
      <c r="F12" s="202"/>
      <c r="G12" s="202"/>
      <c r="H12" s="202"/>
      <c r="I12" s="202"/>
      <c r="J12" s="202"/>
      <c r="K12" s="202"/>
      <c r="L12" s="202"/>
      <c r="M12" s="202"/>
      <c r="N12" s="202"/>
      <c r="O12" s="202"/>
      <c r="P12" s="202">
        <v>0</v>
      </c>
      <c r="Q12" s="211"/>
      <c r="R12" s="211"/>
      <c r="S12" s="211"/>
      <c r="T12" s="211"/>
    </row>
    <row r="13" spans="1:20" s="34" customFormat="1">
      <c r="A13" s="1151">
        <v>5</v>
      </c>
      <c r="B13" s="203" t="s">
        <v>566</v>
      </c>
      <c r="C13" s="202"/>
      <c r="D13" s="202"/>
      <c r="E13" s="202"/>
      <c r="F13" s="202"/>
      <c r="G13" s="202"/>
      <c r="H13" s="202"/>
      <c r="I13" s="202"/>
      <c r="J13" s="202"/>
      <c r="K13" s="202"/>
      <c r="L13" s="202"/>
      <c r="M13" s="202"/>
      <c r="N13" s="202"/>
      <c r="O13" s="202"/>
      <c r="P13" s="213"/>
      <c r="Q13" s="211"/>
      <c r="R13" s="211"/>
      <c r="S13" s="211"/>
      <c r="T13" s="211"/>
    </row>
    <row r="14" spans="1:20" s="34" customFormat="1">
      <c r="A14" s="1151">
        <v>6</v>
      </c>
      <c r="B14" s="211" t="s">
        <v>567</v>
      </c>
      <c r="C14" s="202">
        <v>0</v>
      </c>
      <c r="D14" s="202">
        <v>0</v>
      </c>
      <c r="E14" s="202">
        <v>0</v>
      </c>
      <c r="F14" s="202">
        <v>0</v>
      </c>
      <c r="G14" s="202">
        <v>0</v>
      </c>
      <c r="H14" s="202">
        <v>0</v>
      </c>
      <c r="I14" s="202">
        <v>0</v>
      </c>
      <c r="J14" s="202">
        <v>0</v>
      </c>
      <c r="K14" s="202">
        <v>0</v>
      </c>
      <c r="L14" s="202">
        <v>0</v>
      </c>
      <c r="M14" s="202">
        <v>0</v>
      </c>
      <c r="N14" s="202">
        <v>0</v>
      </c>
      <c r="O14" s="202">
        <v>0</v>
      </c>
      <c r="P14" s="202">
        <v>0</v>
      </c>
      <c r="Q14" s="211"/>
      <c r="R14" s="211"/>
      <c r="S14" s="211"/>
      <c r="T14" s="211"/>
    </row>
    <row r="15" spans="1:20" s="34" customFormat="1">
      <c r="A15" s="1151">
        <v>7</v>
      </c>
      <c r="B15" s="211" t="s">
        <v>568</v>
      </c>
      <c r="C15" s="202">
        <v>0</v>
      </c>
      <c r="D15" s="202">
        <v>0</v>
      </c>
      <c r="E15" s="202">
        <v>0</v>
      </c>
      <c r="F15" s="202">
        <v>0</v>
      </c>
      <c r="G15" s="202">
        <v>0</v>
      </c>
      <c r="H15" s="202">
        <v>0</v>
      </c>
      <c r="I15" s="202">
        <v>0</v>
      </c>
      <c r="J15" s="202">
        <v>0</v>
      </c>
      <c r="K15" s="202">
        <v>0</v>
      </c>
      <c r="L15" s="202">
        <v>0</v>
      </c>
      <c r="M15" s="202">
        <v>0</v>
      </c>
      <c r="N15" s="202">
        <v>0</v>
      </c>
      <c r="O15" s="202">
        <v>0</v>
      </c>
      <c r="P15" s="202">
        <v>0</v>
      </c>
      <c r="Q15" s="211"/>
      <c r="R15" s="211"/>
      <c r="S15" s="211"/>
      <c r="T15" s="211"/>
    </row>
    <row r="16" spans="1:20" s="34" customFormat="1">
      <c r="A16" s="1151">
        <v>8</v>
      </c>
      <c r="B16" s="709" t="s">
        <v>370</v>
      </c>
      <c r="C16" s="202">
        <v>0</v>
      </c>
      <c r="D16" s="202">
        <v>0</v>
      </c>
      <c r="E16" s="202">
        <v>0</v>
      </c>
      <c r="F16" s="202">
        <v>0</v>
      </c>
      <c r="G16" s="202">
        <v>0</v>
      </c>
      <c r="H16" s="202">
        <v>0</v>
      </c>
      <c r="I16" s="202">
        <v>0</v>
      </c>
      <c r="J16" s="202">
        <v>0</v>
      </c>
      <c r="K16" s="202">
        <v>0</v>
      </c>
      <c r="L16" s="202">
        <v>0</v>
      </c>
      <c r="M16" s="202">
        <v>0</v>
      </c>
      <c r="N16" s="202">
        <v>0</v>
      </c>
      <c r="O16" s="202">
        <v>0</v>
      </c>
      <c r="P16" s="202">
        <v>0</v>
      </c>
      <c r="Q16" s="211"/>
      <c r="R16" s="211"/>
      <c r="S16" s="211"/>
      <c r="T16" s="211"/>
    </row>
    <row r="17" spans="1:20" s="34" customFormat="1">
      <c r="A17" s="1151">
        <v>9</v>
      </c>
      <c r="B17" s="211" t="s">
        <v>569</v>
      </c>
      <c r="C17" s="202">
        <v>244274.56</v>
      </c>
      <c r="D17" s="202">
        <v>244274.56</v>
      </c>
      <c r="E17" s="202">
        <v>244274.56</v>
      </c>
      <c r="F17" s="202">
        <v>244355.36</v>
      </c>
      <c r="G17" s="202">
        <v>244355.36</v>
      </c>
      <c r="H17" s="202">
        <v>244429.19</v>
      </c>
      <c r="I17" s="202">
        <v>244429.19</v>
      </c>
      <c r="J17" s="202">
        <v>244429.19</v>
      </c>
      <c r="K17" s="202">
        <v>244879.19</v>
      </c>
      <c r="L17" s="202">
        <v>244879.19</v>
      </c>
      <c r="M17" s="202">
        <v>244969.19</v>
      </c>
      <c r="N17" s="202">
        <v>248969.19</v>
      </c>
      <c r="O17" s="202">
        <v>248969.19</v>
      </c>
      <c r="P17" s="202">
        <v>245191</v>
      </c>
      <c r="Q17" s="211"/>
      <c r="R17" s="211"/>
      <c r="S17" s="211"/>
      <c r="T17" s="211"/>
    </row>
    <row r="18" spans="1:20" s="34" customFormat="1">
      <c r="A18" s="1151">
        <v>10</v>
      </c>
      <c r="B18" s="211" t="s">
        <v>570</v>
      </c>
      <c r="C18" s="202">
        <v>2550470.9499999997</v>
      </c>
      <c r="D18" s="202">
        <v>2550806.19</v>
      </c>
      <c r="E18" s="202">
        <v>2554176.39</v>
      </c>
      <c r="F18" s="202">
        <v>2555450.7800000003</v>
      </c>
      <c r="G18" s="202">
        <v>2555450.7800000003</v>
      </c>
      <c r="H18" s="202">
        <v>2555581.0700000003</v>
      </c>
      <c r="I18" s="202">
        <v>2555671.0700000003</v>
      </c>
      <c r="J18" s="202">
        <v>2555912.81</v>
      </c>
      <c r="K18" s="202">
        <v>2556697.16</v>
      </c>
      <c r="L18" s="202">
        <v>2562057.7400000002</v>
      </c>
      <c r="M18" s="202">
        <v>2564516.25</v>
      </c>
      <c r="N18" s="202">
        <v>2564937.9900000002</v>
      </c>
      <c r="O18" s="202">
        <v>2567155.31</v>
      </c>
      <c r="P18" s="202">
        <v>2557606</v>
      </c>
      <c r="Q18" s="211"/>
      <c r="R18" s="211"/>
      <c r="S18" s="211"/>
      <c r="T18" s="211"/>
    </row>
    <row r="19" spans="1:20" s="34" customFormat="1">
      <c r="A19" s="1151">
        <v>11</v>
      </c>
      <c r="B19" s="211" t="s">
        <v>571</v>
      </c>
      <c r="C19" s="202">
        <v>0</v>
      </c>
      <c r="D19" s="202">
        <v>0</v>
      </c>
      <c r="E19" s="202">
        <v>0</v>
      </c>
      <c r="F19" s="202">
        <v>0</v>
      </c>
      <c r="G19" s="202">
        <v>0</v>
      </c>
      <c r="H19" s="202">
        <v>0</v>
      </c>
      <c r="I19" s="202">
        <v>0</v>
      </c>
      <c r="J19" s="202">
        <v>0</v>
      </c>
      <c r="K19" s="202">
        <v>0</v>
      </c>
      <c r="L19" s="202">
        <v>0</v>
      </c>
      <c r="M19" s="202">
        <v>0</v>
      </c>
      <c r="N19" s="202">
        <v>0</v>
      </c>
      <c r="O19" s="202">
        <v>0</v>
      </c>
      <c r="P19" s="202">
        <v>0</v>
      </c>
      <c r="Q19" s="211"/>
      <c r="R19" s="211"/>
      <c r="S19" s="211"/>
      <c r="T19" s="211"/>
    </row>
    <row r="20" spans="1:20" s="34" customFormat="1">
      <c r="A20" s="1151">
        <v>12</v>
      </c>
      <c r="B20" s="211" t="s">
        <v>1104</v>
      </c>
      <c r="C20" s="202">
        <v>131589.92000000001</v>
      </c>
      <c r="D20" s="202">
        <v>131589.92000000001</v>
      </c>
      <c r="E20" s="202">
        <v>131589.92000000001</v>
      </c>
      <c r="F20" s="202">
        <v>131589.92000000001</v>
      </c>
      <c r="G20" s="202">
        <v>131589.92000000001</v>
      </c>
      <c r="H20" s="202">
        <v>131589.92000000001</v>
      </c>
      <c r="I20" s="202">
        <v>131589.92000000001</v>
      </c>
      <c r="J20" s="202">
        <v>131589.92000000001</v>
      </c>
      <c r="K20" s="202">
        <v>131589.92000000001</v>
      </c>
      <c r="L20" s="202">
        <v>131589.92000000001</v>
      </c>
      <c r="M20" s="202">
        <v>131589.92000000001</v>
      </c>
      <c r="N20" s="202">
        <v>131589.92000000001</v>
      </c>
      <c r="O20" s="202">
        <v>135174.92000000001</v>
      </c>
      <c r="P20" s="202">
        <v>131866</v>
      </c>
      <c r="Q20" s="211"/>
      <c r="R20" s="211"/>
      <c r="S20" s="211"/>
      <c r="T20" s="211"/>
    </row>
    <row r="21" spans="1:20" s="34" customFormat="1">
      <c r="A21" s="1151">
        <v>13</v>
      </c>
      <c r="B21" s="211" t="s">
        <v>1105</v>
      </c>
      <c r="C21" s="202">
        <v>1028.94</v>
      </c>
      <c r="D21" s="202">
        <v>3779.41</v>
      </c>
      <c r="E21" s="202">
        <v>3779.41</v>
      </c>
      <c r="F21" s="202">
        <v>3779.41</v>
      </c>
      <c r="G21" s="202">
        <v>3779.41</v>
      </c>
      <c r="H21" s="202">
        <v>3779.41</v>
      </c>
      <c r="I21" s="202">
        <v>3779.41</v>
      </c>
      <c r="J21" s="202">
        <v>3779.41</v>
      </c>
      <c r="K21" s="202">
        <v>3779.41</v>
      </c>
      <c r="L21" s="202">
        <v>3779.41</v>
      </c>
      <c r="M21" s="202">
        <v>5715.54</v>
      </c>
      <c r="N21" s="202">
        <v>5715.54</v>
      </c>
      <c r="O21" s="202">
        <v>5715.54</v>
      </c>
      <c r="P21" s="202">
        <v>4015</v>
      </c>
      <c r="Q21" s="211"/>
      <c r="R21" s="211"/>
      <c r="S21" s="211"/>
      <c r="T21" s="211"/>
    </row>
    <row r="22" spans="1:20" s="34" customFormat="1">
      <c r="A22" s="1151">
        <v>14</v>
      </c>
      <c r="B22" s="211" t="s">
        <v>1106</v>
      </c>
      <c r="C22" s="202"/>
      <c r="D22" s="202"/>
      <c r="E22" s="202"/>
      <c r="F22" s="202"/>
      <c r="G22" s="202"/>
      <c r="H22" s="202"/>
      <c r="I22" s="202"/>
      <c r="J22" s="202"/>
      <c r="K22" s="202"/>
      <c r="L22" s="202"/>
      <c r="M22" s="202"/>
      <c r="N22" s="202"/>
      <c r="O22" s="202"/>
      <c r="P22" s="202">
        <v>0</v>
      </c>
      <c r="Q22" s="211"/>
      <c r="R22" s="211"/>
      <c r="S22" s="211"/>
      <c r="T22" s="211"/>
    </row>
    <row r="23" spans="1:20" s="34" customFormat="1">
      <c r="A23" s="1151">
        <v>15</v>
      </c>
      <c r="B23" s="211" t="s">
        <v>1107</v>
      </c>
      <c r="C23" s="202">
        <v>1430.57</v>
      </c>
      <c r="D23" s="202">
        <v>1430.57</v>
      </c>
      <c r="E23" s="202">
        <v>1430.57</v>
      </c>
      <c r="F23" s="202">
        <v>1430.57</v>
      </c>
      <c r="G23" s="202">
        <v>1430.57</v>
      </c>
      <c r="H23" s="202">
        <v>1430.57</v>
      </c>
      <c r="I23" s="202">
        <v>1430.57</v>
      </c>
      <c r="J23" s="202">
        <v>1430.57</v>
      </c>
      <c r="K23" s="202">
        <v>1430.57</v>
      </c>
      <c r="L23" s="202">
        <v>1430.57</v>
      </c>
      <c r="M23" s="202">
        <v>1430.57</v>
      </c>
      <c r="N23" s="202">
        <v>1430.57</v>
      </c>
      <c r="O23" s="202">
        <v>1430.57</v>
      </c>
      <c r="P23" s="202">
        <v>1431</v>
      </c>
      <c r="Q23" s="211"/>
      <c r="R23" s="211"/>
      <c r="S23" s="211"/>
      <c r="T23" s="211"/>
    </row>
    <row r="24" spans="1:20" s="34" customFormat="1">
      <c r="A24" s="1151">
        <v>16</v>
      </c>
      <c r="B24" s="203" t="s">
        <v>1108</v>
      </c>
      <c r="C24" s="202"/>
      <c r="D24" s="202"/>
      <c r="E24" s="202"/>
      <c r="F24" s="202"/>
      <c r="G24" s="202"/>
      <c r="H24" s="202"/>
      <c r="I24" s="202"/>
      <c r="J24" s="202"/>
      <c r="K24" s="202"/>
      <c r="L24" s="202"/>
      <c r="M24" s="202"/>
      <c r="N24" s="202"/>
      <c r="O24" s="202"/>
      <c r="P24" s="202"/>
      <c r="Q24" s="211"/>
      <c r="R24" s="211"/>
      <c r="S24" s="211"/>
      <c r="T24" s="211"/>
    </row>
    <row r="25" spans="1:20" s="34" customFormat="1">
      <c r="A25" s="1151">
        <v>17</v>
      </c>
      <c r="B25" s="211" t="s">
        <v>1109</v>
      </c>
      <c r="C25" s="202"/>
      <c r="D25" s="202"/>
      <c r="E25" s="202"/>
      <c r="F25" s="202"/>
      <c r="G25" s="202"/>
      <c r="H25" s="202"/>
      <c r="I25" s="202"/>
      <c r="J25" s="202"/>
      <c r="K25" s="202"/>
      <c r="L25" s="202"/>
      <c r="M25" s="202"/>
      <c r="N25" s="202"/>
      <c r="O25" s="202"/>
      <c r="P25" s="202">
        <v>0</v>
      </c>
      <c r="Q25" s="211"/>
      <c r="R25" s="211"/>
      <c r="S25" s="211"/>
      <c r="T25" s="211"/>
    </row>
    <row r="26" spans="1:20" s="34" customFormat="1">
      <c r="A26" s="1151">
        <v>18</v>
      </c>
      <c r="B26" s="211" t="s">
        <v>1110</v>
      </c>
      <c r="C26" s="202">
        <v>295114.01</v>
      </c>
      <c r="D26" s="202">
        <v>295114.01</v>
      </c>
      <c r="E26" s="202">
        <v>296864.01</v>
      </c>
      <c r="F26" s="202">
        <v>296864.01</v>
      </c>
      <c r="G26" s="202">
        <v>309947.96999999997</v>
      </c>
      <c r="H26" s="202">
        <v>305107.96999999997</v>
      </c>
      <c r="I26" s="202">
        <v>818281.59</v>
      </c>
      <c r="J26" s="202">
        <v>854792.46</v>
      </c>
      <c r="K26" s="202">
        <v>854792.46</v>
      </c>
      <c r="L26" s="202">
        <v>598892.46</v>
      </c>
      <c r="M26" s="202">
        <v>598892.46</v>
      </c>
      <c r="N26" s="202">
        <v>598892.46</v>
      </c>
      <c r="O26" s="202">
        <v>598892.46</v>
      </c>
      <c r="P26" s="202">
        <v>517111</v>
      </c>
      <c r="Q26" s="211"/>
      <c r="R26" s="211"/>
      <c r="S26" s="211"/>
      <c r="T26" s="211"/>
    </row>
    <row r="27" spans="1:20" s="34" customFormat="1">
      <c r="A27" s="1151">
        <v>19</v>
      </c>
      <c r="B27" s="211" t="s">
        <v>1111</v>
      </c>
      <c r="C27" s="202"/>
      <c r="D27" s="202"/>
      <c r="E27" s="202"/>
      <c r="F27" s="202"/>
      <c r="G27" s="202"/>
      <c r="H27" s="202"/>
      <c r="I27" s="202"/>
      <c r="J27" s="202"/>
      <c r="K27" s="202"/>
      <c r="L27" s="202"/>
      <c r="M27" s="202"/>
      <c r="N27" s="202"/>
      <c r="O27" s="202"/>
      <c r="P27" s="202">
        <v>0</v>
      </c>
      <c r="Q27" s="211"/>
      <c r="R27" s="211"/>
      <c r="S27" s="211"/>
      <c r="T27" s="211"/>
    </row>
    <row r="28" spans="1:20" s="34" customFormat="1">
      <c r="A28" s="1151">
        <v>20</v>
      </c>
      <c r="B28" s="211" t="s">
        <v>1112</v>
      </c>
      <c r="C28" s="202">
        <v>243029.37</v>
      </c>
      <c r="D28" s="202">
        <v>243029.37</v>
      </c>
      <c r="E28" s="202">
        <v>245166.8</v>
      </c>
      <c r="F28" s="202">
        <v>245466.8</v>
      </c>
      <c r="G28" s="202">
        <v>256385.71</v>
      </c>
      <c r="H28" s="202">
        <v>247339.58</v>
      </c>
      <c r="I28" s="202">
        <v>247420.16</v>
      </c>
      <c r="J28" s="202">
        <v>247420.16</v>
      </c>
      <c r="K28" s="202">
        <v>247420.16</v>
      </c>
      <c r="L28" s="202">
        <v>247420.16</v>
      </c>
      <c r="M28" s="202">
        <v>247420.16</v>
      </c>
      <c r="N28" s="202">
        <v>247420.16</v>
      </c>
      <c r="O28" s="202">
        <v>247690.16</v>
      </c>
      <c r="P28" s="202">
        <v>247125</v>
      </c>
      <c r="Q28" s="211"/>
      <c r="R28" s="211"/>
      <c r="S28" s="211"/>
      <c r="T28" s="211"/>
    </row>
    <row r="29" spans="1:20" s="34" customFormat="1">
      <c r="A29" s="1151">
        <v>21</v>
      </c>
      <c r="B29" s="211" t="s">
        <v>1113</v>
      </c>
      <c r="C29" s="202">
        <v>8716.56</v>
      </c>
      <c r="D29" s="202">
        <v>8716.56</v>
      </c>
      <c r="E29" s="202">
        <v>8716.56</v>
      </c>
      <c r="F29" s="202">
        <v>8716.56</v>
      </c>
      <c r="G29" s="202">
        <v>8716.56</v>
      </c>
      <c r="H29" s="202">
        <v>8716.56</v>
      </c>
      <c r="I29" s="202">
        <v>8716.56</v>
      </c>
      <c r="J29" s="202">
        <v>8716.56</v>
      </c>
      <c r="K29" s="202">
        <v>8716.56</v>
      </c>
      <c r="L29" s="202">
        <v>8716.56</v>
      </c>
      <c r="M29" s="202">
        <v>8716.56</v>
      </c>
      <c r="N29" s="202">
        <v>8716.56</v>
      </c>
      <c r="O29" s="202">
        <v>8716.56</v>
      </c>
      <c r="P29" s="202">
        <v>8717</v>
      </c>
      <c r="Q29" s="211"/>
      <c r="R29" s="211"/>
      <c r="S29" s="211"/>
      <c r="T29" s="211"/>
    </row>
    <row r="30" spans="1:20" s="34" customFormat="1">
      <c r="A30" s="1151">
        <v>22</v>
      </c>
      <c r="B30" s="203" t="s">
        <v>922</v>
      </c>
      <c r="C30" s="202"/>
      <c r="D30" s="202"/>
      <c r="E30" s="202"/>
      <c r="F30" s="202"/>
      <c r="G30" s="202"/>
      <c r="H30" s="202"/>
      <c r="I30" s="202"/>
      <c r="J30" s="202"/>
      <c r="K30" s="202"/>
      <c r="L30" s="202"/>
      <c r="M30" s="202"/>
      <c r="N30" s="202"/>
      <c r="O30" s="202"/>
      <c r="P30" s="202"/>
      <c r="Q30" s="211"/>
      <c r="R30" s="211"/>
      <c r="S30" s="211"/>
      <c r="T30" s="211"/>
    </row>
    <row r="31" spans="1:20" s="34" customFormat="1">
      <c r="A31" s="1151">
        <v>23</v>
      </c>
      <c r="B31" s="211" t="s">
        <v>791</v>
      </c>
      <c r="C31" s="202">
        <v>18403.25</v>
      </c>
      <c r="D31" s="202">
        <v>18403.25</v>
      </c>
      <c r="E31" s="202">
        <v>18403.25</v>
      </c>
      <c r="F31" s="202">
        <v>18403.25</v>
      </c>
      <c r="G31" s="202">
        <v>18403.25</v>
      </c>
      <c r="H31" s="202">
        <v>18403.25</v>
      </c>
      <c r="I31" s="202">
        <v>18403.25</v>
      </c>
      <c r="J31" s="202">
        <v>18403.25</v>
      </c>
      <c r="K31" s="202">
        <v>18403.25</v>
      </c>
      <c r="L31" s="202">
        <v>18403.25</v>
      </c>
      <c r="M31" s="202">
        <v>18403.25</v>
      </c>
      <c r="N31" s="202">
        <v>18403.25</v>
      </c>
      <c r="O31" s="202">
        <v>18403.25</v>
      </c>
      <c r="P31" s="202">
        <v>18403</v>
      </c>
      <c r="Q31" s="211"/>
      <c r="R31" s="211"/>
      <c r="S31" s="211"/>
      <c r="T31" s="211"/>
    </row>
    <row r="32" spans="1:20" s="34" customFormat="1">
      <c r="A32" s="1151">
        <v>24</v>
      </c>
      <c r="B32" s="211" t="s">
        <v>1507</v>
      </c>
      <c r="C32" s="202">
        <v>137954.18</v>
      </c>
      <c r="D32" s="202">
        <v>137954.18</v>
      </c>
      <c r="E32" s="202">
        <v>137954.18</v>
      </c>
      <c r="F32" s="202">
        <v>137954.18</v>
      </c>
      <c r="G32" s="202">
        <v>138315.01999999999</v>
      </c>
      <c r="H32" s="202">
        <v>138315.01999999999</v>
      </c>
      <c r="I32" s="202">
        <v>138330.32</v>
      </c>
      <c r="J32" s="202">
        <v>157723.32</v>
      </c>
      <c r="K32" s="202">
        <v>158731.54999999999</v>
      </c>
      <c r="L32" s="202">
        <v>164138.9</v>
      </c>
      <c r="M32" s="202">
        <v>166923.98000000001</v>
      </c>
      <c r="N32" s="202">
        <v>167756.37</v>
      </c>
      <c r="O32" s="202">
        <v>167756.37</v>
      </c>
      <c r="P32" s="202">
        <v>149985</v>
      </c>
      <c r="Q32" s="211"/>
      <c r="R32" s="211"/>
      <c r="S32" s="211"/>
      <c r="T32" s="211"/>
    </row>
    <row r="33" spans="1:20" s="34" customFormat="1">
      <c r="A33" s="1151">
        <v>25</v>
      </c>
      <c r="B33" s="709" t="s">
        <v>1544</v>
      </c>
      <c r="C33" s="202">
        <v>348.93</v>
      </c>
      <c r="D33" s="202">
        <v>348.93</v>
      </c>
      <c r="E33" s="202">
        <v>348.93</v>
      </c>
      <c r="F33" s="202">
        <v>348.93</v>
      </c>
      <c r="G33" s="202">
        <v>348.93</v>
      </c>
      <c r="H33" s="202">
        <v>348.93</v>
      </c>
      <c r="I33" s="202">
        <v>348.93</v>
      </c>
      <c r="J33" s="202">
        <v>348.93</v>
      </c>
      <c r="K33" s="202">
        <v>469.8</v>
      </c>
      <c r="L33" s="202">
        <v>469.8</v>
      </c>
      <c r="M33" s="202">
        <v>550.38</v>
      </c>
      <c r="N33" s="202">
        <v>953.28</v>
      </c>
      <c r="O33" s="202">
        <v>953.28</v>
      </c>
      <c r="P33" s="202">
        <v>476</v>
      </c>
      <c r="Q33" s="211"/>
      <c r="R33" s="211"/>
      <c r="S33" s="211"/>
      <c r="T33" s="211"/>
    </row>
    <row r="34" spans="1:20" s="34" customFormat="1">
      <c r="A34" s="1151">
        <v>26</v>
      </c>
      <c r="B34" s="211" t="s">
        <v>1508</v>
      </c>
      <c r="C34" s="202">
        <v>993502.45</v>
      </c>
      <c r="D34" s="202">
        <v>993595.21</v>
      </c>
      <c r="E34" s="202">
        <v>995048.42</v>
      </c>
      <c r="F34" s="202">
        <v>999428.14</v>
      </c>
      <c r="G34" s="202">
        <v>1001008.49</v>
      </c>
      <c r="H34" s="202">
        <v>1005811.09</v>
      </c>
      <c r="I34" s="202">
        <v>1006091.38</v>
      </c>
      <c r="J34" s="202">
        <v>1007853.8</v>
      </c>
      <c r="K34" s="202">
        <v>1012196.45</v>
      </c>
      <c r="L34" s="202">
        <v>1013901.08</v>
      </c>
      <c r="M34" s="202">
        <v>1015917.43</v>
      </c>
      <c r="N34" s="202">
        <v>1016688.41</v>
      </c>
      <c r="O34" s="202">
        <v>1018738.52</v>
      </c>
      <c r="P34" s="202">
        <v>1006137</v>
      </c>
      <c r="Q34" s="211"/>
      <c r="R34" s="211"/>
      <c r="S34" s="211"/>
      <c r="T34" s="211"/>
    </row>
    <row r="35" spans="1:20" s="34" customFormat="1">
      <c r="A35" s="1151">
        <v>27</v>
      </c>
      <c r="B35" s="211" t="s">
        <v>1509</v>
      </c>
      <c r="C35" s="202">
        <v>63709.93</v>
      </c>
      <c r="D35" s="202">
        <v>65736.929999999993</v>
      </c>
      <c r="E35" s="202">
        <v>65736.929999999993</v>
      </c>
      <c r="F35" s="202">
        <v>68697.759999999995</v>
      </c>
      <c r="G35" s="202">
        <v>68899.210000000006</v>
      </c>
      <c r="H35" s="202">
        <v>68899.210000000006</v>
      </c>
      <c r="I35" s="202">
        <v>68899.210000000006</v>
      </c>
      <c r="J35" s="202">
        <v>68907.19</v>
      </c>
      <c r="K35" s="202">
        <v>66802.880000000005</v>
      </c>
      <c r="L35" s="202">
        <v>66802.880000000005</v>
      </c>
      <c r="M35" s="202">
        <v>67143.960000000006</v>
      </c>
      <c r="N35" s="202">
        <v>67203.92</v>
      </c>
      <c r="O35" s="202">
        <v>67203.92</v>
      </c>
      <c r="P35" s="202">
        <v>67280</v>
      </c>
      <c r="Q35" s="211"/>
      <c r="R35" s="211"/>
      <c r="S35" s="211"/>
      <c r="T35" s="211"/>
    </row>
    <row r="36" spans="1:20" s="34" customFormat="1">
      <c r="A36" s="1151">
        <v>28</v>
      </c>
      <c r="B36" s="211" t="s">
        <v>1510</v>
      </c>
      <c r="C36" s="202">
        <v>221.52</v>
      </c>
      <c r="D36" s="202">
        <v>221.52</v>
      </c>
      <c r="E36" s="202">
        <v>221.52</v>
      </c>
      <c r="F36" s="202">
        <v>221.52</v>
      </c>
      <c r="G36" s="202">
        <v>221.52</v>
      </c>
      <c r="H36" s="202">
        <v>221.52</v>
      </c>
      <c r="I36" s="202">
        <v>221.52</v>
      </c>
      <c r="J36" s="202">
        <v>221.52</v>
      </c>
      <c r="K36" s="202">
        <v>221.52</v>
      </c>
      <c r="L36" s="202">
        <v>221.52</v>
      </c>
      <c r="M36" s="202">
        <v>221.52</v>
      </c>
      <c r="N36" s="202">
        <v>221.52</v>
      </c>
      <c r="O36" s="202">
        <v>221.52</v>
      </c>
      <c r="P36" s="202">
        <v>222</v>
      </c>
      <c r="Q36" s="211"/>
      <c r="R36" s="211"/>
      <c r="S36" s="211"/>
      <c r="T36" s="211"/>
    </row>
    <row r="37" spans="1:20" s="34" customFormat="1">
      <c r="A37" s="1151">
        <v>29</v>
      </c>
      <c r="B37" s="211" t="s">
        <v>1407</v>
      </c>
      <c r="C37" s="202">
        <v>6328.75</v>
      </c>
      <c r="D37" s="202">
        <v>6328.75</v>
      </c>
      <c r="E37" s="202">
        <v>6328.75</v>
      </c>
      <c r="F37" s="202">
        <v>6328.75</v>
      </c>
      <c r="G37" s="202">
        <v>6328.75</v>
      </c>
      <c r="H37" s="202">
        <v>6328.75</v>
      </c>
      <c r="I37" s="202">
        <v>6328.75</v>
      </c>
      <c r="J37" s="202">
        <v>6369.04</v>
      </c>
      <c r="K37" s="202">
        <v>6369.04</v>
      </c>
      <c r="L37" s="202">
        <v>6369.04</v>
      </c>
      <c r="M37" s="202">
        <v>6369.04</v>
      </c>
      <c r="N37" s="202">
        <v>6369.04</v>
      </c>
      <c r="O37" s="202">
        <v>6369.04</v>
      </c>
      <c r="P37" s="202">
        <v>6347</v>
      </c>
      <c r="Q37" s="211"/>
      <c r="R37" s="211"/>
      <c r="S37" s="211"/>
      <c r="T37" s="211"/>
    </row>
    <row r="38" spans="1:20" s="34" customFormat="1">
      <c r="A38" s="1151">
        <v>30</v>
      </c>
      <c r="B38" s="203" t="s">
        <v>1291</v>
      </c>
      <c r="C38" s="202"/>
      <c r="D38" s="202"/>
      <c r="E38" s="202"/>
      <c r="F38" s="202"/>
      <c r="G38" s="202"/>
      <c r="H38" s="202"/>
      <c r="I38" s="202"/>
      <c r="J38" s="202"/>
      <c r="K38" s="202"/>
      <c r="L38" s="202"/>
      <c r="M38" s="202"/>
      <c r="N38" s="202"/>
      <c r="O38" s="202"/>
      <c r="P38" s="202"/>
      <c r="Q38" s="211"/>
      <c r="R38" s="211"/>
      <c r="S38" s="211"/>
      <c r="T38" s="211"/>
    </row>
    <row r="39" spans="1:20" s="34" customFormat="1">
      <c r="A39" s="1151">
        <v>31</v>
      </c>
      <c r="B39" s="324" t="s">
        <v>1541</v>
      </c>
      <c r="C39" s="202">
        <v>0</v>
      </c>
      <c r="D39" s="202">
        <v>0</v>
      </c>
      <c r="E39" s="202">
        <v>0</v>
      </c>
      <c r="F39" s="202">
        <v>0</v>
      </c>
      <c r="G39" s="202">
        <v>0</v>
      </c>
      <c r="H39" s="202">
        <v>0</v>
      </c>
      <c r="I39" s="202">
        <v>0</v>
      </c>
      <c r="J39" s="202">
        <v>0</v>
      </c>
      <c r="K39" s="202">
        <v>0</v>
      </c>
      <c r="L39" s="202">
        <v>0</v>
      </c>
      <c r="M39" s="202">
        <v>0</v>
      </c>
      <c r="N39" s="202">
        <v>0</v>
      </c>
      <c r="O39" s="202">
        <v>0</v>
      </c>
      <c r="P39" s="202">
        <v>0</v>
      </c>
      <c r="Q39" s="211"/>
      <c r="R39" s="211"/>
      <c r="S39" s="211"/>
      <c r="T39" s="211"/>
    </row>
    <row r="40" spans="1:20" s="34" customFormat="1">
      <c r="A40" s="1151">
        <v>32</v>
      </c>
      <c r="B40" s="324" t="s">
        <v>1829</v>
      </c>
      <c r="C40" s="202">
        <v>193</v>
      </c>
      <c r="D40" s="202">
        <v>193</v>
      </c>
      <c r="E40" s="202">
        <v>193</v>
      </c>
      <c r="F40" s="202">
        <v>193</v>
      </c>
      <c r="G40" s="202">
        <v>193</v>
      </c>
      <c r="H40" s="202">
        <v>193</v>
      </c>
      <c r="I40" s="202">
        <v>193</v>
      </c>
      <c r="J40" s="202">
        <v>193</v>
      </c>
      <c r="K40" s="202">
        <v>193</v>
      </c>
      <c r="L40" s="202">
        <v>193</v>
      </c>
      <c r="M40" s="202">
        <v>193</v>
      </c>
      <c r="N40" s="202">
        <v>193</v>
      </c>
      <c r="O40" s="202">
        <v>193</v>
      </c>
      <c r="P40" s="202">
        <v>193</v>
      </c>
      <c r="Q40" s="211"/>
      <c r="R40" s="211"/>
      <c r="S40" s="211"/>
      <c r="T40" s="211"/>
    </row>
    <row r="41" spans="1:20" s="34" customFormat="1">
      <c r="A41" s="1151">
        <v>33</v>
      </c>
      <c r="B41" s="709" t="s">
        <v>1827</v>
      </c>
      <c r="C41" s="202">
        <v>0</v>
      </c>
      <c r="D41" s="202">
        <v>0</v>
      </c>
      <c r="E41" s="202">
        <v>0</v>
      </c>
      <c r="F41" s="202">
        <v>0</v>
      </c>
      <c r="G41" s="202">
        <v>0</v>
      </c>
      <c r="H41" s="202">
        <v>0</v>
      </c>
      <c r="I41" s="202">
        <v>0</v>
      </c>
      <c r="J41" s="202">
        <v>0</v>
      </c>
      <c r="K41" s="202">
        <v>0</v>
      </c>
      <c r="L41" s="202">
        <v>0</v>
      </c>
      <c r="M41" s="202">
        <v>0</v>
      </c>
      <c r="N41" s="202">
        <v>0</v>
      </c>
      <c r="O41" s="202">
        <v>0</v>
      </c>
      <c r="P41" s="202">
        <v>0</v>
      </c>
      <c r="Q41" s="211"/>
      <c r="R41" s="211"/>
      <c r="S41" s="211"/>
      <c r="T41" s="211"/>
    </row>
    <row r="42" spans="1:20" s="34" customFormat="1">
      <c r="A42" s="1151">
        <v>34</v>
      </c>
      <c r="B42" s="709" t="s">
        <v>1828</v>
      </c>
      <c r="C42" s="202">
        <v>0</v>
      </c>
      <c r="D42" s="202">
        <v>0</v>
      </c>
      <c r="E42" s="202">
        <v>0</v>
      </c>
      <c r="F42" s="202">
        <v>0</v>
      </c>
      <c r="G42" s="202">
        <v>0</v>
      </c>
      <c r="H42" s="202">
        <v>0</v>
      </c>
      <c r="I42" s="202">
        <v>0</v>
      </c>
      <c r="J42" s="202">
        <v>0</v>
      </c>
      <c r="K42" s="202">
        <v>0</v>
      </c>
      <c r="L42" s="202">
        <v>0</v>
      </c>
      <c r="M42" s="202">
        <v>0</v>
      </c>
      <c r="N42" s="202">
        <v>0</v>
      </c>
      <c r="O42" s="202">
        <v>0</v>
      </c>
      <c r="P42" s="202">
        <v>0</v>
      </c>
      <c r="Q42" s="211"/>
      <c r="R42" s="211"/>
      <c r="S42" s="211"/>
      <c r="T42" s="211"/>
    </row>
    <row r="43" spans="1:20" s="34" customFormat="1">
      <c r="A43" s="1151">
        <v>35</v>
      </c>
      <c r="B43" s="324" t="s">
        <v>373</v>
      </c>
      <c r="C43" s="202">
        <v>0</v>
      </c>
      <c r="D43" s="202">
        <v>0</v>
      </c>
      <c r="E43" s="202">
        <v>0</v>
      </c>
      <c r="F43" s="202">
        <v>0</v>
      </c>
      <c r="G43" s="202">
        <v>0</v>
      </c>
      <c r="H43" s="202">
        <v>0</v>
      </c>
      <c r="I43" s="202">
        <v>0</v>
      </c>
      <c r="J43" s="202">
        <v>0</v>
      </c>
      <c r="K43" s="202">
        <v>0</v>
      </c>
      <c r="L43" s="202">
        <v>0</v>
      </c>
      <c r="M43" s="202">
        <v>0</v>
      </c>
      <c r="N43" s="202">
        <v>0</v>
      </c>
      <c r="O43" s="202">
        <v>0</v>
      </c>
      <c r="P43" s="202">
        <v>0</v>
      </c>
      <c r="Q43" s="211"/>
      <c r="R43" s="211"/>
      <c r="S43" s="211"/>
      <c r="T43" s="211"/>
    </row>
    <row r="44" spans="1:20" s="34" customFormat="1">
      <c r="A44" s="1151">
        <v>36</v>
      </c>
      <c r="B44" s="324" t="s">
        <v>374</v>
      </c>
      <c r="C44" s="202">
        <v>8873.93</v>
      </c>
      <c r="D44" s="202">
        <v>9478.58</v>
      </c>
      <c r="E44" s="202">
        <v>9478.58</v>
      </c>
      <c r="F44" s="202">
        <v>9478.58</v>
      </c>
      <c r="G44" s="202">
        <v>9659.89</v>
      </c>
      <c r="H44" s="202">
        <v>9659.89</v>
      </c>
      <c r="I44" s="202">
        <v>9861.34</v>
      </c>
      <c r="J44" s="202">
        <v>9861.34</v>
      </c>
      <c r="K44" s="202">
        <v>9861.34</v>
      </c>
      <c r="L44" s="202">
        <v>9861.34</v>
      </c>
      <c r="M44" s="202">
        <v>9861.34</v>
      </c>
      <c r="N44" s="202">
        <v>9861.34</v>
      </c>
      <c r="O44" s="202">
        <v>9861.34</v>
      </c>
      <c r="P44" s="202">
        <v>9666</v>
      </c>
      <c r="Q44" s="211"/>
      <c r="R44" s="211"/>
      <c r="S44" s="211"/>
      <c r="T44" s="211"/>
    </row>
    <row r="45" spans="1:20" s="34" customFormat="1">
      <c r="A45" s="1151">
        <v>37</v>
      </c>
      <c r="B45" s="324" t="s">
        <v>2264</v>
      </c>
      <c r="C45" s="202">
        <v>2347.39</v>
      </c>
      <c r="D45" s="202">
        <v>2347.39</v>
      </c>
      <c r="E45" s="202">
        <v>2347.39</v>
      </c>
      <c r="F45" s="202">
        <v>2347.39</v>
      </c>
      <c r="G45" s="202">
        <v>2347.39</v>
      </c>
      <c r="H45" s="202">
        <v>2347.39</v>
      </c>
      <c r="I45" s="202">
        <v>2347.39</v>
      </c>
      <c r="J45" s="202">
        <v>2347.39</v>
      </c>
      <c r="K45" s="202">
        <v>2347.39</v>
      </c>
      <c r="L45" s="202">
        <v>2347.39</v>
      </c>
      <c r="M45" s="202">
        <v>2347.39</v>
      </c>
      <c r="N45" s="202">
        <v>2347.39</v>
      </c>
      <c r="O45" s="202">
        <v>2347.39</v>
      </c>
      <c r="P45" s="202">
        <v>2347</v>
      </c>
      <c r="Q45" s="211"/>
      <c r="R45" s="211"/>
      <c r="S45" s="211"/>
      <c r="T45" s="211"/>
    </row>
    <row r="46" spans="1:20" s="34" customFormat="1">
      <c r="A46" s="1151">
        <v>38</v>
      </c>
      <c r="B46" s="324" t="s">
        <v>372</v>
      </c>
      <c r="C46" s="202">
        <v>0</v>
      </c>
      <c r="D46" s="202">
        <v>0</v>
      </c>
      <c r="E46" s="202">
        <v>0</v>
      </c>
      <c r="F46" s="202">
        <v>0</v>
      </c>
      <c r="G46" s="202">
        <v>0</v>
      </c>
      <c r="H46" s="202">
        <v>0</v>
      </c>
      <c r="I46" s="202">
        <v>0</v>
      </c>
      <c r="J46" s="202">
        <v>0</v>
      </c>
      <c r="K46" s="202">
        <v>0</v>
      </c>
      <c r="L46" s="202">
        <v>0</v>
      </c>
      <c r="M46" s="202">
        <v>0</v>
      </c>
      <c r="N46" s="202">
        <v>0</v>
      </c>
      <c r="O46" s="202">
        <v>0</v>
      </c>
      <c r="P46" s="202">
        <v>0</v>
      </c>
      <c r="Q46" s="211"/>
      <c r="R46" s="211"/>
      <c r="S46" s="211"/>
      <c r="T46" s="211"/>
    </row>
    <row r="47" spans="1:20" s="34" customFormat="1">
      <c r="A47" s="1151">
        <v>39</v>
      </c>
      <c r="B47" s="324" t="s">
        <v>150</v>
      </c>
      <c r="C47" s="202">
        <v>0</v>
      </c>
      <c r="D47" s="202">
        <v>0</v>
      </c>
      <c r="E47" s="202">
        <v>0</v>
      </c>
      <c r="F47" s="202">
        <v>0</v>
      </c>
      <c r="G47" s="202">
        <v>0</v>
      </c>
      <c r="H47" s="202">
        <v>0</v>
      </c>
      <c r="I47" s="202">
        <v>0</v>
      </c>
      <c r="J47" s="202">
        <v>0</v>
      </c>
      <c r="K47" s="202">
        <v>0</v>
      </c>
      <c r="L47" s="202">
        <v>0</v>
      </c>
      <c r="M47" s="202">
        <v>0</v>
      </c>
      <c r="N47" s="202">
        <v>0</v>
      </c>
      <c r="O47" s="202">
        <v>0</v>
      </c>
      <c r="P47" s="202">
        <v>0</v>
      </c>
      <c r="Q47" s="211"/>
      <c r="R47" s="211"/>
      <c r="S47" s="211"/>
      <c r="T47" s="211"/>
    </row>
    <row r="48" spans="1:20" s="34" customFormat="1">
      <c r="A48" s="1151">
        <v>40</v>
      </c>
      <c r="B48" s="324" t="s">
        <v>151</v>
      </c>
      <c r="C48" s="202">
        <v>0</v>
      </c>
      <c r="D48" s="202">
        <v>0</v>
      </c>
      <c r="E48" s="202">
        <v>0</v>
      </c>
      <c r="F48" s="202">
        <v>0</v>
      </c>
      <c r="G48" s="202">
        <v>0</v>
      </c>
      <c r="H48" s="202">
        <v>0</v>
      </c>
      <c r="I48" s="202">
        <v>0</v>
      </c>
      <c r="J48" s="202">
        <v>0</v>
      </c>
      <c r="K48" s="202">
        <v>0</v>
      </c>
      <c r="L48" s="202">
        <v>0</v>
      </c>
      <c r="M48" s="202">
        <v>0</v>
      </c>
      <c r="N48" s="202">
        <v>0</v>
      </c>
      <c r="O48" s="202">
        <v>0</v>
      </c>
      <c r="P48" s="202">
        <v>0</v>
      </c>
      <c r="Q48" s="211"/>
      <c r="R48" s="211"/>
      <c r="S48" s="211"/>
      <c r="T48" s="211"/>
    </row>
    <row r="49" spans="1:251" s="34" customFormat="1">
      <c r="A49" s="1151">
        <v>41</v>
      </c>
      <c r="B49" s="203" t="s">
        <v>1172</v>
      </c>
      <c r="C49" s="202"/>
      <c r="D49" s="202"/>
      <c r="E49" s="202"/>
      <c r="F49" s="202"/>
      <c r="G49" s="202"/>
      <c r="H49" s="202"/>
      <c r="I49" s="202"/>
      <c r="J49" s="202"/>
      <c r="K49" s="202"/>
      <c r="L49" s="202"/>
      <c r="M49" s="202"/>
      <c r="N49" s="202"/>
      <c r="O49" s="202"/>
      <c r="P49" s="202"/>
      <c r="Q49" s="211"/>
      <c r="R49" s="211"/>
      <c r="S49" s="211"/>
      <c r="T49" s="211"/>
    </row>
    <row r="50" spans="1:251" s="34" customFormat="1">
      <c r="A50" s="1151">
        <v>42</v>
      </c>
      <c r="B50" s="324" t="s">
        <v>752</v>
      </c>
      <c r="C50" s="202">
        <v>1180.1300000000001</v>
      </c>
      <c r="D50" s="202">
        <v>1179.57</v>
      </c>
      <c r="E50" s="202">
        <v>1167.67</v>
      </c>
      <c r="F50" s="202">
        <v>1165.6500000000001</v>
      </c>
      <c r="G50" s="202">
        <v>1168.97</v>
      </c>
      <c r="H50" s="202">
        <v>1167.5</v>
      </c>
      <c r="I50" s="202">
        <v>1167.6500000000001</v>
      </c>
      <c r="J50" s="202">
        <v>1166.07</v>
      </c>
      <c r="K50" s="202">
        <v>1164.4000000000001</v>
      </c>
      <c r="L50" s="202">
        <v>1153.57</v>
      </c>
      <c r="M50" s="202">
        <v>1153.3</v>
      </c>
      <c r="N50" s="202">
        <v>1151.8</v>
      </c>
      <c r="O50" s="202">
        <v>1150.73</v>
      </c>
      <c r="P50" s="202">
        <v>1164</v>
      </c>
      <c r="Q50" s="211"/>
      <c r="R50" s="211"/>
      <c r="S50" s="211"/>
      <c r="T50" s="211"/>
    </row>
    <row r="51" spans="1:251" s="34" customFormat="1">
      <c r="A51" s="1151">
        <v>43</v>
      </c>
      <c r="B51" s="324" t="s">
        <v>753</v>
      </c>
      <c r="C51" s="202">
        <v>2503588.9699999997</v>
      </c>
      <c r="D51" s="202">
        <v>2503529.88</v>
      </c>
      <c r="E51" s="202">
        <v>2503243.5200000005</v>
      </c>
      <c r="F51" s="202">
        <v>2503127.2400000002</v>
      </c>
      <c r="G51" s="202">
        <v>2503191.3000000003</v>
      </c>
      <c r="H51" s="202">
        <v>2503272.59</v>
      </c>
      <c r="I51" s="202">
        <v>2503398.38</v>
      </c>
      <c r="J51" s="202">
        <v>2503650.4900000002</v>
      </c>
      <c r="K51" s="202">
        <v>2503559.4500000002</v>
      </c>
      <c r="L51" s="202">
        <v>2503240.85</v>
      </c>
      <c r="M51" s="202">
        <v>2503207.6</v>
      </c>
      <c r="N51" s="202">
        <v>2548614.2999999998</v>
      </c>
      <c r="O51" s="202">
        <v>2549434.61</v>
      </c>
      <c r="P51" s="202">
        <v>2510389</v>
      </c>
      <c r="Q51" s="211"/>
      <c r="R51" s="211"/>
      <c r="S51" s="211"/>
      <c r="T51" s="211"/>
    </row>
    <row r="52" spans="1:251" s="34" customFormat="1">
      <c r="A52" s="1151">
        <v>44</v>
      </c>
      <c r="B52" s="324" t="s">
        <v>754</v>
      </c>
      <c r="C52" s="202">
        <v>429205.32</v>
      </c>
      <c r="D52" s="202">
        <v>428768.99000000005</v>
      </c>
      <c r="E52" s="202">
        <v>425248.74000000005</v>
      </c>
      <c r="F52" s="202">
        <v>425068.11000000004</v>
      </c>
      <c r="G52" s="202">
        <v>426431.88</v>
      </c>
      <c r="H52" s="202">
        <v>426258.25</v>
      </c>
      <c r="I52" s="202">
        <v>428120.91000000003</v>
      </c>
      <c r="J52" s="202">
        <v>428632.6</v>
      </c>
      <c r="K52" s="202">
        <v>429626.79</v>
      </c>
      <c r="L52" s="202">
        <v>426612.22</v>
      </c>
      <c r="M52" s="202">
        <v>426553.71000000008</v>
      </c>
      <c r="N52" s="202">
        <v>426052.31</v>
      </c>
      <c r="O52" s="202">
        <v>426570.62000000005</v>
      </c>
      <c r="P52" s="202">
        <v>427165</v>
      </c>
      <c r="Q52" s="211"/>
      <c r="R52" s="211"/>
      <c r="S52" s="211"/>
      <c r="T52" s="211"/>
    </row>
    <row r="53" spans="1:251" s="34" customFormat="1">
      <c r="A53" s="1151">
        <v>45</v>
      </c>
      <c r="B53" s="324" t="s">
        <v>755</v>
      </c>
      <c r="C53" s="202">
        <v>152091.85</v>
      </c>
      <c r="D53" s="202">
        <v>151972.64000000001</v>
      </c>
      <c r="E53" s="202">
        <v>151738.21</v>
      </c>
      <c r="F53" s="202">
        <v>161379.59</v>
      </c>
      <c r="G53" s="202">
        <v>159793.66</v>
      </c>
      <c r="H53" s="202">
        <v>159546.72</v>
      </c>
      <c r="I53" s="202">
        <v>159842.43</v>
      </c>
      <c r="J53" s="202">
        <v>155418.75</v>
      </c>
      <c r="K53" s="202">
        <v>154904.70000000001</v>
      </c>
      <c r="L53" s="202">
        <v>156782.95000000001</v>
      </c>
      <c r="M53" s="202">
        <v>156710.44</v>
      </c>
      <c r="N53" s="202">
        <v>156501.63</v>
      </c>
      <c r="O53" s="202">
        <v>156433.26</v>
      </c>
      <c r="P53" s="202">
        <v>156394</v>
      </c>
      <c r="Q53" s="211"/>
      <c r="R53" s="211"/>
      <c r="S53" s="211"/>
      <c r="T53" s="211"/>
    </row>
    <row r="54" spans="1:251" s="34" customFormat="1">
      <c r="A54" s="1151">
        <v>46</v>
      </c>
      <c r="B54" s="324" t="s">
        <v>1826</v>
      </c>
      <c r="C54" s="202"/>
      <c r="D54" s="202"/>
      <c r="E54" s="202"/>
      <c r="F54" s="202"/>
      <c r="G54" s="202"/>
      <c r="H54" s="202"/>
      <c r="I54" s="202"/>
      <c r="J54" s="202"/>
      <c r="K54" s="202"/>
      <c r="L54" s="202"/>
      <c r="M54" s="202"/>
      <c r="N54" s="202"/>
      <c r="O54" s="202"/>
      <c r="P54" s="202">
        <v>0</v>
      </c>
      <c r="Q54" s="211"/>
      <c r="R54" s="211"/>
      <c r="S54" s="211"/>
      <c r="T54" s="211"/>
    </row>
    <row r="55" spans="1:251" s="34" customFormat="1">
      <c r="A55" s="1151">
        <v>47</v>
      </c>
      <c r="B55" s="324" t="s">
        <v>757</v>
      </c>
      <c r="C55" s="202">
        <v>48222.840000000004</v>
      </c>
      <c r="D55" s="202">
        <v>48213.22</v>
      </c>
      <c r="E55" s="202">
        <v>48193.17</v>
      </c>
      <c r="F55" s="202">
        <v>48374.74</v>
      </c>
      <c r="G55" s="202">
        <v>48365.560000000005</v>
      </c>
      <c r="H55" s="202">
        <v>48347.46</v>
      </c>
      <c r="I55" s="202">
        <v>48338.400000000001</v>
      </c>
      <c r="J55" s="202">
        <v>48332.070000000007</v>
      </c>
      <c r="K55" s="202">
        <v>48315.21</v>
      </c>
      <c r="L55" s="202">
        <v>48302.62</v>
      </c>
      <c r="M55" s="202">
        <v>48296.959999999999</v>
      </c>
      <c r="N55" s="202">
        <v>48279.519999999997</v>
      </c>
      <c r="O55" s="202">
        <v>48274.329999999994</v>
      </c>
      <c r="P55" s="202">
        <v>48297</v>
      </c>
      <c r="Q55" s="211"/>
      <c r="R55" s="211"/>
      <c r="S55" s="211"/>
      <c r="T55" s="211"/>
    </row>
    <row r="56" spans="1:251" s="34" customFormat="1">
      <c r="A56" s="1151">
        <v>48</v>
      </c>
      <c r="B56" s="324" t="s">
        <v>758</v>
      </c>
      <c r="C56" s="202">
        <v>23308.28</v>
      </c>
      <c r="D56" s="202">
        <v>23308.28</v>
      </c>
      <c r="E56" s="202">
        <v>23308.28</v>
      </c>
      <c r="F56" s="202">
        <v>23308.28</v>
      </c>
      <c r="G56" s="202">
        <v>23308.28</v>
      </c>
      <c r="H56" s="202">
        <v>23308.28</v>
      </c>
      <c r="I56" s="202">
        <v>23308.28</v>
      </c>
      <c r="J56" s="202">
        <v>23308.28</v>
      </c>
      <c r="K56" s="202">
        <v>23308.28</v>
      </c>
      <c r="L56" s="202">
        <v>23508.28</v>
      </c>
      <c r="M56" s="202">
        <v>23508.28</v>
      </c>
      <c r="N56" s="202">
        <v>23508.28</v>
      </c>
      <c r="O56" s="202">
        <v>23508.28</v>
      </c>
      <c r="P56" s="202">
        <v>23370</v>
      </c>
      <c r="Q56" s="140"/>
      <c r="R56" s="211"/>
      <c r="S56" s="212"/>
      <c r="T56" s="212"/>
      <c r="U56" s="1152"/>
      <c r="V56" s="1152"/>
      <c r="W56" s="1153"/>
      <c r="X56" s="1152"/>
      <c r="Y56" s="1154"/>
      <c r="Z56" s="1155"/>
      <c r="AB56" s="1152"/>
      <c r="AC56" s="1152"/>
      <c r="AD56" s="1152"/>
      <c r="AE56" s="1152"/>
      <c r="AF56" s="1153"/>
      <c r="AG56" s="1152"/>
      <c r="AH56" s="1154"/>
      <c r="AI56" s="1155"/>
      <c r="AK56" s="1152"/>
      <c r="AL56" s="1152"/>
      <c r="AM56" s="1152"/>
      <c r="AN56" s="1152"/>
      <c r="AO56" s="1153"/>
      <c r="AP56" s="1152"/>
      <c r="AQ56" s="1154"/>
      <c r="AR56" s="1155"/>
      <c r="AT56" s="1152"/>
      <c r="AU56" s="1152"/>
      <c r="AV56" s="1152"/>
      <c r="AW56" s="1152"/>
      <c r="AX56" s="1153"/>
      <c r="AY56" s="1152"/>
      <c r="AZ56" s="1154"/>
      <c r="BA56" s="1155"/>
      <c r="BC56" s="1152"/>
      <c r="BD56" s="1152"/>
      <c r="BE56" s="1152"/>
      <c r="BF56" s="1152"/>
      <c r="BG56" s="1153"/>
      <c r="BH56" s="1152"/>
      <c r="BI56" s="1154"/>
      <c r="BJ56" s="1155"/>
      <c r="BL56" s="1152"/>
      <c r="BM56" s="1152"/>
      <c r="BN56" s="1152"/>
      <c r="BO56" s="1152"/>
      <c r="BP56" s="1153"/>
      <c r="BQ56" s="1152"/>
      <c r="BR56" s="1154"/>
      <c r="BS56" s="1155"/>
      <c r="BU56" s="1152"/>
      <c r="BV56" s="1152"/>
      <c r="BW56" s="1152"/>
      <c r="BX56" s="1152"/>
      <c r="BY56" s="1153"/>
      <c r="BZ56" s="1152"/>
      <c r="CA56" s="1154"/>
      <c r="CB56" s="1155"/>
      <c r="CD56" s="1152"/>
      <c r="CE56" s="1152"/>
      <c r="CF56" s="1152"/>
      <c r="CG56" s="1152"/>
      <c r="CH56" s="1153"/>
      <c r="CI56" s="1152"/>
      <c r="CJ56" s="1154"/>
      <c r="CK56" s="1155"/>
      <c r="CM56" s="1152"/>
      <c r="CN56" s="1152"/>
      <c r="CO56" s="1152"/>
      <c r="CP56" s="1152"/>
      <c r="CQ56" s="1153"/>
      <c r="CR56" s="1152"/>
      <c r="CS56" s="1154"/>
      <c r="CT56" s="1155"/>
      <c r="CV56" s="1152"/>
      <c r="CW56" s="1152"/>
      <c r="CX56" s="1152"/>
      <c r="CY56" s="1152"/>
      <c r="CZ56" s="1153"/>
      <c r="DA56" s="1152"/>
      <c r="DB56" s="1154"/>
      <c r="DC56" s="1155"/>
      <c r="DE56" s="1152"/>
      <c r="DF56" s="1152"/>
      <c r="DG56" s="1152"/>
      <c r="DH56" s="1152"/>
      <c r="DI56" s="1153"/>
      <c r="DJ56" s="1152"/>
      <c r="DK56" s="1154"/>
      <c r="DL56" s="1155"/>
      <c r="DN56" s="1152"/>
      <c r="DO56" s="1152"/>
      <c r="DP56" s="1152"/>
      <c r="DQ56" s="1152"/>
      <c r="DR56" s="1153"/>
      <c r="DS56" s="1152"/>
      <c r="DT56" s="1154"/>
      <c r="DU56" s="1155"/>
      <c r="DW56" s="1152"/>
      <c r="DX56" s="1152"/>
      <c r="DY56" s="1152"/>
      <c r="DZ56" s="1152"/>
      <c r="EA56" s="1153"/>
      <c r="EB56" s="1152"/>
      <c r="EC56" s="1154"/>
      <c r="ED56" s="1155"/>
      <c r="EF56" s="1152"/>
      <c r="EG56" s="1152"/>
      <c r="EH56" s="1152"/>
      <c r="EI56" s="1152"/>
      <c r="EJ56" s="1153"/>
      <c r="EK56" s="1152"/>
      <c r="EL56" s="1154"/>
      <c r="EM56" s="1155"/>
      <c r="EO56" s="1152"/>
      <c r="EP56" s="1152"/>
      <c r="EQ56" s="1152"/>
      <c r="ER56" s="1152"/>
      <c r="ES56" s="1153"/>
      <c r="ET56" s="1152"/>
      <c r="EU56" s="1154"/>
      <c r="EV56" s="1155"/>
      <c r="EX56" s="1152"/>
      <c r="EY56" s="1152"/>
      <c r="EZ56" s="1152"/>
      <c r="FA56" s="1152"/>
      <c r="FB56" s="1153"/>
      <c r="FC56" s="1152"/>
      <c r="FD56" s="1154"/>
      <c r="FE56" s="1155"/>
      <c r="FG56" s="1152"/>
      <c r="FH56" s="1152"/>
      <c r="FI56" s="1152"/>
      <c r="FJ56" s="1152"/>
      <c r="FK56" s="1153"/>
      <c r="FL56" s="1152"/>
      <c r="FM56" s="1154"/>
      <c r="FN56" s="1155"/>
      <c r="FP56" s="1152"/>
      <c r="FQ56" s="1152"/>
      <c r="FR56" s="1152"/>
      <c r="FS56" s="1152"/>
      <c r="FT56" s="1153"/>
      <c r="FU56" s="1152"/>
      <c r="FV56" s="1154"/>
      <c r="FW56" s="1155"/>
      <c r="FY56" s="1152"/>
      <c r="FZ56" s="1152"/>
      <c r="GA56" s="1152"/>
      <c r="GB56" s="1152"/>
      <c r="GC56" s="1153"/>
      <c r="GD56" s="1152"/>
      <c r="GE56" s="1154"/>
      <c r="GF56" s="1155"/>
      <c r="GH56" s="1152"/>
      <c r="GI56" s="1152"/>
      <c r="GJ56" s="1152"/>
      <c r="GK56" s="1152"/>
      <c r="GL56" s="1153"/>
      <c r="GM56" s="1152"/>
      <c r="GN56" s="1154"/>
      <c r="GO56" s="1155"/>
      <c r="GQ56" s="1152"/>
      <c r="GR56" s="1152"/>
      <c r="GS56" s="1152"/>
      <c r="GT56" s="1152"/>
      <c r="GU56" s="1153"/>
      <c r="GV56" s="1152"/>
      <c r="GW56" s="1154"/>
      <c r="GX56" s="1155"/>
      <c r="GZ56" s="1152"/>
      <c r="HA56" s="1152"/>
      <c r="HB56" s="1152"/>
      <c r="HC56" s="1152"/>
      <c r="HD56" s="1153"/>
      <c r="HE56" s="1152"/>
      <c r="HF56" s="1154"/>
      <c r="HG56" s="1155"/>
      <c r="HI56" s="1152"/>
      <c r="HJ56" s="1152"/>
      <c r="HK56" s="1152"/>
      <c r="HL56" s="1152"/>
      <c r="HM56" s="1153"/>
      <c r="HN56" s="1152"/>
      <c r="HO56" s="1154"/>
      <c r="HP56" s="1155"/>
      <c r="HR56" s="1152"/>
      <c r="HS56" s="1152"/>
      <c r="HT56" s="1152"/>
      <c r="HU56" s="1152"/>
      <c r="HV56" s="1153"/>
      <c r="HW56" s="1152"/>
      <c r="HX56" s="1154"/>
      <c r="HY56" s="1155"/>
      <c r="IA56" s="1152"/>
      <c r="IB56" s="1152"/>
      <c r="IC56" s="1152"/>
      <c r="ID56" s="1152"/>
      <c r="IE56" s="1153"/>
      <c r="IF56" s="1152"/>
      <c r="IG56" s="1154"/>
      <c r="IH56" s="1155"/>
      <c r="IJ56" s="1152"/>
      <c r="IK56" s="1152"/>
      <c r="IL56" s="1152"/>
      <c r="IM56" s="1152"/>
      <c r="IN56" s="1153"/>
      <c r="IO56" s="1152"/>
      <c r="IP56" s="1154"/>
      <c r="IQ56" s="1155"/>
    </row>
    <row r="57" spans="1:251" s="34" customFormat="1">
      <c r="A57" s="1151">
        <v>49</v>
      </c>
      <c r="B57" s="324" t="s">
        <v>395</v>
      </c>
      <c r="C57" s="202">
        <v>1716.3</v>
      </c>
      <c r="D57" s="202">
        <v>1716.3</v>
      </c>
      <c r="E57" s="202">
        <v>3117.16</v>
      </c>
      <c r="F57" s="202">
        <v>2869.64</v>
      </c>
      <c r="G57" s="202">
        <v>2869.64</v>
      </c>
      <c r="H57" s="202">
        <v>2869.64</v>
      </c>
      <c r="I57" s="202">
        <v>2869.64</v>
      </c>
      <c r="J57" s="202">
        <v>2869.64</v>
      </c>
      <c r="K57" s="202">
        <v>2869.64</v>
      </c>
      <c r="L57" s="202">
        <v>2869.64</v>
      </c>
      <c r="M57" s="202">
        <v>2869.64</v>
      </c>
      <c r="N57" s="202">
        <v>2869.64</v>
      </c>
      <c r="O57" s="202">
        <v>2869.64</v>
      </c>
      <c r="P57" s="202">
        <v>2711</v>
      </c>
      <c r="Q57" s="140"/>
      <c r="R57" s="211"/>
      <c r="S57" s="212"/>
      <c r="T57" s="212"/>
      <c r="U57" s="1152"/>
      <c r="V57" s="1152"/>
      <c r="W57" s="1153"/>
      <c r="X57" s="1152"/>
      <c r="Y57" s="1154"/>
      <c r="Z57" s="1155"/>
      <c r="AB57" s="1152"/>
      <c r="AC57" s="1152"/>
      <c r="AD57" s="1152"/>
      <c r="AE57" s="1152"/>
      <c r="AF57" s="1153"/>
      <c r="AG57" s="1152"/>
      <c r="AH57" s="1154"/>
      <c r="AI57" s="1155"/>
      <c r="AK57" s="1152"/>
      <c r="AL57" s="1152"/>
      <c r="AM57" s="1152"/>
      <c r="AN57" s="1152"/>
      <c r="AO57" s="1153"/>
      <c r="AP57" s="1152"/>
      <c r="AQ57" s="1154"/>
      <c r="AR57" s="1155"/>
      <c r="AT57" s="1152"/>
      <c r="AU57" s="1152"/>
      <c r="AV57" s="1152"/>
      <c r="AW57" s="1152"/>
      <c r="AX57" s="1153"/>
      <c r="AY57" s="1152"/>
      <c r="AZ57" s="1154"/>
      <c r="BA57" s="1155"/>
      <c r="BC57" s="1152"/>
      <c r="BD57" s="1152"/>
      <c r="BE57" s="1152"/>
      <c r="BF57" s="1152"/>
      <c r="BG57" s="1153"/>
      <c r="BH57" s="1152"/>
      <c r="BI57" s="1154"/>
      <c r="BJ57" s="1155"/>
      <c r="BL57" s="1152"/>
      <c r="BM57" s="1152"/>
      <c r="BN57" s="1152"/>
      <c r="BO57" s="1152"/>
      <c r="BP57" s="1153"/>
      <c r="BQ57" s="1152"/>
      <c r="BR57" s="1154"/>
      <c r="BS57" s="1155"/>
      <c r="BU57" s="1152"/>
      <c r="BV57" s="1152"/>
      <c r="BW57" s="1152"/>
      <c r="BX57" s="1152"/>
      <c r="BY57" s="1153"/>
      <c r="BZ57" s="1152"/>
      <c r="CA57" s="1154"/>
      <c r="CB57" s="1155"/>
      <c r="CD57" s="1152"/>
      <c r="CE57" s="1152"/>
      <c r="CF57" s="1152"/>
      <c r="CG57" s="1152"/>
      <c r="CH57" s="1153"/>
      <c r="CI57" s="1152"/>
      <c r="CJ57" s="1154"/>
      <c r="CK57" s="1155"/>
      <c r="CM57" s="1152"/>
      <c r="CN57" s="1152"/>
      <c r="CO57" s="1152"/>
      <c r="CP57" s="1152"/>
      <c r="CQ57" s="1153"/>
      <c r="CR57" s="1152"/>
      <c r="CS57" s="1154"/>
      <c r="CT57" s="1155"/>
      <c r="CV57" s="1152"/>
      <c r="CW57" s="1152"/>
      <c r="CX57" s="1152"/>
      <c r="CY57" s="1152"/>
      <c r="CZ57" s="1153"/>
      <c r="DA57" s="1152"/>
      <c r="DB57" s="1154"/>
      <c r="DC57" s="1155"/>
      <c r="DE57" s="1152"/>
      <c r="DF57" s="1152"/>
      <c r="DG57" s="1152"/>
      <c r="DH57" s="1152"/>
      <c r="DI57" s="1153"/>
      <c r="DJ57" s="1152"/>
      <c r="DK57" s="1154"/>
      <c r="DL57" s="1155"/>
      <c r="DN57" s="1152"/>
      <c r="DO57" s="1152"/>
      <c r="DP57" s="1152"/>
      <c r="DQ57" s="1152"/>
      <c r="DR57" s="1153"/>
      <c r="DS57" s="1152"/>
      <c r="DT57" s="1154"/>
      <c r="DU57" s="1155"/>
      <c r="DW57" s="1152"/>
      <c r="DX57" s="1152"/>
      <c r="DY57" s="1152"/>
      <c r="DZ57" s="1152"/>
      <c r="EA57" s="1153"/>
      <c r="EB57" s="1152"/>
      <c r="EC57" s="1154"/>
      <c r="ED57" s="1155"/>
      <c r="EF57" s="1152"/>
      <c r="EG57" s="1152"/>
      <c r="EH57" s="1152"/>
      <c r="EI57" s="1152"/>
      <c r="EJ57" s="1153"/>
      <c r="EK57" s="1152"/>
      <c r="EL57" s="1154"/>
      <c r="EM57" s="1155"/>
      <c r="EO57" s="1152"/>
      <c r="EP57" s="1152"/>
      <c r="EQ57" s="1152"/>
      <c r="ER57" s="1152"/>
      <c r="ES57" s="1153"/>
      <c r="ET57" s="1152"/>
      <c r="EU57" s="1154"/>
      <c r="EV57" s="1155"/>
      <c r="EX57" s="1152"/>
      <c r="EY57" s="1152"/>
      <c r="EZ57" s="1152"/>
      <c r="FA57" s="1152"/>
      <c r="FB57" s="1153"/>
      <c r="FC57" s="1152"/>
      <c r="FD57" s="1154"/>
      <c r="FE57" s="1155"/>
      <c r="FG57" s="1152"/>
      <c r="FH57" s="1152"/>
      <c r="FI57" s="1152"/>
      <c r="FJ57" s="1152"/>
      <c r="FK57" s="1153"/>
      <c r="FL57" s="1152"/>
      <c r="FM57" s="1154"/>
      <c r="FN57" s="1155"/>
      <c r="FP57" s="1152"/>
      <c r="FQ57" s="1152"/>
      <c r="FR57" s="1152"/>
      <c r="FS57" s="1152"/>
      <c r="FT57" s="1153"/>
      <c r="FU57" s="1152"/>
      <c r="FV57" s="1154"/>
      <c r="FW57" s="1155"/>
      <c r="FY57" s="1152"/>
      <c r="FZ57" s="1152"/>
      <c r="GA57" s="1152"/>
      <c r="GB57" s="1152"/>
      <c r="GC57" s="1153"/>
      <c r="GD57" s="1152"/>
      <c r="GE57" s="1154"/>
      <c r="GF57" s="1155"/>
      <c r="GH57" s="1152"/>
      <c r="GI57" s="1152"/>
      <c r="GJ57" s="1152"/>
      <c r="GK57" s="1152"/>
      <c r="GL57" s="1153"/>
      <c r="GM57" s="1152"/>
      <c r="GN57" s="1154"/>
      <c r="GO57" s="1155"/>
      <c r="GQ57" s="1152"/>
      <c r="GR57" s="1152"/>
      <c r="GS57" s="1152"/>
      <c r="GT57" s="1152"/>
      <c r="GU57" s="1153"/>
      <c r="GV57" s="1152"/>
      <c r="GW57" s="1154"/>
      <c r="GX57" s="1155"/>
      <c r="GZ57" s="1152"/>
      <c r="HA57" s="1152"/>
      <c r="HB57" s="1152"/>
      <c r="HC57" s="1152"/>
      <c r="HD57" s="1153"/>
      <c r="HE57" s="1152"/>
      <c r="HF57" s="1154"/>
      <c r="HG57" s="1155"/>
      <c r="HI57" s="1152"/>
      <c r="HJ57" s="1152"/>
      <c r="HK57" s="1152"/>
      <c r="HL57" s="1152"/>
      <c r="HM57" s="1153"/>
      <c r="HN57" s="1152"/>
      <c r="HO57" s="1154"/>
      <c r="HP57" s="1155"/>
      <c r="HR57" s="1152"/>
      <c r="HS57" s="1152"/>
      <c r="HT57" s="1152"/>
      <c r="HU57" s="1152"/>
      <c r="HV57" s="1153"/>
      <c r="HW57" s="1152"/>
      <c r="HX57" s="1154"/>
      <c r="HY57" s="1155"/>
      <c r="IA57" s="1152"/>
      <c r="IB57" s="1152"/>
      <c r="IC57" s="1152"/>
      <c r="ID57" s="1152"/>
      <c r="IE57" s="1153"/>
      <c r="IF57" s="1152"/>
      <c r="IG57" s="1154"/>
      <c r="IH57" s="1155"/>
      <c r="IJ57" s="1152"/>
      <c r="IK57" s="1152"/>
      <c r="IL57" s="1152"/>
      <c r="IM57" s="1152"/>
      <c r="IN57" s="1153"/>
      <c r="IO57" s="1152"/>
      <c r="IP57" s="1154"/>
      <c r="IQ57" s="1155"/>
    </row>
    <row r="58" spans="1:251" s="34" customFormat="1">
      <c r="A58" s="1151">
        <v>50</v>
      </c>
      <c r="B58" s="324" t="s">
        <v>760</v>
      </c>
      <c r="C58" s="229">
        <v>4957.49</v>
      </c>
      <c r="D58" s="229">
        <v>4955.3999999999996</v>
      </c>
      <c r="E58" s="229">
        <v>4910.9399999999996</v>
      </c>
      <c r="F58" s="229">
        <v>4903.42</v>
      </c>
      <c r="G58" s="229">
        <v>4915.79</v>
      </c>
      <c r="H58" s="229">
        <v>4910.3</v>
      </c>
      <c r="I58" s="229">
        <v>4910.8499999999995</v>
      </c>
      <c r="J58" s="229">
        <v>4904.96</v>
      </c>
      <c r="K58" s="229">
        <v>4898.7299999999996</v>
      </c>
      <c r="L58" s="229">
        <v>4858.3</v>
      </c>
      <c r="M58" s="229">
        <v>4857.2699999999995</v>
      </c>
      <c r="N58" s="229">
        <v>4851.67</v>
      </c>
      <c r="O58" s="229">
        <v>4847.6799999999994</v>
      </c>
      <c r="P58" s="202">
        <v>4899</v>
      </c>
      <c r="Q58" s="140"/>
      <c r="R58" s="211"/>
      <c r="S58" s="212"/>
      <c r="T58" s="212"/>
      <c r="U58" s="1152"/>
      <c r="V58" s="1152"/>
      <c r="W58" s="1153"/>
      <c r="X58" s="1152"/>
      <c r="Y58" s="1154"/>
      <c r="Z58" s="1155"/>
      <c r="AB58" s="1152"/>
      <c r="AC58" s="1152"/>
      <c r="AD58" s="1152"/>
      <c r="AE58" s="1152"/>
      <c r="AF58" s="1153"/>
      <c r="AG58" s="1152"/>
      <c r="AH58" s="1154"/>
      <c r="AI58" s="1155"/>
      <c r="AK58" s="1152"/>
      <c r="AL58" s="1152"/>
      <c r="AM58" s="1152"/>
      <c r="AN58" s="1152"/>
      <c r="AO58" s="1153"/>
      <c r="AP58" s="1152"/>
      <c r="AQ58" s="1154"/>
      <c r="AR58" s="1155"/>
      <c r="AT58" s="1152"/>
      <c r="AU58" s="1152"/>
      <c r="AV58" s="1152"/>
      <c r="AW58" s="1152"/>
      <c r="AX58" s="1153"/>
      <c r="AY58" s="1152"/>
      <c r="AZ58" s="1154"/>
      <c r="BA58" s="1155"/>
      <c r="BC58" s="1152"/>
      <c r="BD58" s="1152"/>
      <c r="BE58" s="1152"/>
      <c r="BF58" s="1152"/>
      <c r="BG58" s="1153"/>
      <c r="BH58" s="1152"/>
      <c r="BI58" s="1154"/>
      <c r="BJ58" s="1155"/>
      <c r="BL58" s="1152"/>
      <c r="BM58" s="1152"/>
      <c r="BN58" s="1152"/>
      <c r="BO58" s="1152"/>
      <c r="BP58" s="1153"/>
      <c r="BQ58" s="1152"/>
      <c r="BR58" s="1154"/>
      <c r="BS58" s="1155"/>
      <c r="BU58" s="1152"/>
      <c r="BV58" s="1152"/>
      <c r="BW58" s="1152"/>
      <c r="BX58" s="1152"/>
      <c r="BY58" s="1153"/>
      <c r="BZ58" s="1152"/>
      <c r="CA58" s="1154"/>
      <c r="CB58" s="1155"/>
      <c r="CD58" s="1152"/>
      <c r="CE58" s="1152"/>
      <c r="CF58" s="1152"/>
      <c r="CG58" s="1152"/>
      <c r="CH58" s="1153"/>
      <c r="CI58" s="1152"/>
      <c r="CJ58" s="1154"/>
      <c r="CK58" s="1155"/>
      <c r="CM58" s="1152"/>
      <c r="CN58" s="1152"/>
      <c r="CO58" s="1152"/>
      <c r="CP58" s="1152"/>
      <c r="CQ58" s="1153"/>
      <c r="CR58" s="1152"/>
      <c r="CS58" s="1154"/>
      <c r="CT58" s="1155"/>
      <c r="CV58" s="1152"/>
      <c r="CW58" s="1152"/>
      <c r="CX58" s="1152"/>
      <c r="CY58" s="1152"/>
      <c r="CZ58" s="1153"/>
      <c r="DA58" s="1152"/>
      <c r="DB58" s="1154"/>
      <c r="DC58" s="1155"/>
      <c r="DE58" s="1152"/>
      <c r="DF58" s="1152"/>
      <c r="DG58" s="1152"/>
      <c r="DH58" s="1152"/>
      <c r="DI58" s="1153"/>
      <c r="DJ58" s="1152"/>
      <c r="DK58" s="1154"/>
      <c r="DL58" s="1155"/>
      <c r="DN58" s="1152"/>
      <c r="DO58" s="1152"/>
      <c r="DP58" s="1152"/>
      <c r="DQ58" s="1152"/>
      <c r="DR58" s="1153"/>
      <c r="DS58" s="1152"/>
      <c r="DT58" s="1154"/>
      <c r="DU58" s="1155"/>
      <c r="DW58" s="1152"/>
      <c r="DX58" s="1152"/>
      <c r="DY58" s="1152"/>
      <c r="DZ58" s="1152"/>
      <c r="EA58" s="1153"/>
      <c r="EB58" s="1152"/>
      <c r="EC58" s="1154"/>
      <c r="ED58" s="1155"/>
      <c r="EF58" s="1152"/>
      <c r="EG58" s="1152"/>
      <c r="EH58" s="1152"/>
      <c r="EI58" s="1152"/>
      <c r="EJ58" s="1153"/>
      <c r="EK58" s="1152"/>
      <c r="EL58" s="1154"/>
      <c r="EM58" s="1155"/>
      <c r="EO58" s="1152"/>
      <c r="EP58" s="1152"/>
      <c r="EQ58" s="1152"/>
      <c r="ER58" s="1152"/>
      <c r="ES58" s="1153"/>
      <c r="ET58" s="1152"/>
      <c r="EU58" s="1154"/>
      <c r="EV58" s="1155"/>
      <c r="EX58" s="1152"/>
      <c r="EY58" s="1152"/>
      <c r="EZ58" s="1152"/>
      <c r="FA58" s="1152"/>
      <c r="FB58" s="1153"/>
      <c r="FC58" s="1152"/>
      <c r="FD58" s="1154"/>
      <c r="FE58" s="1155"/>
      <c r="FG58" s="1152"/>
      <c r="FH58" s="1152"/>
      <c r="FI58" s="1152"/>
      <c r="FJ58" s="1152"/>
      <c r="FK58" s="1153"/>
      <c r="FL58" s="1152"/>
      <c r="FM58" s="1154"/>
      <c r="FN58" s="1155"/>
      <c r="FP58" s="1152"/>
      <c r="FQ58" s="1152"/>
      <c r="FR58" s="1152"/>
      <c r="FS58" s="1152"/>
      <c r="FT58" s="1153"/>
      <c r="FU58" s="1152"/>
      <c r="FV58" s="1154"/>
      <c r="FW58" s="1155"/>
      <c r="FY58" s="1152"/>
      <c r="FZ58" s="1152"/>
      <c r="GA58" s="1152"/>
      <c r="GB58" s="1152"/>
      <c r="GC58" s="1153"/>
      <c r="GD58" s="1152"/>
      <c r="GE58" s="1154"/>
      <c r="GF58" s="1155"/>
      <c r="GH58" s="1152"/>
      <c r="GI58" s="1152"/>
      <c r="GJ58" s="1152"/>
      <c r="GK58" s="1152"/>
      <c r="GL58" s="1153"/>
      <c r="GM58" s="1152"/>
      <c r="GN58" s="1154"/>
      <c r="GO58" s="1155"/>
      <c r="GQ58" s="1152"/>
      <c r="GR58" s="1152"/>
      <c r="GS58" s="1152"/>
      <c r="GT58" s="1152"/>
      <c r="GU58" s="1153"/>
      <c r="GV58" s="1152"/>
      <c r="GW58" s="1154"/>
      <c r="GX58" s="1155"/>
      <c r="GZ58" s="1152"/>
      <c r="HA58" s="1152"/>
      <c r="HB58" s="1152"/>
      <c r="HC58" s="1152"/>
      <c r="HD58" s="1153"/>
      <c r="HE58" s="1152"/>
      <c r="HF58" s="1154"/>
      <c r="HG58" s="1155"/>
      <c r="HI58" s="1152"/>
      <c r="HJ58" s="1152"/>
      <c r="HK58" s="1152"/>
      <c r="HL58" s="1152"/>
      <c r="HM58" s="1153"/>
      <c r="HN58" s="1152"/>
      <c r="HO58" s="1154"/>
      <c r="HP58" s="1155"/>
      <c r="HR58" s="1152"/>
      <c r="HS58" s="1152"/>
      <c r="HT58" s="1152"/>
      <c r="HU58" s="1152"/>
      <c r="HV58" s="1153"/>
      <c r="HW58" s="1152"/>
      <c r="HX58" s="1154"/>
      <c r="HY58" s="1155"/>
      <c r="IA58" s="1152"/>
      <c r="IB58" s="1152"/>
      <c r="IC58" s="1152"/>
      <c r="ID58" s="1152"/>
      <c r="IE58" s="1153"/>
      <c r="IF58" s="1152"/>
      <c r="IG58" s="1154"/>
      <c r="IH58" s="1155"/>
      <c r="IJ58" s="1152"/>
      <c r="IK58" s="1152"/>
      <c r="IL58" s="1152"/>
      <c r="IM58" s="1152"/>
      <c r="IN58" s="1153"/>
      <c r="IO58" s="1152"/>
      <c r="IP58" s="1154"/>
      <c r="IQ58" s="1155"/>
    </row>
    <row r="59" spans="1:251" s="34" customFormat="1">
      <c r="A59" s="1151">
        <v>51</v>
      </c>
      <c r="B59" s="324" t="s">
        <v>761</v>
      </c>
      <c r="C59" s="225">
        <v>1369.21</v>
      </c>
      <c r="D59" s="225">
        <v>1369.21</v>
      </c>
      <c r="E59" s="225">
        <v>1369.21</v>
      </c>
      <c r="F59" s="225">
        <v>1369.21</v>
      </c>
      <c r="G59" s="225">
        <v>1369.21</v>
      </c>
      <c r="H59" s="225">
        <v>1369.21</v>
      </c>
      <c r="I59" s="225">
        <v>1369.21</v>
      </c>
      <c r="J59" s="225">
        <v>1369.21</v>
      </c>
      <c r="K59" s="225">
        <v>1369.21</v>
      </c>
      <c r="L59" s="225">
        <v>1369.21</v>
      </c>
      <c r="M59" s="225">
        <v>1369.21</v>
      </c>
      <c r="N59" s="225">
        <v>1369.21</v>
      </c>
      <c r="O59" s="225">
        <v>1369.21</v>
      </c>
      <c r="P59" s="202">
        <v>1369</v>
      </c>
      <c r="Q59" s="140"/>
      <c r="R59" s="211"/>
      <c r="S59" s="212"/>
      <c r="T59" s="212"/>
      <c r="U59" s="1152"/>
      <c r="V59" s="1152"/>
      <c r="W59" s="1153"/>
      <c r="X59" s="1152"/>
      <c r="Y59" s="1154"/>
      <c r="Z59" s="1155"/>
      <c r="AB59" s="1152"/>
      <c r="AC59" s="1152"/>
      <c r="AD59" s="1152"/>
      <c r="AE59" s="1152"/>
      <c r="AF59" s="1153"/>
      <c r="AG59" s="1152"/>
      <c r="AH59" s="1154"/>
      <c r="AI59" s="1155"/>
      <c r="AK59" s="1152"/>
      <c r="AL59" s="1152"/>
      <c r="AM59" s="1152"/>
      <c r="AN59" s="1152"/>
      <c r="AO59" s="1153"/>
      <c r="AP59" s="1152"/>
      <c r="AQ59" s="1154"/>
      <c r="AR59" s="1155"/>
      <c r="AT59" s="1152"/>
      <c r="AU59" s="1152"/>
      <c r="AV59" s="1152"/>
      <c r="AW59" s="1152"/>
      <c r="AX59" s="1153"/>
      <c r="AY59" s="1152"/>
      <c r="AZ59" s="1154"/>
      <c r="BA59" s="1155"/>
      <c r="BC59" s="1152"/>
      <c r="BD59" s="1152"/>
      <c r="BE59" s="1152"/>
      <c r="BF59" s="1152"/>
      <c r="BG59" s="1153"/>
      <c r="BH59" s="1152"/>
      <c r="BI59" s="1154"/>
      <c r="BJ59" s="1155"/>
      <c r="BL59" s="1152"/>
      <c r="BM59" s="1152"/>
      <c r="BN59" s="1152"/>
      <c r="BO59" s="1152"/>
      <c r="BP59" s="1153"/>
      <c r="BQ59" s="1152"/>
      <c r="BR59" s="1154"/>
      <c r="BS59" s="1155"/>
      <c r="BU59" s="1152"/>
      <c r="BV59" s="1152"/>
      <c r="BW59" s="1152"/>
      <c r="BX59" s="1152"/>
      <c r="BY59" s="1153"/>
      <c r="BZ59" s="1152"/>
      <c r="CA59" s="1154"/>
      <c r="CB59" s="1155"/>
      <c r="CD59" s="1152"/>
      <c r="CE59" s="1152"/>
      <c r="CF59" s="1152"/>
      <c r="CG59" s="1152"/>
      <c r="CH59" s="1153"/>
      <c r="CI59" s="1152"/>
      <c r="CJ59" s="1154"/>
      <c r="CK59" s="1155"/>
      <c r="CM59" s="1152"/>
      <c r="CN59" s="1152"/>
      <c r="CO59" s="1152"/>
      <c r="CP59" s="1152"/>
      <c r="CQ59" s="1153"/>
      <c r="CR59" s="1152"/>
      <c r="CS59" s="1154"/>
      <c r="CT59" s="1155"/>
      <c r="CV59" s="1152"/>
      <c r="CW59" s="1152"/>
      <c r="CX59" s="1152"/>
      <c r="CY59" s="1152"/>
      <c r="CZ59" s="1153"/>
      <c r="DA59" s="1152"/>
      <c r="DB59" s="1154"/>
      <c r="DC59" s="1155"/>
      <c r="DE59" s="1152"/>
      <c r="DF59" s="1152"/>
      <c r="DG59" s="1152"/>
      <c r="DH59" s="1152"/>
      <c r="DI59" s="1153"/>
      <c r="DJ59" s="1152"/>
      <c r="DK59" s="1154"/>
      <c r="DL59" s="1155"/>
      <c r="DN59" s="1152"/>
      <c r="DO59" s="1152"/>
      <c r="DP59" s="1152"/>
      <c r="DQ59" s="1152"/>
      <c r="DR59" s="1153"/>
      <c r="DS59" s="1152"/>
      <c r="DT59" s="1154"/>
      <c r="DU59" s="1155"/>
      <c r="DW59" s="1152"/>
      <c r="DX59" s="1152"/>
      <c r="DY59" s="1152"/>
      <c r="DZ59" s="1152"/>
      <c r="EA59" s="1153"/>
      <c r="EB59" s="1152"/>
      <c r="EC59" s="1154"/>
      <c r="ED59" s="1155"/>
      <c r="EF59" s="1152"/>
      <c r="EG59" s="1152"/>
      <c r="EH59" s="1152"/>
      <c r="EI59" s="1152"/>
      <c r="EJ59" s="1153"/>
      <c r="EK59" s="1152"/>
      <c r="EL59" s="1154"/>
      <c r="EM59" s="1155"/>
      <c r="EO59" s="1152"/>
      <c r="EP59" s="1152"/>
      <c r="EQ59" s="1152"/>
      <c r="ER59" s="1152"/>
      <c r="ES59" s="1153"/>
      <c r="ET59" s="1152"/>
      <c r="EU59" s="1154"/>
      <c r="EV59" s="1155"/>
      <c r="EX59" s="1152"/>
      <c r="EY59" s="1152"/>
      <c r="EZ59" s="1152"/>
      <c r="FA59" s="1152"/>
      <c r="FB59" s="1153"/>
      <c r="FC59" s="1152"/>
      <c r="FD59" s="1154"/>
      <c r="FE59" s="1155"/>
      <c r="FG59" s="1152"/>
      <c r="FH59" s="1152"/>
      <c r="FI59" s="1152"/>
      <c r="FJ59" s="1152"/>
      <c r="FK59" s="1153"/>
      <c r="FL59" s="1152"/>
      <c r="FM59" s="1154"/>
      <c r="FN59" s="1155"/>
      <c r="FP59" s="1152"/>
      <c r="FQ59" s="1152"/>
      <c r="FR59" s="1152"/>
      <c r="FS59" s="1152"/>
      <c r="FT59" s="1153"/>
      <c r="FU59" s="1152"/>
      <c r="FV59" s="1154"/>
      <c r="FW59" s="1155"/>
      <c r="FY59" s="1152"/>
      <c r="FZ59" s="1152"/>
      <c r="GA59" s="1152"/>
      <c r="GB59" s="1152"/>
      <c r="GC59" s="1153"/>
      <c r="GD59" s="1152"/>
      <c r="GE59" s="1154"/>
      <c r="GF59" s="1155"/>
      <c r="GH59" s="1152"/>
      <c r="GI59" s="1152"/>
      <c r="GJ59" s="1152"/>
      <c r="GK59" s="1152"/>
      <c r="GL59" s="1153"/>
      <c r="GM59" s="1152"/>
      <c r="GN59" s="1154"/>
      <c r="GO59" s="1155"/>
      <c r="GQ59" s="1152"/>
      <c r="GR59" s="1152"/>
      <c r="GS59" s="1152"/>
      <c r="GT59" s="1152"/>
      <c r="GU59" s="1153"/>
      <c r="GV59" s="1152"/>
      <c r="GW59" s="1154"/>
      <c r="GX59" s="1155"/>
      <c r="GZ59" s="1152"/>
      <c r="HA59" s="1152"/>
      <c r="HB59" s="1152"/>
      <c r="HC59" s="1152"/>
      <c r="HD59" s="1153"/>
      <c r="HE59" s="1152"/>
      <c r="HF59" s="1154"/>
      <c r="HG59" s="1155"/>
      <c r="HI59" s="1152"/>
      <c r="HJ59" s="1152"/>
      <c r="HK59" s="1152"/>
      <c r="HL59" s="1152"/>
      <c r="HM59" s="1153"/>
      <c r="HN59" s="1152"/>
      <c r="HO59" s="1154"/>
      <c r="HP59" s="1155"/>
      <c r="HR59" s="1152"/>
      <c r="HS59" s="1152"/>
      <c r="HT59" s="1152"/>
      <c r="HU59" s="1152"/>
      <c r="HV59" s="1153"/>
      <c r="HW59" s="1152"/>
      <c r="HX59" s="1154"/>
      <c r="HY59" s="1155"/>
      <c r="IA59" s="1152"/>
      <c r="IB59" s="1152"/>
      <c r="IC59" s="1152"/>
      <c r="ID59" s="1152"/>
      <c r="IE59" s="1153"/>
      <c r="IF59" s="1152"/>
      <c r="IG59" s="1154"/>
      <c r="IH59" s="1155"/>
      <c r="IJ59" s="1152"/>
      <c r="IK59" s="1152"/>
      <c r="IL59" s="1152"/>
      <c r="IM59" s="1152"/>
      <c r="IN59" s="1153"/>
      <c r="IO59" s="1152"/>
      <c r="IP59" s="1154"/>
      <c r="IQ59" s="1155"/>
    </row>
    <row r="60" spans="1:251" s="34" customFormat="1">
      <c r="A60" s="1151">
        <v>52</v>
      </c>
      <c r="B60" s="324" t="s">
        <v>1155</v>
      </c>
      <c r="C60" s="252">
        <v>48532</v>
      </c>
      <c r="D60" s="252">
        <v>48532</v>
      </c>
      <c r="E60" s="252">
        <v>48532</v>
      </c>
      <c r="F60" s="252">
        <v>48532</v>
      </c>
      <c r="G60" s="252">
        <v>48532</v>
      </c>
      <c r="H60" s="252">
        <v>48532</v>
      </c>
      <c r="I60" s="252">
        <v>48532</v>
      </c>
      <c r="J60" s="252">
        <v>48532</v>
      </c>
      <c r="K60" s="252">
        <v>48532</v>
      </c>
      <c r="L60" s="252">
        <v>48532</v>
      </c>
      <c r="M60" s="252">
        <v>48532</v>
      </c>
      <c r="N60" s="252">
        <v>48532</v>
      </c>
      <c r="O60" s="252">
        <v>48532</v>
      </c>
      <c r="P60" s="202">
        <v>48532</v>
      </c>
      <c r="Q60" s="140"/>
      <c r="R60" s="211"/>
      <c r="S60" s="212"/>
      <c r="T60" s="212"/>
      <c r="U60" s="1152"/>
      <c r="V60" s="1152"/>
      <c r="W60" s="1153"/>
      <c r="X60" s="1152"/>
      <c r="Y60" s="1154"/>
      <c r="Z60" s="1155"/>
      <c r="AB60" s="1152"/>
      <c r="AC60" s="1152"/>
      <c r="AD60" s="1152"/>
      <c r="AE60" s="1152"/>
      <c r="AF60" s="1153"/>
      <c r="AG60" s="1152"/>
      <c r="AH60" s="1154"/>
      <c r="AI60" s="1155"/>
      <c r="AK60" s="1152"/>
      <c r="AL60" s="1152"/>
      <c r="AM60" s="1152"/>
      <c r="AN60" s="1152"/>
      <c r="AO60" s="1153"/>
      <c r="AP60" s="1152"/>
      <c r="AQ60" s="1154"/>
      <c r="AR60" s="1155"/>
      <c r="AT60" s="1152"/>
      <c r="AU60" s="1152"/>
      <c r="AV60" s="1152"/>
      <c r="AW60" s="1152"/>
      <c r="AX60" s="1153"/>
      <c r="AY60" s="1152"/>
      <c r="AZ60" s="1154"/>
      <c r="BA60" s="1155"/>
      <c r="BC60" s="1152"/>
      <c r="BD60" s="1152"/>
      <c r="BE60" s="1152"/>
      <c r="BF60" s="1152"/>
      <c r="BG60" s="1153"/>
      <c r="BH60" s="1152"/>
      <c r="BI60" s="1154"/>
      <c r="BJ60" s="1155"/>
      <c r="BL60" s="1152"/>
      <c r="BM60" s="1152"/>
      <c r="BN60" s="1152"/>
      <c r="BO60" s="1152"/>
      <c r="BP60" s="1153"/>
      <c r="BQ60" s="1152"/>
      <c r="BR60" s="1154"/>
      <c r="BS60" s="1155"/>
      <c r="BU60" s="1152"/>
      <c r="BV60" s="1152"/>
      <c r="BW60" s="1152"/>
      <c r="BX60" s="1152"/>
      <c r="BY60" s="1153"/>
      <c r="BZ60" s="1152"/>
      <c r="CA60" s="1154"/>
      <c r="CB60" s="1155"/>
      <c r="CD60" s="1152"/>
      <c r="CE60" s="1152"/>
      <c r="CF60" s="1152"/>
      <c r="CG60" s="1152"/>
      <c r="CH60" s="1153"/>
      <c r="CI60" s="1152"/>
      <c r="CJ60" s="1154"/>
      <c r="CK60" s="1155"/>
      <c r="CM60" s="1152"/>
      <c r="CN60" s="1152"/>
      <c r="CO60" s="1152"/>
      <c r="CP60" s="1152"/>
      <c r="CQ60" s="1153"/>
      <c r="CR60" s="1152"/>
      <c r="CS60" s="1154"/>
      <c r="CT60" s="1155"/>
      <c r="CV60" s="1152"/>
      <c r="CW60" s="1152"/>
      <c r="CX60" s="1152"/>
      <c r="CY60" s="1152"/>
      <c r="CZ60" s="1153"/>
      <c r="DA60" s="1152"/>
      <c r="DB60" s="1154"/>
      <c r="DC60" s="1155"/>
      <c r="DE60" s="1152"/>
      <c r="DF60" s="1152"/>
      <c r="DG60" s="1152"/>
      <c r="DH60" s="1152"/>
      <c r="DI60" s="1153"/>
      <c r="DJ60" s="1152"/>
      <c r="DK60" s="1154"/>
      <c r="DL60" s="1155"/>
      <c r="DN60" s="1152"/>
      <c r="DO60" s="1152"/>
      <c r="DP60" s="1152"/>
      <c r="DQ60" s="1152"/>
      <c r="DR60" s="1153"/>
      <c r="DS60" s="1152"/>
      <c r="DT60" s="1154"/>
      <c r="DU60" s="1155"/>
      <c r="DW60" s="1152"/>
      <c r="DX60" s="1152"/>
      <c r="DY60" s="1152"/>
      <c r="DZ60" s="1152"/>
      <c r="EA60" s="1153"/>
      <c r="EB60" s="1152"/>
      <c r="EC60" s="1154"/>
      <c r="ED60" s="1155"/>
      <c r="EF60" s="1152"/>
      <c r="EG60" s="1152"/>
      <c r="EH60" s="1152"/>
      <c r="EI60" s="1152"/>
      <c r="EJ60" s="1153"/>
      <c r="EK60" s="1152"/>
      <c r="EL60" s="1154"/>
      <c r="EM60" s="1155"/>
      <c r="EO60" s="1152"/>
      <c r="EP60" s="1152"/>
      <c r="EQ60" s="1152"/>
      <c r="ER60" s="1152"/>
      <c r="ES60" s="1153"/>
      <c r="ET60" s="1152"/>
      <c r="EU60" s="1154"/>
      <c r="EV60" s="1155"/>
      <c r="EX60" s="1152"/>
      <c r="EY60" s="1152"/>
      <c r="EZ60" s="1152"/>
      <c r="FA60" s="1152"/>
      <c r="FB60" s="1153"/>
      <c r="FC60" s="1152"/>
      <c r="FD60" s="1154"/>
      <c r="FE60" s="1155"/>
      <c r="FG60" s="1152"/>
      <c r="FH60" s="1152"/>
      <c r="FI60" s="1152"/>
      <c r="FJ60" s="1152"/>
      <c r="FK60" s="1153"/>
      <c r="FL60" s="1152"/>
      <c r="FM60" s="1154"/>
      <c r="FN60" s="1155"/>
      <c r="FP60" s="1152"/>
      <c r="FQ60" s="1152"/>
      <c r="FR60" s="1152"/>
      <c r="FS60" s="1152"/>
      <c r="FT60" s="1153"/>
      <c r="FU60" s="1152"/>
      <c r="FV60" s="1154"/>
      <c r="FW60" s="1155"/>
      <c r="FY60" s="1152"/>
      <c r="FZ60" s="1152"/>
      <c r="GA60" s="1152"/>
      <c r="GB60" s="1152"/>
      <c r="GC60" s="1153"/>
      <c r="GD60" s="1152"/>
      <c r="GE60" s="1154"/>
      <c r="GF60" s="1155"/>
      <c r="GH60" s="1152"/>
      <c r="GI60" s="1152"/>
      <c r="GJ60" s="1152"/>
      <c r="GK60" s="1152"/>
      <c r="GL60" s="1153"/>
      <c r="GM60" s="1152"/>
      <c r="GN60" s="1154"/>
      <c r="GO60" s="1155"/>
      <c r="GQ60" s="1152"/>
      <c r="GR60" s="1152"/>
      <c r="GS60" s="1152"/>
      <c r="GT60" s="1152"/>
      <c r="GU60" s="1153"/>
      <c r="GV60" s="1152"/>
      <c r="GW60" s="1154"/>
      <c r="GX60" s="1155"/>
      <c r="GZ60" s="1152"/>
      <c r="HA60" s="1152"/>
      <c r="HB60" s="1152"/>
      <c r="HC60" s="1152"/>
      <c r="HD60" s="1153"/>
      <c r="HE60" s="1152"/>
      <c r="HF60" s="1154"/>
      <c r="HG60" s="1155"/>
      <c r="HI60" s="1152"/>
      <c r="HJ60" s="1152"/>
      <c r="HK60" s="1152"/>
      <c r="HL60" s="1152"/>
      <c r="HM60" s="1153"/>
      <c r="HN60" s="1152"/>
      <c r="HO60" s="1154"/>
      <c r="HP60" s="1155"/>
      <c r="HR60" s="1152"/>
      <c r="HS60" s="1152"/>
      <c r="HT60" s="1152"/>
      <c r="HU60" s="1152"/>
      <c r="HV60" s="1153"/>
      <c r="HW60" s="1152"/>
      <c r="HX60" s="1154"/>
      <c r="HY60" s="1155"/>
      <c r="IA60" s="1152"/>
      <c r="IB60" s="1152"/>
      <c r="IC60" s="1152"/>
      <c r="ID60" s="1152"/>
      <c r="IE60" s="1153"/>
      <c r="IF60" s="1152"/>
      <c r="IG60" s="1154"/>
      <c r="IH60" s="1155"/>
      <c r="IJ60" s="1152"/>
      <c r="IK60" s="1152"/>
      <c r="IL60" s="1152"/>
      <c r="IM60" s="1152"/>
      <c r="IN60" s="1153"/>
      <c r="IO60" s="1152"/>
      <c r="IP60" s="1154"/>
      <c r="IQ60" s="1155"/>
    </row>
    <row r="61" spans="1:251" s="34" customFormat="1" ht="12.75" thickBot="1">
      <c r="A61" s="1151">
        <v>53</v>
      </c>
      <c r="B61" s="265" t="s">
        <v>81</v>
      </c>
      <c r="C61" s="2281">
        <v>7924165.299999998</v>
      </c>
      <c r="D61" s="2281">
        <v>7929348.4400000004</v>
      </c>
      <c r="E61" s="2281">
        <v>7935342.5300000012</v>
      </c>
      <c r="F61" s="2281">
        <v>7953606.8500000006</v>
      </c>
      <c r="G61" s="2281">
        <v>7979781.9899999984</v>
      </c>
      <c r="H61" s="2281">
        <v>7970538.0799999991</v>
      </c>
      <c r="I61" s="2281">
        <v>8486655.0399999991</v>
      </c>
      <c r="J61" s="2281">
        <v>8540937.6000000015</v>
      </c>
      <c r="K61" s="2281">
        <v>8545903.5800000019</v>
      </c>
      <c r="L61" s="2281">
        <v>8301157.2799999984</v>
      </c>
      <c r="M61" s="2281">
        <v>8310693.7299999986</v>
      </c>
      <c r="N61" s="2281">
        <v>8361853.4899999974</v>
      </c>
      <c r="O61" s="2281">
        <v>8371235.879999999</v>
      </c>
      <c r="P61" s="2281">
        <v>8200861</v>
      </c>
      <c r="Q61" s="140"/>
      <c r="R61" s="211"/>
      <c r="S61" s="212"/>
      <c r="T61" s="212"/>
      <c r="U61" s="1152"/>
      <c r="V61" s="1152"/>
      <c r="W61" s="1153"/>
      <c r="X61" s="1152"/>
      <c r="Y61" s="1154"/>
      <c r="Z61" s="1155"/>
      <c r="AB61" s="1152"/>
      <c r="AC61" s="1152"/>
      <c r="AD61" s="1152"/>
      <c r="AE61" s="1152"/>
      <c r="AF61" s="1153"/>
      <c r="AG61" s="1152"/>
      <c r="AH61" s="1154"/>
      <c r="AI61" s="1155"/>
      <c r="AK61" s="1152"/>
      <c r="AL61" s="1152"/>
      <c r="AM61" s="1152"/>
      <c r="AN61" s="1152"/>
      <c r="AO61" s="1153"/>
      <c r="AP61" s="1152"/>
      <c r="AQ61" s="1154"/>
      <c r="AR61" s="1155"/>
      <c r="AT61" s="1152"/>
      <c r="AU61" s="1152"/>
      <c r="AV61" s="1152"/>
      <c r="AW61" s="1152"/>
      <c r="AX61" s="1153"/>
      <c r="AY61" s="1152"/>
      <c r="AZ61" s="1154"/>
      <c r="BA61" s="1155"/>
      <c r="BC61" s="1152"/>
      <c r="BD61" s="1152"/>
      <c r="BE61" s="1152"/>
      <c r="BF61" s="1152"/>
      <c r="BG61" s="1153"/>
      <c r="BH61" s="1152"/>
      <c r="BI61" s="1154"/>
      <c r="BJ61" s="1155"/>
      <c r="BL61" s="1152"/>
      <c r="BM61" s="1152"/>
      <c r="BN61" s="1152"/>
      <c r="BO61" s="1152"/>
      <c r="BP61" s="1153"/>
      <c r="BQ61" s="1152"/>
      <c r="BR61" s="1154"/>
      <c r="BS61" s="1155"/>
      <c r="BU61" s="1152"/>
      <c r="BV61" s="1152"/>
      <c r="BW61" s="1152"/>
      <c r="BX61" s="1152"/>
      <c r="BY61" s="1153"/>
      <c r="BZ61" s="1152"/>
      <c r="CA61" s="1154"/>
      <c r="CB61" s="1155"/>
      <c r="CD61" s="1152"/>
      <c r="CE61" s="1152"/>
      <c r="CF61" s="1152"/>
      <c r="CG61" s="1152"/>
      <c r="CH61" s="1153"/>
      <c r="CI61" s="1152"/>
      <c r="CJ61" s="1154"/>
      <c r="CK61" s="1155"/>
      <c r="CM61" s="1152"/>
      <c r="CN61" s="1152"/>
      <c r="CO61" s="1152"/>
      <c r="CP61" s="1152"/>
      <c r="CQ61" s="1153"/>
      <c r="CR61" s="1152"/>
      <c r="CS61" s="1154"/>
      <c r="CT61" s="1155"/>
      <c r="CV61" s="1152"/>
      <c r="CW61" s="1152"/>
      <c r="CX61" s="1152"/>
      <c r="CY61" s="1152"/>
      <c r="CZ61" s="1153"/>
      <c r="DA61" s="1152"/>
      <c r="DB61" s="1154"/>
      <c r="DC61" s="1155"/>
      <c r="DE61" s="1152"/>
      <c r="DF61" s="1152"/>
      <c r="DG61" s="1152"/>
      <c r="DH61" s="1152"/>
      <c r="DI61" s="1153"/>
      <c r="DJ61" s="1152"/>
      <c r="DK61" s="1154"/>
      <c r="DL61" s="1155"/>
      <c r="DN61" s="1152"/>
      <c r="DO61" s="1152"/>
      <c r="DP61" s="1152"/>
      <c r="DQ61" s="1152"/>
      <c r="DR61" s="1153"/>
      <c r="DS61" s="1152"/>
      <c r="DT61" s="1154"/>
      <c r="DU61" s="1155"/>
      <c r="DW61" s="1152"/>
      <c r="DX61" s="1152"/>
      <c r="DY61" s="1152"/>
      <c r="DZ61" s="1152"/>
      <c r="EA61" s="1153"/>
      <c r="EB61" s="1152"/>
      <c r="EC61" s="1154"/>
      <c r="ED61" s="1155"/>
      <c r="EF61" s="1152"/>
      <c r="EG61" s="1152"/>
      <c r="EH61" s="1152"/>
      <c r="EI61" s="1152"/>
      <c r="EJ61" s="1153"/>
      <c r="EK61" s="1152"/>
      <c r="EL61" s="1154"/>
      <c r="EM61" s="1155"/>
      <c r="EO61" s="1152"/>
      <c r="EP61" s="1152"/>
      <c r="EQ61" s="1152"/>
      <c r="ER61" s="1152"/>
      <c r="ES61" s="1153"/>
      <c r="ET61" s="1152"/>
      <c r="EU61" s="1154"/>
      <c r="EV61" s="1155"/>
      <c r="EX61" s="1152"/>
      <c r="EY61" s="1152"/>
      <c r="EZ61" s="1152"/>
      <c r="FA61" s="1152"/>
      <c r="FB61" s="1153"/>
      <c r="FC61" s="1152"/>
      <c r="FD61" s="1154"/>
      <c r="FE61" s="1155"/>
      <c r="FG61" s="1152"/>
      <c r="FH61" s="1152"/>
      <c r="FI61" s="1152"/>
      <c r="FJ61" s="1152"/>
      <c r="FK61" s="1153"/>
      <c r="FL61" s="1152"/>
      <c r="FM61" s="1154"/>
      <c r="FN61" s="1155"/>
      <c r="FP61" s="1152"/>
      <c r="FQ61" s="1152"/>
      <c r="FR61" s="1152"/>
      <c r="FS61" s="1152"/>
      <c r="FT61" s="1153"/>
      <c r="FU61" s="1152"/>
      <c r="FV61" s="1154"/>
      <c r="FW61" s="1155"/>
      <c r="FY61" s="1152"/>
      <c r="FZ61" s="1152"/>
      <c r="GA61" s="1152"/>
      <c r="GB61" s="1152"/>
      <c r="GC61" s="1153"/>
      <c r="GD61" s="1152"/>
      <c r="GE61" s="1154"/>
      <c r="GF61" s="1155"/>
      <c r="GH61" s="1152"/>
      <c r="GI61" s="1152"/>
      <c r="GJ61" s="1152"/>
      <c r="GK61" s="1152"/>
      <c r="GL61" s="1153"/>
      <c r="GM61" s="1152"/>
      <c r="GN61" s="1154"/>
      <c r="GO61" s="1155"/>
      <c r="GQ61" s="1152"/>
      <c r="GR61" s="1152"/>
      <c r="GS61" s="1152"/>
      <c r="GT61" s="1152"/>
      <c r="GU61" s="1153"/>
      <c r="GV61" s="1152"/>
      <c r="GW61" s="1154"/>
      <c r="GX61" s="1155"/>
      <c r="GZ61" s="1152"/>
      <c r="HA61" s="1152"/>
      <c r="HB61" s="1152"/>
      <c r="HC61" s="1152"/>
      <c r="HD61" s="1153"/>
      <c r="HE61" s="1152"/>
      <c r="HF61" s="1154"/>
      <c r="HG61" s="1155"/>
      <c r="HI61" s="1152"/>
      <c r="HJ61" s="1152"/>
      <c r="HK61" s="1152"/>
      <c r="HL61" s="1152"/>
      <c r="HM61" s="1153"/>
      <c r="HN61" s="1152"/>
      <c r="HO61" s="1154"/>
      <c r="HP61" s="1155"/>
      <c r="HR61" s="1152"/>
      <c r="HS61" s="1152"/>
      <c r="HT61" s="1152"/>
      <c r="HU61" s="1152"/>
      <c r="HV61" s="1153"/>
      <c r="HW61" s="1152"/>
      <c r="HX61" s="1154"/>
      <c r="HY61" s="1155"/>
      <c r="IA61" s="1152"/>
      <c r="IB61" s="1152"/>
      <c r="IC61" s="1152"/>
      <c r="ID61" s="1152"/>
      <c r="IE61" s="1153"/>
      <c r="IF61" s="1152"/>
      <c r="IG61" s="1154"/>
      <c r="IH61" s="1155"/>
      <c r="IJ61" s="1152"/>
      <c r="IK61" s="1152"/>
      <c r="IL61" s="1152"/>
      <c r="IM61" s="1152"/>
      <c r="IN61" s="1153"/>
      <c r="IO61" s="1152"/>
      <c r="IP61" s="1154"/>
      <c r="IQ61" s="1155"/>
    </row>
    <row r="62" spans="1:251" s="34" customFormat="1" ht="12.75" thickTop="1">
      <c r="A62" s="211"/>
      <c r="B62" s="211"/>
      <c r="C62" s="211"/>
      <c r="D62" s="211"/>
      <c r="E62" s="211"/>
      <c r="F62" s="211"/>
      <c r="G62" s="211"/>
      <c r="H62" s="211"/>
      <c r="I62" s="211"/>
      <c r="J62" s="211"/>
      <c r="K62" s="211"/>
      <c r="L62" s="211"/>
      <c r="M62" s="211"/>
      <c r="N62" s="211"/>
      <c r="O62" s="211"/>
      <c r="P62" s="211"/>
      <c r="Q62" s="211"/>
      <c r="R62" s="211"/>
      <c r="S62" s="211"/>
      <c r="T62" s="211"/>
    </row>
    <row r="63" spans="1:251" s="34" customFormat="1">
      <c r="A63" s="211"/>
      <c r="B63" s="211"/>
      <c r="C63" s="211"/>
      <c r="D63" s="211"/>
      <c r="E63" s="211"/>
      <c r="F63" s="211"/>
      <c r="G63" s="211"/>
      <c r="H63" s="211"/>
      <c r="I63" s="211"/>
      <c r="J63" s="211"/>
      <c r="K63" s="211"/>
      <c r="L63" s="211"/>
      <c r="M63" s="211"/>
      <c r="N63" s="211"/>
      <c r="O63" s="211"/>
      <c r="P63" s="211"/>
      <c r="Q63" s="211"/>
      <c r="R63" s="211"/>
      <c r="S63" s="211"/>
      <c r="T63" s="211"/>
    </row>
    <row r="64" spans="1:251" s="34" customFormat="1">
      <c r="A64" s="211"/>
      <c r="B64" s="211"/>
      <c r="C64" s="310"/>
      <c r="D64" s="211"/>
      <c r="E64" s="211"/>
      <c r="F64" s="211"/>
      <c r="G64" s="211"/>
      <c r="H64" s="211"/>
      <c r="I64" s="211"/>
      <c r="J64" s="211"/>
      <c r="K64" s="211"/>
      <c r="L64" s="211"/>
      <c r="M64" s="211"/>
      <c r="N64" s="211"/>
      <c r="O64" s="202"/>
      <c r="P64" s="211"/>
      <c r="Q64" s="211"/>
      <c r="R64" s="211"/>
      <c r="S64" s="211"/>
      <c r="T64" s="211"/>
    </row>
    <row r="65" spans="1:20" s="34" customFormat="1">
      <c r="A65" s="211"/>
      <c r="B65" s="211"/>
      <c r="C65" s="310"/>
      <c r="D65" s="211"/>
      <c r="E65" s="211"/>
      <c r="F65" s="211"/>
      <c r="G65" s="211"/>
      <c r="H65" s="211"/>
      <c r="I65" s="211"/>
      <c r="J65" s="211"/>
      <c r="K65" s="211"/>
      <c r="L65" s="211"/>
      <c r="M65" s="211"/>
      <c r="N65" s="211"/>
      <c r="O65" s="211"/>
      <c r="P65" s="211"/>
      <c r="Q65" s="211"/>
      <c r="R65" s="211"/>
      <c r="S65" s="211"/>
      <c r="T65" s="211"/>
    </row>
    <row r="66" spans="1:20" s="34" customFormat="1">
      <c r="A66" s="211"/>
      <c r="B66" s="211"/>
      <c r="C66" s="211"/>
      <c r="D66" s="211"/>
      <c r="E66" s="211"/>
      <c r="F66" s="211"/>
      <c r="G66" s="211"/>
      <c r="H66" s="211"/>
      <c r="I66" s="211"/>
      <c r="J66" s="211"/>
      <c r="K66" s="211"/>
      <c r="L66" s="211"/>
      <c r="M66" s="211"/>
      <c r="N66" s="211"/>
      <c r="O66" s="211"/>
      <c r="P66" s="211"/>
      <c r="Q66" s="211"/>
      <c r="R66" s="211"/>
      <c r="S66" s="211"/>
      <c r="T66" s="211"/>
    </row>
    <row r="67" spans="1:20" s="34" customFormat="1">
      <c r="A67" s="211"/>
      <c r="B67" s="211"/>
      <c r="C67" s="211"/>
      <c r="D67" s="211"/>
      <c r="E67" s="211"/>
      <c r="F67" s="211"/>
      <c r="G67" s="211"/>
      <c r="H67" s="211"/>
      <c r="I67" s="211"/>
      <c r="J67" s="211"/>
      <c r="K67" s="211"/>
      <c r="L67" s="211"/>
      <c r="M67" s="211"/>
      <c r="N67" s="211"/>
      <c r="O67" s="211"/>
      <c r="P67" s="211"/>
      <c r="Q67" s="211"/>
      <c r="R67" s="211"/>
      <c r="S67" s="211"/>
      <c r="T67" s="211"/>
    </row>
    <row r="68" spans="1:20" s="34" customFormat="1">
      <c r="A68" s="211"/>
      <c r="B68" s="211"/>
      <c r="C68" s="211"/>
      <c r="D68" s="211"/>
      <c r="E68" s="211"/>
      <c r="F68" s="211"/>
      <c r="G68" s="211"/>
      <c r="H68" s="211"/>
      <c r="I68" s="211"/>
      <c r="J68" s="211"/>
      <c r="K68" s="211"/>
      <c r="L68" s="211"/>
      <c r="M68" s="211"/>
      <c r="N68" s="211"/>
      <c r="O68" s="211"/>
      <c r="P68" s="211"/>
      <c r="Q68" s="211"/>
      <c r="R68" s="211"/>
      <c r="S68" s="211"/>
      <c r="T68" s="211"/>
    </row>
    <row r="69" spans="1:20" s="34" customFormat="1">
      <c r="A69" s="211"/>
      <c r="B69" s="211"/>
      <c r="C69" s="211"/>
      <c r="D69" s="211"/>
      <c r="E69" s="211"/>
      <c r="F69" s="211"/>
      <c r="G69" s="211"/>
      <c r="H69" s="211"/>
      <c r="I69" s="211"/>
      <c r="J69" s="211"/>
      <c r="K69" s="211"/>
      <c r="L69" s="211"/>
      <c r="M69" s="211"/>
      <c r="N69" s="211"/>
      <c r="O69" s="211"/>
      <c r="P69" s="211"/>
      <c r="Q69" s="211"/>
      <c r="R69" s="211"/>
      <c r="S69" s="211"/>
      <c r="T69" s="211"/>
    </row>
    <row r="70" spans="1:20" s="34" customFormat="1">
      <c r="A70" s="211"/>
      <c r="B70" s="211"/>
      <c r="C70" s="211"/>
      <c r="D70" s="211"/>
      <c r="E70" s="211"/>
      <c r="F70" s="211"/>
      <c r="G70" s="211"/>
      <c r="H70" s="211"/>
      <c r="I70" s="211"/>
      <c r="J70" s="211"/>
      <c r="K70" s="211"/>
      <c r="L70" s="211"/>
      <c r="M70" s="211"/>
      <c r="N70" s="211"/>
      <c r="O70" s="211"/>
      <c r="P70" s="211"/>
      <c r="Q70" s="211"/>
      <c r="R70" s="211"/>
      <c r="S70" s="211"/>
      <c r="T70" s="211"/>
    </row>
    <row r="71" spans="1:20" s="34" customFormat="1">
      <c r="A71" s="211"/>
      <c r="B71" s="211"/>
      <c r="C71" s="211"/>
      <c r="D71" s="211"/>
      <c r="E71" s="211"/>
      <c r="F71" s="211"/>
      <c r="G71" s="211"/>
      <c r="H71" s="211"/>
      <c r="I71" s="211"/>
      <c r="J71" s="211"/>
      <c r="K71" s="211"/>
      <c r="L71" s="211"/>
      <c r="M71" s="211"/>
      <c r="N71" s="211"/>
      <c r="O71" s="211"/>
      <c r="P71" s="211"/>
      <c r="Q71" s="211"/>
      <c r="R71" s="211"/>
      <c r="S71" s="211"/>
      <c r="T71" s="211"/>
    </row>
    <row r="72" spans="1:20" s="34" customFormat="1">
      <c r="A72" s="211"/>
      <c r="B72" s="211"/>
      <c r="C72" s="211"/>
      <c r="D72" s="211"/>
      <c r="E72" s="211"/>
      <c r="F72" s="211"/>
      <c r="G72" s="211"/>
      <c r="H72" s="211"/>
      <c r="I72" s="211"/>
      <c r="J72" s="211"/>
      <c r="K72" s="211"/>
      <c r="L72" s="211"/>
      <c r="M72" s="211"/>
      <c r="N72" s="211"/>
      <c r="O72" s="211"/>
      <c r="P72" s="211"/>
      <c r="Q72" s="211"/>
      <c r="R72" s="211"/>
      <c r="S72" s="211"/>
      <c r="T72" s="211"/>
    </row>
    <row r="73" spans="1:20" s="34" customFormat="1">
      <c r="A73" s="211"/>
      <c r="B73" s="211"/>
      <c r="C73" s="211"/>
      <c r="D73" s="211"/>
      <c r="E73" s="211"/>
      <c r="F73" s="211"/>
      <c r="G73" s="211"/>
      <c r="H73" s="211"/>
      <c r="I73" s="211"/>
      <c r="J73" s="211"/>
      <c r="K73" s="211"/>
      <c r="L73" s="211"/>
      <c r="M73" s="211"/>
      <c r="N73" s="211"/>
      <c r="O73" s="211"/>
      <c r="P73" s="211"/>
      <c r="Q73" s="211"/>
      <c r="R73" s="211"/>
      <c r="S73" s="211"/>
      <c r="T73" s="211"/>
    </row>
    <row r="74" spans="1:20" s="34" customFormat="1">
      <c r="A74" s="211"/>
      <c r="B74" s="211"/>
      <c r="C74" s="211"/>
      <c r="D74" s="211"/>
      <c r="E74" s="211"/>
      <c r="F74" s="211"/>
      <c r="G74" s="211"/>
      <c r="H74" s="211"/>
      <c r="I74" s="211"/>
      <c r="J74" s="211"/>
      <c r="K74" s="211"/>
      <c r="L74" s="211"/>
      <c r="M74" s="211"/>
      <c r="N74" s="211"/>
      <c r="O74" s="211"/>
      <c r="P74" s="211"/>
      <c r="Q74" s="211"/>
      <c r="R74" s="211"/>
      <c r="S74" s="211"/>
      <c r="T74" s="211"/>
    </row>
    <row r="75" spans="1:20" s="34" customFormat="1">
      <c r="A75" s="211"/>
      <c r="B75" s="211"/>
      <c r="C75" s="211"/>
      <c r="D75" s="211"/>
      <c r="E75" s="211"/>
      <c r="F75" s="211"/>
      <c r="G75" s="211"/>
      <c r="H75" s="211"/>
      <c r="I75" s="211"/>
      <c r="J75" s="211"/>
      <c r="K75" s="211"/>
      <c r="L75" s="211"/>
      <c r="M75" s="211"/>
      <c r="N75" s="211"/>
      <c r="O75" s="211"/>
      <c r="P75" s="211"/>
      <c r="Q75" s="211"/>
      <c r="R75" s="211"/>
      <c r="S75" s="211"/>
      <c r="T75" s="211"/>
    </row>
    <row r="76" spans="1:20" s="34" customFormat="1">
      <c r="A76" s="211"/>
      <c r="B76" s="211"/>
      <c r="C76" s="211"/>
      <c r="D76" s="211"/>
      <c r="E76" s="211"/>
      <c r="F76" s="211"/>
      <c r="G76" s="211"/>
      <c r="H76" s="211"/>
      <c r="I76" s="211"/>
      <c r="J76" s="211"/>
      <c r="K76" s="211"/>
      <c r="L76" s="211"/>
      <c r="M76" s="211"/>
      <c r="N76" s="211"/>
      <c r="O76" s="211"/>
      <c r="P76" s="211"/>
      <c r="Q76" s="211"/>
      <c r="R76" s="211"/>
      <c r="S76" s="211"/>
      <c r="T76" s="211"/>
    </row>
    <row r="77" spans="1:20" s="34" customFormat="1">
      <c r="A77" s="211"/>
      <c r="B77" s="211"/>
      <c r="C77" s="211"/>
      <c r="D77" s="211"/>
      <c r="E77" s="211"/>
      <c r="F77" s="211"/>
      <c r="G77" s="211"/>
      <c r="H77" s="211"/>
      <c r="I77" s="211"/>
      <c r="J77" s="211"/>
      <c r="K77" s="211"/>
      <c r="L77" s="211"/>
      <c r="M77" s="211"/>
      <c r="N77" s="211"/>
      <c r="O77" s="211"/>
      <c r="P77" s="211"/>
      <c r="Q77" s="211"/>
      <c r="R77" s="211"/>
      <c r="S77" s="211"/>
      <c r="T77" s="211"/>
    </row>
    <row r="78" spans="1:20" s="34" customFormat="1">
      <c r="A78" s="211"/>
      <c r="B78" s="211"/>
      <c r="C78" s="211"/>
      <c r="D78" s="211"/>
      <c r="E78" s="211"/>
      <c r="F78" s="211"/>
      <c r="G78" s="211"/>
      <c r="H78" s="211"/>
      <c r="I78" s="211"/>
      <c r="J78" s="211"/>
      <c r="K78" s="211"/>
      <c r="L78" s="211"/>
      <c r="M78" s="211"/>
      <c r="N78" s="211"/>
      <c r="O78" s="211"/>
      <c r="P78" s="211"/>
      <c r="Q78" s="211"/>
      <c r="R78" s="211"/>
      <c r="S78" s="211"/>
      <c r="T78" s="211"/>
    </row>
    <row r="79" spans="1:20" s="34" customFormat="1">
      <c r="A79" s="211"/>
      <c r="B79" s="211"/>
      <c r="C79" s="211"/>
      <c r="D79" s="211"/>
      <c r="E79" s="211"/>
      <c r="F79" s="211"/>
      <c r="G79" s="211"/>
      <c r="H79" s="211"/>
      <c r="I79" s="211"/>
      <c r="J79" s="211"/>
      <c r="K79" s="211"/>
      <c r="L79" s="211"/>
      <c r="M79" s="211"/>
      <c r="N79" s="211"/>
      <c r="O79" s="211"/>
      <c r="P79" s="211"/>
      <c r="Q79" s="211"/>
      <c r="R79" s="211"/>
      <c r="S79" s="211"/>
      <c r="T79" s="211"/>
    </row>
    <row r="80" spans="1:20" s="34" customFormat="1">
      <c r="A80" s="211"/>
      <c r="B80" s="211"/>
      <c r="C80" s="211"/>
      <c r="D80" s="211"/>
      <c r="E80" s="211"/>
      <c r="F80" s="211"/>
      <c r="G80" s="211"/>
      <c r="H80" s="211"/>
      <c r="I80" s="211"/>
      <c r="J80" s="211"/>
      <c r="K80" s="211"/>
      <c r="L80" s="211"/>
      <c r="M80" s="211"/>
      <c r="N80" s="211"/>
      <c r="O80" s="211"/>
      <c r="P80" s="211"/>
      <c r="Q80" s="211"/>
      <c r="R80" s="211"/>
      <c r="S80" s="211"/>
      <c r="T80" s="211"/>
    </row>
    <row r="81" spans="1:20" s="34" customFormat="1">
      <c r="A81" s="211"/>
      <c r="B81" s="211"/>
      <c r="C81" s="211"/>
      <c r="D81" s="211"/>
      <c r="E81" s="211"/>
      <c r="F81" s="211"/>
      <c r="G81" s="211"/>
      <c r="H81" s="211"/>
      <c r="I81" s="211"/>
      <c r="J81" s="211"/>
      <c r="K81" s="211"/>
      <c r="L81" s="211"/>
      <c r="M81" s="211"/>
      <c r="N81" s="211"/>
      <c r="O81" s="211"/>
      <c r="P81" s="211"/>
      <c r="Q81" s="211"/>
      <c r="R81" s="211"/>
      <c r="S81" s="211"/>
      <c r="T81" s="211"/>
    </row>
    <row r="82" spans="1:20" s="34" customFormat="1">
      <c r="A82" s="211"/>
      <c r="B82" s="211"/>
      <c r="C82" s="211"/>
      <c r="D82" s="211"/>
      <c r="E82" s="211"/>
      <c r="F82" s="211"/>
      <c r="G82" s="211"/>
      <c r="H82" s="211"/>
      <c r="I82" s="211"/>
      <c r="J82" s="211"/>
      <c r="K82" s="211"/>
      <c r="L82" s="211"/>
      <c r="M82" s="211"/>
      <c r="N82" s="211"/>
      <c r="O82" s="211"/>
      <c r="P82" s="211"/>
      <c r="Q82" s="211"/>
      <c r="R82" s="211"/>
      <c r="S82" s="211"/>
      <c r="T82" s="211"/>
    </row>
    <row r="83" spans="1:20" s="34" customFormat="1">
      <c r="A83" s="211"/>
      <c r="B83" s="211"/>
      <c r="C83" s="211"/>
      <c r="D83" s="211"/>
      <c r="E83" s="211"/>
      <c r="F83" s="211"/>
      <c r="G83" s="211"/>
      <c r="H83" s="211"/>
      <c r="I83" s="211"/>
      <c r="J83" s="211"/>
      <c r="K83" s="211"/>
      <c r="L83" s="211"/>
      <c r="M83" s="211"/>
      <c r="N83" s="211"/>
      <c r="O83" s="211"/>
      <c r="P83" s="211"/>
      <c r="Q83" s="211"/>
      <c r="R83" s="211"/>
      <c r="S83" s="211"/>
      <c r="T83" s="211"/>
    </row>
    <row r="84" spans="1:20" s="34" customFormat="1">
      <c r="A84" s="211"/>
      <c r="B84" s="211"/>
      <c r="C84" s="211"/>
      <c r="D84" s="211"/>
      <c r="E84" s="211"/>
      <c r="F84" s="211"/>
      <c r="G84" s="211"/>
      <c r="H84" s="211"/>
      <c r="I84" s="211"/>
      <c r="J84" s="211"/>
      <c r="K84" s="211"/>
      <c r="L84" s="211"/>
      <c r="M84" s="211"/>
      <c r="N84" s="211"/>
      <c r="O84" s="211"/>
      <c r="P84" s="211"/>
      <c r="Q84" s="211"/>
      <c r="R84" s="211"/>
      <c r="S84" s="211"/>
      <c r="T84" s="211"/>
    </row>
    <row r="85" spans="1:20" s="34" customFormat="1">
      <c r="A85" s="211"/>
      <c r="B85" s="211"/>
      <c r="C85" s="211"/>
      <c r="D85" s="211"/>
      <c r="E85" s="211"/>
      <c r="F85" s="211"/>
      <c r="G85" s="211"/>
      <c r="H85" s="211"/>
      <c r="I85" s="211"/>
      <c r="J85" s="211"/>
      <c r="K85" s="211"/>
      <c r="L85" s="211"/>
      <c r="M85" s="211"/>
      <c r="N85" s="211"/>
      <c r="O85" s="211"/>
      <c r="P85" s="211"/>
      <c r="Q85" s="211"/>
      <c r="R85" s="211"/>
      <c r="S85" s="211"/>
      <c r="T85" s="211"/>
    </row>
    <row r="86" spans="1:20" s="34" customFormat="1">
      <c r="A86" s="211"/>
      <c r="B86" s="211"/>
      <c r="C86" s="211"/>
      <c r="D86" s="211"/>
      <c r="E86" s="211"/>
      <c r="F86" s="211"/>
      <c r="G86" s="211"/>
      <c r="H86" s="211"/>
      <c r="I86" s="211"/>
      <c r="J86" s="211"/>
      <c r="K86" s="211"/>
      <c r="L86" s="211"/>
      <c r="M86" s="211"/>
      <c r="N86" s="211"/>
      <c r="O86" s="211"/>
      <c r="P86" s="211"/>
      <c r="Q86" s="211"/>
      <c r="R86" s="211"/>
      <c r="S86" s="211"/>
      <c r="T86" s="211"/>
    </row>
    <row r="87" spans="1:20" s="34" customFormat="1">
      <c r="A87" s="211"/>
      <c r="B87" s="211"/>
      <c r="C87" s="211"/>
      <c r="D87" s="211"/>
      <c r="E87" s="211"/>
      <c r="F87" s="211"/>
      <c r="G87" s="211"/>
      <c r="H87" s="211"/>
      <c r="I87" s="211"/>
      <c r="J87" s="211"/>
      <c r="K87" s="211"/>
      <c r="L87" s="211"/>
      <c r="M87" s="211"/>
      <c r="N87" s="211"/>
      <c r="O87" s="211"/>
      <c r="P87" s="211"/>
      <c r="Q87" s="211"/>
      <c r="R87" s="211"/>
      <c r="S87" s="211"/>
      <c r="T87" s="211"/>
    </row>
    <row r="88" spans="1:20" s="34" customFormat="1">
      <c r="A88" s="211"/>
      <c r="B88" s="211"/>
      <c r="C88" s="211"/>
      <c r="D88" s="211"/>
      <c r="E88" s="211"/>
      <c r="F88" s="211"/>
      <c r="G88" s="211"/>
      <c r="H88" s="211"/>
      <c r="I88" s="211"/>
      <c r="J88" s="211"/>
      <c r="K88" s="211"/>
      <c r="L88" s="211"/>
      <c r="M88" s="211"/>
      <c r="N88" s="211"/>
      <c r="O88" s="211"/>
      <c r="P88" s="211"/>
      <c r="Q88" s="211"/>
      <c r="R88" s="211"/>
      <c r="S88" s="211"/>
      <c r="T88" s="211"/>
    </row>
    <row r="89" spans="1:20" s="34" customFormat="1">
      <c r="A89" s="211"/>
      <c r="B89" s="211"/>
      <c r="C89" s="211"/>
      <c r="D89" s="211"/>
      <c r="E89" s="211"/>
      <c r="F89" s="211"/>
      <c r="G89" s="211"/>
      <c r="H89" s="211"/>
      <c r="I89" s="211"/>
      <c r="J89" s="211"/>
      <c r="K89" s="211"/>
      <c r="L89" s="211"/>
      <c r="M89" s="211"/>
      <c r="N89" s="211"/>
      <c r="O89" s="211"/>
      <c r="P89" s="211"/>
      <c r="Q89" s="211"/>
      <c r="R89" s="211"/>
      <c r="S89" s="211"/>
      <c r="T89" s="211"/>
    </row>
    <row r="90" spans="1:20" s="34" customFormat="1">
      <c r="A90" s="211"/>
      <c r="B90" s="211"/>
      <c r="C90" s="211"/>
      <c r="D90" s="211"/>
      <c r="E90" s="211"/>
      <c r="F90" s="211"/>
      <c r="G90" s="211"/>
      <c r="H90" s="211"/>
      <c r="I90" s="211"/>
      <c r="J90" s="211"/>
      <c r="K90" s="211"/>
      <c r="L90" s="211"/>
      <c r="M90" s="211"/>
      <c r="N90" s="211"/>
      <c r="O90" s="211"/>
      <c r="P90" s="211"/>
      <c r="Q90" s="211"/>
      <c r="R90" s="211"/>
      <c r="S90" s="211"/>
      <c r="T90" s="211"/>
    </row>
    <row r="91" spans="1:20" s="34" customFormat="1">
      <c r="A91" s="211"/>
      <c r="B91" s="211"/>
      <c r="C91" s="211"/>
      <c r="D91" s="211"/>
      <c r="E91" s="211"/>
      <c r="F91" s="211"/>
      <c r="G91" s="211"/>
      <c r="H91" s="211"/>
      <c r="I91" s="211"/>
      <c r="J91" s="211"/>
      <c r="K91" s="211"/>
      <c r="L91" s="211"/>
      <c r="M91" s="211"/>
      <c r="N91" s="211"/>
      <c r="O91" s="211"/>
      <c r="P91" s="211"/>
      <c r="Q91" s="211"/>
      <c r="R91" s="211"/>
      <c r="S91" s="211"/>
      <c r="T91" s="211"/>
    </row>
    <row r="92" spans="1:20" s="34" customFormat="1">
      <c r="A92" s="211"/>
      <c r="B92" s="211"/>
      <c r="C92" s="211"/>
      <c r="D92" s="211"/>
      <c r="E92" s="211"/>
      <c r="F92" s="211"/>
      <c r="G92" s="211"/>
      <c r="H92" s="211"/>
      <c r="I92" s="211"/>
      <c r="J92" s="211"/>
      <c r="K92" s="211"/>
      <c r="L92" s="211"/>
      <c r="M92" s="211"/>
      <c r="N92" s="211"/>
      <c r="O92" s="211"/>
      <c r="P92" s="211"/>
      <c r="Q92" s="211"/>
      <c r="R92" s="211"/>
      <c r="S92" s="211"/>
      <c r="T92" s="211"/>
    </row>
    <row r="93" spans="1:20" s="34" customFormat="1">
      <c r="A93" s="211"/>
      <c r="B93" s="211"/>
      <c r="C93" s="211"/>
      <c r="D93" s="211"/>
      <c r="E93" s="211"/>
      <c r="F93" s="211"/>
      <c r="G93" s="211"/>
      <c r="H93" s="211"/>
      <c r="I93" s="211"/>
      <c r="J93" s="211"/>
      <c r="K93" s="211"/>
      <c r="L93" s="211"/>
      <c r="M93" s="211"/>
      <c r="N93" s="211"/>
      <c r="O93" s="211"/>
      <c r="P93" s="211"/>
      <c r="Q93" s="211"/>
      <c r="R93" s="211"/>
      <c r="S93" s="211"/>
      <c r="T93" s="211"/>
    </row>
    <row r="94" spans="1:20" s="34" customFormat="1">
      <c r="A94" s="211"/>
      <c r="B94" s="211"/>
      <c r="C94" s="211"/>
      <c r="D94" s="211"/>
      <c r="E94" s="211"/>
      <c r="F94" s="211"/>
      <c r="G94" s="211"/>
      <c r="H94" s="211"/>
      <c r="I94" s="211"/>
      <c r="J94" s="211"/>
      <c r="K94" s="211"/>
      <c r="L94" s="211"/>
      <c r="M94" s="211"/>
      <c r="N94" s="211"/>
      <c r="O94" s="211"/>
      <c r="P94" s="211"/>
      <c r="Q94" s="211"/>
      <c r="R94" s="211"/>
      <c r="S94" s="211"/>
      <c r="T94" s="211"/>
    </row>
    <row r="95" spans="1:20" s="34" customFormat="1">
      <c r="A95" s="211"/>
      <c r="B95" s="211"/>
      <c r="C95" s="211"/>
      <c r="D95" s="211"/>
      <c r="E95" s="211"/>
      <c r="F95" s="211"/>
      <c r="G95" s="211"/>
      <c r="H95" s="211"/>
      <c r="I95" s="211"/>
      <c r="J95" s="211"/>
      <c r="K95" s="211"/>
      <c r="L95" s="211"/>
      <c r="M95" s="211"/>
      <c r="N95" s="211"/>
      <c r="O95" s="211"/>
      <c r="P95" s="211"/>
      <c r="Q95" s="211"/>
      <c r="R95" s="211"/>
      <c r="S95" s="211"/>
      <c r="T95" s="211"/>
    </row>
    <row r="96" spans="1:20" s="34" customFormat="1">
      <c r="A96" s="211"/>
      <c r="B96" s="211"/>
      <c r="C96" s="211"/>
      <c r="D96" s="211"/>
      <c r="E96" s="211"/>
      <c r="F96" s="211"/>
      <c r="G96" s="211"/>
      <c r="H96" s="211"/>
      <c r="I96" s="211"/>
      <c r="J96" s="211"/>
      <c r="K96" s="211"/>
      <c r="L96" s="211"/>
      <c r="M96" s="211"/>
      <c r="N96" s="211"/>
      <c r="O96" s="211"/>
      <c r="P96" s="211"/>
      <c r="Q96" s="211"/>
      <c r="R96" s="211"/>
      <c r="S96" s="211"/>
      <c r="T96" s="211"/>
    </row>
    <row r="97" spans="1:20" s="34" customFormat="1">
      <c r="A97" s="211"/>
      <c r="B97" s="211"/>
      <c r="C97" s="211"/>
      <c r="D97" s="211"/>
      <c r="E97" s="211"/>
      <c r="F97" s="211"/>
      <c r="G97" s="211"/>
      <c r="H97" s="211"/>
      <c r="I97" s="211"/>
      <c r="J97" s="211"/>
      <c r="K97" s="211"/>
      <c r="L97" s="211"/>
      <c r="M97" s="211"/>
      <c r="N97" s="211"/>
      <c r="O97" s="211"/>
      <c r="P97" s="211"/>
      <c r="Q97" s="211"/>
      <c r="R97" s="211"/>
      <c r="S97" s="211"/>
      <c r="T97" s="211"/>
    </row>
    <row r="98" spans="1:20" s="34" customFormat="1">
      <c r="A98" s="211"/>
      <c r="B98" s="211"/>
      <c r="C98" s="211"/>
      <c r="D98" s="211"/>
      <c r="E98" s="211"/>
      <c r="F98" s="211"/>
      <c r="G98" s="211"/>
      <c r="H98" s="211"/>
      <c r="I98" s="211"/>
      <c r="J98" s="211"/>
      <c r="K98" s="211"/>
      <c r="L98" s="211"/>
      <c r="M98" s="211"/>
      <c r="N98" s="211"/>
      <c r="O98" s="211"/>
      <c r="P98" s="211"/>
      <c r="Q98" s="211"/>
      <c r="R98" s="211"/>
      <c r="S98" s="211"/>
      <c r="T98" s="211"/>
    </row>
    <row r="99" spans="1:20" s="34" customFormat="1">
      <c r="A99" s="211"/>
      <c r="B99" s="211"/>
      <c r="C99" s="211"/>
      <c r="D99" s="211"/>
      <c r="E99" s="211"/>
      <c r="F99" s="211"/>
      <c r="G99" s="211"/>
      <c r="H99" s="211"/>
      <c r="I99" s="211"/>
      <c r="J99" s="211"/>
      <c r="K99" s="211"/>
      <c r="L99" s="211"/>
      <c r="M99" s="211"/>
      <c r="N99" s="211"/>
      <c r="O99" s="211"/>
      <c r="P99" s="211"/>
      <c r="Q99" s="211"/>
      <c r="R99" s="211"/>
      <c r="S99" s="211"/>
      <c r="T99" s="211"/>
    </row>
    <row r="100" spans="1:20" s="34" customFormat="1">
      <c r="A100" s="211"/>
      <c r="B100" s="211"/>
      <c r="C100" s="211"/>
      <c r="D100" s="211"/>
      <c r="E100" s="211"/>
      <c r="F100" s="211"/>
      <c r="G100" s="211"/>
      <c r="H100" s="211"/>
      <c r="I100" s="211"/>
      <c r="J100" s="211"/>
      <c r="K100" s="211"/>
      <c r="L100" s="211"/>
      <c r="M100" s="211"/>
      <c r="N100" s="211"/>
      <c r="O100" s="211"/>
      <c r="P100" s="211"/>
      <c r="Q100" s="211"/>
      <c r="R100" s="211"/>
      <c r="S100" s="211"/>
      <c r="T100" s="211"/>
    </row>
    <row r="101" spans="1:20" s="34" customFormat="1">
      <c r="A101" s="211"/>
      <c r="B101" s="211"/>
      <c r="C101" s="211"/>
      <c r="D101" s="211"/>
      <c r="E101" s="211"/>
      <c r="F101" s="211"/>
      <c r="G101" s="211"/>
      <c r="H101" s="211"/>
      <c r="I101" s="211"/>
      <c r="J101" s="211"/>
      <c r="K101" s="211"/>
      <c r="L101" s="211"/>
      <c r="M101" s="211"/>
      <c r="N101" s="211"/>
      <c r="O101" s="211"/>
      <c r="P101" s="211"/>
      <c r="Q101" s="211"/>
      <c r="R101" s="211"/>
      <c r="S101" s="211"/>
      <c r="T101" s="211"/>
    </row>
    <row r="102" spans="1:20" s="34" customFormat="1">
      <c r="A102" s="211"/>
      <c r="B102" s="211"/>
      <c r="C102" s="211"/>
      <c r="D102" s="211"/>
      <c r="E102" s="211"/>
      <c r="F102" s="211"/>
      <c r="G102" s="211"/>
      <c r="H102" s="211"/>
      <c r="I102" s="211"/>
      <c r="J102" s="211"/>
      <c r="K102" s="211"/>
      <c r="L102" s="211"/>
      <c r="M102" s="211"/>
      <c r="N102" s="211"/>
      <c r="O102" s="211"/>
      <c r="P102" s="211"/>
      <c r="Q102" s="211"/>
      <c r="R102" s="211"/>
      <c r="S102" s="211"/>
      <c r="T102" s="211"/>
    </row>
    <row r="103" spans="1:20" s="34" customFormat="1">
      <c r="A103" s="211"/>
      <c r="B103" s="211"/>
      <c r="C103" s="211"/>
      <c r="D103" s="211"/>
      <c r="E103" s="211"/>
      <c r="F103" s="211"/>
      <c r="G103" s="211"/>
      <c r="H103" s="211"/>
      <c r="I103" s="211"/>
      <c r="J103" s="211"/>
      <c r="K103" s="211"/>
      <c r="L103" s="211"/>
      <c r="M103" s="211"/>
      <c r="N103" s="211"/>
      <c r="O103" s="211"/>
      <c r="P103" s="211"/>
      <c r="Q103" s="211"/>
      <c r="R103" s="211"/>
      <c r="S103" s="211"/>
      <c r="T103" s="211"/>
    </row>
    <row r="104" spans="1:20" s="34" customFormat="1">
      <c r="A104" s="211"/>
      <c r="B104" s="211"/>
      <c r="C104" s="211"/>
      <c r="D104" s="211"/>
      <c r="E104" s="211"/>
      <c r="F104" s="211"/>
      <c r="G104" s="211"/>
      <c r="H104" s="211"/>
      <c r="I104" s="211"/>
      <c r="J104" s="211"/>
      <c r="K104" s="211"/>
      <c r="L104" s="211"/>
      <c r="M104" s="211"/>
      <c r="N104" s="211"/>
      <c r="O104" s="211"/>
      <c r="P104" s="211"/>
      <c r="Q104" s="211"/>
      <c r="R104" s="211"/>
      <c r="S104" s="211"/>
      <c r="T104" s="211"/>
    </row>
    <row r="105" spans="1:20" s="34" customFormat="1">
      <c r="A105" s="211"/>
      <c r="B105" s="211"/>
      <c r="C105" s="211"/>
      <c r="D105" s="211"/>
      <c r="E105" s="211"/>
      <c r="F105" s="211"/>
      <c r="G105" s="211"/>
      <c r="H105" s="211"/>
      <c r="I105" s="211"/>
      <c r="J105" s="211"/>
      <c r="K105" s="211"/>
      <c r="L105" s="211"/>
      <c r="M105" s="211"/>
      <c r="N105" s="211"/>
      <c r="O105" s="211"/>
      <c r="P105" s="211"/>
      <c r="Q105" s="211"/>
      <c r="R105" s="211"/>
      <c r="S105" s="211"/>
      <c r="T105" s="211"/>
    </row>
    <row r="106" spans="1:20" s="34" customFormat="1">
      <c r="A106" s="211"/>
      <c r="B106" s="211"/>
      <c r="C106" s="211"/>
      <c r="D106" s="211"/>
      <c r="E106" s="211"/>
      <c r="F106" s="211"/>
      <c r="G106" s="211"/>
      <c r="H106" s="211"/>
      <c r="I106" s="211"/>
      <c r="J106" s="211"/>
      <c r="K106" s="211"/>
      <c r="L106" s="211"/>
      <c r="M106" s="211"/>
      <c r="N106" s="211"/>
      <c r="O106" s="211"/>
      <c r="P106" s="211"/>
      <c r="Q106" s="211"/>
      <c r="R106" s="211"/>
      <c r="S106" s="211"/>
      <c r="T106" s="211"/>
    </row>
    <row r="107" spans="1:20" s="34" customFormat="1">
      <c r="A107" s="211"/>
      <c r="B107" s="211"/>
      <c r="C107" s="211"/>
      <c r="D107" s="211"/>
      <c r="E107" s="211"/>
      <c r="F107" s="211"/>
      <c r="G107" s="211"/>
      <c r="H107" s="211"/>
      <c r="I107" s="211"/>
      <c r="J107" s="211"/>
      <c r="K107" s="211"/>
      <c r="L107" s="211"/>
      <c r="M107" s="211"/>
      <c r="N107" s="211"/>
      <c r="O107" s="211"/>
      <c r="P107" s="211"/>
      <c r="Q107" s="211"/>
      <c r="R107" s="211"/>
      <c r="S107" s="211"/>
      <c r="T107" s="211"/>
    </row>
    <row r="108" spans="1:20" s="34" customFormat="1">
      <c r="A108" s="211"/>
      <c r="B108" s="211"/>
      <c r="C108" s="211"/>
      <c r="D108" s="211"/>
      <c r="E108" s="211"/>
      <c r="F108" s="211"/>
      <c r="G108" s="211"/>
      <c r="H108" s="211"/>
      <c r="I108" s="211"/>
      <c r="J108" s="211"/>
      <c r="K108" s="211"/>
      <c r="L108" s="211"/>
      <c r="M108" s="211"/>
      <c r="N108" s="211"/>
      <c r="O108" s="211"/>
      <c r="P108" s="211"/>
      <c r="Q108" s="211"/>
      <c r="R108" s="211"/>
      <c r="S108" s="211"/>
      <c r="T108" s="211"/>
    </row>
    <row r="109" spans="1:20" s="34" customFormat="1">
      <c r="A109" s="211"/>
      <c r="B109" s="211"/>
      <c r="C109" s="211"/>
      <c r="D109" s="211"/>
      <c r="E109" s="211"/>
      <c r="F109" s="211"/>
      <c r="G109" s="211"/>
      <c r="H109" s="211"/>
      <c r="I109" s="211"/>
      <c r="J109" s="211"/>
      <c r="K109" s="211"/>
      <c r="L109" s="211"/>
      <c r="M109" s="211"/>
      <c r="N109" s="211"/>
      <c r="O109" s="211"/>
      <c r="P109" s="211"/>
      <c r="Q109" s="211"/>
      <c r="R109" s="211"/>
      <c r="S109" s="211"/>
      <c r="T109" s="211"/>
    </row>
    <row r="110" spans="1:20" s="34" customFormat="1">
      <c r="A110" s="211"/>
      <c r="B110" s="211"/>
      <c r="C110" s="211"/>
      <c r="D110" s="211"/>
      <c r="E110" s="211"/>
      <c r="F110" s="211"/>
      <c r="G110" s="211"/>
      <c r="H110" s="211"/>
      <c r="I110" s="211"/>
      <c r="J110" s="211"/>
      <c r="K110" s="211"/>
      <c r="L110" s="211"/>
      <c r="M110" s="211"/>
      <c r="N110" s="211"/>
      <c r="O110" s="211"/>
      <c r="P110" s="211"/>
      <c r="Q110" s="211"/>
      <c r="R110" s="211"/>
      <c r="S110" s="211"/>
      <c r="T110" s="211"/>
    </row>
    <row r="111" spans="1:20" s="34" customFormat="1">
      <c r="A111" s="211"/>
      <c r="B111" s="211"/>
      <c r="C111" s="211"/>
      <c r="D111" s="211"/>
      <c r="E111" s="211"/>
      <c r="F111" s="211"/>
      <c r="G111" s="211"/>
      <c r="H111" s="211"/>
      <c r="I111" s="211"/>
      <c r="J111" s="211"/>
      <c r="K111" s="211"/>
      <c r="L111" s="211"/>
      <c r="M111" s="211"/>
      <c r="N111" s="211"/>
      <c r="O111" s="211"/>
      <c r="P111" s="211"/>
      <c r="Q111" s="211"/>
      <c r="R111" s="211"/>
      <c r="S111" s="211"/>
      <c r="T111" s="211"/>
    </row>
    <row r="112" spans="1:20" s="34" customFormat="1">
      <c r="A112" s="211"/>
      <c r="B112" s="211"/>
      <c r="C112" s="211"/>
      <c r="D112" s="211"/>
      <c r="E112" s="211"/>
      <c r="F112" s="211"/>
      <c r="G112" s="211"/>
      <c r="H112" s="211"/>
      <c r="I112" s="211"/>
      <c r="J112" s="211"/>
      <c r="K112" s="211"/>
      <c r="L112" s="211"/>
      <c r="M112" s="211"/>
      <c r="N112" s="211"/>
      <c r="O112" s="211"/>
      <c r="P112" s="211"/>
      <c r="Q112" s="211"/>
      <c r="R112" s="211"/>
      <c r="S112" s="211"/>
      <c r="T112" s="211"/>
    </row>
    <row r="113" spans="1:20" s="34" customFormat="1">
      <c r="A113" s="211"/>
      <c r="B113" s="211"/>
      <c r="C113" s="211"/>
      <c r="D113" s="211"/>
      <c r="E113" s="211"/>
      <c r="F113" s="211"/>
      <c r="G113" s="211"/>
      <c r="H113" s="211"/>
      <c r="I113" s="211"/>
      <c r="J113" s="211"/>
      <c r="K113" s="211"/>
      <c r="L113" s="211"/>
      <c r="M113" s="211"/>
      <c r="N113" s="211"/>
      <c r="O113" s="211"/>
      <c r="P113" s="211"/>
      <c r="Q113" s="211"/>
      <c r="R113" s="211"/>
      <c r="S113" s="211"/>
      <c r="T113" s="211"/>
    </row>
    <row r="114" spans="1:20" s="34" customFormat="1">
      <c r="A114" s="211"/>
      <c r="B114" s="211"/>
      <c r="C114" s="211"/>
      <c r="D114" s="211"/>
      <c r="E114" s="211"/>
      <c r="F114" s="211"/>
      <c r="G114" s="211"/>
      <c r="H114" s="211"/>
      <c r="I114" s="211"/>
      <c r="J114" s="211"/>
      <c r="K114" s="211"/>
      <c r="L114" s="211"/>
      <c r="M114" s="211"/>
      <c r="N114" s="211"/>
      <c r="O114" s="211"/>
      <c r="P114" s="211"/>
      <c r="Q114" s="211"/>
      <c r="R114" s="211"/>
      <c r="S114" s="211"/>
      <c r="T114" s="211"/>
    </row>
    <row r="115" spans="1:20" s="34" customFormat="1">
      <c r="A115" s="211"/>
      <c r="B115" s="211"/>
      <c r="C115" s="211"/>
      <c r="D115" s="211"/>
      <c r="E115" s="211"/>
      <c r="F115" s="211"/>
      <c r="G115" s="211"/>
      <c r="H115" s="211"/>
      <c r="I115" s="211"/>
      <c r="J115" s="211"/>
      <c r="K115" s="211"/>
      <c r="L115" s="211"/>
      <c r="M115" s="211"/>
      <c r="N115" s="211"/>
      <c r="O115" s="211"/>
      <c r="P115" s="211"/>
      <c r="Q115" s="211"/>
      <c r="R115" s="211"/>
      <c r="S115" s="211"/>
      <c r="T115" s="211"/>
    </row>
    <row r="116" spans="1:20" s="34" customFormat="1">
      <c r="A116" s="211"/>
      <c r="B116" s="211"/>
      <c r="C116" s="211"/>
      <c r="D116" s="211"/>
      <c r="E116" s="211"/>
      <c r="F116" s="211"/>
      <c r="G116" s="211"/>
      <c r="H116" s="211"/>
      <c r="I116" s="211"/>
      <c r="J116" s="211"/>
      <c r="K116" s="211"/>
      <c r="L116" s="211"/>
      <c r="M116" s="211"/>
      <c r="N116" s="211"/>
      <c r="O116" s="211"/>
      <c r="P116" s="211"/>
      <c r="Q116" s="211"/>
      <c r="R116" s="211"/>
      <c r="S116" s="211"/>
      <c r="T116" s="211"/>
    </row>
    <row r="117" spans="1:20" s="34" customFormat="1">
      <c r="A117" s="211"/>
      <c r="B117" s="211"/>
      <c r="C117" s="211"/>
      <c r="D117" s="211"/>
      <c r="E117" s="211"/>
      <c r="F117" s="211"/>
      <c r="G117" s="211"/>
      <c r="H117" s="211"/>
      <c r="I117" s="211"/>
      <c r="J117" s="211"/>
      <c r="K117" s="211"/>
      <c r="L117" s="211"/>
      <c r="M117" s="211"/>
      <c r="N117" s="211"/>
      <c r="O117" s="211"/>
      <c r="P117" s="211"/>
      <c r="Q117" s="211"/>
      <c r="R117" s="211"/>
      <c r="S117" s="211"/>
      <c r="T117" s="211"/>
    </row>
    <row r="118" spans="1:20" s="34" customFormat="1">
      <c r="A118" s="286"/>
      <c r="B118" s="286"/>
      <c r="C118" s="211"/>
      <c r="D118" s="211"/>
      <c r="E118" s="211"/>
      <c r="F118" s="211"/>
      <c r="G118" s="211"/>
      <c r="H118" s="211"/>
      <c r="I118" s="211"/>
      <c r="J118" s="211"/>
      <c r="K118" s="211"/>
      <c r="L118" s="211"/>
      <c r="M118" s="211"/>
      <c r="N118" s="211"/>
      <c r="O118" s="211"/>
      <c r="P118" s="211"/>
      <c r="Q118" s="211"/>
      <c r="R118" s="211"/>
      <c r="S118" s="211"/>
      <c r="T118" s="211"/>
    </row>
    <row r="119" spans="1:20" s="34" customFormat="1">
      <c r="A119" s="286"/>
      <c r="B119" s="286"/>
      <c r="C119" s="211"/>
      <c r="D119" s="211"/>
      <c r="E119" s="211"/>
      <c r="F119" s="211"/>
      <c r="G119" s="211"/>
      <c r="H119" s="211"/>
      <c r="I119" s="211"/>
      <c r="J119" s="211"/>
      <c r="K119" s="211"/>
      <c r="L119" s="211"/>
      <c r="M119" s="211"/>
      <c r="N119" s="211"/>
      <c r="O119" s="211"/>
      <c r="P119" s="211"/>
      <c r="Q119" s="211"/>
      <c r="R119" s="211"/>
      <c r="S119" s="211"/>
      <c r="T119" s="211"/>
    </row>
    <row r="120" spans="1:20" s="34" customFormat="1">
      <c r="A120" s="286"/>
      <c r="B120" s="286"/>
      <c r="C120" s="211"/>
      <c r="D120" s="211"/>
      <c r="E120" s="211"/>
      <c r="F120" s="211"/>
      <c r="G120" s="211"/>
      <c r="H120" s="211"/>
      <c r="I120" s="211"/>
      <c r="J120" s="211"/>
      <c r="K120" s="211"/>
      <c r="L120" s="211"/>
      <c r="M120" s="211"/>
      <c r="N120" s="211"/>
      <c r="O120" s="211"/>
      <c r="P120" s="211"/>
      <c r="Q120" s="211"/>
      <c r="R120" s="211"/>
      <c r="S120" s="211"/>
      <c r="T120" s="211"/>
    </row>
    <row r="121" spans="1:20" s="34" customFormat="1">
      <c r="A121" s="286"/>
      <c r="B121" s="286"/>
      <c r="C121" s="211"/>
      <c r="D121" s="211"/>
      <c r="E121" s="211"/>
      <c r="F121" s="211"/>
      <c r="G121" s="211"/>
      <c r="H121" s="211"/>
      <c r="I121" s="211"/>
      <c r="J121" s="211"/>
      <c r="K121" s="211"/>
      <c r="L121" s="211"/>
      <c r="M121" s="211"/>
      <c r="N121" s="211"/>
      <c r="O121" s="211"/>
      <c r="P121" s="211"/>
      <c r="Q121" s="211"/>
      <c r="R121" s="211"/>
      <c r="S121" s="211"/>
      <c r="T121" s="211"/>
    </row>
    <row r="122" spans="1:20" s="34" customFormat="1">
      <c r="A122" s="286"/>
      <c r="B122" s="286"/>
      <c r="C122" s="211"/>
      <c r="D122" s="211"/>
      <c r="E122" s="211"/>
      <c r="F122" s="211"/>
      <c r="G122" s="211"/>
      <c r="H122" s="211"/>
      <c r="I122" s="211"/>
      <c r="J122" s="211"/>
      <c r="K122" s="211"/>
      <c r="L122" s="211"/>
      <c r="M122" s="211"/>
      <c r="N122" s="211"/>
      <c r="O122" s="211"/>
      <c r="P122" s="211"/>
      <c r="Q122" s="211"/>
      <c r="R122" s="211"/>
      <c r="S122" s="211"/>
      <c r="T122" s="211"/>
    </row>
    <row r="123" spans="1:20" s="34" customFormat="1">
      <c r="A123" s="211"/>
      <c r="B123" s="211"/>
      <c r="C123" s="211"/>
      <c r="D123" s="211"/>
      <c r="E123" s="211"/>
      <c r="F123" s="211"/>
      <c r="G123" s="211"/>
      <c r="H123" s="211"/>
      <c r="I123" s="211"/>
      <c r="J123" s="211"/>
      <c r="K123" s="211"/>
      <c r="L123" s="211"/>
      <c r="M123" s="211"/>
      <c r="N123" s="211"/>
      <c r="O123" s="211"/>
      <c r="P123" s="211"/>
      <c r="Q123" s="211"/>
      <c r="R123" s="211"/>
      <c r="S123" s="211"/>
      <c r="T123" s="211"/>
    </row>
    <row r="124" spans="1:20" s="34" customFormat="1">
      <c r="A124" s="211"/>
      <c r="B124" s="211"/>
      <c r="C124" s="211"/>
      <c r="D124" s="211"/>
      <c r="E124" s="211"/>
      <c r="F124" s="211"/>
      <c r="G124" s="211"/>
      <c r="H124" s="211"/>
      <c r="I124" s="211"/>
      <c r="J124" s="211"/>
      <c r="K124" s="211"/>
      <c r="L124" s="211"/>
      <c r="M124" s="211"/>
      <c r="N124" s="211"/>
      <c r="O124" s="211"/>
      <c r="P124" s="211"/>
      <c r="Q124" s="211"/>
      <c r="R124" s="211"/>
      <c r="S124" s="211"/>
      <c r="T124" s="211"/>
    </row>
    <row r="125" spans="1:20" s="34" customFormat="1">
      <c r="A125" s="211"/>
      <c r="B125" s="211"/>
      <c r="C125" s="211"/>
      <c r="D125" s="211"/>
      <c r="E125" s="211"/>
      <c r="F125" s="211"/>
      <c r="G125" s="211"/>
      <c r="H125" s="211"/>
      <c r="I125" s="211"/>
      <c r="J125" s="211"/>
      <c r="K125" s="211"/>
      <c r="L125" s="211"/>
      <c r="M125" s="211"/>
      <c r="N125" s="211"/>
      <c r="O125" s="211"/>
      <c r="P125" s="211"/>
      <c r="Q125" s="211"/>
      <c r="R125" s="211"/>
      <c r="S125" s="211"/>
      <c r="T125" s="211"/>
    </row>
    <row r="126" spans="1:20" s="34" customFormat="1">
      <c r="A126" s="211"/>
      <c r="B126" s="211"/>
      <c r="C126" s="211"/>
      <c r="D126" s="211"/>
      <c r="E126" s="211"/>
      <c r="F126" s="211"/>
      <c r="G126" s="211"/>
      <c r="H126" s="211"/>
      <c r="I126" s="211"/>
      <c r="J126" s="211"/>
      <c r="K126" s="211"/>
      <c r="L126" s="211"/>
      <c r="M126" s="211"/>
      <c r="N126" s="211"/>
      <c r="O126" s="211"/>
      <c r="P126" s="211"/>
      <c r="Q126" s="211"/>
      <c r="R126" s="211"/>
      <c r="S126" s="211"/>
      <c r="T126" s="211"/>
    </row>
    <row r="127" spans="1:20" s="34" customFormat="1">
      <c r="A127" s="211"/>
      <c r="B127" s="211"/>
      <c r="C127" s="211"/>
      <c r="D127" s="211"/>
      <c r="E127" s="211"/>
      <c r="F127" s="211"/>
      <c r="G127" s="211"/>
      <c r="H127" s="211"/>
      <c r="I127" s="211"/>
      <c r="J127" s="211"/>
      <c r="K127" s="211"/>
      <c r="L127" s="211"/>
      <c r="M127" s="211"/>
      <c r="N127" s="211"/>
      <c r="O127" s="211"/>
      <c r="P127" s="211"/>
      <c r="Q127" s="211"/>
      <c r="R127" s="211"/>
      <c r="S127" s="211"/>
      <c r="T127" s="211"/>
    </row>
    <row r="128" spans="1:20" s="34" customFormat="1">
      <c r="A128" s="211"/>
      <c r="B128" s="211"/>
      <c r="C128" s="211"/>
      <c r="D128" s="211"/>
      <c r="E128" s="211"/>
      <c r="F128" s="211"/>
      <c r="G128" s="211"/>
      <c r="H128" s="211"/>
      <c r="I128" s="211"/>
      <c r="J128" s="211"/>
      <c r="K128" s="211"/>
      <c r="L128" s="211"/>
      <c r="M128" s="211"/>
      <c r="N128" s="211"/>
      <c r="O128" s="211"/>
      <c r="P128" s="211"/>
      <c r="Q128" s="211"/>
      <c r="R128" s="211"/>
      <c r="S128" s="211"/>
      <c r="T128" s="211"/>
    </row>
    <row r="129" spans="1:20" s="34" customFormat="1">
      <c r="A129" s="211"/>
      <c r="B129" s="211"/>
      <c r="C129" s="211"/>
      <c r="D129" s="211"/>
      <c r="E129" s="211"/>
      <c r="F129" s="211"/>
      <c r="G129" s="211"/>
      <c r="H129" s="211"/>
      <c r="I129" s="211"/>
      <c r="J129" s="211"/>
      <c r="K129" s="211"/>
      <c r="L129" s="211"/>
      <c r="M129" s="211"/>
      <c r="N129" s="211"/>
      <c r="O129" s="211"/>
      <c r="P129" s="211"/>
      <c r="Q129" s="211"/>
      <c r="R129" s="211"/>
      <c r="S129" s="211"/>
      <c r="T129" s="211"/>
    </row>
    <row r="130" spans="1:20" s="34" customFormat="1">
      <c r="A130" s="211"/>
      <c r="B130" s="211"/>
      <c r="C130" s="211"/>
      <c r="D130" s="211"/>
      <c r="E130" s="211"/>
      <c r="F130" s="211"/>
      <c r="G130" s="211"/>
      <c r="H130" s="211"/>
      <c r="I130" s="211"/>
      <c r="J130" s="211"/>
      <c r="K130" s="211"/>
      <c r="L130" s="211"/>
      <c r="M130" s="211"/>
      <c r="N130" s="211"/>
      <c r="O130" s="211"/>
      <c r="P130" s="211"/>
      <c r="Q130" s="211"/>
      <c r="R130" s="211"/>
      <c r="S130" s="211"/>
      <c r="T130" s="211"/>
    </row>
    <row r="131" spans="1:20" s="34" customFormat="1">
      <c r="A131" s="211"/>
      <c r="B131" s="211"/>
      <c r="C131" s="211"/>
      <c r="D131" s="211"/>
      <c r="E131" s="211"/>
      <c r="F131" s="211"/>
      <c r="G131" s="211"/>
      <c r="H131" s="211"/>
      <c r="I131" s="211"/>
      <c r="J131" s="211"/>
      <c r="K131" s="211"/>
      <c r="L131" s="211"/>
      <c r="M131" s="211"/>
      <c r="N131" s="211"/>
      <c r="O131" s="211"/>
      <c r="P131" s="211"/>
      <c r="Q131" s="211"/>
      <c r="R131" s="211"/>
      <c r="S131" s="211"/>
      <c r="T131" s="211"/>
    </row>
    <row r="132" spans="1:20" s="34" customFormat="1">
      <c r="A132" s="211"/>
      <c r="B132" s="211"/>
      <c r="C132" s="211"/>
      <c r="D132" s="211"/>
      <c r="E132" s="211"/>
      <c r="F132" s="211"/>
      <c r="G132" s="211"/>
      <c r="H132" s="211"/>
      <c r="I132" s="211"/>
      <c r="J132" s="211"/>
      <c r="K132" s="211"/>
      <c r="L132" s="211"/>
      <c r="M132" s="211"/>
      <c r="N132" s="211"/>
      <c r="O132" s="211"/>
      <c r="P132" s="211"/>
      <c r="Q132" s="211"/>
      <c r="R132" s="211"/>
      <c r="S132" s="211"/>
      <c r="T132" s="211"/>
    </row>
    <row r="133" spans="1:20" s="34" customFormat="1">
      <c r="A133" s="211"/>
      <c r="B133" s="211"/>
      <c r="C133" s="211"/>
      <c r="D133" s="211"/>
      <c r="E133" s="211"/>
      <c r="F133" s="211"/>
      <c r="G133" s="211"/>
      <c r="H133" s="211"/>
      <c r="I133" s="211"/>
      <c r="J133" s="211"/>
      <c r="K133" s="211"/>
      <c r="L133" s="211"/>
      <c r="M133" s="211"/>
      <c r="N133" s="211"/>
      <c r="O133" s="211"/>
      <c r="P133" s="211"/>
      <c r="Q133" s="211"/>
      <c r="R133" s="211"/>
      <c r="S133" s="211"/>
      <c r="T133" s="211"/>
    </row>
    <row r="134" spans="1:20" s="34" customFormat="1">
      <c r="A134" s="211"/>
      <c r="B134" s="211"/>
      <c r="C134" s="211"/>
      <c r="D134" s="211"/>
      <c r="E134" s="211"/>
      <c r="F134" s="211"/>
      <c r="G134" s="211"/>
      <c r="H134" s="211"/>
      <c r="I134" s="211"/>
      <c r="J134" s="211"/>
      <c r="K134" s="211"/>
      <c r="L134" s="211"/>
      <c r="M134" s="211"/>
      <c r="N134" s="211"/>
      <c r="O134" s="211"/>
      <c r="P134" s="211"/>
      <c r="Q134" s="211"/>
      <c r="R134" s="211"/>
      <c r="S134" s="211"/>
      <c r="T134" s="211"/>
    </row>
    <row r="135" spans="1:20" s="34" customFormat="1">
      <c r="A135" s="211"/>
      <c r="B135" s="211"/>
      <c r="C135" s="211"/>
      <c r="D135" s="211"/>
      <c r="E135" s="211"/>
      <c r="F135" s="211"/>
      <c r="G135" s="211"/>
      <c r="H135" s="211"/>
      <c r="I135" s="211"/>
      <c r="J135" s="211"/>
      <c r="K135" s="211"/>
      <c r="L135" s="211"/>
      <c r="M135" s="211"/>
      <c r="N135" s="211"/>
      <c r="O135" s="211"/>
      <c r="P135" s="211"/>
      <c r="Q135" s="211"/>
      <c r="R135" s="211"/>
      <c r="S135" s="211"/>
      <c r="T135" s="211"/>
    </row>
    <row r="136" spans="1:20" s="34" customFormat="1">
      <c r="A136" s="211"/>
      <c r="B136" s="211"/>
      <c r="C136" s="211"/>
      <c r="D136" s="211"/>
      <c r="E136" s="211"/>
      <c r="F136" s="211"/>
      <c r="G136" s="211"/>
      <c r="H136" s="211"/>
      <c r="I136" s="211"/>
      <c r="J136" s="211"/>
      <c r="K136" s="211"/>
      <c r="L136" s="211"/>
      <c r="M136" s="211"/>
      <c r="N136" s="211"/>
      <c r="O136" s="211"/>
      <c r="P136" s="211"/>
      <c r="Q136" s="211"/>
      <c r="R136" s="211"/>
      <c r="S136" s="211"/>
      <c r="T136" s="211"/>
    </row>
    <row r="137" spans="1:20" s="34" customFormat="1">
      <c r="A137" s="211"/>
      <c r="B137" s="211"/>
      <c r="C137" s="211"/>
      <c r="D137" s="211"/>
      <c r="E137" s="211"/>
      <c r="F137" s="211"/>
      <c r="G137" s="211"/>
      <c r="H137" s="211"/>
      <c r="I137" s="211"/>
      <c r="J137" s="211"/>
      <c r="K137" s="211"/>
      <c r="L137" s="211"/>
      <c r="M137" s="211"/>
      <c r="N137" s="211"/>
      <c r="O137" s="211"/>
      <c r="P137" s="211"/>
      <c r="Q137" s="211"/>
      <c r="R137" s="211"/>
      <c r="S137" s="211"/>
      <c r="T137" s="211"/>
    </row>
    <row r="138" spans="1:20" s="34" customFormat="1">
      <c r="A138" s="211"/>
      <c r="B138" s="211"/>
      <c r="C138" s="211"/>
      <c r="D138" s="211"/>
      <c r="E138" s="211"/>
      <c r="F138" s="211"/>
      <c r="G138" s="211"/>
      <c r="H138" s="211"/>
      <c r="I138" s="211"/>
      <c r="J138" s="211"/>
      <c r="K138" s="211"/>
      <c r="L138" s="211"/>
      <c r="M138" s="211"/>
      <c r="N138" s="211"/>
      <c r="O138" s="211"/>
      <c r="P138" s="211"/>
      <c r="Q138" s="211"/>
      <c r="R138" s="211"/>
      <c r="S138" s="211"/>
      <c r="T138" s="211"/>
    </row>
    <row r="139" spans="1:20" s="34" customFormat="1">
      <c r="A139" s="211"/>
      <c r="B139" s="211"/>
      <c r="C139" s="211"/>
      <c r="D139" s="211"/>
      <c r="E139" s="211"/>
      <c r="F139" s="211"/>
      <c r="G139" s="211"/>
      <c r="H139" s="211"/>
      <c r="I139" s="211"/>
      <c r="J139" s="211"/>
      <c r="K139" s="211"/>
      <c r="L139" s="211"/>
      <c r="M139" s="211"/>
      <c r="N139" s="211"/>
      <c r="O139" s="211"/>
      <c r="P139" s="211"/>
      <c r="Q139" s="211"/>
      <c r="R139" s="211"/>
      <c r="S139" s="211"/>
      <c r="T139" s="211"/>
    </row>
    <row r="140" spans="1:20" s="34" customFormat="1">
      <c r="A140" s="211"/>
      <c r="B140" s="211"/>
      <c r="C140" s="211"/>
      <c r="D140" s="211"/>
      <c r="E140" s="211"/>
      <c r="F140" s="211"/>
      <c r="G140" s="211"/>
      <c r="H140" s="211"/>
      <c r="I140" s="211"/>
      <c r="J140" s="211"/>
      <c r="K140" s="211"/>
      <c r="L140" s="211"/>
      <c r="M140" s="211"/>
      <c r="N140" s="211"/>
      <c r="O140" s="211"/>
      <c r="P140" s="211"/>
      <c r="Q140" s="211"/>
      <c r="R140" s="211"/>
      <c r="S140" s="211"/>
      <c r="T140" s="211"/>
    </row>
    <row r="141" spans="1:20" s="34" customFormat="1">
      <c r="A141" s="211"/>
      <c r="B141" s="211"/>
      <c r="C141" s="211"/>
      <c r="D141" s="211"/>
      <c r="E141" s="211"/>
      <c r="F141" s="211"/>
      <c r="G141" s="211"/>
      <c r="H141" s="211"/>
      <c r="I141" s="211"/>
      <c r="J141" s="211"/>
      <c r="K141" s="211"/>
      <c r="L141" s="211"/>
      <c r="M141" s="211"/>
      <c r="N141" s="211"/>
      <c r="O141" s="211"/>
      <c r="P141" s="211"/>
      <c r="Q141" s="211"/>
      <c r="R141" s="211"/>
      <c r="S141" s="211"/>
      <c r="T141" s="211"/>
    </row>
    <row r="142" spans="1:20" s="34" customFormat="1">
      <c r="A142" s="211"/>
      <c r="B142" s="211"/>
      <c r="C142" s="211"/>
      <c r="D142" s="211"/>
      <c r="E142" s="211"/>
      <c r="F142" s="211"/>
      <c r="G142" s="211"/>
      <c r="H142" s="211"/>
      <c r="I142" s="211"/>
      <c r="J142" s="211"/>
      <c r="K142" s="211"/>
      <c r="L142" s="211"/>
      <c r="M142" s="211"/>
      <c r="N142" s="211"/>
      <c r="O142" s="211"/>
      <c r="P142" s="211"/>
      <c r="Q142" s="211"/>
      <c r="R142" s="211"/>
      <c r="S142" s="211"/>
      <c r="T142" s="211"/>
    </row>
    <row r="143" spans="1:20" s="34" customFormat="1">
      <c r="A143" s="211"/>
      <c r="B143" s="211"/>
      <c r="C143" s="211"/>
      <c r="D143" s="211"/>
      <c r="E143" s="211"/>
      <c r="F143" s="211"/>
      <c r="G143" s="211"/>
      <c r="H143" s="211"/>
      <c r="I143" s="211"/>
      <c r="J143" s="211"/>
      <c r="K143" s="211"/>
      <c r="L143" s="211"/>
      <c r="M143" s="211"/>
      <c r="N143" s="211"/>
      <c r="O143" s="211"/>
      <c r="P143" s="211"/>
      <c r="Q143" s="211"/>
      <c r="R143" s="211"/>
      <c r="S143" s="211"/>
      <c r="T143" s="211"/>
    </row>
    <row r="144" spans="1:20" s="34" customFormat="1">
      <c r="A144" s="211"/>
      <c r="B144" s="211"/>
      <c r="C144" s="211"/>
      <c r="D144" s="211"/>
      <c r="E144" s="211"/>
      <c r="F144" s="211"/>
      <c r="G144" s="211"/>
      <c r="H144" s="211"/>
      <c r="I144" s="211"/>
      <c r="J144" s="211"/>
      <c r="K144" s="211"/>
      <c r="L144" s="211"/>
      <c r="M144" s="211"/>
      <c r="N144" s="211"/>
      <c r="O144" s="211"/>
      <c r="P144" s="211"/>
      <c r="Q144" s="211"/>
      <c r="R144" s="211"/>
      <c r="S144" s="211"/>
      <c r="T144" s="211"/>
    </row>
    <row r="145" spans="1:20" s="34" customFormat="1">
      <c r="A145" s="211"/>
      <c r="B145" s="211"/>
      <c r="C145" s="211"/>
      <c r="D145" s="211"/>
      <c r="E145" s="211"/>
      <c r="F145" s="211"/>
      <c r="G145" s="211"/>
      <c r="H145" s="211"/>
      <c r="I145" s="211"/>
      <c r="J145" s="211"/>
      <c r="K145" s="211"/>
      <c r="L145" s="211"/>
      <c r="M145" s="211"/>
      <c r="N145" s="211"/>
      <c r="O145" s="211"/>
      <c r="P145" s="211"/>
      <c r="Q145" s="211"/>
      <c r="R145" s="211"/>
      <c r="S145" s="211"/>
      <c r="T145" s="211"/>
    </row>
    <row r="146" spans="1:20" s="34" customFormat="1">
      <c r="A146" s="211"/>
      <c r="B146" s="211"/>
      <c r="C146" s="211"/>
      <c r="D146" s="211"/>
      <c r="E146" s="211"/>
      <c r="F146" s="211"/>
      <c r="G146" s="211"/>
      <c r="H146" s="211"/>
      <c r="I146" s="211"/>
      <c r="J146" s="211"/>
      <c r="K146" s="211"/>
      <c r="L146" s="211"/>
      <c r="M146" s="211"/>
      <c r="N146" s="211"/>
      <c r="O146" s="211"/>
      <c r="P146" s="211"/>
      <c r="Q146" s="211"/>
      <c r="R146" s="211"/>
      <c r="S146" s="211"/>
      <c r="T146" s="211"/>
    </row>
    <row r="147" spans="1:20" s="34" customFormat="1">
      <c r="A147" s="211"/>
      <c r="B147" s="211"/>
      <c r="C147" s="211"/>
      <c r="D147" s="211"/>
      <c r="E147" s="211"/>
      <c r="F147" s="211"/>
      <c r="G147" s="211"/>
      <c r="H147" s="211"/>
      <c r="I147" s="211"/>
      <c r="J147" s="211"/>
      <c r="K147" s="211"/>
      <c r="L147" s="211"/>
      <c r="M147" s="211"/>
      <c r="N147" s="211"/>
      <c r="O147" s="211"/>
      <c r="P147" s="211"/>
      <c r="Q147" s="211"/>
      <c r="R147" s="211"/>
      <c r="S147" s="211"/>
      <c r="T147" s="211"/>
    </row>
    <row r="148" spans="1:20" s="34" customFormat="1">
      <c r="A148" s="211"/>
      <c r="B148" s="211"/>
      <c r="C148" s="211"/>
      <c r="D148" s="211"/>
      <c r="E148" s="211"/>
      <c r="F148" s="211"/>
      <c r="G148" s="211"/>
      <c r="H148" s="211"/>
      <c r="I148" s="211"/>
      <c r="J148" s="211"/>
      <c r="K148" s="211"/>
      <c r="L148" s="211"/>
      <c r="M148" s="211"/>
      <c r="N148" s="211"/>
      <c r="O148" s="211"/>
      <c r="P148" s="211"/>
      <c r="Q148" s="211"/>
      <c r="R148" s="211"/>
      <c r="S148" s="211"/>
      <c r="T148" s="211"/>
    </row>
    <row r="149" spans="1:20" s="34" customFormat="1">
      <c r="A149" s="211"/>
      <c r="B149" s="211"/>
      <c r="C149" s="211"/>
      <c r="D149" s="211"/>
      <c r="E149" s="211"/>
      <c r="F149" s="211"/>
      <c r="G149" s="211"/>
      <c r="H149" s="211"/>
      <c r="I149" s="211"/>
      <c r="J149" s="211"/>
      <c r="K149" s="211"/>
      <c r="L149" s="211"/>
      <c r="M149" s="211"/>
      <c r="N149" s="211"/>
      <c r="O149" s="211"/>
      <c r="P149" s="211"/>
      <c r="Q149" s="211"/>
      <c r="R149" s="211"/>
      <c r="S149" s="211"/>
      <c r="T149" s="211"/>
    </row>
    <row r="150" spans="1:20" s="34" customFormat="1">
      <c r="A150" s="211"/>
      <c r="B150" s="211"/>
      <c r="C150" s="211"/>
      <c r="D150" s="211"/>
      <c r="E150" s="211"/>
      <c r="F150" s="211"/>
      <c r="G150" s="211"/>
      <c r="H150" s="211"/>
      <c r="I150" s="211"/>
      <c r="J150" s="211"/>
      <c r="K150" s="211"/>
      <c r="L150" s="211"/>
      <c r="M150" s="211"/>
      <c r="N150" s="211"/>
      <c r="O150" s="211"/>
      <c r="P150" s="211"/>
      <c r="Q150" s="211"/>
      <c r="R150" s="211"/>
      <c r="S150" s="211"/>
      <c r="T150" s="211"/>
    </row>
    <row r="151" spans="1:20" s="34" customFormat="1">
      <c r="A151" s="211"/>
      <c r="B151" s="211"/>
      <c r="C151" s="211"/>
      <c r="D151" s="211"/>
      <c r="E151" s="211"/>
      <c r="F151" s="211"/>
      <c r="G151" s="211"/>
      <c r="H151" s="211"/>
      <c r="I151" s="211"/>
      <c r="J151" s="211"/>
      <c r="K151" s="211"/>
      <c r="L151" s="211"/>
      <c r="M151" s="211"/>
      <c r="N151" s="211"/>
      <c r="O151" s="211"/>
      <c r="P151" s="211"/>
      <c r="Q151" s="211"/>
      <c r="R151" s="211"/>
      <c r="S151" s="211"/>
      <c r="T151" s="211"/>
    </row>
    <row r="152" spans="1:20" s="34" customFormat="1">
      <c r="A152" s="286"/>
      <c r="B152" s="286"/>
      <c r="C152" s="211"/>
      <c r="D152" s="211"/>
      <c r="E152" s="211"/>
      <c r="F152" s="211"/>
      <c r="G152" s="211"/>
      <c r="H152" s="211"/>
      <c r="I152" s="211"/>
      <c r="J152" s="211"/>
      <c r="K152" s="211"/>
      <c r="L152" s="211"/>
      <c r="M152" s="211"/>
      <c r="N152" s="211"/>
      <c r="O152" s="211"/>
      <c r="P152" s="211"/>
      <c r="Q152" s="211"/>
      <c r="R152" s="211"/>
      <c r="S152" s="211"/>
      <c r="T152" s="211"/>
    </row>
    <row r="153" spans="1:20" s="34" customFormat="1">
      <c r="A153" s="211"/>
      <c r="B153" s="211"/>
      <c r="C153" s="211"/>
      <c r="D153" s="211"/>
      <c r="E153" s="211"/>
      <c r="F153" s="211"/>
      <c r="G153" s="211"/>
      <c r="H153" s="211"/>
      <c r="I153" s="211"/>
      <c r="J153" s="211"/>
      <c r="K153" s="211"/>
      <c r="L153" s="211"/>
      <c r="M153" s="211"/>
      <c r="N153" s="211"/>
      <c r="O153" s="211"/>
      <c r="P153" s="211"/>
      <c r="Q153" s="211"/>
      <c r="R153" s="211"/>
      <c r="S153" s="211"/>
      <c r="T153" s="211"/>
    </row>
    <row r="154" spans="1:20" s="34" customFormat="1">
      <c r="A154" s="211"/>
      <c r="B154" s="211"/>
      <c r="C154" s="211"/>
      <c r="D154" s="211"/>
      <c r="E154" s="211"/>
      <c r="F154" s="211"/>
      <c r="G154" s="211"/>
      <c r="H154" s="211"/>
      <c r="I154" s="211"/>
      <c r="J154" s="211"/>
      <c r="K154" s="211"/>
      <c r="L154" s="211"/>
      <c r="M154" s="211"/>
      <c r="N154" s="211"/>
      <c r="O154" s="211"/>
      <c r="P154" s="211"/>
      <c r="Q154" s="211"/>
      <c r="R154" s="211"/>
      <c r="S154" s="211"/>
      <c r="T154" s="211"/>
    </row>
    <row r="155" spans="1:20" s="34" customFormat="1">
      <c r="A155" s="211"/>
      <c r="B155" s="211"/>
      <c r="C155" s="211"/>
      <c r="D155" s="211"/>
      <c r="E155" s="211"/>
      <c r="F155" s="211"/>
      <c r="G155" s="211"/>
      <c r="H155" s="211"/>
      <c r="I155" s="211"/>
      <c r="J155" s="211"/>
      <c r="K155" s="211"/>
      <c r="L155" s="211"/>
      <c r="M155" s="211"/>
      <c r="N155" s="211"/>
      <c r="O155" s="211"/>
      <c r="P155" s="211"/>
      <c r="Q155" s="211"/>
      <c r="R155" s="211"/>
      <c r="S155" s="211"/>
      <c r="T155" s="211"/>
    </row>
    <row r="156" spans="1:20" s="34" customFormat="1">
      <c r="A156" s="211"/>
      <c r="B156" s="211"/>
      <c r="C156" s="211"/>
      <c r="D156" s="211"/>
      <c r="E156" s="211"/>
      <c r="F156" s="211"/>
      <c r="G156" s="211"/>
      <c r="H156" s="211"/>
      <c r="I156" s="211"/>
      <c r="J156" s="211"/>
      <c r="K156" s="211"/>
      <c r="L156" s="211"/>
      <c r="M156" s="211"/>
      <c r="N156" s="211"/>
      <c r="O156" s="211"/>
      <c r="P156" s="211"/>
      <c r="Q156" s="211"/>
      <c r="R156" s="211"/>
      <c r="S156" s="211"/>
      <c r="T156" s="211"/>
    </row>
    <row r="157" spans="1:20" s="34" customFormat="1">
      <c r="A157" s="211"/>
      <c r="B157" s="211"/>
      <c r="C157" s="211"/>
      <c r="D157" s="211"/>
      <c r="E157" s="211"/>
      <c r="F157" s="211"/>
      <c r="G157" s="211"/>
      <c r="H157" s="211"/>
      <c r="I157" s="211"/>
      <c r="J157" s="211"/>
      <c r="K157" s="211"/>
      <c r="L157" s="211"/>
      <c r="M157" s="211"/>
      <c r="N157" s="211"/>
      <c r="O157" s="211"/>
      <c r="P157" s="211"/>
      <c r="Q157" s="211"/>
      <c r="R157" s="211"/>
      <c r="S157" s="211"/>
      <c r="T157" s="211"/>
    </row>
    <row r="158" spans="1:20" s="34" customFormat="1">
      <c r="A158" s="211"/>
      <c r="B158" s="211"/>
      <c r="C158" s="211"/>
      <c r="D158" s="211"/>
      <c r="E158" s="211"/>
      <c r="F158" s="211"/>
      <c r="G158" s="211"/>
      <c r="H158" s="211"/>
      <c r="I158" s="211"/>
      <c r="J158" s="211"/>
      <c r="K158" s="211"/>
      <c r="L158" s="211"/>
      <c r="M158" s="211"/>
      <c r="N158" s="211"/>
      <c r="O158" s="211"/>
      <c r="P158" s="211"/>
      <c r="Q158" s="211"/>
      <c r="R158" s="211"/>
      <c r="S158" s="211"/>
      <c r="T158" s="211"/>
    </row>
    <row r="159" spans="1:20" s="34" customFormat="1">
      <c r="A159" s="211"/>
      <c r="B159" s="211"/>
      <c r="C159" s="211"/>
      <c r="D159" s="211"/>
      <c r="E159" s="211"/>
      <c r="F159" s="211"/>
      <c r="G159" s="211"/>
      <c r="H159" s="211"/>
      <c r="I159" s="211"/>
      <c r="J159" s="211"/>
      <c r="K159" s="211"/>
      <c r="L159" s="211"/>
      <c r="M159" s="211"/>
      <c r="N159" s="211"/>
      <c r="O159" s="211"/>
      <c r="P159" s="211"/>
      <c r="Q159" s="211"/>
      <c r="R159" s="211"/>
      <c r="S159" s="211"/>
      <c r="T159" s="211"/>
    </row>
    <row r="160" spans="1:20" s="34" customFormat="1">
      <c r="A160" s="211"/>
      <c r="B160" s="211"/>
      <c r="C160" s="211"/>
      <c r="D160" s="211"/>
      <c r="E160" s="211"/>
      <c r="F160" s="211"/>
      <c r="G160" s="211"/>
      <c r="H160" s="211"/>
      <c r="I160" s="211"/>
      <c r="J160" s="211"/>
      <c r="K160" s="211"/>
      <c r="L160" s="211"/>
      <c r="M160" s="211"/>
      <c r="N160" s="211"/>
      <c r="O160" s="211"/>
      <c r="P160" s="211"/>
      <c r="Q160" s="211"/>
      <c r="R160" s="211"/>
      <c r="S160" s="211"/>
      <c r="T160" s="211"/>
    </row>
    <row r="161" spans="1:20" s="34" customFormat="1">
      <c r="A161" s="211"/>
      <c r="B161" s="211"/>
      <c r="C161" s="211"/>
      <c r="D161" s="211"/>
      <c r="E161" s="211"/>
      <c r="F161" s="211"/>
      <c r="G161" s="211"/>
      <c r="H161" s="211"/>
      <c r="I161" s="211"/>
      <c r="J161" s="211"/>
      <c r="K161" s="211"/>
      <c r="L161" s="211"/>
      <c r="M161" s="211"/>
      <c r="N161" s="211"/>
      <c r="O161" s="211"/>
      <c r="P161" s="211"/>
      <c r="Q161" s="211"/>
      <c r="R161" s="211"/>
      <c r="S161" s="211"/>
      <c r="T161" s="211"/>
    </row>
    <row r="162" spans="1:20" s="34" customFormat="1">
      <c r="A162" s="211"/>
      <c r="B162" s="211"/>
      <c r="C162" s="211"/>
      <c r="D162" s="211"/>
      <c r="E162" s="211"/>
      <c r="F162" s="211"/>
      <c r="G162" s="211"/>
      <c r="H162" s="211"/>
      <c r="I162" s="211"/>
      <c r="J162" s="211"/>
      <c r="K162" s="211"/>
      <c r="L162" s="211"/>
      <c r="M162" s="211"/>
      <c r="N162" s="211"/>
      <c r="O162" s="211"/>
      <c r="P162" s="211"/>
      <c r="Q162" s="211"/>
      <c r="R162" s="211"/>
      <c r="S162" s="211"/>
      <c r="T162" s="211"/>
    </row>
    <row r="163" spans="1:20" s="34" customFormat="1">
      <c r="A163" s="211"/>
      <c r="B163" s="211"/>
      <c r="C163" s="211"/>
      <c r="D163" s="211"/>
      <c r="E163" s="211"/>
      <c r="F163" s="211"/>
      <c r="G163" s="211"/>
      <c r="H163" s="211"/>
      <c r="I163" s="211"/>
      <c r="J163" s="211"/>
      <c r="K163" s="211"/>
      <c r="L163" s="211"/>
      <c r="M163" s="211"/>
      <c r="N163" s="211"/>
      <c r="O163" s="211"/>
      <c r="P163" s="211"/>
      <c r="Q163" s="211"/>
      <c r="R163" s="211"/>
      <c r="S163" s="211"/>
      <c r="T163" s="211"/>
    </row>
    <row r="164" spans="1:20" s="34" customFormat="1">
      <c r="A164" s="211"/>
      <c r="B164" s="211"/>
      <c r="C164" s="211"/>
      <c r="D164" s="211"/>
      <c r="E164" s="211"/>
      <c r="F164" s="211"/>
      <c r="G164" s="211"/>
      <c r="H164" s="211"/>
      <c r="I164" s="211"/>
      <c r="J164" s="211"/>
      <c r="K164" s="211"/>
      <c r="L164" s="211"/>
      <c r="M164" s="211"/>
      <c r="N164" s="211"/>
      <c r="O164" s="211"/>
      <c r="P164" s="211"/>
      <c r="Q164" s="211"/>
      <c r="R164" s="211"/>
      <c r="S164" s="211"/>
      <c r="T164" s="211"/>
    </row>
    <row r="165" spans="1:20" s="34" customFormat="1">
      <c r="A165" s="211"/>
      <c r="B165" s="211"/>
      <c r="C165" s="211"/>
      <c r="D165" s="211"/>
      <c r="E165" s="211"/>
      <c r="F165" s="211"/>
      <c r="G165" s="211"/>
      <c r="H165" s="211"/>
      <c r="I165" s="211"/>
      <c r="J165" s="211"/>
      <c r="K165" s="211"/>
      <c r="L165" s="211"/>
      <c r="M165" s="211"/>
      <c r="N165" s="211"/>
      <c r="O165" s="211"/>
      <c r="P165" s="211"/>
      <c r="Q165" s="211"/>
      <c r="R165" s="211"/>
      <c r="S165" s="211"/>
      <c r="T165" s="211"/>
    </row>
    <row r="166" spans="1:20" s="34" customFormat="1">
      <c r="A166" s="211"/>
      <c r="B166" s="211"/>
      <c r="C166" s="211"/>
      <c r="D166" s="211"/>
      <c r="E166" s="211"/>
      <c r="F166" s="211"/>
      <c r="G166" s="211"/>
      <c r="H166" s="211"/>
      <c r="I166" s="211"/>
      <c r="J166" s="211"/>
      <c r="K166" s="211"/>
      <c r="L166" s="211"/>
      <c r="M166" s="211"/>
      <c r="N166" s="211"/>
      <c r="O166" s="211"/>
      <c r="P166" s="211"/>
      <c r="Q166" s="211"/>
      <c r="R166" s="211"/>
      <c r="S166" s="211"/>
      <c r="T166" s="211"/>
    </row>
    <row r="167" spans="1:20" s="34" customFormat="1">
      <c r="A167" s="211"/>
      <c r="B167" s="211"/>
      <c r="C167" s="211"/>
      <c r="D167" s="211"/>
      <c r="E167" s="211"/>
      <c r="F167" s="211"/>
      <c r="G167" s="211"/>
      <c r="H167" s="211"/>
      <c r="I167" s="211"/>
      <c r="J167" s="211"/>
      <c r="K167" s="211"/>
      <c r="L167" s="211"/>
      <c r="M167" s="211"/>
      <c r="N167" s="211"/>
      <c r="O167" s="211"/>
      <c r="P167" s="211"/>
      <c r="Q167" s="211"/>
      <c r="R167" s="211"/>
      <c r="S167" s="211"/>
      <c r="T167" s="211"/>
    </row>
    <row r="168" spans="1:20" s="34" customFormat="1">
      <c r="A168" s="211"/>
      <c r="B168" s="211"/>
      <c r="C168" s="211"/>
      <c r="D168" s="211"/>
      <c r="E168" s="211"/>
      <c r="F168" s="211"/>
      <c r="G168" s="211"/>
      <c r="H168" s="211"/>
      <c r="I168" s="211"/>
      <c r="J168" s="211"/>
      <c r="K168" s="211"/>
      <c r="L168" s="211"/>
      <c r="M168" s="211"/>
      <c r="N168" s="211"/>
      <c r="O168" s="211"/>
      <c r="P168" s="211"/>
      <c r="Q168" s="211"/>
      <c r="R168" s="211"/>
      <c r="S168" s="211"/>
      <c r="T168" s="211"/>
    </row>
    <row r="169" spans="1:20" s="34" customFormat="1">
      <c r="A169" s="211"/>
      <c r="B169" s="211"/>
      <c r="C169" s="211"/>
      <c r="D169" s="211"/>
      <c r="E169" s="211"/>
      <c r="F169" s="211"/>
      <c r="G169" s="211"/>
      <c r="H169" s="211"/>
      <c r="I169" s="211"/>
      <c r="J169" s="211"/>
      <c r="K169" s="211"/>
      <c r="L169" s="211"/>
      <c r="M169" s="211"/>
      <c r="N169" s="211"/>
      <c r="O169" s="211"/>
      <c r="P169" s="211"/>
      <c r="Q169" s="211"/>
      <c r="R169" s="211"/>
      <c r="S169" s="211"/>
      <c r="T169" s="211"/>
    </row>
    <row r="170" spans="1:20" s="34" customFormat="1">
      <c r="A170" s="211"/>
      <c r="B170" s="211"/>
      <c r="C170" s="211"/>
      <c r="D170" s="211"/>
      <c r="E170" s="211"/>
      <c r="F170" s="211"/>
      <c r="G170" s="211"/>
      <c r="H170" s="211"/>
      <c r="I170" s="211"/>
      <c r="J170" s="211"/>
      <c r="K170" s="211"/>
      <c r="L170" s="211"/>
      <c r="M170" s="211"/>
      <c r="N170" s="211"/>
      <c r="O170" s="211"/>
      <c r="P170" s="211"/>
      <c r="Q170" s="211"/>
      <c r="R170" s="211"/>
      <c r="S170" s="211"/>
      <c r="T170" s="211"/>
    </row>
    <row r="171" spans="1:20" s="34" customFormat="1">
      <c r="A171" s="211"/>
      <c r="B171" s="211"/>
      <c r="C171" s="211"/>
      <c r="D171" s="211"/>
      <c r="E171" s="211"/>
      <c r="F171" s="211"/>
      <c r="G171" s="211"/>
      <c r="H171" s="211"/>
      <c r="I171" s="211"/>
      <c r="J171" s="211"/>
      <c r="K171" s="211"/>
      <c r="L171" s="211"/>
      <c r="M171" s="211"/>
      <c r="N171" s="211"/>
      <c r="O171" s="211"/>
      <c r="P171" s="211"/>
      <c r="Q171" s="211"/>
      <c r="R171" s="211"/>
      <c r="S171" s="211"/>
      <c r="T171" s="211"/>
    </row>
    <row r="172" spans="1:20" s="34" customFormat="1">
      <c r="A172" s="211"/>
      <c r="B172" s="211"/>
      <c r="C172" s="211"/>
      <c r="D172" s="211"/>
      <c r="E172" s="211"/>
      <c r="F172" s="211"/>
      <c r="G172" s="211"/>
      <c r="H172" s="211"/>
      <c r="I172" s="211"/>
      <c r="J172" s="211"/>
      <c r="K172" s="211"/>
      <c r="L172" s="211"/>
      <c r="M172" s="211"/>
      <c r="N172" s="211"/>
      <c r="O172" s="211"/>
      <c r="P172" s="211"/>
      <c r="Q172" s="211"/>
      <c r="R172" s="211"/>
      <c r="S172" s="211"/>
      <c r="T172" s="211"/>
    </row>
    <row r="173" spans="1:20" s="34" customFormat="1">
      <c r="A173" s="211"/>
      <c r="B173" s="211"/>
      <c r="C173" s="211"/>
      <c r="D173" s="211"/>
      <c r="E173" s="211"/>
      <c r="F173" s="211"/>
      <c r="G173" s="211"/>
      <c r="H173" s="211"/>
      <c r="I173" s="211"/>
      <c r="J173" s="211"/>
      <c r="K173" s="211"/>
      <c r="L173" s="211"/>
      <c r="M173" s="211"/>
      <c r="N173" s="211"/>
      <c r="O173" s="211"/>
      <c r="P173" s="211"/>
      <c r="Q173" s="211"/>
      <c r="R173" s="211"/>
      <c r="S173" s="211"/>
      <c r="T173" s="211"/>
    </row>
    <row r="174" spans="1:20" s="34" customFormat="1">
      <c r="A174" s="211"/>
      <c r="B174" s="211"/>
      <c r="C174" s="211"/>
      <c r="D174" s="211"/>
      <c r="E174" s="211"/>
      <c r="F174" s="211"/>
      <c r="G174" s="211"/>
      <c r="H174" s="211"/>
      <c r="I174" s="211"/>
      <c r="J174" s="211"/>
      <c r="K174" s="211"/>
      <c r="L174" s="211"/>
      <c r="M174" s="211"/>
      <c r="N174" s="211"/>
      <c r="O174" s="211"/>
      <c r="P174" s="211"/>
      <c r="Q174" s="211"/>
      <c r="R174" s="211"/>
      <c r="S174" s="211"/>
      <c r="T174" s="211"/>
    </row>
    <row r="175" spans="1:20" s="34" customFormat="1">
      <c r="A175" s="211"/>
      <c r="B175" s="211"/>
      <c r="C175" s="211"/>
      <c r="D175" s="211"/>
      <c r="E175" s="211"/>
      <c r="F175" s="211"/>
      <c r="G175" s="211"/>
      <c r="H175" s="211"/>
      <c r="I175" s="211"/>
      <c r="J175" s="211"/>
      <c r="K175" s="211"/>
      <c r="L175" s="211"/>
      <c r="M175" s="211"/>
      <c r="N175" s="211"/>
      <c r="O175" s="211"/>
      <c r="P175" s="211"/>
      <c r="Q175" s="211"/>
      <c r="R175" s="211"/>
      <c r="S175" s="211"/>
      <c r="T175" s="211"/>
    </row>
    <row r="176" spans="1:20" s="34" customFormat="1">
      <c r="A176" s="211"/>
      <c r="B176" s="211"/>
      <c r="C176" s="211"/>
      <c r="D176" s="211"/>
      <c r="E176" s="211"/>
      <c r="F176" s="211"/>
      <c r="G176" s="211"/>
      <c r="H176" s="211"/>
      <c r="I176" s="211"/>
      <c r="J176" s="211"/>
      <c r="K176" s="211"/>
      <c r="L176" s="211"/>
      <c r="M176" s="211"/>
      <c r="N176" s="211"/>
      <c r="O176" s="211"/>
      <c r="P176" s="211"/>
      <c r="Q176" s="211"/>
      <c r="R176" s="211"/>
      <c r="S176" s="211"/>
      <c r="T176" s="211"/>
    </row>
    <row r="177" spans="1:20" s="34" customFormat="1">
      <c r="A177" s="211"/>
      <c r="B177" s="211"/>
      <c r="C177" s="211"/>
      <c r="D177" s="211"/>
      <c r="E177" s="211"/>
      <c r="F177" s="211"/>
      <c r="G177" s="211"/>
      <c r="H177" s="211"/>
      <c r="I177" s="211"/>
      <c r="J177" s="211"/>
      <c r="K177" s="211"/>
      <c r="L177" s="211"/>
      <c r="M177" s="211"/>
      <c r="N177" s="211"/>
      <c r="O177" s="211"/>
      <c r="P177" s="211"/>
      <c r="Q177" s="211"/>
      <c r="R177" s="211"/>
      <c r="S177" s="211"/>
      <c r="T177" s="211"/>
    </row>
    <row r="178" spans="1:20" s="34" customFormat="1">
      <c r="A178" s="211"/>
      <c r="B178" s="211"/>
      <c r="C178" s="211"/>
      <c r="D178" s="211"/>
      <c r="E178" s="211"/>
      <c r="F178" s="211"/>
      <c r="G178" s="211"/>
      <c r="H178" s="211"/>
      <c r="I178" s="211"/>
      <c r="J178" s="211"/>
      <c r="K178" s="211"/>
      <c r="L178" s="211"/>
      <c r="M178" s="211"/>
      <c r="N178" s="211"/>
      <c r="O178" s="211"/>
      <c r="P178" s="211"/>
      <c r="Q178" s="211"/>
      <c r="R178" s="211"/>
      <c r="S178" s="211"/>
      <c r="T178" s="211"/>
    </row>
    <row r="179" spans="1:20" s="34" customFormat="1">
      <c r="A179" s="211"/>
      <c r="B179" s="211"/>
      <c r="C179" s="211"/>
      <c r="D179" s="211"/>
      <c r="E179" s="211"/>
      <c r="F179" s="211"/>
      <c r="G179" s="211"/>
      <c r="H179" s="211"/>
      <c r="I179" s="211"/>
      <c r="J179" s="211"/>
      <c r="K179" s="211"/>
      <c r="L179" s="211"/>
      <c r="M179" s="211"/>
      <c r="N179" s="211"/>
      <c r="O179" s="211"/>
      <c r="P179" s="211"/>
      <c r="Q179" s="211"/>
      <c r="R179" s="211"/>
      <c r="S179" s="211"/>
      <c r="T179" s="211"/>
    </row>
    <row r="180" spans="1:20" s="34" customFormat="1">
      <c r="A180" s="211"/>
      <c r="B180" s="211"/>
      <c r="C180" s="211"/>
      <c r="D180" s="211"/>
      <c r="E180" s="211"/>
      <c r="F180" s="211"/>
      <c r="G180" s="211"/>
      <c r="H180" s="211"/>
      <c r="I180" s="211"/>
      <c r="J180" s="211"/>
      <c r="K180" s="211"/>
      <c r="L180" s="211"/>
      <c r="M180" s="211"/>
      <c r="N180" s="211"/>
      <c r="O180" s="211"/>
      <c r="P180" s="211"/>
      <c r="Q180" s="211"/>
      <c r="R180" s="211"/>
      <c r="S180" s="211"/>
      <c r="T180" s="211"/>
    </row>
    <row r="181" spans="1:20" s="34" customFormat="1">
      <c r="A181" s="211"/>
      <c r="B181" s="211"/>
      <c r="C181" s="211"/>
      <c r="D181" s="211"/>
      <c r="E181" s="211"/>
      <c r="F181" s="211"/>
      <c r="G181" s="211"/>
      <c r="H181" s="211"/>
      <c r="I181" s="211"/>
      <c r="J181" s="211"/>
      <c r="K181" s="211"/>
      <c r="L181" s="211"/>
      <c r="M181" s="211"/>
      <c r="N181" s="211"/>
      <c r="O181" s="211"/>
      <c r="P181" s="211"/>
      <c r="Q181" s="211"/>
      <c r="R181" s="211"/>
      <c r="S181" s="211"/>
      <c r="T181" s="211"/>
    </row>
    <row r="182" spans="1:20" s="34" customFormat="1">
      <c r="A182" s="211"/>
      <c r="B182" s="211"/>
      <c r="C182" s="211"/>
      <c r="D182" s="211"/>
      <c r="E182" s="211"/>
      <c r="F182" s="211"/>
      <c r="G182" s="211"/>
      <c r="H182" s="211"/>
      <c r="I182" s="211"/>
      <c r="J182" s="211"/>
      <c r="K182" s="211"/>
      <c r="L182" s="211"/>
      <c r="M182" s="211"/>
      <c r="N182" s="211"/>
      <c r="O182" s="211"/>
      <c r="P182" s="211"/>
      <c r="Q182" s="211"/>
      <c r="R182" s="211"/>
      <c r="S182" s="211"/>
      <c r="T182" s="211"/>
    </row>
    <row r="183" spans="1:20" s="34" customFormat="1">
      <c r="A183" s="211"/>
      <c r="B183" s="211"/>
      <c r="C183" s="211"/>
      <c r="D183" s="211"/>
      <c r="E183" s="211"/>
      <c r="F183" s="211"/>
      <c r="G183" s="211"/>
      <c r="H183" s="211"/>
      <c r="I183" s="211"/>
      <c r="J183" s="211"/>
      <c r="K183" s="211"/>
      <c r="L183" s="211"/>
      <c r="M183" s="211"/>
      <c r="N183" s="211"/>
      <c r="O183" s="211"/>
      <c r="P183" s="211"/>
      <c r="Q183" s="211"/>
      <c r="R183" s="211"/>
      <c r="S183" s="211"/>
      <c r="T183" s="211"/>
    </row>
    <row r="184" spans="1:20" s="34" customFormat="1">
      <c r="A184" s="211"/>
      <c r="B184" s="211"/>
      <c r="C184" s="211"/>
      <c r="D184" s="211"/>
      <c r="E184" s="211"/>
      <c r="F184" s="211"/>
      <c r="G184" s="211"/>
      <c r="H184" s="211"/>
      <c r="I184" s="211"/>
      <c r="J184" s="211"/>
      <c r="K184" s="211"/>
      <c r="L184" s="211"/>
      <c r="M184" s="211"/>
      <c r="N184" s="211"/>
      <c r="O184" s="211"/>
      <c r="P184" s="211"/>
      <c r="Q184" s="211"/>
      <c r="R184" s="211"/>
      <c r="S184" s="211"/>
      <c r="T184" s="211"/>
    </row>
    <row r="185" spans="1:20" s="34" customFormat="1">
      <c r="A185" s="211"/>
      <c r="B185" s="211"/>
      <c r="C185" s="211"/>
      <c r="D185" s="211"/>
      <c r="E185" s="211"/>
      <c r="F185" s="211"/>
      <c r="G185" s="211"/>
      <c r="H185" s="211"/>
      <c r="I185" s="211"/>
      <c r="J185" s="211"/>
      <c r="K185" s="211"/>
      <c r="L185" s="211"/>
      <c r="M185" s="211"/>
      <c r="N185" s="211"/>
      <c r="O185" s="211"/>
      <c r="P185" s="211"/>
      <c r="Q185" s="211"/>
      <c r="R185" s="211"/>
      <c r="S185" s="211"/>
      <c r="T185" s="211"/>
    </row>
    <row r="186" spans="1:20" s="34" customFormat="1">
      <c r="A186" s="211"/>
      <c r="B186" s="211"/>
      <c r="C186" s="211"/>
      <c r="D186" s="211"/>
      <c r="E186" s="211"/>
      <c r="F186" s="211"/>
      <c r="G186" s="211"/>
      <c r="H186" s="211"/>
      <c r="I186" s="211"/>
      <c r="J186" s="211"/>
      <c r="K186" s="211"/>
      <c r="L186" s="211"/>
      <c r="M186" s="211"/>
      <c r="N186" s="211"/>
      <c r="O186" s="211"/>
      <c r="P186" s="211"/>
      <c r="Q186" s="211"/>
      <c r="R186" s="211"/>
      <c r="S186" s="211"/>
      <c r="T186" s="211"/>
    </row>
    <row r="187" spans="1:20" s="34" customFormat="1">
      <c r="A187" s="211"/>
      <c r="B187" s="211"/>
      <c r="C187" s="211"/>
      <c r="D187" s="211"/>
      <c r="E187" s="211"/>
      <c r="F187" s="211"/>
      <c r="G187" s="211"/>
      <c r="H187" s="211"/>
      <c r="I187" s="211"/>
      <c r="J187" s="211"/>
      <c r="K187" s="211"/>
      <c r="L187" s="211"/>
      <c r="M187" s="211"/>
      <c r="N187" s="211"/>
      <c r="O187" s="211"/>
      <c r="P187" s="211"/>
      <c r="Q187" s="211"/>
      <c r="R187" s="211"/>
      <c r="S187" s="211"/>
      <c r="T187" s="211"/>
    </row>
    <row r="188" spans="1:20" s="34" customFormat="1">
      <c r="A188" s="211"/>
      <c r="B188" s="211"/>
      <c r="C188" s="211"/>
      <c r="D188" s="211"/>
      <c r="E188" s="211"/>
      <c r="F188" s="211"/>
      <c r="G188" s="211"/>
      <c r="H188" s="211"/>
      <c r="I188" s="211"/>
      <c r="J188" s="211"/>
      <c r="K188" s="211"/>
      <c r="L188" s="211"/>
      <c r="M188" s="211"/>
      <c r="N188" s="211"/>
      <c r="O188" s="211"/>
      <c r="P188" s="211"/>
      <c r="Q188" s="211"/>
      <c r="R188" s="211"/>
      <c r="S188" s="211"/>
      <c r="T188" s="211"/>
    </row>
    <row r="189" spans="1:20" s="34" customFormat="1">
      <c r="A189" s="211"/>
      <c r="B189" s="211"/>
      <c r="C189" s="211"/>
      <c r="D189" s="211"/>
      <c r="E189" s="211"/>
      <c r="F189" s="211"/>
      <c r="G189" s="211"/>
      <c r="H189" s="211"/>
      <c r="I189" s="211"/>
      <c r="J189" s="211"/>
      <c r="K189" s="211"/>
      <c r="L189" s="211"/>
      <c r="M189" s="211"/>
      <c r="N189" s="211"/>
      <c r="O189" s="211"/>
      <c r="P189" s="211"/>
      <c r="Q189" s="211"/>
      <c r="R189" s="211"/>
      <c r="S189" s="211"/>
      <c r="T189" s="211"/>
    </row>
    <row r="190" spans="1:20" s="34" customFormat="1">
      <c r="A190" s="211"/>
      <c r="B190" s="211"/>
      <c r="C190" s="211"/>
      <c r="D190" s="211"/>
      <c r="E190" s="211"/>
      <c r="F190" s="211"/>
      <c r="G190" s="211"/>
      <c r="H190" s="211"/>
      <c r="I190" s="211"/>
      <c r="J190" s="211"/>
      <c r="K190" s="211"/>
      <c r="L190" s="211"/>
      <c r="M190" s="211"/>
      <c r="N190" s="211"/>
      <c r="O190" s="211"/>
      <c r="P190" s="211"/>
      <c r="Q190" s="211"/>
      <c r="R190" s="211"/>
      <c r="S190" s="211"/>
      <c r="T190" s="211"/>
    </row>
    <row r="191" spans="1:20" s="34" customFormat="1">
      <c r="A191" s="211"/>
      <c r="B191" s="211"/>
      <c r="C191" s="211"/>
      <c r="D191" s="211"/>
      <c r="E191" s="211"/>
      <c r="F191" s="211"/>
      <c r="G191" s="211"/>
      <c r="H191" s="211"/>
      <c r="I191" s="211"/>
      <c r="J191" s="211"/>
      <c r="K191" s="211"/>
      <c r="L191" s="211"/>
      <c r="M191" s="211"/>
      <c r="N191" s="211"/>
      <c r="O191" s="211"/>
      <c r="P191" s="211"/>
      <c r="Q191" s="211"/>
      <c r="R191" s="211"/>
      <c r="S191" s="211"/>
      <c r="T191" s="211"/>
    </row>
    <row r="192" spans="1:20" s="34" customFormat="1">
      <c r="A192" s="211"/>
      <c r="B192" s="211"/>
      <c r="C192" s="211"/>
      <c r="D192" s="211"/>
      <c r="E192" s="211"/>
      <c r="F192" s="211"/>
      <c r="G192" s="211"/>
      <c r="H192" s="211"/>
      <c r="I192" s="211"/>
      <c r="J192" s="211"/>
      <c r="K192" s="211"/>
      <c r="L192" s="211"/>
      <c r="M192" s="211"/>
      <c r="N192" s="211"/>
      <c r="O192" s="211"/>
      <c r="P192" s="211"/>
      <c r="Q192" s="211"/>
      <c r="R192" s="211"/>
      <c r="S192" s="211"/>
      <c r="T192" s="211"/>
    </row>
    <row r="193" spans="1:20" s="34" customFormat="1">
      <c r="A193" s="211"/>
      <c r="B193" s="211"/>
      <c r="C193" s="211"/>
      <c r="D193" s="211"/>
      <c r="E193" s="211"/>
      <c r="F193" s="211"/>
      <c r="G193" s="211"/>
      <c r="H193" s="211"/>
      <c r="I193" s="211"/>
      <c r="J193" s="211"/>
      <c r="K193" s="211"/>
      <c r="L193" s="211"/>
      <c r="M193" s="211"/>
      <c r="N193" s="211"/>
      <c r="O193" s="211"/>
      <c r="P193" s="211"/>
      <c r="Q193" s="211"/>
      <c r="R193" s="211"/>
      <c r="S193" s="211"/>
      <c r="T193" s="211"/>
    </row>
    <row r="194" spans="1:20" s="34" customFormat="1">
      <c r="A194" s="211"/>
      <c r="B194" s="211"/>
      <c r="C194" s="211"/>
      <c r="D194" s="211"/>
      <c r="E194" s="211"/>
      <c r="F194" s="211"/>
      <c r="G194" s="211"/>
      <c r="H194" s="211"/>
      <c r="I194" s="211"/>
      <c r="J194" s="211"/>
      <c r="K194" s="211"/>
      <c r="L194" s="211"/>
      <c r="M194" s="211"/>
      <c r="N194" s="211"/>
      <c r="O194" s="211"/>
      <c r="P194" s="211"/>
      <c r="Q194" s="211"/>
      <c r="R194" s="211"/>
      <c r="S194" s="211"/>
      <c r="T194" s="211"/>
    </row>
    <row r="195" spans="1:20" s="34" customFormat="1">
      <c r="A195" s="211"/>
      <c r="B195" s="211"/>
      <c r="C195" s="211"/>
      <c r="D195" s="211"/>
      <c r="E195" s="211"/>
      <c r="F195" s="211"/>
      <c r="G195" s="211"/>
      <c r="H195" s="211"/>
      <c r="I195" s="211"/>
      <c r="J195" s="211"/>
      <c r="K195" s="211"/>
      <c r="L195" s="211"/>
      <c r="M195" s="211"/>
      <c r="N195" s="211"/>
      <c r="O195" s="211"/>
      <c r="P195" s="211"/>
      <c r="Q195" s="211"/>
      <c r="R195" s="211"/>
      <c r="S195" s="211"/>
      <c r="T195" s="211"/>
    </row>
    <row r="196" spans="1:20" s="34" customFormat="1">
      <c r="A196" s="211"/>
      <c r="B196" s="211"/>
      <c r="C196" s="211"/>
      <c r="D196" s="211"/>
      <c r="E196" s="211"/>
      <c r="F196" s="211"/>
      <c r="G196" s="211"/>
      <c r="H196" s="211"/>
      <c r="I196" s="211"/>
      <c r="J196" s="211"/>
      <c r="K196" s="211"/>
      <c r="L196" s="211"/>
      <c r="M196" s="211"/>
      <c r="N196" s="211"/>
      <c r="O196" s="211"/>
      <c r="P196" s="211"/>
      <c r="Q196" s="211"/>
      <c r="R196" s="211"/>
      <c r="S196" s="211"/>
      <c r="T196" s="211"/>
    </row>
    <row r="197" spans="1:20" s="34" customFormat="1">
      <c r="A197" s="211"/>
      <c r="B197" s="211"/>
      <c r="C197" s="211"/>
      <c r="D197" s="211"/>
      <c r="E197" s="211"/>
      <c r="F197" s="211"/>
      <c r="G197" s="211"/>
      <c r="H197" s="211"/>
      <c r="I197" s="211"/>
      <c r="J197" s="211"/>
      <c r="K197" s="211"/>
      <c r="L197" s="211"/>
      <c r="M197" s="211"/>
      <c r="N197" s="211"/>
      <c r="O197" s="211"/>
      <c r="P197" s="211"/>
      <c r="Q197" s="211"/>
      <c r="R197" s="211"/>
      <c r="S197" s="211"/>
      <c r="T197" s="211"/>
    </row>
    <row r="198" spans="1:20" s="34" customFormat="1">
      <c r="A198" s="211"/>
      <c r="B198" s="211"/>
      <c r="C198" s="211"/>
      <c r="D198" s="211"/>
      <c r="E198" s="211"/>
      <c r="F198" s="211"/>
      <c r="G198" s="211"/>
      <c r="H198" s="211"/>
      <c r="I198" s="211"/>
      <c r="J198" s="211"/>
      <c r="K198" s="211"/>
      <c r="L198" s="211"/>
      <c r="M198" s="211"/>
      <c r="N198" s="211"/>
      <c r="O198" s="211"/>
      <c r="P198" s="211"/>
      <c r="Q198" s="211"/>
      <c r="R198" s="211"/>
      <c r="S198" s="211"/>
      <c r="T198" s="211"/>
    </row>
    <row r="199" spans="1:20" s="34" customFormat="1">
      <c r="A199" s="211"/>
      <c r="B199" s="211"/>
      <c r="C199" s="211"/>
      <c r="D199" s="211"/>
      <c r="E199" s="211"/>
      <c r="F199" s="211"/>
      <c r="G199" s="211"/>
      <c r="H199" s="211"/>
      <c r="I199" s="211"/>
      <c r="J199" s="211"/>
      <c r="K199" s="211"/>
      <c r="L199" s="211"/>
      <c r="M199" s="211"/>
      <c r="N199" s="211"/>
      <c r="O199" s="211"/>
      <c r="P199" s="211"/>
      <c r="Q199" s="211"/>
      <c r="R199" s="211"/>
      <c r="S199" s="211"/>
      <c r="T199" s="211"/>
    </row>
    <row r="200" spans="1:20" s="34" customFormat="1">
      <c r="A200" s="211"/>
      <c r="B200" s="211"/>
      <c r="C200" s="211"/>
      <c r="D200" s="211"/>
      <c r="E200" s="211"/>
      <c r="F200" s="211"/>
      <c r="G200" s="211"/>
      <c r="H200" s="211"/>
      <c r="I200" s="211"/>
      <c r="J200" s="211"/>
      <c r="K200" s="211"/>
      <c r="L200" s="211"/>
      <c r="M200" s="211"/>
      <c r="N200" s="211"/>
      <c r="O200" s="211"/>
      <c r="P200" s="211"/>
      <c r="Q200" s="211"/>
      <c r="R200" s="211"/>
      <c r="S200" s="211"/>
      <c r="T200" s="211"/>
    </row>
    <row r="201" spans="1:20" s="34" customFormat="1">
      <c r="A201" s="211"/>
      <c r="B201" s="211"/>
      <c r="C201" s="211"/>
      <c r="D201" s="211"/>
      <c r="E201" s="211"/>
      <c r="F201" s="211"/>
      <c r="G201" s="211"/>
      <c r="H201" s="211"/>
      <c r="I201" s="211"/>
      <c r="J201" s="211"/>
      <c r="K201" s="211"/>
      <c r="L201" s="211"/>
      <c r="M201" s="211"/>
      <c r="N201" s="211"/>
      <c r="O201" s="211"/>
      <c r="P201" s="211"/>
      <c r="Q201" s="211"/>
      <c r="R201" s="211"/>
      <c r="S201" s="211"/>
      <c r="T201" s="211"/>
    </row>
    <row r="202" spans="1:20" s="34" customFormat="1">
      <c r="A202" s="211"/>
      <c r="B202" s="211"/>
      <c r="C202" s="211"/>
      <c r="D202" s="211"/>
      <c r="E202" s="211"/>
      <c r="F202" s="211"/>
      <c r="G202" s="211"/>
      <c r="H202" s="211"/>
      <c r="I202" s="211"/>
      <c r="J202" s="211"/>
      <c r="K202" s="211"/>
      <c r="L202" s="211"/>
      <c r="M202" s="211"/>
      <c r="N202" s="211"/>
      <c r="O202" s="211"/>
      <c r="P202" s="211"/>
      <c r="Q202" s="211"/>
      <c r="R202" s="211"/>
      <c r="S202" s="211"/>
      <c r="T202" s="211"/>
    </row>
    <row r="203" spans="1:20" s="34" customFormat="1">
      <c r="A203" s="211"/>
      <c r="B203" s="211"/>
      <c r="C203" s="211"/>
      <c r="D203" s="211"/>
      <c r="E203" s="211"/>
      <c r="F203" s="211"/>
      <c r="G203" s="211"/>
      <c r="H203" s="211"/>
      <c r="I203" s="211"/>
      <c r="J203" s="211"/>
      <c r="K203" s="211"/>
      <c r="L203" s="211"/>
      <c r="M203" s="211"/>
      <c r="N203" s="211"/>
      <c r="O203" s="211"/>
      <c r="P203" s="211"/>
      <c r="Q203" s="211"/>
      <c r="R203" s="211"/>
      <c r="S203" s="211"/>
      <c r="T203" s="211"/>
    </row>
    <row r="204" spans="1:20" s="34" customFormat="1">
      <c r="A204" s="211"/>
      <c r="B204" s="211"/>
      <c r="C204" s="211"/>
      <c r="D204" s="211"/>
      <c r="E204" s="211"/>
      <c r="F204" s="211"/>
      <c r="G204" s="211"/>
      <c r="H204" s="211"/>
      <c r="I204" s="211"/>
      <c r="J204" s="211"/>
      <c r="K204" s="211"/>
      <c r="L204" s="211"/>
      <c r="M204" s="211"/>
      <c r="N204" s="211"/>
      <c r="O204" s="211"/>
      <c r="P204" s="211"/>
      <c r="Q204" s="211"/>
      <c r="R204" s="211"/>
      <c r="S204" s="211"/>
      <c r="T204" s="211"/>
    </row>
    <row r="205" spans="1:20" s="34" customFormat="1">
      <c r="A205" s="211"/>
      <c r="B205" s="211"/>
      <c r="C205" s="211"/>
      <c r="D205" s="211"/>
      <c r="E205" s="211"/>
      <c r="F205" s="211"/>
      <c r="G205" s="211"/>
      <c r="H205" s="211"/>
      <c r="I205" s="211"/>
      <c r="J205" s="211"/>
      <c r="K205" s="211"/>
      <c r="L205" s="211"/>
      <c r="M205" s="211"/>
      <c r="N205" s="211"/>
      <c r="O205" s="211"/>
      <c r="P205" s="211"/>
      <c r="Q205" s="211"/>
      <c r="R205" s="211"/>
      <c r="S205" s="211"/>
      <c r="T205" s="211"/>
    </row>
    <row r="206" spans="1:20" s="34" customFormat="1">
      <c r="A206" s="211"/>
      <c r="B206" s="211"/>
      <c r="C206" s="211"/>
      <c r="D206" s="211"/>
      <c r="E206" s="211"/>
      <c r="F206" s="211"/>
      <c r="G206" s="211"/>
      <c r="H206" s="211"/>
      <c r="I206" s="211"/>
      <c r="J206" s="211"/>
      <c r="K206" s="211"/>
      <c r="L206" s="211"/>
      <c r="M206" s="211"/>
      <c r="N206" s="211"/>
      <c r="O206" s="211"/>
      <c r="P206" s="211"/>
      <c r="Q206" s="211"/>
      <c r="R206" s="211"/>
      <c r="S206" s="211"/>
      <c r="T206" s="211"/>
    </row>
    <row r="207" spans="1:20" s="34" customFormat="1">
      <c r="A207" s="211"/>
      <c r="B207" s="211"/>
      <c r="C207" s="211"/>
      <c r="D207" s="211"/>
      <c r="E207" s="211"/>
      <c r="F207" s="211"/>
      <c r="G207" s="211"/>
      <c r="H207" s="211"/>
      <c r="I207" s="211"/>
      <c r="J207" s="211"/>
      <c r="K207" s="211"/>
      <c r="L207" s="211"/>
      <c r="M207" s="211"/>
      <c r="N207" s="211"/>
      <c r="O207" s="211"/>
      <c r="P207" s="211"/>
      <c r="Q207" s="211"/>
      <c r="R207" s="211"/>
      <c r="S207" s="211"/>
      <c r="T207" s="211"/>
    </row>
    <row r="208" spans="1:20" s="34" customFormat="1">
      <c r="A208" s="211"/>
      <c r="B208" s="211"/>
      <c r="C208" s="211"/>
      <c r="D208" s="211"/>
      <c r="E208" s="211"/>
      <c r="F208" s="211"/>
      <c r="G208" s="211"/>
      <c r="H208" s="211"/>
      <c r="I208" s="211"/>
      <c r="J208" s="211"/>
      <c r="K208" s="211"/>
      <c r="L208" s="211"/>
      <c r="M208" s="211"/>
      <c r="N208" s="211"/>
      <c r="O208" s="211"/>
      <c r="P208" s="211"/>
      <c r="Q208" s="211"/>
      <c r="R208" s="211"/>
      <c r="S208" s="211"/>
      <c r="T208" s="211"/>
    </row>
    <row r="209" spans="1:20" s="34" customFormat="1">
      <c r="A209" s="211"/>
      <c r="B209" s="211"/>
      <c r="C209" s="211"/>
      <c r="D209" s="211"/>
      <c r="E209" s="211"/>
      <c r="F209" s="211"/>
      <c r="G209" s="211"/>
      <c r="H209" s="211"/>
      <c r="I209" s="211"/>
      <c r="J209" s="211"/>
      <c r="K209" s="211"/>
      <c r="L209" s="211"/>
      <c r="M209" s="211"/>
      <c r="N209" s="211"/>
      <c r="O209" s="211"/>
      <c r="P209" s="211"/>
      <c r="Q209" s="211"/>
      <c r="R209" s="211"/>
      <c r="S209" s="211"/>
      <c r="T209" s="211"/>
    </row>
    <row r="210" spans="1:20" s="34" customFormat="1">
      <c r="A210" s="211"/>
      <c r="B210" s="211"/>
      <c r="C210" s="211"/>
      <c r="D210" s="211"/>
      <c r="E210" s="211"/>
      <c r="F210" s="211"/>
      <c r="G210" s="211"/>
      <c r="H210" s="211"/>
      <c r="I210" s="211"/>
      <c r="J210" s="211"/>
      <c r="K210" s="211"/>
      <c r="L210" s="211"/>
      <c r="M210" s="211"/>
      <c r="N210" s="211"/>
      <c r="O210" s="211"/>
      <c r="P210" s="211"/>
      <c r="Q210" s="211"/>
      <c r="R210" s="211"/>
      <c r="S210" s="211"/>
      <c r="T210" s="211"/>
    </row>
    <row r="211" spans="1:20" s="34" customFormat="1">
      <c r="A211" s="211"/>
      <c r="B211" s="211"/>
      <c r="C211" s="211"/>
      <c r="D211" s="211"/>
      <c r="E211" s="211"/>
      <c r="F211" s="211"/>
      <c r="G211" s="211"/>
      <c r="H211" s="211"/>
      <c r="I211" s="211"/>
      <c r="J211" s="211"/>
      <c r="K211" s="211"/>
      <c r="L211" s="211"/>
      <c r="M211" s="211"/>
      <c r="N211" s="211"/>
      <c r="O211" s="211"/>
      <c r="P211" s="211"/>
      <c r="Q211" s="211"/>
      <c r="R211" s="211"/>
      <c r="S211" s="211"/>
      <c r="T211" s="211"/>
    </row>
    <row r="212" spans="1:20" s="34" customFormat="1">
      <c r="A212" s="211"/>
      <c r="B212" s="211"/>
      <c r="C212" s="211"/>
      <c r="D212" s="211"/>
      <c r="E212" s="211"/>
      <c r="F212" s="211"/>
      <c r="G212" s="211"/>
      <c r="H212" s="211"/>
      <c r="I212" s="211"/>
      <c r="J212" s="211"/>
      <c r="K212" s="211"/>
      <c r="L212" s="211"/>
      <c r="M212" s="211"/>
      <c r="N212" s="211"/>
      <c r="O212" s="211"/>
      <c r="P212" s="211"/>
      <c r="Q212" s="211"/>
      <c r="R212" s="211"/>
      <c r="S212" s="211"/>
      <c r="T212" s="211"/>
    </row>
    <row r="213" spans="1:20" s="34" customFormat="1">
      <c r="A213" s="211"/>
      <c r="B213" s="211"/>
      <c r="C213" s="211"/>
      <c r="D213" s="211"/>
      <c r="E213" s="211"/>
      <c r="F213" s="211"/>
      <c r="G213" s="211"/>
      <c r="H213" s="211"/>
      <c r="I213" s="211"/>
      <c r="J213" s="211"/>
      <c r="K213" s="211"/>
      <c r="L213" s="211"/>
      <c r="M213" s="211"/>
      <c r="N213" s="211"/>
      <c r="O213" s="211"/>
      <c r="P213" s="211"/>
      <c r="Q213" s="211"/>
      <c r="R213" s="211"/>
      <c r="S213" s="211"/>
      <c r="T213" s="211"/>
    </row>
    <row r="214" spans="1:20" s="34" customFormat="1">
      <c r="A214" s="211"/>
      <c r="B214" s="211"/>
      <c r="C214" s="211"/>
      <c r="D214" s="211"/>
      <c r="E214" s="211"/>
      <c r="F214" s="211"/>
      <c r="G214" s="211"/>
      <c r="H214" s="211"/>
      <c r="I214" s="211"/>
      <c r="J214" s="211"/>
      <c r="K214" s="211"/>
      <c r="L214" s="211"/>
      <c r="M214" s="211"/>
      <c r="N214" s="211"/>
      <c r="O214" s="211"/>
      <c r="P214" s="211"/>
      <c r="Q214" s="211"/>
      <c r="R214" s="211"/>
      <c r="S214" s="211"/>
      <c r="T214" s="211"/>
    </row>
    <row r="215" spans="1:20" s="34" customFormat="1">
      <c r="A215" s="211"/>
      <c r="B215" s="211"/>
      <c r="C215" s="211"/>
      <c r="D215" s="211"/>
      <c r="E215" s="211"/>
      <c r="F215" s="211"/>
      <c r="G215" s="211"/>
      <c r="H215" s="211"/>
      <c r="I215" s="211"/>
      <c r="J215" s="211"/>
      <c r="K215" s="211"/>
      <c r="L215" s="211"/>
      <c r="M215" s="211"/>
      <c r="N215" s="211"/>
      <c r="O215" s="211"/>
      <c r="P215" s="211"/>
      <c r="Q215" s="211"/>
      <c r="R215" s="211"/>
      <c r="S215" s="211"/>
      <c r="T215" s="211"/>
    </row>
    <row r="216" spans="1:20" s="34" customFormat="1">
      <c r="A216" s="211"/>
      <c r="B216" s="211"/>
      <c r="C216" s="211"/>
      <c r="D216" s="211"/>
      <c r="E216" s="211"/>
      <c r="F216" s="211"/>
      <c r="G216" s="211"/>
      <c r="H216" s="211"/>
      <c r="I216" s="211"/>
      <c r="J216" s="211"/>
      <c r="K216" s="211"/>
      <c r="L216" s="211"/>
      <c r="M216" s="211"/>
      <c r="N216" s="211"/>
      <c r="O216" s="211"/>
      <c r="P216" s="211"/>
      <c r="Q216" s="211"/>
      <c r="R216" s="211"/>
      <c r="S216" s="211"/>
      <c r="T216" s="211"/>
    </row>
    <row r="217" spans="1:20" s="34" customFormat="1">
      <c r="A217" s="211"/>
      <c r="B217" s="211"/>
      <c r="C217" s="211"/>
      <c r="D217" s="211"/>
      <c r="E217" s="211"/>
      <c r="F217" s="211"/>
      <c r="G217" s="211"/>
      <c r="H217" s="211"/>
      <c r="I217" s="211"/>
      <c r="J217" s="211"/>
      <c r="K217" s="211"/>
      <c r="L217" s="211"/>
      <c r="M217" s="211"/>
      <c r="N217" s="211"/>
      <c r="O217" s="211"/>
      <c r="P217" s="211"/>
      <c r="Q217" s="211"/>
      <c r="R217" s="211"/>
      <c r="S217" s="211"/>
      <c r="T217" s="211"/>
    </row>
    <row r="218" spans="1:20" s="34" customFormat="1">
      <c r="A218" s="211"/>
      <c r="B218" s="211"/>
      <c r="C218" s="211"/>
      <c r="D218" s="211"/>
      <c r="E218" s="211"/>
      <c r="F218" s="211"/>
      <c r="G218" s="211"/>
      <c r="H218" s="211"/>
      <c r="I218" s="211"/>
      <c r="J218" s="211"/>
      <c r="K218" s="211"/>
      <c r="L218" s="211"/>
      <c r="M218" s="211"/>
      <c r="N218" s="211"/>
      <c r="O218" s="211"/>
      <c r="P218" s="211"/>
      <c r="Q218" s="211"/>
      <c r="R218" s="211"/>
      <c r="S218" s="211"/>
      <c r="T218" s="211"/>
    </row>
    <row r="219" spans="1:20" s="34" customFormat="1">
      <c r="A219" s="211"/>
      <c r="B219" s="211"/>
      <c r="C219" s="211"/>
      <c r="D219" s="211"/>
      <c r="E219" s="211"/>
      <c r="F219" s="211"/>
      <c r="G219" s="211"/>
      <c r="H219" s="211"/>
      <c r="I219" s="211"/>
      <c r="J219" s="211"/>
      <c r="K219" s="211"/>
      <c r="L219" s="211"/>
      <c r="M219" s="211"/>
      <c r="N219" s="211"/>
      <c r="O219" s="211"/>
      <c r="P219" s="211"/>
      <c r="Q219" s="211"/>
      <c r="R219" s="211"/>
      <c r="S219" s="211"/>
      <c r="T219" s="211"/>
    </row>
    <row r="220" spans="1:20" s="34" customFormat="1">
      <c r="A220" s="211"/>
      <c r="B220" s="211"/>
      <c r="C220" s="211"/>
      <c r="D220" s="211"/>
      <c r="E220" s="211"/>
      <c r="F220" s="211"/>
      <c r="G220" s="211"/>
      <c r="H220" s="211"/>
      <c r="I220" s="211"/>
      <c r="J220" s="211"/>
      <c r="K220" s="211"/>
      <c r="L220" s="211"/>
      <c r="M220" s="211"/>
      <c r="N220" s="211"/>
      <c r="O220" s="211"/>
      <c r="P220" s="211"/>
      <c r="Q220" s="211"/>
      <c r="R220" s="211"/>
      <c r="S220" s="211"/>
      <c r="T220" s="211"/>
    </row>
    <row r="221" spans="1:20" s="34" customFormat="1">
      <c r="A221" s="203"/>
      <c r="B221" s="211"/>
      <c r="C221" s="211"/>
      <c r="D221" s="211"/>
      <c r="E221" s="211"/>
      <c r="F221" s="211"/>
      <c r="G221" s="211"/>
      <c r="H221" s="211"/>
      <c r="I221" s="211"/>
      <c r="J221" s="211"/>
      <c r="K221" s="211"/>
      <c r="L221" s="211"/>
      <c r="M221" s="211"/>
      <c r="N221" s="211"/>
      <c r="O221" s="211"/>
      <c r="P221" s="211"/>
      <c r="Q221" s="211"/>
      <c r="R221" s="211"/>
      <c r="S221" s="211"/>
      <c r="T221" s="211"/>
    </row>
    <row r="222" spans="1:20" s="34" customFormat="1">
      <c r="A222" s="211"/>
      <c r="B222" s="211"/>
      <c r="C222" s="211"/>
      <c r="D222" s="211"/>
      <c r="E222" s="211"/>
      <c r="F222" s="211"/>
      <c r="G222" s="211"/>
      <c r="H222" s="211"/>
      <c r="I222" s="211"/>
      <c r="J222" s="211"/>
      <c r="K222" s="211"/>
      <c r="L222" s="211"/>
      <c r="M222" s="211"/>
      <c r="N222" s="211"/>
      <c r="O222" s="211"/>
      <c r="P222" s="211"/>
      <c r="Q222" s="211"/>
      <c r="R222" s="211"/>
      <c r="S222" s="211"/>
      <c r="T222" s="211"/>
    </row>
    <row r="223" spans="1:20" s="34" customFormat="1">
      <c r="A223" s="211"/>
      <c r="B223" s="211"/>
      <c r="C223" s="211"/>
      <c r="D223" s="211"/>
      <c r="E223" s="211"/>
      <c r="F223" s="211"/>
      <c r="G223" s="211"/>
      <c r="H223" s="211"/>
      <c r="I223" s="211"/>
      <c r="J223" s="211"/>
      <c r="K223" s="211"/>
      <c r="L223" s="211"/>
      <c r="M223" s="211"/>
      <c r="N223" s="211"/>
      <c r="O223" s="211"/>
      <c r="P223" s="211"/>
      <c r="Q223" s="211"/>
      <c r="R223" s="211"/>
      <c r="S223" s="211"/>
      <c r="T223" s="211"/>
    </row>
    <row r="224" spans="1:20" s="34" customFormat="1">
      <c r="A224" s="211"/>
      <c r="B224" s="211"/>
      <c r="C224" s="211"/>
      <c r="D224" s="211"/>
      <c r="E224" s="211"/>
      <c r="F224" s="211"/>
      <c r="G224" s="211"/>
      <c r="H224" s="211"/>
      <c r="I224" s="211"/>
      <c r="J224" s="211"/>
      <c r="K224" s="211"/>
      <c r="L224" s="211"/>
      <c r="M224" s="211"/>
      <c r="N224" s="211"/>
      <c r="O224" s="211"/>
      <c r="P224" s="211"/>
      <c r="Q224" s="211"/>
      <c r="R224" s="211"/>
      <c r="S224" s="211"/>
      <c r="T224" s="211"/>
    </row>
    <row r="225" spans="1:20" s="34" customFormat="1">
      <c r="A225" s="211"/>
      <c r="B225" s="211"/>
      <c r="C225" s="211"/>
      <c r="D225" s="211"/>
      <c r="E225" s="211"/>
      <c r="F225" s="211"/>
      <c r="G225" s="211"/>
      <c r="H225" s="211"/>
      <c r="I225" s="211"/>
      <c r="J225" s="211"/>
      <c r="K225" s="211"/>
      <c r="L225" s="211"/>
      <c r="M225" s="211"/>
      <c r="N225" s="211"/>
      <c r="O225" s="211"/>
      <c r="P225" s="211"/>
      <c r="Q225" s="211"/>
      <c r="R225" s="211"/>
      <c r="S225" s="211"/>
      <c r="T225" s="211"/>
    </row>
    <row r="226" spans="1:20" s="34" customFormat="1">
      <c r="A226" s="211"/>
      <c r="B226" s="211"/>
      <c r="C226" s="211"/>
      <c r="D226" s="211"/>
      <c r="E226" s="211"/>
      <c r="F226" s="211"/>
      <c r="G226" s="211"/>
      <c r="H226" s="211"/>
      <c r="I226" s="211"/>
      <c r="J226" s="211"/>
      <c r="K226" s="211"/>
      <c r="L226" s="211"/>
      <c r="M226" s="211"/>
      <c r="N226" s="211"/>
      <c r="O226" s="211"/>
      <c r="P226" s="211"/>
      <c r="Q226" s="211"/>
      <c r="R226" s="211"/>
      <c r="S226" s="211"/>
      <c r="T226" s="211"/>
    </row>
    <row r="227" spans="1:20" s="34" customFormat="1">
      <c r="A227" s="211"/>
      <c r="B227" s="211"/>
      <c r="C227" s="211"/>
      <c r="D227" s="211"/>
      <c r="E227" s="211"/>
      <c r="F227" s="211"/>
      <c r="G227" s="211"/>
      <c r="H227" s="211"/>
      <c r="I227" s="211"/>
      <c r="J227" s="211"/>
      <c r="K227" s="211"/>
      <c r="L227" s="211"/>
      <c r="M227" s="211"/>
      <c r="N227" s="211"/>
      <c r="O227" s="211"/>
      <c r="P227" s="211"/>
      <c r="Q227" s="211"/>
      <c r="R227" s="211"/>
      <c r="S227" s="211"/>
      <c r="T227" s="211"/>
    </row>
    <row r="228" spans="1:20" s="34" customFormat="1">
      <c r="A228" s="211"/>
      <c r="B228" s="211"/>
      <c r="C228" s="211"/>
      <c r="D228" s="211"/>
      <c r="E228" s="211"/>
      <c r="F228" s="211"/>
      <c r="G228" s="211"/>
      <c r="H228" s="211"/>
      <c r="I228" s="211"/>
      <c r="J228" s="211"/>
      <c r="K228" s="211"/>
      <c r="L228" s="211"/>
      <c r="M228" s="211"/>
      <c r="N228" s="211"/>
      <c r="O228" s="211"/>
      <c r="P228" s="211"/>
      <c r="Q228" s="211"/>
      <c r="R228" s="211"/>
      <c r="S228" s="211"/>
      <c r="T228" s="211"/>
    </row>
    <row r="229" spans="1:20" s="34" customFormat="1">
      <c r="A229" s="211"/>
      <c r="B229" s="211"/>
      <c r="C229" s="211"/>
      <c r="D229" s="211"/>
      <c r="E229" s="211"/>
      <c r="F229" s="211"/>
      <c r="G229" s="211"/>
      <c r="H229" s="211"/>
      <c r="I229" s="211"/>
      <c r="J229" s="211"/>
      <c r="K229" s="211"/>
      <c r="L229" s="211"/>
      <c r="M229" s="211"/>
      <c r="N229" s="211"/>
      <c r="O229" s="211"/>
      <c r="P229" s="211"/>
      <c r="Q229" s="211"/>
      <c r="R229" s="211"/>
      <c r="S229" s="211"/>
      <c r="T229" s="211"/>
    </row>
    <row r="230" spans="1:20" s="34" customFormat="1">
      <c r="A230" s="211"/>
      <c r="B230" s="211"/>
      <c r="C230" s="211"/>
      <c r="D230" s="211"/>
      <c r="E230" s="211"/>
      <c r="F230" s="211"/>
      <c r="G230" s="211"/>
      <c r="H230" s="211"/>
      <c r="I230" s="211"/>
      <c r="J230" s="211"/>
      <c r="K230" s="211"/>
      <c r="L230" s="211"/>
      <c r="M230" s="211"/>
      <c r="N230" s="211"/>
      <c r="O230" s="211"/>
      <c r="P230" s="211"/>
      <c r="Q230" s="211"/>
      <c r="R230" s="211"/>
      <c r="S230" s="211"/>
      <c r="T230" s="211"/>
    </row>
    <row r="231" spans="1:20" s="34" customFormat="1">
      <c r="A231" s="211"/>
      <c r="B231" s="211"/>
      <c r="C231" s="211"/>
      <c r="D231" s="211"/>
      <c r="E231" s="211"/>
      <c r="F231" s="211"/>
      <c r="G231" s="211"/>
      <c r="H231" s="211"/>
      <c r="I231" s="211"/>
      <c r="J231" s="211"/>
      <c r="K231" s="211"/>
      <c r="L231" s="211"/>
      <c r="M231" s="211"/>
      <c r="N231" s="211"/>
      <c r="O231" s="211"/>
      <c r="P231" s="211"/>
      <c r="Q231" s="211"/>
      <c r="R231" s="211"/>
      <c r="S231" s="211"/>
      <c r="T231" s="211"/>
    </row>
    <row r="232" spans="1:20" s="34" customFormat="1">
      <c r="A232" s="211"/>
      <c r="B232" s="211"/>
      <c r="C232" s="211"/>
      <c r="D232" s="211"/>
      <c r="E232" s="211"/>
      <c r="F232" s="211"/>
      <c r="G232" s="211"/>
      <c r="H232" s="211"/>
      <c r="I232" s="211"/>
      <c r="J232" s="211"/>
      <c r="K232" s="211"/>
      <c r="L232" s="211"/>
      <c r="M232" s="211"/>
      <c r="N232" s="211"/>
      <c r="O232" s="211"/>
      <c r="P232" s="211"/>
      <c r="Q232" s="211"/>
      <c r="R232" s="211"/>
      <c r="S232" s="211"/>
      <c r="T232" s="211"/>
    </row>
    <row r="233" spans="1:20" s="34" customFormat="1">
      <c r="A233" s="211"/>
      <c r="B233" s="211"/>
      <c r="C233" s="211"/>
      <c r="D233" s="211"/>
      <c r="E233" s="211"/>
      <c r="F233" s="211"/>
      <c r="G233" s="211"/>
      <c r="H233" s="211"/>
      <c r="I233" s="211"/>
      <c r="J233" s="211"/>
      <c r="K233" s="211"/>
      <c r="L233" s="211"/>
      <c r="M233" s="211"/>
      <c r="N233" s="211"/>
      <c r="O233" s="211"/>
      <c r="P233" s="211"/>
      <c r="Q233" s="211"/>
      <c r="R233" s="211"/>
      <c r="S233" s="211"/>
      <c r="T233" s="211"/>
    </row>
    <row r="234" spans="1:20" s="34" customFormat="1">
      <c r="A234" s="211"/>
      <c r="B234" s="211"/>
      <c r="C234" s="211"/>
      <c r="D234" s="211"/>
      <c r="E234" s="211"/>
      <c r="F234" s="211"/>
      <c r="G234" s="211"/>
      <c r="H234" s="211"/>
      <c r="I234" s="211"/>
      <c r="J234" s="211"/>
      <c r="K234" s="211"/>
      <c r="L234" s="211"/>
      <c r="M234" s="211"/>
      <c r="N234" s="211"/>
      <c r="O234" s="211"/>
      <c r="P234" s="211"/>
      <c r="Q234" s="211"/>
      <c r="R234" s="211"/>
      <c r="S234" s="211"/>
      <c r="T234" s="211"/>
    </row>
    <row r="235" spans="1:20" s="34" customFormat="1">
      <c r="A235" s="211"/>
      <c r="B235" s="211"/>
      <c r="C235" s="211"/>
      <c r="D235" s="211"/>
      <c r="E235" s="211"/>
      <c r="F235" s="211"/>
      <c r="G235" s="211"/>
      <c r="H235" s="211"/>
      <c r="I235" s="211"/>
      <c r="J235" s="211"/>
      <c r="K235" s="211"/>
      <c r="L235" s="211"/>
      <c r="M235" s="211"/>
      <c r="N235" s="211"/>
      <c r="O235" s="211"/>
      <c r="P235" s="211"/>
      <c r="Q235" s="211"/>
      <c r="R235" s="211"/>
      <c r="S235" s="211"/>
      <c r="T235" s="211"/>
    </row>
    <row r="236" spans="1:20" s="34" customFormat="1">
      <c r="A236" s="211"/>
      <c r="B236" s="211"/>
      <c r="C236" s="211"/>
      <c r="D236" s="211"/>
      <c r="E236" s="211"/>
      <c r="F236" s="211"/>
      <c r="G236" s="211"/>
      <c r="H236" s="211"/>
      <c r="I236" s="211"/>
      <c r="J236" s="211"/>
      <c r="K236" s="211"/>
      <c r="L236" s="211"/>
      <c r="M236" s="211"/>
      <c r="N236" s="211"/>
      <c r="O236" s="211"/>
      <c r="P236" s="211"/>
      <c r="Q236" s="211"/>
      <c r="R236" s="211"/>
      <c r="S236" s="211"/>
      <c r="T236" s="211"/>
    </row>
    <row r="237" spans="1:20" s="34" customFormat="1">
      <c r="A237" s="211"/>
      <c r="B237" s="211"/>
      <c r="C237" s="211"/>
      <c r="D237" s="211"/>
      <c r="E237" s="211"/>
      <c r="F237" s="211"/>
      <c r="G237" s="211"/>
      <c r="H237" s="211"/>
      <c r="I237" s="211"/>
      <c r="J237" s="211"/>
      <c r="K237" s="211"/>
      <c r="L237" s="211"/>
      <c r="M237" s="211"/>
      <c r="N237" s="211"/>
      <c r="O237" s="211"/>
      <c r="P237" s="211"/>
      <c r="Q237" s="211"/>
      <c r="R237" s="211"/>
      <c r="S237" s="211"/>
      <c r="T237" s="211"/>
    </row>
    <row r="238" spans="1:20" s="34" customFormat="1">
      <c r="A238" s="286"/>
      <c r="B238" s="211"/>
      <c r="C238" s="211"/>
      <c r="D238" s="211"/>
      <c r="E238" s="211"/>
      <c r="F238" s="211"/>
      <c r="G238" s="211"/>
      <c r="H238" s="211"/>
      <c r="I238" s="211"/>
      <c r="J238" s="211"/>
      <c r="K238" s="211"/>
      <c r="L238" s="211"/>
      <c r="M238" s="211"/>
      <c r="N238" s="211"/>
      <c r="O238" s="211"/>
      <c r="P238" s="211"/>
      <c r="Q238" s="211"/>
      <c r="R238" s="211"/>
      <c r="S238" s="211"/>
      <c r="T238" s="211"/>
    </row>
    <row r="239" spans="1:20" s="34" customFormat="1">
      <c r="A239" s="286"/>
      <c r="B239" s="211"/>
      <c r="C239" s="211"/>
      <c r="D239" s="211"/>
      <c r="E239" s="211"/>
      <c r="F239" s="211"/>
      <c r="G239" s="211"/>
      <c r="H239" s="211"/>
      <c r="I239" s="211"/>
      <c r="J239" s="211"/>
      <c r="K239" s="211"/>
      <c r="L239" s="211"/>
      <c r="M239" s="211"/>
      <c r="N239" s="211"/>
      <c r="O239" s="211"/>
      <c r="P239" s="211"/>
      <c r="Q239" s="211"/>
      <c r="R239" s="211"/>
      <c r="S239" s="211"/>
      <c r="T239" s="211"/>
    </row>
    <row r="240" spans="1:20" s="34" customFormat="1">
      <c r="A240" s="286"/>
      <c r="B240" s="211"/>
      <c r="C240" s="211"/>
      <c r="D240" s="211"/>
      <c r="E240" s="211"/>
      <c r="F240" s="211"/>
      <c r="G240" s="211"/>
      <c r="H240" s="211"/>
      <c r="I240" s="211"/>
      <c r="J240" s="211"/>
      <c r="K240" s="211"/>
      <c r="L240" s="211"/>
      <c r="M240" s="211"/>
      <c r="N240" s="211"/>
      <c r="O240" s="211"/>
      <c r="P240" s="211"/>
      <c r="Q240" s="211"/>
      <c r="R240" s="211"/>
      <c r="S240" s="211"/>
      <c r="T240" s="211"/>
    </row>
    <row r="241" spans="1:20" s="34" customFormat="1">
      <c r="A241" s="286"/>
      <c r="B241" s="211"/>
      <c r="C241" s="211"/>
      <c r="D241" s="211"/>
      <c r="E241" s="211"/>
      <c r="F241" s="211"/>
      <c r="G241" s="211"/>
      <c r="H241" s="211"/>
      <c r="I241" s="211"/>
      <c r="J241" s="211"/>
      <c r="K241" s="211"/>
      <c r="L241" s="211"/>
      <c r="M241" s="211"/>
      <c r="N241" s="211"/>
      <c r="O241" s="211"/>
      <c r="P241" s="211"/>
      <c r="Q241" s="211"/>
      <c r="R241" s="211"/>
      <c r="S241" s="211"/>
      <c r="T241" s="211"/>
    </row>
    <row r="242" spans="1:20" s="34" customFormat="1">
      <c r="A242" s="286"/>
      <c r="B242" s="211"/>
      <c r="C242" s="211"/>
      <c r="D242" s="211"/>
      <c r="E242" s="211"/>
      <c r="F242" s="211"/>
      <c r="G242" s="211"/>
      <c r="H242" s="211"/>
      <c r="I242" s="211"/>
      <c r="J242" s="211"/>
      <c r="K242" s="211"/>
      <c r="L242" s="211"/>
      <c r="M242" s="211"/>
      <c r="N242" s="211"/>
      <c r="O242" s="211"/>
      <c r="P242" s="211"/>
      <c r="Q242" s="211"/>
      <c r="R242" s="211"/>
      <c r="S242" s="211"/>
      <c r="T242" s="211"/>
    </row>
    <row r="243" spans="1:20" s="34" customFormat="1">
      <c r="A243" s="286"/>
      <c r="B243" s="211"/>
      <c r="C243" s="211"/>
      <c r="D243" s="211"/>
      <c r="E243" s="211"/>
      <c r="F243" s="211"/>
      <c r="G243" s="211"/>
      <c r="H243" s="211"/>
      <c r="I243" s="211"/>
      <c r="J243" s="211"/>
      <c r="K243" s="211"/>
      <c r="L243" s="211"/>
      <c r="M243" s="211"/>
      <c r="N243" s="211"/>
      <c r="O243" s="211"/>
      <c r="P243" s="211"/>
      <c r="Q243" s="211"/>
      <c r="R243" s="211"/>
      <c r="S243" s="211"/>
      <c r="T243" s="211"/>
    </row>
    <row r="244" spans="1:20" s="34" customFormat="1">
      <c r="A244" s="286"/>
      <c r="B244" s="211"/>
      <c r="C244" s="211"/>
      <c r="D244" s="211"/>
      <c r="E244" s="211"/>
      <c r="F244" s="211"/>
      <c r="G244" s="211"/>
      <c r="H244" s="211"/>
      <c r="I244" s="211"/>
      <c r="J244" s="211"/>
      <c r="K244" s="211"/>
      <c r="L244" s="211"/>
      <c r="M244" s="211"/>
      <c r="N244" s="211"/>
      <c r="O244" s="211"/>
      <c r="P244" s="211"/>
      <c r="Q244" s="211"/>
      <c r="R244" s="211"/>
      <c r="S244" s="211"/>
      <c r="T244" s="211"/>
    </row>
    <row r="245" spans="1:20" s="34" customFormat="1">
      <c r="A245" s="286"/>
      <c r="B245" s="211"/>
      <c r="C245" s="211"/>
      <c r="D245" s="211"/>
      <c r="E245" s="211"/>
      <c r="F245" s="211"/>
      <c r="G245" s="211"/>
      <c r="H245" s="211"/>
      <c r="I245" s="211"/>
      <c r="J245" s="211"/>
      <c r="K245" s="211"/>
      <c r="L245" s="211"/>
      <c r="M245" s="211"/>
      <c r="N245" s="211"/>
      <c r="O245" s="211"/>
      <c r="P245" s="211"/>
      <c r="Q245" s="211"/>
      <c r="R245" s="211"/>
      <c r="S245" s="211"/>
      <c r="T245" s="211"/>
    </row>
    <row r="246" spans="1:20" s="34" customFormat="1">
      <c r="A246" s="286"/>
      <c r="B246" s="211"/>
      <c r="C246" s="211"/>
      <c r="D246" s="211"/>
      <c r="E246" s="211"/>
      <c r="F246" s="211"/>
      <c r="G246" s="211"/>
      <c r="H246" s="211"/>
      <c r="I246" s="211"/>
      <c r="J246" s="211"/>
      <c r="K246" s="211"/>
      <c r="L246" s="211"/>
      <c r="M246" s="211"/>
      <c r="N246" s="211"/>
      <c r="O246" s="211"/>
      <c r="P246" s="211"/>
      <c r="Q246" s="211"/>
      <c r="R246" s="211"/>
      <c r="S246" s="211"/>
      <c r="T246" s="211"/>
    </row>
    <row r="247" spans="1:20" s="34" customFormat="1">
      <c r="A247" s="286"/>
      <c r="B247" s="211"/>
      <c r="C247" s="211"/>
      <c r="D247" s="211"/>
      <c r="E247" s="211"/>
      <c r="F247" s="211"/>
      <c r="G247" s="211"/>
      <c r="H247" s="211"/>
      <c r="I247" s="211"/>
      <c r="J247" s="211"/>
      <c r="K247" s="211"/>
      <c r="L247" s="211"/>
      <c r="M247" s="211"/>
      <c r="N247" s="211"/>
      <c r="O247" s="211"/>
      <c r="P247" s="211"/>
      <c r="Q247" s="211"/>
      <c r="R247" s="211"/>
      <c r="S247" s="211"/>
      <c r="T247" s="211"/>
    </row>
    <row r="248" spans="1:20" s="34" customFormat="1">
      <c r="A248" s="286"/>
      <c r="B248" s="211"/>
      <c r="C248" s="211"/>
      <c r="D248" s="211"/>
      <c r="E248" s="211"/>
      <c r="F248" s="211"/>
      <c r="G248" s="211"/>
      <c r="H248" s="211"/>
      <c r="I248" s="211"/>
      <c r="J248" s="211"/>
      <c r="K248" s="211"/>
      <c r="L248" s="211"/>
      <c r="M248" s="211"/>
      <c r="N248" s="211"/>
      <c r="O248" s="211"/>
      <c r="P248" s="211"/>
      <c r="Q248" s="211"/>
      <c r="R248" s="211"/>
      <c r="S248" s="211"/>
      <c r="T248" s="211"/>
    </row>
    <row r="249" spans="1:20" s="34" customFormat="1">
      <c r="A249" s="286"/>
      <c r="B249" s="211"/>
      <c r="C249" s="211"/>
      <c r="D249" s="211"/>
      <c r="E249" s="211"/>
      <c r="F249" s="211"/>
      <c r="G249" s="211"/>
      <c r="H249" s="211"/>
      <c r="I249" s="211"/>
      <c r="J249" s="211"/>
      <c r="K249" s="211"/>
      <c r="L249" s="211"/>
      <c r="M249" s="211"/>
      <c r="N249" s="211"/>
      <c r="O249" s="211"/>
      <c r="P249" s="211"/>
      <c r="Q249" s="211"/>
      <c r="R249" s="211"/>
      <c r="S249" s="211"/>
      <c r="T249" s="211"/>
    </row>
    <row r="250" spans="1:20" s="34" customFormat="1">
      <c r="A250" s="286"/>
      <c r="B250" s="211"/>
      <c r="C250" s="211"/>
      <c r="D250" s="211"/>
      <c r="E250" s="211"/>
      <c r="F250" s="211"/>
      <c r="G250" s="211"/>
      <c r="H250" s="211"/>
      <c r="I250" s="211"/>
      <c r="J250" s="211"/>
      <c r="K250" s="211"/>
      <c r="L250" s="211"/>
      <c r="M250" s="211"/>
      <c r="N250" s="211"/>
      <c r="O250" s="211"/>
      <c r="P250" s="211"/>
      <c r="Q250" s="211"/>
      <c r="R250" s="211"/>
      <c r="S250" s="211"/>
      <c r="T250" s="211"/>
    </row>
    <row r="251" spans="1:20" s="34" customFormat="1">
      <c r="A251" s="286"/>
      <c r="B251" s="211"/>
      <c r="C251" s="211"/>
      <c r="D251" s="211"/>
      <c r="E251" s="211"/>
      <c r="F251" s="211"/>
      <c r="G251" s="211"/>
      <c r="H251" s="211"/>
      <c r="I251" s="211"/>
      <c r="J251" s="211"/>
      <c r="K251" s="211"/>
      <c r="L251" s="211"/>
      <c r="M251" s="211"/>
      <c r="N251" s="211"/>
      <c r="O251" s="211"/>
      <c r="P251" s="211"/>
      <c r="Q251" s="211"/>
      <c r="R251" s="211"/>
      <c r="S251" s="211"/>
      <c r="T251" s="211"/>
    </row>
    <row r="252" spans="1:20" s="34" customFormat="1">
      <c r="A252" s="286"/>
      <c r="B252" s="211"/>
      <c r="C252" s="211"/>
      <c r="D252" s="211"/>
      <c r="E252" s="211"/>
      <c r="F252" s="211"/>
      <c r="G252" s="211"/>
      <c r="H252" s="211"/>
      <c r="I252" s="211"/>
      <c r="J252" s="211"/>
      <c r="K252" s="211"/>
      <c r="L252" s="211"/>
      <c r="M252" s="211"/>
      <c r="N252" s="211"/>
      <c r="O252" s="211"/>
      <c r="P252" s="211"/>
      <c r="Q252" s="211"/>
      <c r="R252" s="211"/>
      <c r="S252" s="211"/>
      <c r="T252" s="211"/>
    </row>
    <row r="253" spans="1:20" s="34" customFormat="1">
      <c r="A253" s="286"/>
      <c r="B253" s="211"/>
      <c r="C253" s="211"/>
      <c r="D253" s="211"/>
      <c r="E253" s="211"/>
      <c r="F253" s="211"/>
      <c r="G253" s="211"/>
      <c r="H253" s="211"/>
      <c r="I253" s="211"/>
      <c r="J253" s="211"/>
      <c r="K253" s="211"/>
      <c r="L253" s="211"/>
      <c r="M253" s="211"/>
      <c r="N253" s="211"/>
      <c r="O253" s="211"/>
      <c r="P253" s="211"/>
      <c r="Q253" s="211"/>
      <c r="R253" s="211"/>
      <c r="S253" s="211"/>
      <c r="T253" s="211"/>
    </row>
    <row r="254" spans="1:20" s="34" customFormat="1">
      <c r="A254" s="286"/>
      <c r="B254" s="211"/>
      <c r="C254" s="211"/>
      <c r="D254" s="211"/>
      <c r="E254" s="211"/>
      <c r="F254" s="211"/>
      <c r="G254" s="211"/>
      <c r="H254" s="211"/>
      <c r="I254" s="211"/>
      <c r="J254" s="211"/>
      <c r="K254" s="211"/>
      <c r="L254" s="211"/>
      <c r="M254" s="211"/>
      <c r="N254" s="211"/>
      <c r="O254" s="211"/>
      <c r="P254" s="211"/>
      <c r="Q254" s="211"/>
      <c r="R254" s="211"/>
      <c r="S254" s="211"/>
      <c r="T254" s="211"/>
    </row>
    <row r="255" spans="1:20" s="34" customFormat="1">
      <c r="A255" s="286"/>
      <c r="B255" s="211"/>
      <c r="C255" s="211"/>
      <c r="D255" s="211"/>
      <c r="E255" s="211"/>
      <c r="F255" s="211"/>
      <c r="G255" s="211"/>
      <c r="H255" s="211"/>
      <c r="I255" s="211"/>
      <c r="J255" s="211"/>
      <c r="K255" s="211"/>
      <c r="L255" s="211"/>
      <c r="M255" s="211"/>
      <c r="N255" s="211"/>
      <c r="O255" s="211"/>
      <c r="P255" s="211"/>
      <c r="Q255" s="211"/>
      <c r="R255" s="211"/>
      <c r="S255" s="211"/>
      <c r="T255" s="211"/>
    </row>
    <row r="256" spans="1:20" s="34" customFormat="1">
      <c r="A256" s="286"/>
      <c r="B256" s="211"/>
      <c r="C256" s="211"/>
      <c r="D256" s="211"/>
      <c r="E256" s="211"/>
      <c r="F256" s="211"/>
      <c r="G256" s="211"/>
      <c r="H256" s="211"/>
      <c r="I256" s="211"/>
      <c r="J256" s="211"/>
      <c r="K256" s="211"/>
      <c r="L256" s="211"/>
      <c r="M256" s="211"/>
      <c r="N256" s="211"/>
      <c r="O256" s="211"/>
      <c r="P256" s="211"/>
      <c r="Q256" s="211"/>
      <c r="R256" s="211"/>
      <c r="S256" s="211"/>
      <c r="T256" s="211"/>
    </row>
    <row r="257" spans="1:20" s="34" customFormat="1">
      <c r="A257" s="286"/>
      <c r="B257" s="211"/>
      <c r="C257" s="211"/>
      <c r="D257" s="211"/>
      <c r="E257" s="211"/>
      <c r="F257" s="211"/>
      <c r="G257" s="211"/>
      <c r="H257" s="211"/>
      <c r="I257" s="211"/>
      <c r="J257" s="211"/>
      <c r="K257" s="211"/>
      <c r="L257" s="211"/>
      <c r="M257" s="211"/>
      <c r="N257" s="211"/>
      <c r="O257" s="211"/>
      <c r="P257" s="211"/>
      <c r="Q257" s="211"/>
      <c r="R257" s="211"/>
      <c r="S257" s="211"/>
      <c r="T257" s="211"/>
    </row>
    <row r="258" spans="1:20" s="34" customFormat="1">
      <c r="A258" s="286"/>
      <c r="B258" s="211"/>
      <c r="C258" s="211"/>
      <c r="D258" s="211"/>
      <c r="E258" s="211"/>
      <c r="F258" s="211"/>
      <c r="G258" s="211"/>
      <c r="H258" s="211"/>
      <c r="I258" s="211"/>
      <c r="J258" s="211"/>
      <c r="K258" s="211"/>
      <c r="L258" s="211"/>
      <c r="M258" s="211"/>
      <c r="N258" s="211"/>
      <c r="O258" s="211"/>
      <c r="P258" s="211"/>
      <c r="Q258" s="211"/>
      <c r="R258" s="211"/>
      <c r="S258" s="211"/>
      <c r="T258" s="211"/>
    </row>
    <row r="259" spans="1:20" s="34" customFormat="1">
      <c r="A259" s="286"/>
      <c r="B259" s="211"/>
      <c r="C259" s="211"/>
      <c r="D259" s="211"/>
      <c r="E259" s="211"/>
      <c r="F259" s="211"/>
      <c r="G259" s="211"/>
      <c r="H259" s="211"/>
      <c r="I259" s="211"/>
      <c r="J259" s="211"/>
      <c r="K259" s="211"/>
      <c r="L259" s="211"/>
      <c r="M259" s="211"/>
      <c r="N259" s="211"/>
      <c r="O259" s="211"/>
      <c r="P259" s="211"/>
      <c r="Q259" s="211"/>
      <c r="R259" s="211"/>
      <c r="S259" s="211"/>
      <c r="T259" s="211"/>
    </row>
    <row r="260" spans="1:20" s="34" customFormat="1">
      <c r="A260" s="286"/>
      <c r="B260" s="211"/>
      <c r="C260" s="211"/>
      <c r="D260" s="211"/>
      <c r="E260" s="211"/>
      <c r="F260" s="211"/>
      <c r="G260" s="211"/>
      <c r="H260" s="211"/>
      <c r="I260" s="211"/>
      <c r="J260" s="211"/>
      <c r="K260" s="211"/>
      <c r="L260" s="211"/>
      <c r="M260" s="211"/>
      <c r="N260" s="211"/>
      <c r="O260" s="211"/>
      <c r="P260" s="211"/>
      <c r="Q260" s="211"/>
      <c r="R260" s="211"/>
      <c r="S260" s="211"/>
      <c r="T260" s="211"/>
    </row>
    <row r="261" spans="1:20" s="34" customFormat="1">
      <c r="A261" s="286"/>
      <c r="B261" s="211"/>
      <c r="C261" s="211"/>
      <c r="D261" s="211"/>
      <c r="E261" s="211"/>
      <c r="F261" s="211"/>
      <c r="G261" s="211"/>
      <c r="H261" s="211"/>
      <c r="I261" s="211"/>
      <c r="J261" s="211"/>
      <c r="K261" s="211"/>
      <c r="L261" s="211"/>
      <c r="M261" s="211"/>
      <c r="N261" s="211"/>
      <c r="O261" s="211"/>
      <c r="P261" s="211"/>
      <c r="Q261" s="211"/>
      <c r="R261" s="211"/>
      <c r="S261" s="211"/>
      <c r="T261" s="211"/>
    </row>
    <row r="262" spans="1:20" s="34" customFormat="1">
      <c r="A262" s="286"/>
      <c r="B262" s="211"/>
      <c r="C262" s="211"/>
      <c r="D262" s="211"/>
      <c r="E262" s="211"/>
      <c r="F262" s="211"/>
      <c r="G262" s="211"/>
      <c r="H262" s="211"/>
      <c r="I262" s="211"/>
      <c r="J262" s="211"/>
      <c r="K262" s="211"/>
      <c r="L262" s="211"/>
      <c r="M262" s="211"/>
      <c r="N262" s="211"/>
      <c r="O262" s="211"/>
      <c r="P262" s="211"/>
      <c r="Q262" s="211"/>
      <c r="R262" s="211"/>
      <c r="S262" s="211"/>
      <c r="T262" s="211"/>
    </row>
    <row r="263" spans="1:20" s="34" customFormat="1">
      <c r="A263" s="286"/>
      <c r="B263" s="211"/>
      <c r="C263" s="211"/>
      <c r="D263" s="211"/>
      <c r="E263" s="211"/>
      <c r="F263" s="211"/>
      <c r="G263" s="211"/>
      <c r="H263" s="211"/>
      <c r="I263" s="211"/>
      <c r="J263" s="211"/>
      <c r="K263" s="211"/>
      <c r="L263" s="211"/>
      <c r="M263" s="211"/>
      <c r="N263" s="211"/>
      <c r="O263" s="211"/>
      <c r="P263" s="211"/>
      <c r="Q263" s="211"/>
      <c r="R263" s="211"/>
      <c r="S263" s="211"/>
      <c r="T263" s="211"/>
    </row>
    <row r="264" spans="1:20" s="34" customFormat="1">
      <c r="A264" s="286"/>
      <c r="B264" s="211"/>
      <c r="C264" s="211"/>
      <c r="D264" s="211"/>
      <c r="E264" s="211"/>
      <c r="F264" s="211"/>
      <c r="G264" s="211"/>
      <c r="H264" s="211"/>
      <c r="I264" s="211"/>
      <c r="J264" s="211"/>
      <c r="K264" s="211"/>
      <c r="L264" s="211"/>
      <c r="M264" s="211"/>
      <c r="N264" s="211"/>
      <c r="O264" s="211"/>
      <c r="P264" s="211"/>
      <c r="Q264" s="211"/>
      <c r="R264" s="211"/>
      <c r="S264" s="211"/>
      <c r="T264" s="211"/>
    </row>
    <row r="265" spans="1:20" s="34" customFormat="1">
      <c r="A265" s="286"/>
      <c r="B265" s="211"/>
      <c r="C265" s="211"/>
      <c r="D265" s="211"/>
      <c r="E265" s="211"/>
      <c r="F265" s="211"/>
      <c r="G265" s="211"/>
      <c r="H265" s="211"/>
      <c r="I265" s="211"/>
      <c r="J265" s="211"/>
      <c r="K265" s="211"/>
      <c r="L265" s="211"/>
      <c r="M265" s="211"/>
      <c r="N265" s="211"/>
      <c r="O265" s="211"/>
      <c r="P265" s="211"/>
      <c r="Q265" s="211"/>
      <c r="R265" s="211"/>
      <c r="S265" s="211"/>
      <c r="T265" s="211"/>
    </row>
    <row r="266" spans="1:20" s="34" customFormat="1">
      <c r="A266" s="286"/>
      <c r="B266" s="211"/>
      <c r="C266" s="211"/>
      <c r="D266" s="211"/>
      <c r="E266" s="211"/>
      <c r="F266" s="211"/>
      <c r="G266" s="211"/>
      <c r="H266" s="211"/>
      <c r="I266" s="211"/>
      <c r="J266" s="211"/>
      <c r="K266" s="211"/>
      <c r="L266" s="211"/>
      <c r="M266" s="211"/>
      <c r="N266" s="211"/>
      <c r="O266" s="211"/>
      <c r="P266" s="211"/>
      <c r="Q266" s="211"/>
      <c r="R266" s="211"/>
      <c r="S266" s="211"/>
      <c r="T266" s="211"/>
    </row>
    <row r="267" spans="1:20" s="34" customFormat="1">
      <c r="A267" s="286"/>
      <c r="B267" s="211"/>
      <c r="C267" s="211"/>
      <c r="D267" s="211"/>
      <c r="E267" s="211"/>
      <c r="F267" s="211"/>
      <c r="G267" s="211"/>
      <c r="H267" s="211"/>
      <c r="I267" s="211"/>
      <c r="J267" s="211"/>
      <c r="K267" s="211"/>
      <c r="L267" s="211"/>
      <c r="M267" s="211"/>
      <c r="N267" s="211"/>
      <c r="O267" s="211"/>
      <c r="P267" s="211"/>
      <c r="Q267" s="211"/>
      <c r="R267" s="211"/>
      <c r="S267" s="211"/>
      <c r="T267" s="211"/>
    </row>
    <row r="268" spans="1:20" s="34" customFormat="1">
      <c r="A268" s="286"/>
      <c r="B268" s="211"/>
      <c r="C268" s="211"/>
      <c r="D268" s="211"/>
      <c r="E268" s="211"/>
      <c r="F268" s="211"/>
      <c r="G268" s="211"/>
      <c r="H268" s="211"/>
      <c r="I268" s="211"/>
      <c r="J268" s="211"/>
      <c r="K268" s="211"/>
      <c r="L268" s="211"/>
      <c r="M268" s="211"/>
      <c r="N268" s="211"/>
      <c r="O268" s="211"/>
      <c r="P268" s="211"/>
      <c r="Q268" s="211"/>
      <c r="R268" s="211"/>
      <c r="S268" s="211"/>
      <c r="T268" s="211"/>
    </row>
    <row r="269" spans="1:20" s="34" customFormat="1">
      <c r="A269" s="286"/>
      <c r="B269" s="211"/>
      <c r="C269" s="211"/>
      <c r="D269" s="211"/>
      <c r="E269" s="211"/>
      <c r="F269" s="211"/>
      <c r="G269" s="211"/>
      <c r="H269" s="211"/>
      <c r="I269" s="211"/>
      <c r="J269" s="211"/>
      <c r="K269" s="211"/>
      <c r="L269" s="211"/>
      <c r="M269" s="211"/>
      <c r="N269" s="211"/>
      <c r="O269" s="211"/>
      <c r="P269" s="211"/>
      <c r="Q269" s="211"/>
      <c r="R269" s="211"/>
      <c r="S269" s="211"/>
      <c r="T269" s="211"/>
    </row>
    <row r="270" spans="1:20" s="34" customFormat="1">
      <c r="A270" s="286"/>
      <c r="B270" s="211"/>
      <c r="C270" s="211"/>
      <c r="D270" s="211"/>
      <c r="E270" s="211"/>
      <c r="F270" s="211"/>
      <c r="G270" s="211"/>
      <c r="H270" s="211"/>
      <c r="I270" s="211"/>
      <c r="J270" s="211"/>
      <c r="K270" s="211"/>
      <c r="L270" s="211"/>
      <c r="M270" s="211"/>
      <c r="N270" s="211"/>
      <c r="O270" s="211"/>
      <c r="P270" s="211"/>
      <c r="Q270" s="211"/>
      <c r="R270" s="211"/>
      <c r="S270" s="211"/>
      <c r="T270" s="211"/>
    </row>
    <row r="271" spans="1:20" s="34" customFormat="1">
      <c r="A271" s="286"/>
      <c r="B271" s="211"/>
      <c r="C271" s="211"/>
      <c r="D271" s="211"/>
      <c r="E271" s="211"/>
      <c r="F271" s="211"/>
      <c r="G271" s="211"/>
      <c r="H271" s="211"/>
      <c r="I271" s="211"/>
      <c r="J271" s="211"/>
      <c r="K271" s="211"/>
      <c r="L271" s="211"/>
      <c r="M271" s="211"/>
      <c r="N271" s="211"/>
      <c r="O271" s="211"/>
      <c r="P271" s="211"/>
      <c r="Q271" s="211"/>
      <c r="R271" s="211"/>
      <c r="S271" s="211"/>
      <c r="T271" s="211"/>
    </row>
    <row r="272" spans="1:20" s="34" customFormat="1">
      <c r="A272" s="286"/>
      <c r="B272" s="211"/>
      <c r="C272" s="211"/>
      <c r="D272" s="211"/>
      <c r="E272" s="211"/>
      <c r="F272" s="211"/>
      <c r="G272" s="211"/>
      <c r="H272" s="211"/>
      <c r="I272" s="211"/>
      <c r="J272" s="211"/>
      <c r="K272" s="211"/>
      <c r="L272" s="211"/>
      <c r="M272" s="211"/>
      <c r="N272" s="211"/>
      <c r="O272" s="211"/>
      <c r="P272" s="211"/>
      <c r="Q272" s="211"/>
      <c r="R272" s="211"/>
      <c r="S272" s="211"/>
      <c r="T272" s="211"/>
    </row>
    <row r="273" spans="1:20" s="34" customFormat="1">
      <c r="A273" s="286"/>
      <c r="B273" s="211"/>
      <c r="C273" s="211"/>
      <c r="D273" s="211"/>
      <c r="E273" s="211"/>
      <c r="F273" s="211"/>
      <c r="G273" s="211"/>
      <c r="H273" s="211"/>
      <c r="I273" s="211"/>
      <c r="J273" s="211"/>
      <c r="K273" s="211"/>
      <c r="L273" s="211"/>
      <c r="M273" s="211"/>
      <c r="N273" s="211"/>
      <c r="O273" s="211"/>
      <c r="P273" s="211"/>
      <c r="Q273" s="211"/>
      <c r="R273" s="211"/>
      <c r="S273" s="211"/>
      <c r="T273" s="211"/>
    </row>
    <row r="274" spans="1:20" s="34" customFormat="1">
      <c r="A274" s="286"/>
      <c r="B274" s="211"/>
      <c r="C274" s="211"/>
      <c r="D274" s="211"/>
      <c r="E274" s="211"/>
      <c r="F274" s="211"/>
      <c r="G274" s="211"/>
      <c r="H274" s="211"/>
      <c r="I274" s="211"/>
      <c r="J274" s="211"/>
      <c r="K274" s="211"/>
      <c r="L274" s="211"/>
      <c r="M274" s="211"/>
      <c r="N274" s="211"/>
      <c r="O274" s="211"/>
      <c r="P274" s="211"/>
      <c r="Q274" s="211"/>
      <c r="R274" s="211"/>
      <c r="S274" s="211"/>
      <c r="T274" s="211"/>
    </row>
    <row r="275" spans="1:20" s="34" customFormat="1">
      <c r="A275" s="286"/>
      <c r="B275" s="211"/>
      <c r="C275" s="211"/>
      <c r="D275" s="211"/>
      <c r="E275" s="211"/>
      <c r="F275" s="211"/>
      <c r="G275" s="211"/>
      <c r="H275" s="211"/>
      <c r="I275" s="211"/>
      <c r="J275" s="211"/>
      <c r="K275" s="211"/>
      <c r="L275" s="211"/>
      <c r="M275" s="211"/>
      <c r="N275" s="211"/>
      <c r="O275" s="211"/>
      <c r="P275" s="211"/>
      <c r="Q275" s="211"/>
      <c r="R275" s="211"/>
      <c r="S275" s="211"/>
      <c r="T275" s="211"/>
    </row>
    <row r="276" spans="1:20" s="34" customFormat="1">
      <c r="A276" s="286"/>
      <c r="B276" s="211"/>
      <c r="C276" s="211"/>
      <c r="D276" s="211"/>
      <c r="E276" s="211"/>
      <c r="F276" s="211"/>
      <c r="G276" s="211"/>
      <c r="H276" s="211"/>
      <c r="I276" s="211"/>
      <c r="J276" s="211"/>
      <c r="K276" s="211"/>
      <c r="L276" s="211"/>
      <c r="M276" s="211"/>
      <c r="N276" s="211"/>
      <c r="O276" s="211"/>
      <c r="P276" s="211"/>
      <c r="Q276" s="211"/>
      <c r="R276" s="211"/>
      <c r="S276" s="211"/>
      <c r="T276" s="211"/>
    </row>
    <row r="277" spans="1:20" s="34" customFormat="1">
      <c r="A277" s="286"/>
      <c r="B277" s="211"/>
      <c r="C277" s="211"/>
      <c r="D277" s="211"/>
      <c r="E277" s="211"/>
      <c r="F277" s="211"/>
      <c r="G277" s="211"/>
      <c r="H277" s="211"/>
      <c r="I277" s="211"/>
      <c r="J277" s="211"/>
      <c r="K277" s="211"/>
      <c r="L277" s="211"/>
      <c r="M277" s="211"/>
      <c r="N277" s="211"/>
      <c r="O277" s="211"/>
      <c r="P277" s="211"/>
      <c r="Q277" s="211"/>
      <c r="R277" s="211"/>
      <c r="S277" s="211"/>
      <c r="T277" s="211"/>
    </row>
    <row r="278" spans="1:20" s="34" customFormat="1">
      <c r="A278" s="286"/>
      <c r="B278" s="211"/>
      <c r="C278" s="211"/>
      <c r="D278" s="211"/>
      <c r="E278" s="211"/>
      <c r="F278" s="211"/>
      <c r="G278" s="211"/>
      <c r="H278" s="211"/>
      <c r="I278" s="211"/>
      <c r="J278" s="211"/>
      <c r="K278" s="211"/>
      <c r="L278" s="211"/>
      <c r="M278" s="211"/>
      <c r="N278" s="211"/>
      <c r="O278" s="211"/>
      <c r="P278" s="211"/>
      <c r="Q278" s="211"/>
      <c r="R278" s="211"/>
      <c r="S278" s="211"/>
      <c r="T278" s="211"/>
    </row>
    <row r="279" spans="1:20" s="34" customFormat="1">
      <c r="A279" s="286"/>
      <c r="B279" s="211"/>
      <c r="C279" s="211"/>
      <c r="D279" s="211"/>
      <c r="E279" s="211"/>
      <c r="F279" s="211"/>
      <c r="G279" s="211"/>
      <c r="H279" s="211"/>
      <c r="I279" s="211"/>
      <c r="J279" s="211"/>
      <c r="K279" s="211"/>
      <c r="L279" s="211"/>
      <c r="M279" s="211"/>
      <c r="N279" s="211"/>
      <c r="O279" s="211"/>
      <c r="P279" s="211"/>
      <c r="Q279" s="211"/>
      <c r="R279" s="211"/>
      <c r="S279" s="211"/>
      <c r="T279" s="211"/>
    </row>
    <row r="280" spans="1:20" s="34" customFormat="1">
      <c r="A280" s="286"/>
      <c r="B280" s="211"/>
      <c r="C280" s="211"/>
      <c r="D280" s="211"/>
      <c r="E280" s="211"/>
      <c r="F280" s="211"/>
      <c r="G280" s="211"/>
      <c r="H280" s="211"/>
      <c r="I280" s="211"/>
      <c r="J280" s="211"/>
      <c r="K280" s="211"/>
      <c r="L280" s="211"/>
      <c r="M280" s="211"/>
      <c r="N280" s="211"/>
      <c r="O280" s="211"/>
      <c r="P280" s="211"/>
      <c r="Q280" s="211"/>
      <c r="R280" s="211"/>
      <c r="S280" s="211"/>
      <c r="T280" s="211"/>
    </row>
    <row r="281" spans="1:20" s="34" customFormat="1">
      <c r="A281" s="286"/>
      <c r="B281" s="211"/>
      <c r="C281" s="211"/>
      <c r="D281" s="211"/>
      <c r="E281" s="211"/>
      <c r="F281" s="211"/>
      <c r="G281" s="211"/>
      <c r="H281" s="211"/>
      <c r="I281" s="211"/>
      <c r="J281" s="211"/>
      <c r="K281" s="211"/>
      <c r="L281" s="211"/>
      <c r="M281" s="211"/>
      <c r="N281" s="211"/>
      <c r="O281" s="211"/>
      <c r="P281" s="211"/>
      <c r="Q281" s="211"/>
      <c r="R281" s="211"/>
      <c r="S281" s="211"/>
      <c r="T281" s="211"/>
    </row>
    <row r="282" spans="1:20" s="34" customFormat="1">
      <c r="A282" s="286"/>
      <c r="B282" s="211"/>
      <c r="C282" s="211"/>
      <c r="D282" s="211"/>
      <c r="E282" s="211"/>
      <c r="F282" s="211"/>
      <c r="G282" s="211"/>
      <c r="H282" s="211"/>
      <c r="I282" s="211"/>
      <c r="J282" s="211"/>
      <c r="K282" s="211"/>
      <c r="L282" s="211"/>
      <c r="M282" s="211"/>
      <c r="N282" s="211"/>
      <c r="O282" s="211"/>
      <c r="P282" s="211"/>
      <c r="Q282" s="211"/>
      <c r="R282" s="211"/>
      <c r="S282" s="211"/>
      <c r="T282" s="211"/>
    </row>
    <row r="283" spans="1:20" s="34" customFormat="1">
      <c r="A283" s="286"/>
      <c r="B283" s="211"/>
      <c r="C283" s="211"/>
      <c r="D283" s="211"/>
      <c r="E283" s="211"/>
      <c r="F283" s="211"/>
      <c r="G283" s="211"/>
      <c r="H283" s="211"/>
      <c r="I283" s="211"/>
      <c r="J283" s="211"/>
      <c r="K283" s="211"/>
      <c r="L283" s="211"/>
      <c r="M283" s="211"/>
      <c r="N283" s="211"/>
      <c r="O283" s="211"/>
      <c r="P283" s="211"/>
      <c r="Q283" s="211"/>
      <c r="R283" s="211"/>
      <c r="S283" s="211"/>
      <c r="T283" s="211"/>
    </row>
    <row r="284" spans="1:20" s="34" customFormat="1">
      <c r="A284" s="286"/>
      <c r="B284" s="211"/>
      <c r="C284" s="211"/>
      <c r="D284" s="211"/>
      <c r="E284" s="211"/>
      <c r="F284" s="211"/>
      <c r="G284" s="211"/>
      <c r="H284" s="211"/>
      <c r="I284" s="211"/>
      <c r="J284" s="211"/>
      <c r="K284" s="211"/>
      <c r="L284" s="211"/>
      <c r="M284" s="211"/>
      <c r="N284" s="211"/>
      <c r="O284" s="211"/>
      <c r="P284" s="211"/>
      <c r="Q284" s="211"/>
      <c r="R284" s="211"/>
      <c r="S284" s="211"/>
      <c r="T284" s="211"/>
    </row>
    <row r="285" spans="1:20" s="34" customFormat="1">
      <c r="A285" s="286"/>
      <c r="B285" s="211"/>
      <c r="C285" s="211"/>
      <c r="D285" s="211"/>
      <c r="E285" s="211"/>
      <c r="F285" s="211"/>
      <c r="G285" s="211"/>
      <c r="H285" s="211"/>
      <c r="I285" s="211"/>
      <c r="J285" s="211"/>
      <c r="K285" s="211"/>
      <c r="L285" s="211"/>
      <c r="M285" s="211"/>
      <c r="N285" s="211"/>
      <c r="O285" s="211"/>
      <c r="P285" s="211"/>
      <c r="Q285" s="211"/>
      <c r="R285" s="211"/>
      <c r="S285" s="211"/>
      <c r="T285" s="211"/>
    </row>
    <row r="286" spans="1:20" s="34" customFormat="1">
      <c r="A286" s="286"/>
      <c r="B286" s="211"/>
      <c r="C286" s="211"/>
      <c r="D286" s="211"/>
      <c r="E286" s="211"/>
      <c r="F286" s="211"/>
      <c r="G286" s="211"/>
      <c r="H286" s="211"/>
      <c r="I286" s="211"/>
      <c r="J286" s="211"/>
      <c r="K286" s="211"/>
      <c r="L286" s="211"/>
      <c r="M286" s="211"/>
      <c r="N286" s="211"/>
      <c r="O286" s="211"/>
      <c r="P286" s="211"/>
      <c r="Q286" s="211"/>
      <c r="R286" s="211"/>
      <c r="S286" s="211"/>
      <c r="T286" s="211"/>
    </row>
    <row r="287" spans="1:20" s="34" customFormat="1">
      <c r="A287" s="286"/>
      <c r="B287" s="211"/>
      <c r="C287" s="211"/>
      <c r="D287" s="211"/>
      <c r="E287" s="211"/>
      <c r="F287" s="211"/>
      <c r="G287" s="211"/>
      <c r="H287" s="211"/>
      <c r="I287" s="211"/>
      <c r="J287" s="211"/>
      <c r="K287" s="211"/>
      <c r="L287" s="211"/>
      <c r="M287" s="211"/>
      <c r="N287" s="211"/>
      <c r="O287" s="211"/>
      <c r="P287" s="211"/>
      <c r="Q287" s="211"/>
      <c r="R287" s="211"/>
      <c r="S287" s="211"/>
      <c r="T287" s="211"/>
    </row>
    <row r="288" spans="1:20" s="34" customFormat="1">
      <c r="A288" s="286"/>
      <c r="B288" s="211"/>
      <c r="C288" s="211"/>
      <c r="D288" s="211"/>
      <c r="E288" s="211"/>
      <c r="F288" s="211"/>
      <c r="G288" s="211"/>
      <c r="H288" s="211"/>
      <c r="I288" s="211"/>
      <c r="J288" s="211"/>
      <c r="K288" s="211"/>
      <c r="L288" s="211"/>
      <c r="M288" s="211"/>
      <c r="N288" s="211"/>
      <c r="O288" s="211"/>
      <c r="P288" s="211"/>
      <c r="Q288" s="211"/>
      <c r="R288" s="211"/>
      <c r="S288" s="211"/>
      <c r="T288" s="211"/>
    </row>
    <row r="289" spans="1:20" s="34" customFormat="1">
      <c r="A289" s="286"/>
      <c r="B289" s="211"/>
      <c r="C289" s="211"/>
      <c r="D289" s="211"/>
      <c r="E289" s="211"/>
      <c r="F289" s="211"/>
      <c r="G289" s="211"/>
      <c r="H289" s="211"/>
      <c r="I289" s="211"/>
      <c r="J289" s="211"/>
      <c r="K289" s="211"/>
      <c r="L289" s="211"/>
      <c r="M289" s="211"/>
      <c r="N289" s="211"/>
      <c r="O289" s="211"/>
      <c r="P289" s="211"/>
      <c r="Q289" s="211"/>
      <c r="R289" s="211"/>
      <c r="S289" s="211"/>
      <c r="T289" s="211"/>
    </row>
    <row r="290" spans="1:20" s="34" customFormat="1">
      <c r="A290" s="286"/>
      <c r="B290" s="211"/>
      <c r="C290" s="211"/>
      <c r="D290" s="211"/>
      <c r="E290" s="211"/>
      <c r="F290" s="211"/>
      <c r="G290" s="211"/>
      <c r="H290" s="211"/>
      <c r="I290" s="211"/>
      <c r="J290" s="211"/>
      <c r="K290" s="211"/>
      <c r="L290" s="211"/>
      <c r="M290" s="211"/>
      <c r="N290" s="211"/>
      <c r="O290" s="211"/>
      <c r="P290" s="211"/>
      <c r="Q290" s="211"/>
      <c r="R290" s="211"/>
      <c r="S290" s="211"/>
      <c r="T290" s="211"/>
    </row>
    <row r="291" spans="1:20" s="34" customFormat="1">
      <c r="A291" s="286"/>
      <c r="B291" s="211"/>
      <c r="C291" s="211"/>
      <c r="D291" s="211"/>
      <c r="E291" s="211"/>
      <c r="F291" s="211"/>
      <c r="G291" s="211"/>
      <c r="H291" s="211"/>
      <c r="I291" s="211"/>
      <c r="J291" s="211"/>
      <c r="K291" s="211"/>
      <c r="L291" s="211"/>
      <c r="M291" s="211"/>
      <c r="N291" s="211"/>
      <c r="O291" s="211"/>
      <c r="P291" s="211"/>
      <c r="Q291" s="211"/>
      <c r="R291" s="211"/>
      <c r="S291" s="211"/>
      <c r="T291" s="211"/>
    </row>
    <row r="292" spans="1:20" s="34" customFormat="1">
      <c r="A292" s="286"/>
      <c r="B292" s="211"/>
      <c r="C292" s="211"/>
      <c r="D292" s="211"/>
      <c r="E292" s="211"/>
      <c r="F292" s="211"/>
      <c r="G292" s="211"/>
      <c r="H292" s="211"/>
      <c r="I292" s="211"/>
      <c r="J292" s="211"/>
      <c r="K292" s="211"/>
      <c r="L292" s="211"/>
      <c r="M292" s="211"/>
      <c r="N292" s="211"/>
      <c r="O292" s="211"/>
      <c r="P292" s="211"/>
      <c r="Q292" s="211"/>
      <c r="R292" s="211"/>
      <c r="S292" s="211"/>
      <c r="T292" s="211"/>
    </row>
    <row r="293" spans="1:20" s="34" customFormat="1">
      <c r="A293" s="211"/>
      <c r="B293" s="211"/>
      <c r="C293" s="211"/>
      <c r="D293" s="211"/>
      <c r="E293" s="211"/>
      <c r="F293" s="211"/>
      <c r="G293" s="211"/>
      <c r="H293" s="211"/>
      <c r="I293" s="211"/>
      <c r="J293" s="211"/>
      <c r="K293" s="211"/>
      <c r="L293" s="211"/>
      <c r="M293" s="211"/>
      <c r="N293" s="211"/>
      <c r="O293" s="211"/>
      <c r="P293" s="211"/>
      <c r="Q293" s="211"/>
      <c r="R293" s="211"/>
      <c r="S293" s="211"/>
      <c r="T293" s="211"/>
    </row>
    <row r="294" spans="1:20" s="34" customFormat="1">
      <c r="A294" s="211"/>
      <c r="B294" s="211"/>
      <c r="C294" s="211"/>
      <c r="D294" s="211"/>
      <c r="E294" s="211"/>
      <c r="F294" s="211"/>
      <c r="G294" s="211"/>
      <c r="H294" s="211"/>
      <c r="I294" s="211"/>
      <c r="J294" s="211"/>
      <c r="K294" s="211"/>
      <c r="L294" s="211"/>
      <c r="M294" s="211"/>
      <c r="N294" s="211"/>
      <c r="O294" s="211"/>
      <c r="P294" s="211"/>
      <c r="Q294" s="211"/>
      <c r="R294" s="211"/>
      <c r="S294" s="211"/>
      <c r="T294" s="211"/>
    </row>
    <row r="295" spans="1:20" s="34" customFormat="1">
      <c r="A295" s="211"/>
      <c r="B295" s="211"/>
      <c r="C295" s="211"/>
      <c r="D295" s="211"/>
      <c r="E295" s="211"/>
      <c r="F295" s="211"/>
      <c r="G295" s="211"/>
      <c r="H295" s="211"/>
      <c r="I295" s="211"/>
      <c r="J295" s="211"/>
      <c r="K295" s="211"/>
      <c r="L295" s="211"/>
      <c r="M295" s="211"/>
      <c r="N295" s="211"/>
      <c r="O295" s="211"/>
      <c r="P295" s="211"/>
      <c r="Q295" s="211"/>
      <c r="R295" s="211"/>
      <c r="S295" s="211"/>
      <c r="T295" s="211"/>
    </row>
    <row r="296" spans="1:20" s="34" customFormat="1">
      <c r="A296" s="211"/>
      <c r="B296" s="211"/>
      <c r="C296" s="211"/>
      <c r="D296" s="211"/>
      <c r="E296" s="211"/>
      <c r="F296" s="211"/>
      <c r="G296" s="211"/>
      <c r="H296" s="211"/>
      <c r="I296" s="211"/>
      <c r="J296" s="211"/>
      <c r="K296" s="211"/>
      <c r="L296" s="211"/>
      <c r="M296" s="211"/>
      <c r="N296" s="211"/>
      <c r="O296" s="211"/>
      <c r="P296" s="211"/>
      <c r="Q296" s="211"/>
      <c r="R296" s="211"/>
      <c r="S296" s="211"/>
      <c r="T296" s="211"/>
    </row>
    <row r="297" spans="1:20" s="34" customFormat="1">
      <c r="A297" s="211"/>
      <c r="B297" s="211"/>
      <c r="C297" s="211"/>
      <c r="D297" s="211"/>
      <c r="E297" s="211"/>
      <c r="F297" s="211"/>
      <c r="G297" s="211"/>
      <c r="H297" s="211"/>
      <c r="I297" s="211"/>
      <c r="J297" s="211"/>
      <c r="K297" s="211"/>
      <c r="L297" s="211"/>
      <c r="M297" s="211"/>
      <c r="N297" s="211"/>
      <c r="O297" s="211"/>
      <c r="P297" s="211"/>
      <c r="Q297" s="211"/>
      <c r="R297" s="211"/>
      <c r="S297" s="211"/>
      <c r="T297" s="211"/>
    </row>
    <row r="298" spans="1:20" s="34" customFormat="1">
      <c r="A298" s="211"/>
      <c r="B298" s="211"/>
      <c r="C298" s="211"/>
      <c r="D298" s="211"/>
      <c r="E298" s="211"/>
      <c r="F298" s="211"/>
      <c r="G298" s="211"/>
      <c r="H298" s="211"/>
      <c r="I298" s="211"/>
      <c r="J298" s="211"/>
      <c r="K298" s="211"/>
      <c r="L298" s="211"/>
      <c r="M298" s="211"/>
      <c r="N298" s="211"/>
      <c r="O298" s="211"/>
      <c r="P298" s="211"/>
      <c r="Q298" s="211"/>
      <c r="R298" s="211"/>
      <c r="S298" s="211"/>
      <c r="T298" s="211"/>
    </row>
    <row r="299" spans="1:20" s="34" customFormat="1">
      <c r="A299" s="211"/>
      <c r="B299" s="211"/>
      <c r="C299" s="211"/>
      <c r="D299" s="211"/>
      <c r="E299" s="211"/>
      <c r="F299" s="211"/>
      <c r="G299" s="211"/>
      <c r="H299" s="211"/>
      <c r="I299" s="211"/>
      <c r="J299" s="211"/>
      <c r="K299" s="211"/>
      <c r="L299" s="211"/>
      <c r="M299" s="211"/>
      <c r="N299" s="211"/>
      <c r="O299" s="211"/>
      <c r="P299" s="211"/>
      <c r="Q299" s="211"/>
      <c r="R299" s="211"/>
      <c r="S299" s="211"/>
      <c r="T299" s="211"/>
    </row>
    <row r="300" spans="1:20" s="34" customFormat="1">
      <c r="A300" s="211"/>
      <c r="B300" s="211"/>
      <c r="C300" s="211"/>
      <c r="D300" s="211"/>
      <c r="E300" s="211"/>
      <c r="F300" s="211"/>
      <c r="G300" s="211"/>
      <c r="H300" s="211"/>
      <c r="I300" s="211"/>
      <c r="J300" s="211"/>
      <c r="K300" s="211"/>
      <c r="L300" s="211"/>
      <c r="M300" s="211"/>
      <c r="N300" s="211"/>
      <c r="O300" s="211"/>
      <c r="P300" s="211"/>
      <c r="Q300" s="211"/>
      <c r="R300" s="211"/>
      <c r="S300" s="211"/>
      <c r="T300" s="211"/>
    </row>
    <row r="301" spans="1:20" s="34" customFormat="1">
      <c r="A301" s="211"/>
      <c r="B301" s="211"/>
      <c r="C301" s="211"/>
      <c r="D301" s="211"/>
      <c r="E301" s="211"/>
      <c r="F301" s="211"/>
      <c r="G301" s="211"/>
      <c r="H301" s="211"/>
      <c r="I301" s="211"/>
      <c r="J301" s="211"/>
      <c r="K301" s="211"/>
      <c r="L301" s="211"/>
      <c r="M301" s="211"/>
      <c r="N301" s="211"/>
      <c r="O301" s="211"/>
      <c r="P301" s="211"/>
      <c r="Q301" s="211"/>
      <c r="R301" s="211"/>
      <c r="S301" s="211"/>
      <c r="T301" s="211"/>
    </row>
    <row r="302" spans="1:20" s="34" customFormat="1">
      <c r="A302" s="211"/>
      <c r="B302" s="211"/>
      <c r="C302" s="211"/>
      <c r="D302" s="211"/>
      <c r="E302" s="211"/>
      <c r="F302" s="211"/>
      <c r="G302" s="211"/>
      <c r="H302" s="211"/>
      <c r="I302" s="211"/>
      <c r="J302" s="211"/>
      <c r="K302" s="211"/>
      <c r="L302" s="211"/>
      <c r="M302" s="211"/>
      <c r="N302" s="211"/>
      <c r="O302" s="211"/>
      <c r="P302" s="211"/>
      <c r="Q302" s="211"/>
      <c r="R302" s="211"/>
      <c r="S302" s="211"/>
      <c r="T302" s="211"/>
    </row>
    <row r="303" spans="1:20" s="34" customFormat="1">
      <c r="A303" s="211"/>
      <c r="B303" s="211"/>
      <c r="C303" s="211"/>
      <c r="D303" s="211"/>
      <c r="E303" s="211"/>
      <c r="F303" s="211"/>
      <c r="G303" s="211"/>
      <c r="H303" s="211"/>
      <c r="I303" s="211"/>
      <c r="J303" s="211"/>
      <c r="K303" s="211"/>
      <c r="L303" s="211"/>
      <c r="M303" s="211"/>
      <c r="N303" s="211"/>
      <c r="O303" s="211"/>
      <c r="P303" s="211"/>
      <c r="Q303" s="211"/>
      <c r="R303" s="211"/>
      <c r="S303" s="211"/>
      <c r="T303" s="211"/>
    </row>
    <row r="304" spans="1:20" s="34" customFormat="1">
      <c r="A304" s="211"/>
      <c r="B304" s="211"/>
      <c r="C304" s="211"/>
      <c r="D304" s="211"/>
      <c r="E304" s="211"/>
      <c r="F304" s="211"/>
      <c r="G304" s="211"/>
      <c r="H304" s="211"/>
      <c r="I304" s="211"/>
      <c r="J304" s="211"/>
      <c r="K304" s="211"/>
      <c r="L304" s="211"/>
      <c r="M304" s="211"/>
      <c r="N304" s="211"/>
      <c r="O304" s="211"/>
      <c r="P304" s="211"/>
      <c r="Q304" s="211"/>
      <c r="R304" s="211"/>
      <c r="S304" s="211"/>
      <c r="T304" s="211"/>
    </row>
    <row r="305" spans="1:20" s="34" customFormat="1">
      <c r="A305" s="211"/>
      <c r="B305" s="211"/>
      <c r="C305" s="211"/>
      <c r="D305" s="211"/>
      <c r="E305" s="211"/>
      <c r="F305" s="211"/>
      <c r="G305" s="211"/>
      <c r="H305" s="211"/>
      <c r="I305" s="211"/>
      <c r="J305" s="211"/>
      <c r="K305" s="211"/>
      <c r="L305" s="211"/>
      <c r="M305" s="211"/>
      <c r="N305" s="211"/>
      <c r="O305" s="211"/>
      <c r="P305" s="211"/>
      <c r="Q305" s="211"/>
      <c r="R305" s="211"/>
      <c r="S305" s="211"/>
      <c r="T305" s="211"/>
    </row>
    <row r="306" spans="1:20" s="34" customFormat="1">
      <c r="A306" s="211"/>
      <c r="B306" s="211"/>
      <c r="C306" s="211"/>
      <c r="D306" s="211"/>
      <c r="E306" s="211"/>
      <c r="F306" s="211"/>
      <c r="G306" s="211"/>
      <c r="H306" s="211"/>
      <c r="I306" s="211"/>
      <c r="J306" s="211"/>
      <c r="K306" s="211"/>
      <c r="L306" s="211"/>
      <c r="M306" s="211"/>
      <c r="N306" s="211"/>
      <c r="O306" s="211"/>
      <c r="P306" s="211"/>
      <c r="Q306" s="211"/>
      <c r="R306" s="211"/>
      <c r="S306" s="211"/>
      <c r="T306" s="211"/>
    </row>
    <row r="307" spans="1:20" s="34" customFormat="1">
      <c r="A307" s="211"/>
      <c r="B307" s="211"/>
      <c r="C307" s="211"/>
      <c r="D307" s="211"/>
      <c r="E307" s="211"/>
      <c r="F307" s="211"/>
      <c r="G307" s="211"/>
      <c r="H307" s="211"/>
      <c r="I307" s="211"/>
      <c r="J307" s="211"/>
      <c r="K307" s="211"/>
      <c r="L307" s="211"/>
      <c r="M307" s="211"/>
      <c r="N307" s="211"/>
      <c r="O307" s="211"/>
      <c r="P307" s="211"/>
      <c r="Q307" s="211"/>
      <c r="R307" s="211"/>
      <c r="S307" s="211"/>
      <c r="T307" s="211"/>
    </row>
    <row r="308" spans="1:20" s="34" customFormat="1">
      <c r="A308" s="211"/>
      <c r="B308" s="211"/>
      <c r="C308" s="211"/>
      <c r="D308" s="211"/>
      <c r="E308" s="211"/>
      <c r="F308" s="211"/>
      <c r="G308" s="211"/>
      <c r="H308" s="211"/>
      <c r="I308" s="211"/>
      <c r="J308" s="211"/>
      <c r="K308" s="211"/>
      <c r="L308" s="211"/>
      <c r="M308" s="211"/>
      <c r="N308" s="211"/>
      <c r="O308" s="211"/>
      <c r="P308" s="211"/>
      <c r="Q308" s="211"/>
      <c r="R308" s="211"/>
      <c r="S308" s="211"/>
      <c r="T308" s="211"/>
    </row>
    <row r="309" spans="1:20" s="34" customFormat="1">
      <c r="A309" s="211"/>
      <c r="B309" s="211"/>
      <c r="C309" s="211"/>
      <c r="D309" s="211"/>
      <c r="E309" s="211"/>
      <c r="F309" s="211"/>
      <c r="G309" s="211"/>
      <c r="H309" s="211"/>
      <c r="I309" s="211"/>
      <c r="J309" s="211"/>
      <c r="K309" s="211"/>
      <c r="L309" s="211"/>
      <c r="M309" s="211"/>
      <c r="N309" s="211"/>
      <c r="O309" s="211"/>
      <c r="P309" s="211"/>
      <c r="Q309" s="211"/>
      <c r="R309" s="211"/>
      <c r="S309" s="211"/>
      <c r="T309" s="211"/>
    </row>
    <row r="310" spans="1:20" s="34" customFormat="1">
      <c r="A310" s="211"/>
      <c r="B310" s="211"/>
      <c r="C310" s="211"/>
      <c r="D310" s="211"/>
      <c r="E310" s="211"/>
      <c r="F310" s="211"/>
      <c r="G310" s="211"/>
      <c r="H310" s="211"/>
      <c r="I310" s="211"/>
      <c r="J310" s="211"/>
      <c r="K310" s="211"/>
      <c r="L310" s="211"/>
      <c r="M310" s="211"/>
      <c r="N310" s="211"/>
      <c r="O310" s="211"/>
      <c r="P310" s="211"/>
      <c r="Q310" s="211"/>
      <c r="R310" s="211"/>
      <c r="S310" s="211"/>
      <c r="T310" s="211"/>
    </row>
    <row r="311" spans="1:20" s="34" customFormat="1">
      <c r="A311" s="211"/>
      <c r="B311" s="211"/>
      <c r="C311" s="211"/>
      <c r="D311" s="211"/>
      <c r="E311" s="211"/>
      <c r="F311" s="211"/>
      <c r="G311" s="211"/>
      <c r="H311" s="211"/>
      <c r="I311" s="211"/>
      <c r="J311" s="211"/>
      <c r="K311" s="211"/>
      <c r="L311" s="211"/>
      <c r="M311" s="211"/>
      <c r="N311" s="211"/>
      <c r="O311" s="211"/>
      <c r="P311" s="211"/>
      <c r="Q311" s="211"/>
      <c r="R311" s="211"/>
      <c r="S311" s="211"/>
      <c r="T311" s="211"/>
    </row>
    <row r="312" spans="1:20" s="34" customFormat="1">
      <c r="A312" s="211"/>
      <c r="B312" s="211"/>
      <c r="C312" s="211"/>
      <c r="D312" s="211"/>
      <c r="E312" s="211"/>
      <c r="F312" s="211"/>
      <c r="G312" s="211"/>
      <c r="H312" s="211"/>
      <c r="I312" s="211"/>
      <c r="J312" s="211"/>
      <c r="K312" s="211"/>
      <c r="L312" s="211"/>
      <c r="M312" s="211"/>
      <c r="N312" s="211"/>
      <c r="O312" s="211"/>
      <c r="P312" s="211"/>
      <c r="Q312" s="211"/>
      <c r="R312" s="211"/>
      <c r="S312" s="211"/>
      <c r="T312" s="211"/>
    </row>
    <row r="313" spans="1:20" s="34" customFormat="1">
      <c r="A313" s="211"/>
      <c r="B313" s="211"/>
      <c r="C313" s="211"/>
      <c r="D313" s="211"/>
      <c r="E313" s="211"/>
      <c r="F313" s="211"/>
      <c r="G313" s="211"/>
      <c r="H313" s="211"/>
      <c r="I313" s="211"/>
      <c r="J313" s="211"/>
      <c r="K313" s="211"/>
      <c r="L313" s="211"/>
      <c r="M313" s="211"/>
      <c r="N313" s="211"/>
      <c r="O313" s="211"/>
      <c r="P313" s="211"/>
      <c r="Q313" s="211"/>
      <c r="R313" s="211"/>
      <c r="S313" s="211"/>
      <c r="T313" s="211"/>
    </row>
    <row r="314" spans="1:20" s="34" customFormat="1">
      <c r="A314" s="211"/>
      <c r="B314" s="211"/>
      <c r="C314" s="211"/>
      <c r="D314" s="211"/>
      <c r="E314" s="211"/>
      <c r="F314" s="211"/>
      <c r="G314" s="211"/>
      <c r="H314" s="211"/>
      <c r="I314" s="211"/>
      <c r="J314" s="211"/>
      <c r="K314" s="211"/>
      <c r="L314" s="211"/>
      <c r="M314" s="211"/>
      <c r="N314" s="211"/>
      <c r="O314" s="211"/>
      <c r="P314" s="211"/>
      <c r="Q314" s="211"/>
      <c r="R314" s="211"/>
      <c r="S314" s="211"/>
      <c r="T314" s="211"/>
    </row>
    <row r="315" spans="1:20" s="34" customFormat="1">
      <c r="A315" s="211"/>
      <c r="B315" s="211"/>
      <c r="C315" s="211"/>
      <c r="D315" s="211"/>
      <c r="E315" s="211"/>
      <c r="F315" s="211"/>
      <c r="G315" s="211"/>
      <c r="H315" s="211"/>
      <c r="I315" s="211"/>
      <c r="J315" s="211"/>
      <c r="K315" s="211"/>
      <c r="L315" s="211"/>
      <c r="M315" s="211"/>
      <c r="N315" s="211"/>
      <c r="O315" s="211"/>
      <c r="P315" s="211"/>
      <c r="Q315" s="211"/>
      <c r="R315" s="211"/>
      <c r="S315" s="211"/>
      <c r="T315" s="211"/>
    </row>
    <row r="316" spans="1:20" s="34" customFormat="1">
      <c r="A316" s="211"/>
      <c r="B316" s="211"/>
      <c r="C316" s="211"/>
      <c r="D316" s="211"/>
      <c r="E316" s="211"/>
      <c r="F316" s="211"/>
      <c r="G316" s="211"/>
      <c r="H316" s="211"/>
      <c r="I316" s="211"/>
      <c r="J316" s="211"/>
      <c r="K316" s="211"/>
      <c r="L316" s="211"/>
      <c r="M316" s="211"/>
      <c r="N316" s="211"/>
      <c r="O316" s="211"/>
      <c r="P316" s="211"/>
      <c r="Q316" s="211"/>
      <c r="R316" s="211"/>
      <c r="S316" s="211"/>
      <c r="T316" s="211"/>
    </row>
    <row r="317" spans="1:20" s="34" customFormat="1">
      <c r="A317" s="211"/>
      <c r="B317" s="211"/>
      <c r="C317" s="211"/>
      <c r="D317" s="211"/>
      <c r="E317" s="211"/>
      <c r="F317" s="211"/>
      <c r="G317" s="211"/>
      <c r="H317" s="211"/>
      <c r="I317" s="211"/>
      <c r="J317" s="211"/>
      <c r="K317" s="211"/>
      <c r="L317" s="211"/>
      <c r="M317" s="211"/>
      <c r="N317" s="211"/>
      <c r="O317" s="211"/>
      <c r="P317" s="211"/>
      <c r="Q317" s="211"/>
      <c r="R317" s="211"/>
      <c r="S317" s="211"/>
      <c r="T317" s="211"/>
    </row>
    <row r="318" spans="1:20" s="34" customFormat="1">
      <c r="A318" s="211"/>
      <c r="B318" s="211"/>
      <c r="C318" s="211"/>
      <c r="D318" s="211"/>
      <c r="E318" s="211"/>
      <c r="F318" s="211"/>
      <c r="G318" s="211"/>
      <c r="H318" s="211"/>
      <c r="I318" s="211"/>
      <c r="J318" s="211"/>
      <c r="K318" s="211"/>
      <c r="L318" s="211"/>
      <c r="M318" s="211"/>
      <c r="N318" s="211"/>
      <c r="O318" s="211"/>
      <c r="P318" s="211"/>
      <c r="Q318" s="211"/>
      <c r="R318" s="211"/>
      <c r="S318" s="211"/>
      <c r="T318" s="211"/>
    </row>
    <row r="319" spans="1:20" s="34" customFormat="1">
      <c r="A319" s="211"/>
      <c r="B319" s="211"/>
      <c r="C319" s="211"/>
      <c r="D319" s="211"/>
      <c r="E319" s="211"/>
      <c r="F319" s="211"/>
      <c r="G319" s="211"/>
      <c r="H319" s="211"/>
      <c r="I319" s="211"/>
      <c r="J319" s="211"/>
      <c r="K319" s="211"/>
      <c r="L319" s="211"/>
      <c r="M319" s="211"/>
      <c r="N319" s="211"/>
      <c r="O319" s="211"/>
      <c r="P319" s="211"/>
      <c r="Q319" s="211"/>
      <c r="R319" s="211"/>
      <c r="S319" s="211"/>
      <c r="T319" s="211"/>
    </row>
    <row r="320" spans="1:20" s="34" customFormat="1">
      <c r="A320" s="211"/>
      <c r="B320" s="211"/>
      <c r="C320" s="211"/>
      <c r="D320" s="211"/>
      <c r="E320" s="211"/>
      <c r="F320" s="211"/>
      <c r="G320" s="211"/>
      <c r="H320" s="211"/>
      <c r="I320" s="211"/>
      <c r="J320" s="211"/>
      <c r="K320" s="211"/>
      <c r="L320" s="211"/>
      <c r="M320" s="211"/>
      <c r="N320" s="211"/>
      <c r="O320" s="211"/>
      <c r="P320" s="211"/>
      <c r="Q320" s="211"/>
      <c r="R320" s="211"/>
      <c r="S320" s="211"/>
      <c r="T320" s="211"/>
    </row>
    <row r="321" spans="1:20" s="34" customFormat="1">
      <c r="A321" s="211"/>
      <c r="B321" s="211"/>
      <c r="C321" s="211"/>
      <c r="D321" s="211"/>
      <c r="E321" s="211"/>
      <c r="F321" s="211"/>
      <c r="G321" s="211"/>
      <c r="H321" s="211"/>
      <c r="I321" s="211"/>
      <c r="J321" s="211"/>
      <c r="K321" s="211"/>
      <c r="L321" s="211"/>
      <c r="M321" s="211"/>
      <c r="N321" s="211"/>
      <c r="O321" s="211"/>
      <c r="P321" s="211"/>
      <c r="Q321" s="211"/>
      <c r="R321" s="211"/>
      <c r="S321" s="211"/>
      <c r="T321" s="211"/>
    </row>
    <row r="322" spans="1:20" s="34" customFormat="1">
      <c r="A322" s="211"/>
      <c r="B322" s="211"/>
      <c r="C322" s="211"/>
      <c r="D322" s="211"/>
      <c r="E322" s="211"/>
      <c r="F322" s="211"/>
      <c r="G322" s="211"/>
      <c r="H322" s="211"/>
      <c r="I322" s="211"/>
      <c r="J322" s="211"/>
      <c r="K322" s="211"/>
      <c r="L322" s="211"/>
      <c r="M322" s="211"/>
      <c r="N322" s="211"/>
      <c r="O322" s="211"/>
      <c r="P322" s="211"/>
      <c r="Q322" s="211"/>
      <c r="R322" s="211"/>
      <c r="S322" s="211"/>
      <c r="T322" s="211"/>
    </row>
    <row r="323" spans="1:20" s="34" customFormat="1">
      <c r="A323" s="211"/>
      <c r="B323" s="211"/>
      <c r="C323" s="211"/>
      <c r="D323" s="211"/>
      <c r="E323" s="211"/>
      <c r="F323" s="211"/>
      <c r="G323" s="211"/>
      <c r="H323" s="211"/>
      <c r="I323" s="211"/>
      <c r="J323" s="211"/>
      <c r="K323" s="211"/>
      <c r="L323" s="211"/>
      <c r="M323" s="211"/>
      <c r="N323" s="211"/>
      <c r="O323" s="211"/>
      <c r="P323" s="211"/>
      <c r="Q323" s="211"/>
      <c r="R323" s="211"/>
      <c r="S323" s="211"/>
      <c r="T323" s="211"/>
    </row>
    <row r="324" spans="1:20" s="34" customFormat="1">
      <c r="A324" s="211"/>
      <c r="B324" s="211"/>
      <c r="C324" s="211"/>
      <c r="D324" s="211"/>
      <c r="E324" s="211"/>
      <c r="F324" s="211"/>
      <c r="G324" s="211"/>
      <c r="H324" s="211"/>
      <c r="I324" s="211"/>
      <c r="J324" s="211"/>
      <c r="K324" s="211"/>
      <c r="L324" s="211"/>
      <c r="M324" s="211"/>
      <c r="N324" s="211"/>
      <c r="O324" s="211"/>
      <c r="P324" s="211"/>
      <c r="Q324" s="211"/>
      <c r="R324" s="211"/>
      <c r="S324" s="211"/>
      <c r="T324" s="211"/>
    </row>
    <row r="325" spans="1:20" s="34" customFormat="1">
      <c r="A325" s="211"/>
      <c r="B325" s="211"/>
      <c r="C325" s="211"/>
      <c r="D325" s="211"/>
      <c r="E325" s="211"/>
      <c r="F325" s="211"/>
      <c r="G325" s="211"/>
      <c r="H325" s="211"/>
      <c r="I325" s="211"/>
      <c r="J325" s="211"/>
      <c r="K325" s="211"/>
      <c r="L325" s="211"/>
      <c r="M325" s="211"/>
      <c r="N325" s="211"/>
      <c r="O325" s="211"/>
      <c r="P325" s="211"/>
      <c r="Q325" s="211"/>
      <c r="R325" s="211"/>
      <c r="S325" s="211"/>
      <c r="T325" s="211"/>
    </row>
    <row r="326" spans="1:20" s="34" customFormat="1">
      <c r="A326" s="211"/>
      <c r="B326" s="211"/>
      <c r="C326" s="211"/>
      <c r="D326" s="211"/>
      <c r="E326" s="211"/>
      <c r="F326" s="211"/>
      <c r="G326" s="211"/>
      <c r="H326" s="211"/>
      <c r="I326" s="211"/>
      <c r="J326" s="211"/>
      <c r="K326" s="211"/>
      <c r="L326" s="211"/>
      <c r="M326" s="211"/>
      <c r="N326" s="211"/>
      <c r="O326" s="211"/>
      <c r="P326" s="211"/>
      <c r="Q326" s="211"/>
      <c r="R326" s="211"/>
      <c r="S326" s="211"/>
      <c r="T326" s="211"/>
    </row>
    <row r="327" spans="1:20" s="34" customFormat="1">
      <c r="A327" s="211"/>
      <c r="B327" s="211"/>
      <c r="C327" s="211"/>
      <c r="D327" s="211"/>
      <c r="E327" s="211"/>
      <c r="F327" s="211"/>
      <c r="G327" s="211"/>
      <c r="H327" s="211"/>
      <c r="I327" s="211"/>
      <c r="J327" s="211"/>
      <c r="K327" s="211"/>
      <c r="L327" s="211"/>
      <c r="M327" s="211"/>
      <c r="N327" s="211"/>
      <c r="O327" s="211"/>
      <c r="P327" s="211"/>
      <c r="Q327" s="211"/>
      <c r="R327" s="211"/>
      <c r="S327" s="211"/>
      <c r="T327" s="211"/>
    </row>
    <row r="328" spans="1:20" s="34" customFormat="1">
      <c r="A328" s="211"/>
      <c r="B328" s="211"/>
      <c r="C328" s="211"/>
      <c r="D328" s="211"/>
      <c r="E328" s="211"/>
      <c r="F328" s="211"/>
      <c r="G328" s="211"/>
      <c r="H328" s="211"/>
      <c r="I328" s="211"/>
      <c r="J328" s="211"/>
      <c r="K328" s="211"/>
      <c r="L328" s="211"/>
      <c r="M328" s="211"/>
      <c r="N328" s="211"/>
      <c r="O328" s="211"/>
      <c r="P328" s="211"/>
      <c r="Q328" s="211"/>
      <c r="R328" s="211"/>
      <c r="S328" s="211"/>
      <c r="T328" s="211"/>
    </row>
    <row r="329" spans="1:20" s="34" customFormat="1">
      <c r="A329" s="211"/>
      <c r="B329" s="211"/>
      <c r="C329" s="211"/>
      <c r="D329" s="211"/>
      <c r="E329" s="211"/>
      <c r="F329" s="211"/>
      <c r="G329" s="211"/>
      <c r="H329" s="211"/>
      <c r="I329" s="211"/>
      <c r="J329" s="211"/>
      <c r="K329" s="211"/>
      <c r="L329" s="211"/>
      <c r="M329" s="211"/>
      <c r="N329" s="211"/>
      <c r="O329" s="211"/>
      <c r="P329" s="211"/>
      <c r="Q329" s="211"/>
      <c r="R329" s="211"/>
      <c r="S329" s="211"/>
      <c r="T329" s="211"/>
    </row>
    <row r="330" spans="1:20" s="34" customFormat="1">
      <c r="A330" s="211"/>
      <c r="B330" s="211"/>
      <c r="C330" s="211"/>
      <c r="D330" s="211"/>
      <c r="E330" s="211"/>
      <c r="F330" s="211"/>
      <c r="G330" s="211"/>
      <c r="H330" s="211"/>
      <c r="I330" s="211"/>
      <c r="J330" s="211"/>
      <c r="K330" s="211"/>
      <c r="L330" s="211"/>
      <c r="M330" s="211"/>
      <c r="N330" s="211"/>
      <c r="O330" s="211"/>
      <c r="P330" s="211"/>
      <c r="Q330" s="211"/>
      <c r="R330" s="211"/>
      <c r="S330" s="211"/>
      <c r="T330" s="211"/>
    </row>
    <row r="331" spans="1:20" s="34" customFormat="1">
      <c r="A331" s="211"/>
      <c r="B331" s="211"/>
      <c r="C331" s="211"/>
      <c r="D331" s="211"/>
      <c r="E331" s="211"/>
      <c r="F331" s="211"/>
      <c r="G331" s="211"/>
      <c r="H331" s="211"/>
      <c r="I331" s="211"/>
      <c r="J331" s="211"/>
      <c r="K331" s="211"/>
      <c r="L331" s="211"/>
      <c r="M331" s="211"/>
      <c r="N331" s="211"/>
      <c r="O331" s="211"/>
      <c r="P331" s="211"/>
      <c r="Q331" s="211"/>
      <c r="R331" s="211"/>
      <c r="S331" s="211"/>
      <c r="T331" s="211"/>
    </row>
    <row r="332" spans="1:20" s="34" customFormat="1">
      <c r="A332" s="211"/>
      <c r="B332" s="211"/>
      <c r="C332" s="211"/>
      <c r="D332" s="211"/>
      <c r="E332" s="211"/>
      <c r="F332" s="211"/>
      <c r="G332" s="211"/>
      <c r="H332" s="211"/>
      <c r="I332" s="211"/>
      <c r="J332" s="211"/>
      <c r="K332" s="211"/>
      <c r="L332" s="211"/>
      <c r="M332" s="211"/>
      <c r="N332" s="211"/>
      <c r="O332" s="211"/>
      <c r="P332" s="211"/>
      <c r="Q332" s="211"/>
      <c r="R332" s="211"/>
      <c r="S332" s="211"/>
      <c r="T332" s="211"/>
    </row>
    <row r="333" spans="1:20" s="34" customFormat="1">
      <c r="A333" s="211"/>
      <c r="B333" s="211"/>
      <c r="C333" s="211"/>
      <c r="D333" s="211"/>
      <c r="E333" s="211"/>
      <c r="F333" s="211"/>
      <c r="G333" s="211"/>
      <c r="H333" s="211"/>
      <c r="I333" s="211"/>
      <c r="J333" s="211"/>
      <c r="K333" s="211"/>
      <c r="L333" s="211"/>
      <c r="M333" s="211"/>
      <c r="N333" s="211"/>
      <c r="O333" s="211"/>
      <c r="P333" s="211"/>
      <c r="Q333" s="211"/>
      <c r="R333" s="211"/>
      <c r="S333" s="211"/>
      <c r="T333" s="211"/>
    </row>
  </sheetData>
  <phoneticPr fontId="27" type="noConversion"/>
  <pageMargins left="0.75" right="0.5" top="0.75" bottom="0.5" header="0.25" footer="0.25"/>
  <pageSetup scale="65" orientation="landscape"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63">
    <pageSetUpPr fitToPage="1"/>
  </sheetPr>
  <dimension ref="A1:E54"/>
  <sheetViews>
    <sheetView view="pageBreakPreview" zoomScale="60" zoomScaleNormal="100" workbookViewId="0">
      <selection sqref="A1:XFD1048576"/>
    </sheetView>
  </sheetViews>
  <sheetFormatPr defaultColWidth="10.85546875" defaultRowHeight="12.75"/>
  <cols>
    <col min="1" max="1" width="7" style="120" customWidth="1"/>
    <col min="2" max="2" width="14.85546875" style="120" customWidth="1"/>
    <col min="3" max="3" width="23.28515625" style="120" customWidth="1"/>
    <col min="4" max="4" width="23.42578125" style="120" customWidth="1"/>
    <col min="5" max="5" width="11.140625" style="120" customWidth="1"/>
    <col min="6" max="16384" width="10.85546875" style="11"/>
  </cols>
  <sheetData>
    <row r="1" spans="1:5" s="21" customFormat="1" ht="12">
      <c r="A1" s="117" t="s">
        <v>1317</v>
      </c>
      <c r="B1" s="117"/>
      <c r="C1" s="143"/>
      <c r="D1" s="781" t="s">
        <v>1209</v>
      </c>
      <c r="E1" s="120"/>
    </row>
    <row r="2" spans="1:5" s="21" customFormat="1" ht="12">
      <c r="A2" s="117"/>
      <c r="B2" s="117"/>
      <c r="C2" s="143"/>
      <c r="D2" s="786"/>
      <c r="E2" s="120"/>
    </row>
    <row r="3" spans="1:5" s="21" customFormat="1" ht="12">
      <c r="A3" s="117" t="s">
        <v>2644</v>
      </c>
      <c r="B3" s="117"/>
      <c r="C3" s="143"/>
      <c r="D3" s="781" t="s">
        <v>1515</v>
      </c>
      <c r="E3" s="120"/>
    </row>
    <row r="4" spans="1:5" s="21" customFormat="1" ht="12">
      <c r="A4" s="117" t="s">
        <v>2645</v>
      </c>
      <c r="B4" s="123"/>
      <c r="C4" s="144"/>
      <c r="D4" s="781" t="s">
        <v>766</v>
      </c>
      <c r="E4" s="120"/>
    </row>
    <row r="5" spans="1:5" s="21" customFormat="1" ht="12">
      <c r="A5" s="117" t="s">
        <v>1936</v>
      </c>
      <c r="B5" s="117"/>
      <c r="C5" s="117"/>
      <c r="D5" s="474" t="s">
        <v>2951</v>
      </c>
      <c r="E5" s="120"/>
    </row>
    <row r="6" spans="1:5" s="21" customFormat="1" ht="12">
      <c r="A6" s="117"/>
      <c r="B6" s="117"/>
      <c r="C6" s="117"/>
      <c r="E6" s="120"/>
    </row>
    <row r="7" spans="1:5" s="21" customFormat="1" ht="11.25">
      <c r="A7" s="2308" t="s">
        <v>579</v>
      </c>
      <c r="B7" s="2308"/>
      <c r="C7" s="2308"/>
      <c r="D7" s="2308"/>
      <c r="E7" s="2299"/>
    </row>
    <row r="8" spans="1:5" s="21" customFormat="1" ht="11.25">
      <c r="A8" s="2308"/>
      <c r="B8" s="2308"/>
      <c r="C8" s="2308"/>
      <c r="D8" s="2308"/>
      <c r="E8" s="2299"/>
    </row>
    <row r="9" spans="1:5" s="21" customFormat="1" thickBot="1">
      <c r="A9" s="172"/>
      <c r="B9" s="172"/>
      <c r="C9" s="172"/>
      <c r="D9" s="172"/>
      <c r="E9" s="120"/>
    </row>
    <row r="10" spans="1:5" s="20" customFormat="1" ht="12">
      <c r="A10" s="1086"/>
      <c r="B10" s="1384">
        <v>-1</v>
      </c>
      <c r="C10" s="1384">
        <v>-2</v>
      </c>
      <c r="D10" s="1384">
        <v>-3</v>
      </c>
      <c r="E10" s="1385">
        <v>-4</v>
      </c>
    </row>
    <row r="11" spans="1:5" s="20" customFormat="1" ht="12">
      <c r="A11" s="262" t="s">
        <v>627</v>
      </c>
      <c r="B11" s="262"/>
      <c r="C11" s="262"/>
      <c r="D11" s="262"/>
      <c r="E11" s="262"/>
    </row>
    <row r="12" spans="1:5" s="20" customFormat="1" ht="13.5" customHeight="1">
      <c r="A12" s="1087" t="s">
        <v>730</v>
      </c>
      <c r="B12" s="1087" t="s">
        <v>1399</v>
      </c>
      <c r="C12" s="1087" t="s">
        <v>94</v>
      </c>
      <c r="D12" s="1087" t="s">
        <v>1400</v>
      </c>
      <c r="E12" s="1087" t="s">
        <v>1401</v>
      </c>
    </row>
    <row r="13" spans="1:5" s="20" customFormat="1" ht="13.5" customHeight="1">
      <c r="A13" s="470">
        <v>1</v>
      </c>
      <c r="B13" s="471"/>
      <c r="C13" s="158"/>
      <c r="D13" s="341"/>
      <c r="E13" s="470"/>
    </row>
    <row r="14" spans="1:5" s="20" customFormat="1" ht="13.5" customHeight="1">
      <c r="A14" s="470">
        <v>2</v>
      </c>
      <c r="B14" s="471"/>
      <c r="C14" s="158" t="s">
        <v>2933</v>
      </c>
      <c r="D14" s="341"/>
      <c r="E14" s="470"/>
    </row>
    <row r="15" spans="1:5" s="21" customFormat="1" ht="13.5" customHeight="1">
      <c r="A15" s="470">
        <v>3</v>
      </c>
      <c r="B15" s="471"/>
      <c r="C15" s="158"/>
      <c r="D15" s="341"/>
      <c r="E15" s="470"/>
    </row>
    <row r="16" spans="1:5" s="21" customFormat="1" ht="12">
      <c r="A16" s="470">
        <v>4</v>
      </c>
      <c r="B16" s="471"/>
      <c r="C16" s="253"/>
      <c r="D16" s="469"/>
      <c r="E16" s="470"/>
    </row>
    <row r="17" spans="1:5" s="21" customFormat="1" ht="12">
      <c r="A17" s="470">
        <v>5</v>
      </c>
      <c r="B17" s="471"/>
      <c r="C17" s="253"/>
      <c r="D17" s="341"/>
      <c r="E17" s="470"/>
    </row>
    <row r="18" spans="1:5" s="21" customFormat="1" ht="12">
      <c r="A18" s="470">
        <v>6</v>
      </c>
      <c r="B18" s="471"/>
      <c r="C18" s="253"/>
      <c r="D18" s="469"/>
      <c r="E18" s="470"/>
    </row>
    <row r="19" spans="1:5" s="21" customFormat="1" ht="12">
      <c r="A19" s="470">
        <v>7</v>
      </c>
      <c r="B19" s="471"/>
      <c r="C19" s="253"/>
      <c r="D19" s="469"/>
      <c r="E19" s="470"/>
    </row>
    <row r="20" spans="1:5" s="21" customFormat="1" ht="12">
      <c r="A20" s="470">
        <v>8</v>
      </c>
      <c r="B20" s="471"/>
      <c r="C20" s="253"/>
      <c r="D20" s="469"/>
      <c r="E20" s="470"/>
    </row>
    <row r="21" spans="1:5" s="21" customFormat="1" ht="12">
      <c r="A21" s="470">
        <v>9</v>
      </c>
      <c r="B21" s="341"/>
      <c r="C21" s="158"/>
      <c r="D21" s="341"/>
      <c r="E21" s="470"/>
    </row>
    <row r="22" spans="1:5" s="21" customFormat="1" ht="12">
      <c r="A22" s="470">
        <v>10</v>
      </c>
      <c r="B22" s="471"/>
      <c r="C22" s="158"/>
      <c r="D22" s="341"/>
      <c r="E22" s="470"/>
    </row>
    <row r="23" spans="1:5" s="21" customFormat="1" ht="12">
      <c r="A23" s="470">
        <v>11</v>
      </c>
      <c r="B23" s="471"/>
      <c r="C23" s="253"/>
      <c r="D23" s="469"/>
      <c r="E23" s="470"/>
    </row>
    <row r="24" spans="1:5" s="21" customFormat="1" ht="12">
      <c r="A24" s="470">
        <v>12</v>
      </c>
      <c r="B24" s="471"/>
      <c r="C24" s="158"/>
      <c r="D24" s="341"/>
      <c r="E24" s="470"/>
    </row>
    <row r="25" spans="1:5" s="21" customFormat="1" ht="12">
      <c r="A25" s="470">
        <v>13</v>
      </c>
      <c r="B25" s="471"/>
      <c r="C25" s="158"/>
      <c r="D25" s="341"/>
      <c r="E25" s="470"/>
    </row>
    <row r="26" spans="1:5" s="21" customFormat="1" ht="12">
      <c r="A26" s="470">
        <v>14</v>
      </c>
      <c r="B26" s="471"/>
      <c r="C26" s="253"/>
      <c r="D26" s="469"/>
      <c r="E26" s="470"/>
    </row>
    <row r="27" spans="1:5" s="21" customFormat="1" ht="12">
      <c r="A27" s="470">
        <v>15</v>
      </c>
      <c r="B27" s="471"/>
      <c r="C27" s="158"/>
      <c r="D27" s="341"/>
      <c r="E27" s="470"/>
    </row>
    <row r="28" spans="1:5" s="21" customFormat="1" ht="12">
      <c r="A28" s="470">
        <v>16</v>
      </c>
      <c r="B28" s="471"/>
      <c r="C28" s="158"/>
      <c r="D28" s="341"/>
      <c r="E28" s="470"/>
    </row>
    <row r="29" spans="1:5" s="21" customFormat="1" ht="12">
      <c r="A29" s="470">
        <v>17</v>
      </c>
      <c r="B29" s="341"/>
      <c r="C29" s="158"/>
      <c r="D29" s="341"/>
      <c r="E29" s="470"/>
    </row>
    <row r="30" spans="1:5" s="21" customFormat="1" ht="12">
      <c r="A30" s="470">
        <v>18</v>
      </c>
      <c r="B30" s="471"/>
      <c r="C30" s="253"/>
      <c r="D30" s="341"/>
      <c r="E30" s="470"/>
    </row>
    <row r="31" spans="1:5" s="21" customFormat="1" ht="12">
      <c r="A31" s="470">
        <v>19</v>
      </c>
      <c r="B31" s="341"/>
      <c r="C31" s="158"/>
      <c r="D31" s="341"/>
      <c r="E31" s="470"/>
    </row>
    <row r="32" spans="1:5" ht="13.5" thickBot="1">
      <c r="A32" s="470">
        <v>20</v>
      </c>
      <c r="B32" s="158"/>
      <c r="C32" s="158"/>
      <c r="D32" s="158"/>
      <c r="E32" s="475">
        <v>0</v>
      </c>
    </row>
    <row r="33" spans="1:5" ht="13.5" thickTop="1">
      <c r="A33" s="470"/>
      <c r="B33" s="11"/>
      <c r="C33" s="11"/>
      <c r="D33" s="11"/>
      <c r="E33" s="11"/>
    </row>
    <row r="54" spans="1:5">
      <c r="A54" s="189"/>
      <c r="B54" s="148"/>
      <c r="C54" s="148"/>
      <c r="D54" s="148"/>
      <c r="E54" s="148"/>
    </row>
  </sheetData>
  <mergeCells count="1">
    <mergeCell ref="A7:E8"/>
  </mergeCells>
  <phoneticPr fontId="27" type="noConversion"/>
  <printOptions horizontalCentered="1"/>
  <pageMargins left="0.75" right="0.5" top="0.75" bottom="0.5" header="0.25" footer="0.25"/>
  <pageSetup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64">
    <pageSetUpPr fitToPage="1"/>
  </sheetPr>
  <dimension ref="A1:J463"/>
  <sheetViews>
    <sheetView view="pageBreakPreview" zoomScale="60" zoomScaleNormal="100" workbookViewId="0">
      <selection sqref="A1:XFD1048576"/>
    </sheetView>
  </sheetViews>
  <sheetFormatPr defaultColWidth="10.85546875" defaultRowHeight="12.75"/>
  <cols>
    <col min="1" max="1" width="8.28515625" style="120" customWidth="1"/>
    <col min="2" max="2" width="2.7109375" style="120" customWidth="1"/>
    <col min="3" max="3" width="11.7109375" style="120" customWidth="1"/>
    <col min="4" max="4" width="2.7109375" style="120" customWidth="1"/>
    <col min="5" max="5" width="29" style="120" customWidth="1"/>
    <col min="6" max="6" width="14.140625" style="120" customWidth="1"/>
    <col min="7" max="7" width="6.42578125" style="120" customWidth="1"/>
    <col min="8" max="8" width="7.7109375" style="120" customWidth="1"/>
    <col min="9" max="10" width="10.85546875" style="120"/>
    <col min="11" max="16384" width="10.85546875" style="11"/>
  </cols>
  <sheetData>
    <row r="1" spans="1:10" s="21" customFormat="1" ht="12">
      <c r="A1" s="117" t="s">
        <v>908</v>
      </c>
      <c r="B1" s="117"/>
      <c r="C1" s="117"/>
      <c r="E1" s="143"/>
      <c r="F1" s="781" t="s">
        <v>1209</v>
      </c>
      <c r="G1" s="120"/>
      <c r="H1" s="117"/>
      <c r="I1" s="120"/>
      <c r="J1" s="120"/>
    </row>
    <row r="2" spans="1:10" s="21" customFormat="1" ht="12">
      <c r="A2" s="117"/>
      <c r="B2" s="117"/>
      <c r="C2" s="117"/>
      <c r="E2" s="143"/>
      <c r="F2" s="786"/>
      <c r="G2" s="120"/>
      <c r="H2" s="117"/>
      <c r="I2" s="120"/>
      <c r="J2" s="120"/>
    </row>
    <row r="3" spans="1:10" s="21" customFormat="1" ht="12">
      <c r="A3" s="117" t="s">
        <v>2644</v>
      </c>
      <c r="B3" s="117"/>
      <c r="C3" s="117"/>
      <c r="E3" s="143"/>
      <c r="F3" s="781" t="s">
        <v>1516</v>
      </c>
      <c r="G3" s="120"/>
      <c r="H3" s="117"/>
      <c r="I3" s="120"/>
      <c r="J3" s="120"/>
    </row>
    <row r="4" spans="1:10" s="21" customFormat="1" ht="12">
      <c r="A4" s="117" t="s">
        <v>2645</v>
      </c>
      <c r="B4" s="176"/>
      <c r="C4" s="123"/>
      <c r="E4" s="144"/>
      <c r="F4" s="781" t="s">
        <v>766</v>
      </c>
      <c r="G4" s="120"/>
      <c r="H4" s="117"/>
      <c r="I4" s="120"/>
      <c r="J4" s="120"/>
    </row>
    <row r="5" spans="1:10" s="21" customFormat="1" ht="12">
      <c r="A5" s="117" t="s">
        <v>1936</v>
      </c>
      <c r="B5" s="176"/>
      <c r="C5" s="117"/>
      <c r="E5" s="117"/>
      <c r="F5" s="474" t="s">
        <v>2951</v>
      </c>
      <c r="G5" s="120"/>
      <c r="H5" s="117"/>
      <c r="I5" s="120"/>
      <c r="J5" s="120"/>
    </row>
    <row r="6" spans="1:10" s="21" customFormat="1" ht="12">
      <c r="A6" s="472" t="s">
        <v>1092</v>
      </c>
      <c r="B6" s="472"/>
      <c r="C6" s="473"/>
      <c r="D6" s="117"/>
      <c r="E6" s="117"/>
      <c r="F6" s="117"/>
      <c r="G6" s="120"/>
      <c r="H6" s="117"/>
      <c r="I6" s="120"/>
      <c r="J6" s="120"/>
    </row>
    <row r="7" spans="1:10" s="21" customFormat="1" ht="12">
      <c r="A7" s="472" t="s">
        <v>717</v>
      </c>
      <c r="B7" s="472"/>
      <c r="C7" s="473"/>
      <c r="D7" s="117"/>
      <c r="E7" s="117"/>
      <c r="F7" s="117"/>
      <c r="G7" s="120"/>
      <c r="H7" s="117"/>
      <c r="I7" s="120"/>
      <c r="J7" s="120"/>
    </row>
    <row r="8" spans="1:10" s="21" customFormat="1" ht="12">
      <c r="A8" s="117"/>
      <c r="B8" s="117"/>
      <c r="C8" s="117"/>
      <c r="D8" s="117"/>
      <c r="E8" s="117"/>
      <c r="F8" s="117"/>
      <c r="G8" s="117"/>
      <c r="H8" s="117"/>
      <c r="I8" s="120"/>
      <c r="J8" s="120"/>
    </row>
    <row r="9" spans="1:10" s="21" customFormat="1" ht="12">
      <c r="A9" s="2308" t="s">
        <v>1398</v>
      </c>
      <c r="B9" s="2297"/>
      <c r="C9" s="2297"/>
      <c r="D9" s="2297"/>
      <c r="E9" s="2297"/>
      <c r="F9" s="2297"/>
      <c r="G9" s="2297"/>
      <c r="H9" s="2297"/>
      <c r="I9" s="120"/>
      <c r="J9" s="120"/>
    </row>
    <row r="10" spans="1:10" s="21" customFormat="1" ht="14.25" customHeight="1">
      <c r="A10" s="2297"/>
      <c r="B10" s="2297"/>
      <c r="C10" s="2297"/>
      <c r="D10" s="2297"/>
      <c r="E10" s="2297"/>
      <c r="F10" s="2297"/>
      <c r="G10" s="2297"/>
      <c r="H10" s="2297"/>
      <c r="I10" s="120"/>
      <c r="J10" s="120"/>
    </row>
    <row r="11" spans="1:10" s="21" customFormat="1" thickBot="1">
      <c r="A11" s="124"/>
      <c r="B11" s="124"/>
      <c r="C11" s="124"/>
      <c r="D11" s="124"/>
      <c r="E11" s="124"/>
      <c r="F11" s="124"/>
      <c r="G11" s="124"/>
      <c r="H11" s="124"/>
      <c r="I11" s="120"/>
      <c r="J11" s="120"/>
    </row>
    <row r="12" spans="1:10" s="21" customFormat="1" ht="12">
      <c r="A12" s="127"/>
      <c r="B12" s="120"/>
      <c r="C12" s="206">
        <v>-1</v>
      </c>
      <c r="D12" s="197"/>
      <c r="E12" s="198">
        <v>-2</v>
      </c>
      <c r="F12" s="198"/>
      <c r="G12" s="197"/>
      <c r="H12" s="206">
        <v>-3</v>
      </c>
      <c r="I12" s="120"/>
      <c r="J12" s="120"/>
    </row>
    <row r="13" spans="1:10" s="21" customFormat="1" ht="12">
      <c r="A13" s="806" t="s">
        <v>802</v>
      </c>
      <c r="B13" s="150"/>
      <c r="C13" s="806" t="s">
        <v>1399</v>
      </c>
      <c r="D13" s="370"/>
      <c r="E13" s="805" t="s">
        <v>1400</v>
      </c>
      <c r="F13" s="931"/>
      <c r="G13" s="932"/>
      <c r="H13" s="806" t="s">
        <v>1401</v>
      </c>
      <c r="I13" s="120"/>
      <c r="J13" s="120"/>
    </row>
    <row r="14" spans="1:10" s="21" customFormat="1" ht="12">
      <c r="A14" s="153">
        <v>1</v>
      </c>
      <c r="B14" s="120"/>
      <c r="C14" s="166"/>
      <c r="D14" s="120"/>
      <c r="E14" s="158" t="s">
        <v>2933</v>
      </c>
      <c r="F14" s="120"/>
      <c r="G14" s="120"/>
      <c r="H14" s="1350"/>
      <c r="I14" s="120"/>
      <c r="J14" s="120"/>
    </row>
    <row r="15" spans="1:10" s="21" customFormat="1" ht="12">
      <c r="A15" s="153">
        <v>2</v>
      </c>
      <c r="B15" s="193"/>
      <c r="C15" s="969"/>
      <c r="E15" s="485"/>
      <c r="H15" s="1350"/>
      <c r="I15" s="120"/>
      <c r="J15" s="120"/>
    </row>
    <row r="16" spans="1:10" s="21" customFormat="1" ht="12">
      <c r="A16" s="153">
        <v>3</v>
      </c>
      <c r="B16" s="193"/>
      <c r="C16" s="166"/>
      <c r="E16" s="485"/>
      <c r="H16" s="1350"/>
      <c r="I16" s="120"/>
      <c r="J16" s="120"/>
    </row>
    <row r="17" spans="1:10" s="21" customFormat="1" ht="12">
      <c r="A17" s="153">
        <v>4</v>
      </c>
      <c r="B17" s="120"/>
      <c r="C17" s="469"/>
      <c r="D17" s="120"/>
      <c r="E17" s="485"/>
      <c r="F17" s="120"/>
      <c r="G17" s="469"/>
      <c r="H17" s="1351"/>
      <c r="I17" s="120"/>
      <c r="J17" s="120"/>
    </row>
    <row r="18" spans="1:10" s="21" customFormat="1" ht="12">
      <c r="A18" s="153">
        <v>5</v>
      </c>
      <c r="B18" s="120"/>
      <c r="C18" s="469"/>
      <c r="D18" s="120"/>
      <c r="E18" s="485"/>
      <c r="F18" s="120"/>
      <c r="G18" s="304"/>
      <c r="H18" s="1351"/>
      <c r="I18" s="120"/>
      <c r="J18" s="120"/>
    </row>
    <row r="19" spans="1:10" s="21" customFormat="1" ht="12">
      <c r="A19" s="153">
        <v>6</v>
      </c>
      <c r="B19" s="120"/>
      <c r="C19" s="468"/>
      <c r="D19" s="120"/>
      <c r="E19" s="485"/>
      <c r="F19" s="120"/>
      <c r="G19" s="304"/>
      <c r="H19" s="1351"/>
      <c r="I19" s="120"/>
      <c r="J19" s="120"/>
    </row>
    <row r="20" spans="1:10" s="21" customFormat="1" ht="12">
      <c r="A20" s="153">
        <v>7</v>
      </c>
      <c r="B20" s="120"/>
      <c r="C20" s="468"/>
      <c r="D20" s="120"/>
      <c r="E20" s="485"/>
      <c r="F20" s="120"/>
      <c r="G20" s="304"/>
      <c r="H20" s="1351"/>
      <c r="I20" s="120"/>
      <c r="J20" s="120"/>
    </row>
    <row r="21" spans="1:10" s="21" customFormat="1" ht="12">
      <c r="A21" s="153">
        <v>8</v>
      </c>
      <c r="B21" s="120"/>
      <c r="C21" s="468"/>
      <c r="D21" s="120"/>
      <c r="E21" s="485"/>
      <c r="F21" s="120"/>
      <c r="G21" s="304"/>
      <c r="H21" s="1351"/>
      <c r="I21" s="120"/>
      <c r="J21" s="120"/>
    </row>
    <row r="22" spans="1:10" s="21" customFormat="1" ht="12">
      <c r="A22" s="153">
        <v>9</v>
      </c>
      <c r="B22" s="193"/>
      <c r="C22" s="468"/>
      <c r="D22" s="120"/>
      <c r="E22" s="485"/>
      <c r="F22" s="120"/>
      <c r="G22" s="304"/>
      <c r="H22" s="1351"/>
      <c r="I22" s="120"/>
      <c r="J22" s="120"/>
    </row>
    <row r="23" spans="1:10" s="21" customFormat="1" ht="12">
      <c r="A23" s="153">
        <v>10</v>
      </c>
      <c r="B23" s="192" t="s">
        <v>560</v>
      </c>
      <c r="C23" s="153"/>
      <c r="D23" s="120"/>
      <c r="E23" s="710" t="s">
        <v>81</v>
      </c>
      <c r="F23" s="120"/>
      <c r="G23" s="120"/>
      <c r="H23" s="802">
        <v>0</v>
      </c>
      <c r="I23" s="120"/>
      <c r="J23" s="120"/>
    </row>
    <row r="24" spans="1:10" s="21" customFormat="1" ht="12">
      <c r="A24" s="120"/>
      <c r="B24" s="148"/>
      <c r="C24" s="153"/>
      <c r="D24" s="120"/>
      <c r="E24" s="120"/>
      <c r="F24" s="120"/>
      <c r="G24" s="120"/>
      <c r="H24" s="150"/>
      <c r="I24" s="120"/>
      <c r="J24" s="120"/>
    </row>
    <row r="25" spans="1:10" s="21" customFormat="1" ht="12">
      <c r="A25" s="120"/>
      <c r="B25" s="148"/>
      <c r="C25" s="153"/>
      <c r="D25" s="120"/>
      <c r="E25" s="120"/>
      <c r="F25" s="120"/>
      <c r="G25" s="120"/>
      <c r="H25" s="150"/>
      <c r="I25" s="120"/>
      <c r="J25" s="120"/>
    </row>
    <row r="26" spans="1:10" s="21" customFormat="1" ht="12">
      <c r="A26" s="120"/>
      <c r="B26" s="148"/>
      <c r="C26" s="153"/>
      <c r="D26" s="120"/>
      <c r="E26" s="120"/>
      <c r="F26" s="120"/>
      <c r="G26" s="120"/>
      <c r="H26" s="150"/>
      <c r="I26" s="120"/>
      <c r="J26" s="120"/>
    </row>
    <row r="27" spans="1:10" s="21" customFormat="1" ht="12">
      <c r="A27" s="120"/>
      <c r="B27" s="148"/>
      <c r="C27" s="153"/>
      <c r="D27" s="120"/>
      <c r="E27" s="120"/>
      <c r="F27" s="120"/>
      <c r="G27" s="120"/>
      <c r="H27" s="150"/>
      <c r="I27" s="120"/>
      <c r="J27" s="120"/>
    </row>
    <row r="28" spans="1:10" s="21" customFormat="1" ht="12">
      <c r="A28" s="120"/>
      <c r="B28" s="148"/>
      <c r="C28" s="153"/>
      <c r="D28" s="120"/>
      <c r="E28" s="120"/>
      <c r="F28" s="120"/>
      <c r="G28" s="120"/>
      <c r="H28" s="150"/>
      <c r="I28" s="120"/>
      <c r="J28" s="120"/>
    </row>
    <row r="29" spans="1:10" s="21" customFormat="1" ht="12">
      <c r="A29" s="120"/>
      <c r="B29" s="148"/>
      <c r="C29" s="153"/>
      <c r="D29" s="120"/>
      <c r="E29" s="120"/>
      <c r="F29" s="120"/>
      <c r="G29" s="120"/>
      <c r="H29" s="150"/>
      <c r="I29" s="120"/>
      <c r="J29" s="120"/>
    </row>
    <row r="30" spans="1:10" s="21" customFormat="1" ht="12">
      <c r="A30" s="120"/>
      <c r="B30" s="148"/>
      <c r="C30" s="153"/>
      <c r="D30" s="120"/>
      <c r="E30" s="120"/>
      <c r="F30" s="120"/>
      <c r="G30" s="120"/>
      <c r="H30" s="150"/>
      <c r="I30" s="120"/>
      <c r="J30" s="120"/>
    </row>
    <row r="31" spans="1:10" s="21" customFormat="1" ht="12">
      <c r="A31" s="120"/>
      <c r="B31" s="148"/>
      <c r="C31" s="153"/>
      <c r="D31" s="120"/>
      <c r="E31" s="120"/>
      <c r="F31" s="120"/>
      <c r="G31" s="120"/>
      <c r="H31" s="150"/>
      <c r="I31" s="120"/>
      <c r="J31" s="120"/>
    </row>
    <row r="32" spans="1:10" s="21" customFormat="1" ht="12">
      <c r="A32" s="120"/>
      <c r="B32" s="148"/>
      <c r="C32" s="153"/>
      <c r="D32" s="120"/>
      <c r="E32" s="120"/>
      <c r="F32" s="120"/>
      <c r="G32" s="120"/>
      <c r="H32" s="150"/>
      <c r="I32" s="120"/>
      <c r="J32" s="120"/>
    </row>
    <row r="33" spans="1:10" s="21" customFormat="1" ht="12">
      <c r="A33" s="120"/>
      <c r="B33" s="148"/>
      <c r="C33" s="153"/>
      <c r="D33" s="120"/>
      <c r="E33" s="120"/>
      <c r="F33" s="120"/>
      <c r="G33" s="120"/>
      <c r="H33" s="150"/>
      <c r="I33" s="120"/>
      <c r="J33" s="120"/>
    </row>
    <row r="34" spans="1:10" s="21" customFormat="1" ht="12">
      <c r="A34" s="120"/>
      <c r="B34" s="148"/>
      <c r="C34" s="153"/>
      <c r="D34" s="120"/>
      <c r="E34" s="120"/>
      <c r="F34" s="120"/>
      <c r="G34" s="120"/>
      <c r="H34" s="150"/>
      <c r="I34" s="120"/>
      <c r="J34" s="120"/>
    </row>
    <row r="35" spans="1:10" s="21" customFormat="1" ht="12">
      <c r="A35" s="120"/>
      <c r="B35" s="148"/>
      <c r="C35" s="153"/>
      <c r="D35" s="120"/>
      <c r="E35" s="120"/>
      <c r="F35" s="120"/>
      <c r="G35" s="120"/>
      <c r="H35" s="150"/>
      <c r="I35" s="120"/>
      <c r="J35" s="120"/>
    </row>
    <row r="36" spans="1:10" s="21" customFormat="1" ht="12">
      <c r="A36" s="120"/>
      <c r="B36" s="148"/>
      <c r="C36" s="153"/>
      <c r="D36" s="120"/>
      <c r="E36" s="120"/>
      <c r="F36" s="120"/>
      <c r="G36" s="120"/>
      <c r="H36" s="150"/>
      <c r="I36" s="120"/>
      <c r="J36" s="120"/>
    </row>
    <row r="37" spans="1:10" s="21" customFormat="1" ht="12">
      <c r="A37" s="120"/>
      <c r="B37" s="148"/>
      <c r="C37" s="153"/>
      <c r="D37" s="120"/>
      <c r="E37" s="120"/>
      <c r="F37" s="120"/>
      <c r="G37" s="120"/>
      <c r="H37" s="150"/>
      <c r="I37" s="120"/>
      <c r="J37" s="120"/>
    </row>
    <row r="38" spans="1:10" s="21" customFormat="1" ht="12">
      <c r="A38" s="120"/>
      <c r="B38" s="148"/>
      <c r="C38" s="153"/>
      <c r="D38" s="120"/>
      <c r="E38" s="120"/>
      <c r="F38" s="120"/>
      <c r="G38" s="120"/>
      <c r="H38" s="150"/>
      <c r="I38" s="120"/>
      <c r="J38" s="120"/>
    </row>
    <row r="39" spans="1:10" s="21" customFormat="1" ht="12">
      <c r="A39" s="120"/>
      <c r="B39" s="148"/>
      <c r="C39" s="153"/>
      <c r="D39" s="120"/>
      <c r="E39" s="120"/>
      <c r="F39" s="120"/>
      <c r="G39" s="120"/>
      <c r="H39" s="150"/>
      <c r="I39" s="120"/>
      <c r="J39" s="120"/>
    </row>
    <row r="40" spans="1:10" s="21" customFormat="1" ht="12">
      <c r="A40" s="120"/>
      <c r="B40" s="148"/>
      <c r="C40" s="153"/>
      <c r="D40" s="120"/>
      <c r="E40" s="120"/>
      <c r="F40" s="120"/>
      <c r="G40" s="120"/>
      <c r="H40" s="150"/>
      <c r="I40" s="120"/>
      <c r="J40" s="120"/>
    </row>
    <row r="41" spans="1:10" s="21" customFormat="1" ht="12">
      <c r="A41" s="120"/>
      <c r="B41" s="148"/>
      <c r="C41" s="153"/>
      <c r="D41" s="120"/>
      <c r="E41" s="120"/>
      <c r="F41" s="120"/>
      <c r="G41" s="120"/>
      <c r="H41" s="150"/>
      <c r="I41" s="120"/>
      <c r="J41" s="120"/>
    </row>
    <row r="42" spans="1:10" s="21" customFormat="1" ht="12">
      <c r="A42" s="120"/>
      <c r="B42" s="148"/>
      <c r="C42" s="153"/>
      <c r="D42" s="120"/>
      <c r="E42" s="120"/>
      <c r="F42" s="120"/>
      <c r="G42" s="120"/>
      <c r="H42" s="150"/>
      <c r="I42" s="120"/>
      <c r="J42" s="120"/>
    </row>
    <row r="43" spans="1:10" s="21" customFormat="1" ht="12">
      <c r="A43" s="120"/>
      <c r="B43" s="148"/>
      <c r="C43" s="153"/>
      <c r="D43" s="120"/>
      <c r="E43" s="120"/>
      <c r="F43" s="120"/>
      <c r="G43" s="120"/>
      <c r="H43" s="150"/>
      <c r="I43" s="120"/>
      <c r="J43" s="120"/>
    </row>
    <row r="44" spans="1:10" s="21" customFormat="1" ht="12">
      <c r="A44" s="120"/>
      <c r="B44" s="148"/>
      <c r="C44" s="153"/>
      <c r="D44" s="120"/>
      <c r="E44" s="120"/>
      <c r="F44" s="120"/>
      <c r="G44" s="120"/>
      <c r="H44" s="150"/>
      <c r="I44" s="120"/>
      <c r="J44" s="120"/>
    </row>
    <row r="45" spans="1:10" s="21" customFormat="1" ht="12">
      <c r="A45" s="120"/>
      <c r="B45" s="148"/>
      <c r="C45" s="153"/>
      <c r="D45" s="120"/>
      <c r="E45" s="120"/>
      <c r="F45" s="120"/>
      <c r="G45" s="120"/>
      <c r="H45" s="150"/>
      <c r="I45" s="120"/>
      <c r="J45" s="120"/>
    </row>
    <row r="46" spans="1:10" s="21" customFormat="1" ht="12">
      <c r="A46" s="120"/>
      <c r="B46" s="148"/>
      <c r="C46" s="153"/>
      <c r="D46" s="120"/>
      <c r="E46" s="120"/>
      <c r="F46" s="120"/>
      <c r="G46" s="120"/>
      <c r="H46" s="150"/>
      <c r="I46" s="120"/>
      <c r="J46" s="120"/>
    </row>
    <row r="47" spans="1:10" s="21" customFormat="1" ht="12">
      <c r="A47" s="120"/>
      <c r="B47" s="148"/>
      <c r="C47" s="153"/>
      <c r="D47" s="120"/>
      <c r="E47" s="120"/>
      <c r="F47" s="120"/>
      <c r="G47" s="120"/>
      <c r="H47" s="150"/>
      <c r="I47" s="120"/>
      <c r="J47" s="120"/>
    </row>
    <row r="48" spans="1:10" s="21" customFormat="1" ht="12">
      <c r="A48" s="120"/>
      <c r="B48" s="148"/>
      <c r="C48" s="153"/>
      <c r="D48" s="120"/>
      <c r="E48" s="120"/>
      <c r="F48" s="120"/>
      <c r="G48" s="120"/>
      <c r="H48" s="150"/>
      <c r="I48" s="120"/>
      <c r="J48" s="120"/>
    </row>
    <row r="49" spans="1:10" s="21" customFormat="1" ht="12">
      <c r="A49" s="120"/>
      <c r="B49" s="148"/>
      <c r="C49" s="153"/>
      <c r="D49" s="120"/>
      <c r="E49" s="120"/>
      <c r="F49" s="120"/>
      <c r="G49" s="120"/>
      <c r="H49" s="150"/>
      <c r="I49" s="120"/>
      <c r="J49" s="120"/>
    </row>
    <row r="50" spans="1:10" s="21" customFormat="1" ht="12">
      <c r="A50" s="120"/>
      <c r="B50" s="148"/>
      <c r="C50" s="153"/>
      <c r="D50" s="120"/>
      <c r="E50" s="120"/>
      <c r="F50" s="120"/>
      <c r="G50" s="120"/>
      <c r="H50" s="150"/>
      <c r="I50" s="120"/>
      <c r="J50" s="120"/>
    </row>
    <row r="51" spans="1:10" s="21" customFormat="1" ht="12">
      <c r="A51" s="120"/>
      <c r="B51" s="148"/>
      <c r="C51" s="153"/>
      <c r="D51" s="120"/>
      <c r="E51" s="120"/>
      <c r="F51" s="120"/>
      <c r="G51" s="120"/>
      <c r="H51" s="150"/>
      <c r="I51" s="120"/>
      <c r="J51" s="120"/>
    </row>
    <row r="52" spans="1:10" s="21" customFormat="1" ht="12">
      <c r="A52" s="189"/>
      <c r="B52" s="148"/>
      <c r="C52" s="148"/>
      <c r="D52" s="148"/>
      <c r="E52" s="148"/>
      <c r="F52" s="148"/>
      <c r="G52" s="148"/>
      <c r="H52" s="154"/>
      <c r="I52" s="120"/>
      <c r="J52" s="120"/>
    </row>
    <row r="53" spans="1:10" s="21" customFormat="1" ht="12">
      <c r="A53" s="120"/>
      <c r="B53" s="148"/>
      <c r="C53" s="153"/>
      <c r="D53" s="120"/>
      <c r="E53" s="120"/>
      <c r="F53" s="120"/>
      <c r="G53" s="120"/>
      <c r="H53" s="150"/>
      <c r="I53" s="120"/>
      <c r="J53" s="120"/>
    </row>
    <row r="54" spans="1:10" s="21" customFormat="1" ht="12">
      <c r="A54" s="120"/>
      <c r="B54" s="148"/>
      <c r="C54" s="153"/>
      <c r="D54" s="120"/>
      <c r="E54" s="120"/>
      <c r="F54" s="120"/>
      <c r="G54" s="120"/>
      <c r="H54" s="150"/>
      <c r="I54" s="120"/>
      <c r="J54" s="120"/>
    </row>
    <row r="55" spans="1:10" s="21" customFormat="1" ht="12">
      <c r="A55" s="120"/>
      <c r="B55" s="148"/>
      <c r="C55" s="153"/>
      <c r="D55" s="120"/>
      <c r="E55" s="120"/>
      <c r="F55" s="120"/>
      <c r="G55" s="120"/>
      <c r="H55" s="150"/>
      <c r="I55" s="120"/>
      <c r="J55" s="120"/>
    </row>
    <row r="56" spans="1:10" s="21" customFormat="1" ht="12">
      <c r="A56" s="120"/>
      <c r="B56" s="148"/>
      <c r="C56" s="153"/>
      <c r="D56" s="120"/>
      <c r="E56" s="120"/>
      <c r="F56" s="120"/>
      <c r="G56" s="120"/>
      <c r="H56" s="150"/>
      <c r="I56" s="120"/>
      <c r="J56" s="120"/>
    </row>
    <row r="57" spans="1:10" s="21" customFormat="1" ht="12">
      <c r="A57" s="120"/>
      <c r="B57" s="148"/>
      <c r="C57" s="153"/>
      <c r="D57" s="120"/>
      <c r="E57" s="120"/>
      <c r="F57" s="120"/>
      <c r="G57" s="120"/>
      <c r="H57" s="150"/>
      <c r="I57" s="120"/>
      <c r="J57" s="120"/>
    </row>
    <row r="58" spans="1:10" s="21" customFormat="1" ht="12">
      <c r="A58" s="120"/>
      <c r="B58" s="148"/>
      <c r="C58" s="153"/>
      <c r="D58" s="120"/>
      <c r="E58" s="120"/>
      <c r="F58" s="120"/>
      <c r="G58" s="120"/>
      <c r="H58" s="150"/>
      <c r="I58" s="120"/>
      <c r="J58" s="120"/>
    </row>
    <row r="59" spans="1:10" s="21" customFormat="1" ht="12">
      <c r="A59" s="120"/>
      <c r="B59" s="148"/>
      <c r="C59" s="153"/>
      <c r="D59" s="120"/>
      <c r="E59" s="120"/>
      <c r="F59" s="120"/>
      <c r="G59" s="120"/>
      <c r="H59" s="150"/>
      <c r="I59" s="120"/>
      <c r="J59" s="120"/>
    </row>
    <row r="60" spans="1:10" s="21" customFormat="1" ht="12">
      <c r="A60" s="120"/>
      <c r="B60" s="148"/>
      <c r="C60" s="153"/>
      <c r="D60" s="120"/>
      <c r="E60" s="120"/>
      <c r="F60" s="120"/>
      <c r="G60" s="120"/>
      <c r="H60" s="150"/>
      <c r="I60" s="120"/>
      <c r="J60" s="120"/>
    </row>
    <row r="61" spans="1:10" s="21" customFormat="1" ht="12">
      <c r="A61" s="120"/>
      <c r="B61" s="148"/>
      <c r="C61" s="153"/>
      <c r="D61" s="120"/>
      <c r="E61" s="120"/>
      <c r="F61" s="120"/>
      <c r="G61" s="120"/>
      <c r="H61" s="150"/>
      <c r="I61" s="120"/>
      <c r="J61" s="120"/>
    </row>
    <row r="62" spans="1:10" s="21" customFormat="1" ht="12">
      <c r="A62" s="120"/>
      <c r="B62" s="148"/>
      <c r="C62" s="153"/>
      <c r="D62" s="120"/>
      <c r="E62" s="120"/>
      <c r="F62" s="120"/>
      <c r="G62" s="120"/>
      <c r="H62" s="150"/>
      <c r="I62" s="120"/>
      <c r="J62" s="120"/>
    </row>
    <row r="63" spans="1:10" s="21" customFormat="1" ht="12">
      <c r="A63" s="120"/>
      <c r="B63" s="148"/>
      <c r="C63" s="153"/>
      <c r="D63" s="120"/>
      <c r="E63" s="120"/>
      <c r="F63" s="120"/>
      <c r="G63" s="120"/>
      <c r="H63" s="150"/>
      <c r="I63" s="120"/>
      <c r="J63" s="120"/>
    </row>
    <row r="64" spans="1:10" s="21" customFormat="1" ht="12">
      <c r="A64" s="120"/>
      <c r="B64" s="148"/>
      <c r="C64" s="153"/>
      <c r="D64" s="120"/>
      <c r="E64" s="120"/>
      <c r="F64" s="120"/>
      <c r="G64" s="120"/>
      <c r="H64" s="150"/>
      <c r="I64" s="120"/>
      <c r="J64" s="120"/>
    </row>
    <row r="65" spans="1:10" s="21" customFormat="1" ht="12">
      <c r="A65" s="120"/>
      <c r="B65" s="148"/>
      <c r="C65" s="153"/>
      <c r="D65" s="120"/>
      <c r="E65" s="120"/>
      <c r="F65" s="120"/>
      <c r="G65" s="120"/>
      <c r="H65" s="150"/>
      <c r="I65" s="120"/>
      <c r="J65" s="120"/>
    </row>
    <row r="66" spans="1:10" s="21" customFormat="1" ht="12">
      <c r="A66" s="120"/>
      <c r="B66" s="148"/>
      <c r="C66" s="153"/>
      <c r="D66" s="120"/>
      <c r="E66" s="120"/>
      <c r="F66" s="120"/>
      <c r="G66" s="120"/>
      <c r="H66" s="150"/>
      <c r="I66" s="120"/>
      <c r="J66" s="120"/>
    </row>
    <row r="67" spans="1:10" s="21" customFormat="1" ht="12">
      <c r="A67" s="120"/>
      <c r="B67" s="148"/>
      <c r="C67" s="153"/>
      <c r="D67" s="120"/>
      <c r="E67" s="120"/>
      <c r="F67" s="120"/>
      <c r="G67" s="120"/>
      <c r="H67" s="150"/>
      <c r="I67" s="120"/>
      <c r="J67" s="120"/>
    </row>
    <row r="68" spans="1:10" s="21" customFormat="1" ht="12">
      <c r="A68" s="120"/>
      <c r="B68" s="148"/>
      <c r="C68" s="153"/>
      <c r="D68" s="120"/>
      <c r="E68" s="120"/>
      <c r="F68" s="120"/>
      <c r="G68" s="120"/>
      <c r="H68" s="150"/>
      <c r="I68" s="120"/>
      <c r="J68" s="120"/>
    </row>
    <row r="69" spans="1:10" s="21" customFormat="1" ht="12">
      <c r="A69" s="120"/>
      <c r="B69" s="148"/>
      <c r="C69" s="153"/>
      <c r="D69" s="120"/>
      <c r="E69" s="120"/>
      <c r="F69" s="120"/>
      <c r="G69" s="120"/>
      <c r="H69" s="150"/>
      <c r="I69" s="120"/>
      <c r="J69" s="120"/>
    </row>
    <row r="70" spans="1:10" s="21" customFormat="1" ht="12">
      <c r="A70" s="120"/>
      <c r="B70" s="148"/>
      <c r="C70" s="153"/>
      <c r="D70" s="120"/>
      <c r="E70" s="120"/>
      <c r="F70" s="120"/>
      <c r="G70" s="120"/>
      <c r="H70" s="150"/>
      <c r="I70" s="120"/>
      <c r="J70" s="120"/>
    </row>
    <row r="71" spans="1:10" s="21" customFormat="1" ht="12">
      <c r="A71" s="120"/>
      <c r="B71" s="148"/>
      <c r="C71" s="153"/>
      <c r="D71" s="120"/>
      <c r="E71" s="120"/>
      <c r="F71" s="120"/>
      <c r="G71" s="120"/>
      <c r="H71" s="150"/>
      <c r="I71" s="120"/>
      <c r="J71" s="120"/>
    </row>
    <row r="72" spans="1:10" s="21" customFormat="1" ht="12">
      <c r="A72" s="120"/>
      <c r="B72" s="148"/>
      <c r="C72" s="153"/>
      <c r="D72" s="120"/>
      <c r="E72" s="120"/>
      <c r="F72" s="120"/>
      <c r="G72" s="120"/>
      <c r="H72" s="150"/>
      <c r="I72" s="120"/>
      <c r="J72" s="120"/>
    </row>
    <row r="73" spans="1:10" s="21" customFormat="1" ht="12">
      <c r="A73" s="120"/>
      <c r="B73" s="148"/>
      <c r="C73" s="153"/>
      <c r="D73" s="120"/>
      <c r="E73" s="120"/>
      <c r="F73" s="120"/>
      <c r="G73" s="120"/>
      <c r="H73" s="150"/>
      <c r="I73" s="120"/>
      <c r="J73" s="120"/>
    </row>
    <row r="74" spans="1:10" s="21" customFormat="1" ht="12">
      <c r="A74" s="120"/>
      <c r="B74" s="148"/>
      <c r="C74" s="153"/>
      <c r="D74" s="120"/>
      <c r="E74" s="120"/>
      <c r="F74" s="120"/>
      <c r="G74" s="120"/>
      <c r="H74" s="150"/>
      <c r="I74" s="120"/>
      <c r="J74" s="120"/>
    </row>
    <row r="75" spans="1:10" s="21" customFormat="1" ht="12">
      <c r="A75" s="120"/>
      <c r="B75" s="148"/>
      <c r="C75" s="153"/>
      <c r="D75" s="120"/>
      <c r="E75" s="120"/>
      <c r="F75" s="120"/>
      <c r="G75" s="120"/>
      <c r="H75" s="150"/>
      <c r="I75" s="120"/>
      <c r="J75" s="120"/>
    </row>
    <row r="76" spans="1:10" s="21" customFormat="1" ht="12">
      <c r="A76" s="120"/>
      <c r="B76" s="153"/>
      <c r="C76" s="153"/>
      <c r="D76" s="120"/>
      <c r="E76" s="120"/>
      <c r="F76" s="120"/>
      <c r="G76" s="120"/>
      <c r="H76" s="150"/>
      <c r="I76" s="120"/>
      <c r="J76" s="120"/>
    </row>
    <row r="77" spans="1:10" s="21" customFormat="1" ht="12">
      <c r="A77" s="120"/>
      <c r="B77" s="153"/>
      <c r="C77" s="153"/>
      <c r="D77" s="120"/>
      <c r="E77" s="120"/>
      <c r="F77" s="120"/>
      <c r="G77" s="120"/>
      <c r="H77" s="150"/>
      <c r="I77" s="120"/>
      <c r="J77" s="120"/>
    </row>
    <row r="78" spans="1:10" s="21" customFormat="1" ht="12">
      <c r="A78" s="148"/>
      <c r="B78" s="148"/>
      <c r="C78" s="153"/>
      <c r="D78" s="148"/>
      <c r="E78" s="148"/>
      <c r="F78" s="148"/>
      <c r="G78" s="148"/>
      <c r="H78" s="148"/>
      <c r="I78" s="120"/>
      <c r="J78" s="120"/>
    </row>
    <row r="79" spans="1:10" s="21" customFormat="1" ht="12">
      <c r="A79" s="120"/>
      <c r="B79" s="153"/>
      <c r="C79" s="153"/>
      <c r="D79" s="120"/>
      <c r="E79" s="120"/>
      <c r="F79" s="120"/>
      <c r="G79" s="120"/>
      <c r="H79" s="120"/>
      <c r="I79" s="120"/>
      <c r="J79" s="120"/>
    </row>
    <row r="80" spans="1:10" s="21" customFormat="1" ht="12">
      <c r="A80" s="120"/>
      <c r="B80" s="153"/>
      <c r="C80" s="153"/>
      <c r="D80" s="120"/>
      <c r="E80" s="120"/>
      <c r="F80" s="120"/>
      <c r="G80" s="120"/>
      <c r="H80" s="120"/>
      <c r="I80" s="120"/>
      <c r="J80" s="120"/>
    </row>
    <row r="81" spans="1:10" s="21" customFormat="1" ht="12">
      <c r="A81" s="120"/>
      <c r="B81" s="153"/>
      <c r="C81" s="153"/>
      <c r="D81" s="120"/>
      <c r="E81" s="120"/>
      <c r="F81" s="120"/>
      <c r="G81" s="120"/>
      <c r="H81" s="120"/>
      <c r="I81" s="120"/>
      <c r="J81" s="120"/>
    </row>
    <row r="82" spans="1:10" s="21" customFormat="1" ht="12">
      <c r="A82" s="120"/>
      <c r="B82" s="120"/>
      <c r="C82" s="120"/>
      <c r="D82" s="120"/>
      <c r="E82" s="120"/>
      <c r="F82" s="120"/>
      <c r="G82" s="120"/>
      <c r="H82" s="120"/>
      <c r="I82" s="120"/>
      <c r="J82" s="120"/>
    </row>
    <row r="83" spans="1:10" s="21" customFormat="1" ht="12">
      <c r="A83" s="120"/>
      <c r="B83" s="120"/>
      <c r="C83" s="120"/>
      <c r="D83" s="120"/>
      <c r="E83" s="120"/>
      <c r="F83" s="120"/>
      <c r="G83" s="120"/>
      <c r="H83" s="120"/>
      <c r="I83" s="120"/>
      <c r="J83" s="120"/>
    </row>
    <row r="84" spans="1:10" s="21" customFormat="1" ht="12">
      <c r="A84" s="120"/>
      <c r="B84" s="120"/>
      <c r="C84" s="120"/>
      <c r="D84" s="120"/>
      <c r="E84" s="120"/>
      <c r="F84" s="120"/>
      <c r="G84" s="120"/>
      <c r="H84" s="120"/>
      <c r="I84" s="120"/>
      <c r="J84" s="120"/>
    </row>
    <row r="85" spans="1:10" s="21" customFormat="1" ht="12">
      <c r="A85" s="120"/>
      <c r="B85" s="120"/>
      <c r="C85" s="120"/>
      <c r="D85" s="120"/>
      <c r="E85" s="120"/>
      <c r="F85" s="120"/>
      <c r="G85" s="120"/>
      <c r="H85" s="120"/>
      <c r="I85" s="120"/>
      <c r="J85" s="120"/>
    </row>
    <row r="205" spans="4:4">
      <c r="D205" s="138"/>
    </row>
    <row r="207" spans="4:4">
      <c r="D207" s="138"/>
    </row>
    <row r="208" spans="4:4">
      <c r="D208" s="138"/>
    </row>
    <row r="209" spans="4:4">
      <c r="D209" s="138"/>
    </row>
    <row r="210" spans="4:4">
      <c r="D210" s="138"/>
    </row>
    <row r="211" spans="4:4">
      <c r="D211" s="138"/>
    </row>
    <row r="212" spans="4:4">
      <c r="D212" s="138"/>
    </row>
    <row r="213" spans="4:4">
      <c r="D213" s="138"/>
    </row>
    <row r="214" spans="4:4">
      <c r="D214" s="138"/>
    </row>
    <row r="289" spans="1:3">
      <c r="A289" s="138"/>
      <c r="B289" s="138"/>
      <c r="C289" s="138"/>
    </row>
    <row r="290" spans="1:3">
      <c r="A290" s="138"/>
      <c r="B290" s="138"/>
      <c r="C290" s="138"/>
    </row>
    <row r="291" spans="1:3">
      <c r="A291" s="138"/>
      <c r="B291" s="138"/>
      <c r="C291" s="138"/>
    </row>
    <row r="292" spans="1:3">
      <c r="A292" s="138"/>
      <c r="B292" s="138"/>
      <c r="C292" s="138"/>
    </row>
    <row r="293" spans="1:3">
      <c r="A293" s="138"/>
      <c r="B293" s="138"/>
      <c r="C293" s="138"/>
    </row>
    <row r="323" spans="1:2">
      <c r="A323" s="138"/>
      <c r="B323" s="138"/>
    </row>
    <row r="392" spans="1:1">
      <c r="A392" s="117"/>
    </row>
    <row r="409" spans="1:1">
      <c r="A409" s="138"/>
    </row>
    <row r="410" spans="1:1">
      <c r="A410" s="138"/>
    </row>
    <row r="411" spans="1:1">
      <c r="A411" s="138"/>
    </row>
    <row r="412" spans="1:1">
      <c r="A412" s="138"/>
    </row>
    <row r="413" spans="1:1">
      <c r="A413" s="138"/>
    </row>
    <row r="414" spans="1:1">
      <c r="A414" s="138"/>
    </row>
    <row r="415" spans="1:1">
      <c r="A415" s="138"/>
    </row>
    <row r="416" spans="1:1">
      <c r="A416" s="138"/>
    </row>
    <row r="417" spans="1:1">
      <c r="A417" s="138"/>
    </row>
    <row r="418" spans="1:1">
      <c r="A418" s="138"/>
    </row>
    <row r="419" spans="1:1">
      <c r="A419" s="138"/>
    </row>
    <row r="420" spans="1:1">
      <c r="A420" s="138"/>
    </row>
    <row r="421" spans="1:1">
      <c r="A421" s="138"/>
    </row>
    <row r="422" spans="1:1">
      <c r="A422" s="138"/>
    </row>
    <row r="423" spans="1:1">
      <c r="A423" s="138"/>
    </row>
    <row r="424" spans="1:1">
      <c r="A424" s="138"/>
    </row>
    <row r="425" spans="1:1">
      <c r="A425" s="138"/>
    </row>
    <row r="426" spans="1:1">
      <c r="A426" s="138"/>
    </row>
    <row r="427" spans="1:1">
      <c r="A427" s="138"/>
    </row>
    <row r="428" spans="1:1">
      <c r="A428" s="138"/>
    </row>
    <row r="429" spans="1:1">
      <c r="A429" s="138"/>
    </row>
    <row r="430" spans="1:1">
      <c r="A430" s="138"/>
    </row>
    <row r="431" spans="1:1">
      <c r="A431" s="138"/>
    </row>
    <row r="432" spans="1:1">
      <c r="A432" s="138"/>
    </row>
    <row r="433" spans="1:1">
      <c r="A433" s="138"/>
    </row>
    <row r="434" spans="1:1">
      <c r="A434" s="138"/>
    </row>
    <row r="435" spans="1:1">
      <c r="A435" s="138"/>
    </row>
    <row r="436" spans="1:1">
      <c r="A436" s="138"/>
    </row>
    <row r="437" spans="1:1">
      <c r="A437" s="138"/>
    </row>
    <row r="438" spans="1:1">
      <c r="A438" s="138"/>
    </row>
    <row r="439" spans="1:1">
      <c r="A439" s="138"/>
    </row>
    <row r="440" spans="1:1">
      <c r="A440" s="138"/>
    </row>
    <row r="441" spans="1:1">
      <c r="A441" s="138"/>
    </row>
    <row r="442" spans="1:1">
      <c r="A442" s="138"/>
    </row>
    <row r="443" spans="1:1">
      <c r="A443" s="138"/>
    </row>
    <row r="444" spans="1:1">
      <c r="A444" s="138"/>
    </row>
    <row r="445" spans="1:1">
      <c r="A445" s="138"/>
    </row>
    <row r="446" spans="1:1">
      <c r="A446" s="138"/>
    </row>
    <row r="447" spans="1:1">
      <c r="A447" s="138"/>
    </row>
    <row r="448" spans="1:1">
      <c r="A448" s="138"/>
    </row>
    <row r="449" spans="1:1">
      <c r="A449" s="138"/>
    </row>
    <row r="450" spans="1:1">
      <c r="A450" s="138"/>
    </row>
    <row r="451" spans="1:1">
      <c r="A451" s="138"/>
    </row>
    <row r="452" spans="1:1">
      <c r="A452" s="138"/>
    </row>
    <row r="453" spans="1:1">
      <c r="A453" s="138"/>
    </row>
    <row r="454" spans="1:1">
      <c r="A454" s="138"/>
    </row>
    <row r="455" spans="1:1">
      <c r="A455" s="138"/>
    </row>
    <row r="456" spans="1:1">
      <c r="A456" s="138"/>
    </row>
    <row r="457" spans="1:1">
      <c r="A457" s="138"/>
    </row>
    <row r="458" spans="1:1">
      <c r="A458" s="138"/>
    </row>
    <row r="459" spans="1:1">
      <c r="A459" s="138"/>
    </row>
    <row r="460" spans="1:1">
      <c r="A460" s="138"/>
    </row>
    <row r="461" spans="1:1">
      <c r="A461" s="138"/>
    </row>
    <row r="462" spans="1:1">
      <c r="A462" s="138"/>
    </row>
    <row r="463" spans="1:1">
      <c r="A463" s="138"/>
    </row>
  </sheetData>
  <mergeCells count="1">
    <mergeCell ref="A9:H10"/>
  </mergeCells>
  <phoneticPr fontId="27" type="noConversion"/>
  <printOptions horizontalCentered="1"/>
  <pageMargins left="0.75" right="0.5" top="0.75" bottom="0.5" header="0.25" footer="0.25"/>
  <pageSetup orientation="portrait"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65">
    <pageSetUpPr fitToPage="1"/>
  </sheetPr>
  <dimension ref="A1:N356"/>
  <sheetViews>
    <sheetView view="pageBreakPreview" zoomScale="60" zoomScaleNormal="100" workbookViewId="0">
      <selection sqref="A1:XFD1048576"/>
    </sheetView>
  </sheetViews>
  <sheetFormatPr defaultColWidth="10.85546875" defaultRowHeight="12.75"/>
  <cols>
    <col min="1" max="1" width="10.85546875" style="120"/>
    <col min="2" max="2" width="1.5703125" style="120" customWidth="1"/>
    <col min="3" max="3" width="26.7109375" style="120" customWidth="1"/>
    <col min="4" max="4" width="3.5703125" style="120" customWidth="1"/>
    <col min="5" max="5" width="15" style="120" customWidth="1"/>
    <col min="6" max="6" width="14" style="120" customWidth="1"/>
    <col min="7" max="7" width="24" style="120" customWidth="1"/>
    <col min="8" max="16384" width="10.85546875" style="11"/>
  </cols>
  <sheetData>
    <row r="1" spans="1:7">
      <c r="A1" s="117" t="s">
        <v>889</v>
      </c>
      <c r="B1" s="117"/>
      <c r="C1" s="117"/>
      <c r="E1" s="143"/>
      <c r="F1" s="781" t="s">
        <v>1209</v>
      </c>
      <c r="G1" s="117"/>
    </row>
    <row r="2" spans="1:7">
      <c r="A2" s="117"/>
      <c r="B2" s="117"/>
      <c r="C2" s="117"/>
      <c r="E2" s="143"/>
      <c r="F2" s="786"/>
      <c r="G2" s="117"/>
    </row>
    <row r="3" spans="1:7">
      <c r="A3" s="117" t="s">
        <v>2644</v>
      </c>
      <c r="B3" s="117"/>
      <c r="C3" s="117"/>
      <c r="E3" s="143"/>
      <c r="F3" s="781" t="s">
        <v>1517</v>
      </c>
      <c r="G3" s="117"/>
    </row>
    <row r="4" spans="1:7">
      <c r="A4" s="117" t="s">
        <v>2645</v>
      </c>
      <c r="B4" s="176"/>
      <c r="C4" s="123"/>
      <c r="E4" s="144"/>
      <c r="F4" s="781" t="s">
        <v>766</v>
      </c>
      <c r="G4" s="117"/>
    </row>
    <row r="5" spans="1:7">
      <c r="A5" s="117" t="s">
        <v>1936</v>
      </c>
      <c r="B5" s="176"/>
      <c r="C5" s="117"/>
      <c r="E5" s="117"/>
      <c r="F5" s="474" t="s">
        <v>2951</v>
      </c>
      <c r="G5" s="117"/>
    </row>
    <row r="6" spans="1:7">
      <c r="A6" s="117"/>
      <c r="B6" s="117"/>
      <c r="C6" s="117"/>
      <c r="D6" s="117"/>
      <c r="E6" s="117"/>
      <c r="F6" s="117"/>
      <c r="G6" s="117"/>
    </row>
    <row r="7" spans="1:7">
      <c r="A7" s="2307" t="s">
        <v>1402</v>
      </c>
      <c r="B7" s="2297"/>
      <c r="C7" s="2297"/>
      <c r="D7" s="2297"/>
      <c r="E7" s="2297"/>
      <c r="F7" s="2297"/>
      <c r="G7" s="2297"/>
    </row>
    <row r="8" spans="1:7">
      <c r="A8" s="2297"/>
      <c r="B8" s="2297"/>
      <c r="C8" s="2297"/>
      <c r="D8" s="2297"/>
      <c r="E8" s="2297"/>
      <c r="F8" s="2297"/>
      <c r="G8" s="2297"/>
    </row>
    <row r="9" spans="1:7" ht="13.5" thickBot="1">
      <c r="A9" s="124"/>
      <c r="B9" s="124"/>
      <c r="C9" s="124"/>
      <c r="D9" s="124"/>
      <c r="E9" s="124"/>
      <c r="F9" s="124"/>
      <c r="G9" s="124"/>
    </row>
    <row r="10" spans="1:7">
      <c r="A10" s="127"/>
      <c r="B10" s="117"/>
      <c r="C10" s="206">
        <v>-1</v>
      </c>
      <c r="D10" s="197"/>
      <c r="E10" s="198">
        <v>-2</v>
      </c>
      <c r="F10" s="198"/>
      <c r="G10" s="198"/>
    </row>
    <row r="11" spans="1:7">
      <c r="A11" s="169" t="s">
        <v>802</v>
      </c>
      <c r="B11" s="117"/>
      <c r="C11" s="169" t="s">
        <v>1400</v>
      </c>
      <c r="D11" s="117"/>
      <c r="E11" s="440" t="s">
        <v>1403</v>
      </c>
      <c r="F11" s="440"/>
      <c r="G11" s="440"/>
    </row>
    <row r="12" spans="1:7">
      <c r="A12" s="148"/>
      <c r="C12" s="211"/>
      <c r="D12" s="211"/>
      <c r="E12" s="211"/>
      <c r="F12" s="211"/>
      <c r="G12" s="211"/>
    </row>
    <row r="13" spans="1:7">
      <c r="A13" s="1022">
        <v>1</v>
      </c>
      <c r="B13" s="1028"/>
      <c r="C13" s="2328" t="s">
        <v>2934</v>
      </c>
      <c r="D13" s="2328"/>
      <c r="E13" s="2328"/>
      <c r="F13" s="2328"/>
      <c r="G13" s="2328"/>
    </row>
    <row r="14" spans="1:7">
      <c r="A14" s="153">
        <v>2</v>
      </c>
      <c r="C14" s="2328"/>
      <c r="D14" s="2328"/>
      <c r="E14" s="2328"/>
      <c r="F14" s="2328"/>
      <c r="G14" s="2328"/>
    </row>
    <row r="15" spans="1:7">
      <c r="A15" s="148"/>
    </row>
    <row r="16" spans="1:7">
      <c r="A16" s="148"/>
    </row>
    <row r="17" spans="1:5">
      <c r="A17" s="148"/>
    </row>
    <row r="18" spans="1:5">
      <c r="A18" s="148"/>
    </row>
    <row r="19" spans="1:5">
      <c r="A19" s="148"/>
    </row>
    <row r="20" spans="1:5">
      <c r="A20" s="148"/>
    </row>
    <row r="21" spans="1:5">
      <c r="A21" s="148"/>
    </row>
    <row r="22" spans="1:5">
      <c r="A22" s="148"/>
    </row>
    <row r="23" spans="1:5">
      <c r="A23" s="148"/>
    </row>
    <row r="24" spans="1:5">
      <c r="A24" s="148"/>
    </row>
    <row r="25" spans="1:5">
      <c r="A25" s="148"/>
    </row>
    <row r="26" spans="1:5">
      <c r="A26" s="148"/>
    </row>
    <row r="27" spans="1:5">
      <c r="A27" s="148"/>
      <c r="E27" s="211"/>
    </row>
    <row r="28" spans="1:5">
      <c r="A28" s="148"/>
    </row>
    <row r="29" spans="1:5">
      <c r="A29" s="148"/>
    </row>
    <row r="30" spans="1:5">
      <c r="A30" s="148"/>
    </row>
    <row r="31" spans="1:5">
      <c r="A31" s="148"/>
    </row>
    <row r="32" spans="1:5">
      <c r="A32" s="148"/>
    </row>
    <row r="33" spans="1:1">
      <c r="A33" s="148"/>
    </row>
    <row r="34" spans="1:1">
      <c r="A34" s="148"/>
    </row>
    <row r="35" spans="1:1">
      <c r="A35" s="148"/>
    </row>
    <row r="36" spans="1:1">
      <c r="A36" s="148"/>
    </row>
    <row r="37" spans="1:1">
      <c r="A37" s="148"/>
    </row>
    <row r="38" spans="1:1">
      <c r="A38" s="148"/>
    </row>
    <row r="39" spans="1:1">
      <c r="A39" s="148"/>
    </row>
    <row r="40" spans="1:1">
      <c r="A40" s="148"/>
    </row>
    <row r="41" spans="1:1">
      <c r="A41" s="148"/>
    </row>
    <row r="42" spans="1:1">
      <c r="A42" s="148"/>
    </row>
    <row r="43" spans="1:1">
      <c r="A43" s="148"/>
    </row>
    <row r="44" spans="1:1">
      <c r="A44" s="148"/>
    </row>
    <row r="45" spans="1:1">
      <c r="A45" s="148"/>
    </row>
    <row r="46" spans="1:1">
      <c r="A46" s="148"/>
    </row>
    <row r="47" spans="1:1">
      <c r="A47" s="148"/>
    </row>
    <row r="48" spans="1:1">
      <c r="A48" s="148"/>
    </row>
    <row r="49" spans="1:7">
      <c r="A49" s="189"/>
      <c r="B49" s="153"/>
      <c r="C49" s="153"/>
      <c r="D49" s="153"/>
      <c r="E49" s="153"/>
      <c r="F49" s="153"/>
      <c r="G49" s="153"/>
    </row>
    <row r="50" spans="1:7">
      <c r="A50" s="148"/>
    </row>
    <row r="51" spans="1:7">
      <c r="A51" s="148"/>
    </row>
    <row r="52" spans="1:7">
      <c r="A52" s="148"/>
    </row>
    <row r="53" spans="1:7">
      <c r="A53" s="148"/>
    </row>
    <row r="54" spans="1:7">
      <c r="A54" s="148"/>
    </row>
    <row r="55" spans="1:7">
      <c r="A55" s="148"/>
    </row>
    <row r="56" spans="1:7">
      <c r="A56" s="148"/>
    </row>
    <row r="57" spans="1:7">
      <c r="A57" s="148"/>
    </row>
    <row r="58" spans="1:7">
      <c r="A58" s="148"/>
    </row>
    <row r="59" spans="1:7">
      <c r="A59" s="148"/>
    </row>
    <row r="60" spans="1:7">
      <c r="A60" s="148"/>
    </row>
    <row r="61" spans="1:7">
      <c r="A61" s="148"/>
    </row>
    <row r="62" spans="1:7">
      <c r="A62" s="148"/>
    </row>
    <row r="63" spans="1:7">
      <c r="A63" s="148"/>
    </row>
    <row r="64" spans="1:7">
      <c r="A64" s="148"/>
    </row>
    <row r="65" spans="1:7">
      <c r="A65" s="148"/>
    </row>
    <row r="66" spans="1:7">
      <c r="A66" s="148"/>
    </row>
    <row r="67" spans="1:7">
      <c r="A67" s="148"/>
    </row>
    <row r="68" spans="1:7">
      <c r="A68" s="148"/>
    </row>
    <row r="69" spans="1:7">
      <c r="A69" s="148"/>
    </row>
    <row r="70" spans="1:7">
      <c r="A70" s="148"/>
    </row>
    <row r="71" spans="1:7">
      <c r="A71" s="148"/>
    </row>
    <row r="72" spans="1:7">
      <c r="A72" s="148"/>
    </row>
    <row r="73" spans="1:7">
      <c r="A73" s="148"/>
    </row>
    <row r="74" spans="1:7">
      <c r="A74" s="148"/>
    </row>
    <row r="75" spans="1:7">
      <c r="A75" s="148"/>
    </row>
    <row r="76" spans="1:7">
      <c r="A76" s="148"/>
    </row>
    <row r="77" spans="1:7">
      <c r="A77" s="148"/>
    </row>
    <row r="78" spans="1:7">
      <c r="A78" s="153"/>
      <c r="B78" s="148"/>
      <c r="C78" s="148"/>
      <c r="D78" s="148"/>
      <c r="E78" s="148"/>
      <c r="F78" s="148"/>
      <c r="G78" s="148"/>
    </row>
    <row r="79" spans="1:7">
      <c r="A79" s="153"/>
    </row>
    <row r="87" spans="7:7">
      <c r="G87" s="137"/>
    </row>
    <row r="88" spans="7:7">
      <c r="G88" s="180"/>
    </row>
    <row r="89" spans="7:7">
      <c r="G89" s="180"/>
    </row>
    <row r="90" spans="7:7">
      <c r="G90" s="180"/>
    </row>
    <row r="91" spans="7:7">
      <c r="G91" s="180"/>
    </row>
    <row r="92" spans="7:7">
      <c r="G92" s="180"/>
    </row>
    <row r="93" spans="7:7">
      <c r="G93" s="180"/>
    </row>
    <row r="94" spans="7:7">
      <c r="G94" s="180"/>
    </row>
    <row r="95" spans="7:7">
      <c r="G95" s="180"/>
    </row>
    <row r="96" spans="7:7">
      <c r="G96" s="180"/>
    </row>
    <row r="97" spans="7:7">
      <c r="G97" s="180"/>
    </row>
    <row r="98" spans="7:7">
      <c r="G98" s="180"/>
    </row>
    <row r="99" spans="7:7">
      <c r="G99" s="180"/>
    </row>
    <row r="100" spans="7:7">
      <c r="G100" s="180"/>
    </row>
    <row r="101" spans="7:7">
      <c r="G101" s="180"/>
    </row>
    <row r="102" spans="7:7">
      <c r="G102" s="180"/>
    </row>
    <row r="103" spans="7:7">
      <c r="G103" s="180"/>
    </row>
    <row r="104" spans="7:7">
      <c r="G104" s="180"/>
    </row>
    <row r="105" spans="7:7">
      <c r="G105" s="180"/>
    </row>
    <row r="106" spans="7:7">
      <c r="G106" s="180"/>
    </row>
    <row r="107" spans="7:7">
      <c r="G107" s="180"/>
    </row>
    <row r="108" spans="7:7">
      <c r="G108" s="180"/>
    </row>
    <row r="109" spans="7:7">
      <c r="G109" s="180"/>
    </row>
    <row r="110" spans="7:7">
      <c r="G110" s="180"/>
    </row>
    <row r="111" spans="7:7">
      <c r="G111" s="180"/>
    </row>
    <row r="112" spans="7:7">
      <c r="G112" s="180"/>
    </row>
    <row r="113" spans="7:7">
      <c r="G113" s="180"/>
    </row>
    <row r="114" spans="7:7">
      <c r="G114" s="180"/>
    </row>
    <row r="115" spans="7:7">
      <c r="G115" s="180"/>
    </row>
    <row r="116" spans="7:7">
      <c r="G116" s="180"/>
    </row>
    <row r="118" spans="7:7">
      <c r="G118" s="137"/>
    </row>
    <row r="158" spans="7:7">
      <c r="G158" s="137"/>
    </row>
    <row r="159" spans="7:7">
      <c r="G159" s="180"/>
    </row>
    <row r="160" spans="7:7">
      <c r="G160" s="180"/>
    </row>
    <row r="161" spans="7:14">
      <c r="G161" s="180"/>
      <c r="J161" s="19"/>
      <c r="N161" s="19"/>
    </row>
    <row r="162" spans="7:14">
      <c r="G162" s="180"/>
    </row>
    <row r="163" spans="7:14">
      <c r="G163" s="180"/>
    </row>
    <row r="164" spans="7:14">
      <c r="G164" s="180"/>
      <c r="J164" s="19"/>
      <c r="N164" s="19"/>
    </row>
    <row r="165" spans="7:14">
      <c r="G165" s="180"/>
    </row>
    <row r="166" spans="7:14">
      <c r="G166" s="180"/>
    </row>
    <row r="167" spans="7:14">
      <c r="G167" s="180"/>
    </row>
    <row r="168" spans="7:14">
      <c r="G168" s="180"/>
    </row>
    <row r="169" spans="7:14">
      <c r="G169" s="180"/>
    </row>
    <row r="170" spans="7:14">
      <c r="G170" s="180"/>
    </row>
    <row r="171" spans="7:14">
      <c r="G171" s="180"/>
    </row>
    <row r="172" spans="7:14">
      <c r="G172" s="180"/>
    </row>
    <row r="173" spans="7:14">
      <c r="G173" s="180"/>
    </row>
    <row r="174" spans="7:14">
      <c r="G174" s="180"/>
    </row>
    <row r="175" spans="7:14">
      <c r="G175" s="180"/>
    </row>
    <row r="176" spans="7:14">
      <c r="G176" s="180"/>
    </row>
    <row r="177" spans="7:7">
      <c r="G177" s="180"/>
    </row>
    <row r="178" spans="7:7">
      <c r="G178" s="180"/>
    </row>
    <row r="179" spans="7:7">
      <c r="G179" s="180"/>
    </row>
    <row r="180" spans="7:7">
      <c r="G180" s="180"/>
    </row>
    <row r="181" spans="7:7">
      <c r="G181" s="180"/>
    </row>
    <row r="182" spans="7:7">
      <c r="G182" s="180"/>
    </row>
    <row r="183" spans="7:7">
      <c r="G183" s="180"/>
    </row>
    <row r="184" spans="7:7">
      <c r="G184" s="180"/>
    </row>
    <row r="185" spans="7:7">
      <c r="G185" s="180"/>
    </row>
    <row r="186" spans="7:7">
      <c r="G186" s="180"/>
    </row>
    <row r="187" spans="7:7">
      <c r="G187" s="180"/>
    </row>
    <row r="189" spans="7:7">
      <c r="G189" s="137"/>
    </row>
    <row r="203" spans="4:4">
      <c r="D203" s="138"/>
    </row>
    <row r="205" spans="4:4">
      <c r="D205" s="138"/>
    </row>
    <row r="206" spans="4:4">
      <c r="D206" s="138"/>
    </row>
    <row r="207" spans="4:4">
      <c r="D207" s="138"/>
    </row>
    <row r="208" spans="4:4">
      <c r="D208" s="138"/>
    </row>
    <row r="209" spans="4:7">
      <c r="D209" s="138"/>
    </row>
    <row r="210" spans="4:7">
      <c r="D210" s="138"/>
    </row>
    <row r="211" spans="4:7">
      <c r="D211" s="138"/>
    </row>
    <row r="212" spans="4:7">
      <c r="D212" s="138"/>
    </row>
    <row r="218" spans="4:7">
      <c r="G218" s="137"/>
    </row>
    <row r="219" spans="4:7">
      <c r="G219" s="180"/>
    </row>
    <row r="220" spans="4:7">
      <c r="G220" s="180"/>
    </row>
    <row r="221" spans="4:7">
      <c r="G221" s="180"/>
    </row>
    <row r="222" spans="4:7">
      <c r="G222" s="180"/>
    </row>
    <row r="223" spans="4:7">
      <c r="G223" s="180"/>
    </row>
    <row r="224" spans="4:7">
      <c r="G224" s="180"/>
    </row>
    <row r="225" spans="7:7">
      <c r="G225" s="180"/>
    </row>
    <row r="226" spans="7:7">
      <c r="G226" s="180"/>
    </row>
    <row r="227" spans="7:7">
      <c r="G227" s="180"/>
    </row>
    <row r="228" spans="7:7">
      <c r="G228" s="180"/>
    </row>
    <row r="229" spans="7:7">
      <c r="G229" s="180"/>
    </row>
    <row r="230" spans="7:7">
      <c r="G230" s="180"/>
    </row>
    <row r="231" spans="7:7">
      <c r="G231" s="180"/>
    </row>
    <row r="232" spans="7:7">
      <c r="G232" s="180"/>
    </row>
    <row r="233" spans="7:7">
      <c r="G233" s="180"/>
    </row>
    <row r="234" spans="7:7">
      <c r="G234" s="180"/>
    </row>
    <row r="235" spans="7:7">
      <c r="G235" s="180"/>
    </row>
    <row r="236" spans="7:7">
      <c r="G236" s="180"/>
    </row>
    <row r="237" spans="7:7">
      <c r="G237" s="180"/>
    </row>
    <row r="256" spans="7:7">
      <c r="G256" s="137"/>
    </row>
    <row r="257" spans="7:7">
      <c r="G257" s="180"/>
    </row>
    <row r="258" spans="7:7">
      <c r="G258" s="180"/>
    </row>
    <row r="259" spans="7:7">
      <c r="G259" s="180"/>
    </row>
    <row r="260" spans="7:7">
      <c r="G260" s="180"/>
    </row>
    <row r="261" spans="7:7">
      <c r="G261" s="180"/>
    </row>
    <row r="262" spans="7:7">
      <c r="G262" s="180"/>
    </row>
    <row r="263" spans="7:7">
      <c r="G263" s="180"/>
    </row>
    <row r="264" spans="7:7">
      <c r="G264" s="180"/>
    </row>
    <row r="265" spans="7:7">
      <c r="G265" s="180"/>
    </row>
    <row r="266" spans="7:7">
      <c r="G266" s="180"/>
    </row>
    <row r="267" spans="7:7">
      <c r="G267" s="180"/>
    </row>
    <row r="268" spans="7:7">
      <c r="G268" s="180"/>
    </row>
    <row r="269" spans="7:7">
      <c r="G269" s="180"/>
    </row>
    <row r="270" spans="7:7">
      <c r="G270" s="180"/>
    </row>
    <row r="271" spans="7:7">
      <c r="G271" s="180"/>
    </row>
    <row r="272" spans="7:7">
      <c r="G272" s="180"/>
    </row>
    <row r="273" spans="1:7">
      <c r="G273" s="180"/>
    </row>
    <row r="274" spans="1:7">
      <c r="G274" s="180"/>
    </row>
    <row r="275" spans="1:7">
      <c r="G275" s="180"/>
    </row>
    <row r="276" spans="1:7">
      <c r="G276" s="180"/>
    </row>
    <row r="277" spans="1:7">
      <c r="G277" s="180"/>
    </row>
    <row r="278" spans="1:7">
      <c r="G278" s="180"/>
    </row>
    <row r="279" spans="1:7">
      <c r="G279" s="180"/>
    </row>
    <row r="280" spans="1:7">
      <c r="G280" s="180"/>
    </row>
    <row r="281" spans="1:7">
      <c r="G281" s="180"/>
    </row>
    <row r="282" spans="1:7">
      <c r="G282" s="180"/>
    </row>
    <row r="283" spans="1:7">
      <c r="G283" s="180"/>
    </row>
    <row r="284" spans="1:7">
      <c r="G284" s="180"/>
    </row>
    <row r="285" spans="1:7">
      <c r="G285" s="180"/>
    </row>
    <row r="286" spans="1:7">
      <c r="G286" s="180"/>
    </row>
    <row r="287" spans="1:7">
      <c r="A287" s="138"/>
      <c r="B287" s="138"/>
      <c r="C287" s="138"/>
      <c r="G287" s="180"/>
    </row>
    <row r="288" spans="1:7">
      <c r="A288" s="138"/>
      <c r="B288" s="138"/>
      <c r="C288" s="138"/>
      <c r="G288" s="180"/>
    </row>
    <row r="289" spans="1:7">
      <c r="A289" s="138"/>
      <c r="B289" s="138"/>
      <c r="C289" s="138"/>
      <c r="G289" s="180"/>
    </row>
    <row r="290" spans="1:7">
      <c r="A290" s="138"/>
      <c r="B290" s="138"/>
      <c r="C290" s="138"/>
      <c r="G290" s="180"/>
    </row>
    <row r="291" spans="1:7">
      <c r="A291" s="138"/>
      <c r="B291" s="138"/>
      <c r="C291" s="138"/>
      <c r="G291" s="180"/>
    </row>
    <row r="292" spans="1:7">
      <c r="G292" s="180"/>
    </row>
    <row r="294" spans="1:7">
      <c r="G294" s="137"/>
    </row>
    <row r="296" spans="1:7">
      <c r="G296" s="138"/>
    </row>
    <row r="316" spans="7:7">
      <c r="G316" s="137"/>
    </row>
    <row r="317" spans="7:7">
      <c r="G317" s="180"/>
    </row>
    <row r="318" spans="7:7">
      <c r="G318" s="180"/>
    </row>
    <row r="319" spans="7:7">
      <c r="G319" s="180"/>
    </row>
    <row r="320" spans="7:7">
      <c r="G320" s="180"/>
    </row>
    <row r="321" spans="1:7">
      <c r="A321" s="138"/>
      <c r="B321" s="138"/>
      <c r="G321" s="180"/>
    </row>
    <row r="322" spans="1:7">
      <c r="G322" s="180"/>
    </row>
    <row r="323" spans="1:7">
      <c r="G323" s="180"/>
    </row>
    <row r="324" spans="1:7">
      <c r="G324" s="180"/>
    </row>
    <row r="325" spans="1:7">
      <c r="G325" s="180"/>
    </row>
    <row r="326" spans="1:7">
      <c r="G326" s="180"/>
    </row>
    <row r="327" spans="1:7">
      <c r="G327" s="180"/>
    </row>
    <row r="328" spans="1:7">
      <c r="G328" s="180"/>
    </row>
    <row r="329" spans="1:7">
      <c r="G329" s="180"/>
    </row>
    <row r="330" spans="1:7">
      <c r="G330" s="180"/>
    </row>
    <row r="331" spans="1:7">
      <c r="G331" s="180"/>
    </row>
    <row r="332" spans="1:7">
      <c r="G332" s="180"/>
    </row>
    <row r="333" spans="1:7">
      <c r="G333" s="180"/>
    </row>
    <row r="334" spans="1:7">
      <c r="G334" s="180"/>
    </row>
    <row r="335" spans="1:7">
      <c r="G335" s="180"/>
    </row>
    <row r="336" spans="1:7">
      <c r="G336" s="180"/>
    </row>
    <row r="337" spans="7:7">
      <c r="G337" s="180"/>
    </row>
    <row r="338" spans="7:7">
      <c r="G338" s="180"/>
    </row>
    <row r="339" spans="7:7">
      <c r="G339" s="180"/>
    </row>
    <row r="340" spans="7:7">
      <c r="G340" s="180"/>
    </row>
    <row r="341" spans="7:7">
      <c r="G341" s="180"/>
    </row>
    <row r="342" spans="7:7">
      <c r="G342" s="180"/>
    </row>
    <row r="343" spans="7:7">
      <c r="G343" s="180"/>
    </row>
    <row r="344" spans="7:7">
      <c r="G344" s="180"/>
    </row>
    <row r="345" spans="7:7">
      <c r="G345" s="180"/>
    </row>
    <row r="346" spans="7:7">
      <c r="G346" s="180"/>
    </row>
    <row r="347" spans="7:7">
      <c r="G347" s="180"/>
    </row>
    <row r="348" spans="7:7">
      <c r="G348" s="180"/>
    </row>
    <row r="349" spans="7:7">
      <c r="G349" s="180"/>
    </row>
    <row r="350" spans="7:7">
      <c r="G350" s="180"/>
    </row>
    <row r="351" spans="7:7">
      <c r="G351" s="180"/>
    </row>
    <row r="352" spans="7:7">
      <c r="G352" s="180"/>
    </row>
    <row r="354" spans="7:7">
      <c r="G354" s="137"/>
    </row>
    <row r="356" spans="7:7">
      <c r="G356" s="138"/>
    </row>
  </sheetData>
  <mergeCells count="2">
    <mergeCell ref="A7:G8"/>
    <mergeCell ref="C13:G14"/>
  </mergeCells>
  <phoneticPr fontId="27" type="noConversion"/>
  <printOptions horizontalCentered="1"/>
  <pageMargins left="0.75" right="0.5" top="0.75" bottom="0.5" header="0.25" footer="0.25"/>
  <pageSetup scale="98"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67">
    <pageSetUpPr fitToPage="1"/>
  </sheetPr>
  <dimension ref="A1:L465"/>
  <sheetViews>
    <sheetView view="pageBreakPreview" zoomScale="60" zoomScaleNormal="100" workbookViewId="0">
      <selection sqref="A1:XFD1048576"/>
    </sheetView>
  </sheetViews>
  <sheetFormatPr defaultColWidth="10.85546875" defaultRowHeight="12.75"/>
  <cols>
    <col min="1" max="1" width="7" style="120" customWidth="1"/>
    <col min="2" max="2" width="14.42578125" style="120" customWidth="1"/>
    <col min="3" max="3" width="26.140625" style="120" customWidth="1"/>
    <col min="4" max="4" width="18.28515625" style="120" customWidth="1"/>
    <col min="5" max="5" width="19.42578125" style="120" customWidth="1"/>
    <col min="6" max="6" width="15.85546875" style="120" customWidth="1"/>
    <col min="7" max="7" width="10.85546875" style="120"/>
    <col min="8" max="16384" width="10.85546875" style="11"/>
  </cols>
  <sheetData>
    <row r="1" spans="1:12" s="21" customFormat="1" ht="12">
      <c r="A1" s="117" t="s">
        <v>617</v>
      </c>
      <c r="B1" s="117"/>
      <c r="C1" s="143"/>
      <c r="E1" s="117" t="s">
        <v>1209</v>
      </c>
      <c r="G1" s="120"/>
    </row>
    <row r="2" spans="1:12" s="21" customFormat="1" ht="12">
      <c r="A2" s="117"/>
      <c r="B2" s="117"/>
      <c r="C2" s="143"/>
      <c r="E2" s="117"/>
      <c r="G2" s="120"/>
    </row>
    <row r="3" spans="1:12" s="21" customFormat="1" ht="12">
      <c r="A3" s="117" t="s">
        <v>2644</v>
      </c>
      <c r="B3" s="117"/>
      <c r="C3" s="143"/>
      <c r="E3" s="117" t="s">
        <v>1404</v>
      </c>
      <c r="G3" s="120"/>
    </row>
    <row r="4" spans="1:12" s="21" customFormat="1" ht="12">
      <c r="A4" s="117" t="s">
        <v>2645</v>
      </c>
      <c r="B4" s="117"/>
      <c r="C4" s="144"/>
      <c r="E4" s="117" t="s">
        <v>766</v>
      </c>
      <c r="G4" s="120"/>
    </row>
    <row r="5" spans="1:12" s="21" customFormat="1" ht="12">
      <c r="A5" s="117" t="s">
        <v>1936</v>
      </c>
      <c r="B5" s="117"/>
      <c r="C5" s="117"/>
      <c r="E5" s="474" t="s">
        <v>2951</v>
      </c>
      <c r="G5" s="120"/>
    </row>
    <row r="6" spans="1:12" s="21" customFormat="1" ht="12">
      <c r="A6" s="117"/>
      <c r="B6" s="117"/>
      <c r="C6" s="117"/>
      <c r="D6" s="117"/>
      <c r="E6" s="117"/>
      <c r="F6" s="117"/>
      <c r="G6" s="120"/>
    </row>
    <row r="7" spans="1:12" s="21" customFormat="1" ht="12">
      <c r="A7" s="2308" t="s">
        <v>1465</v>
      </c>
      <c r="B7" s="2308"/>
      <c r="C7" s="2308"/>
      <c r="D7" s="2308"/>
      <c r="E7" s="2308"/>
      <c r="F7" s="2308"/>
      <c r="G7" s="120"/>
    </row>
    <row r="8" spans="1:12" s="21" customFormat="1" ht="12">
      <c r="A8" s="2308"/>
      <c r="B8" s="2308"/>
      <c r="C8" s="2308"/>
      <c r="D8" s="2308"/>
      <c r="E8" s="2308"/>
      <c r="F8" s="2308"/>
      <c r="G8" s="120"/>
    </row>
    <row r="9" spans="1:12" s="21" customFormat="1" thickBot="1">
      <c r="A9" s="124"/>
      <c r="B9" s="124"/>
      <c r="C9" s="124"/>
      <c r="D9" s="124"/>
      <c r="E9" s="124"/>
      <c r="F9" s="124"/>
      <c r="G9" s="153"/>
      <c r="H9" s="28"/>
      <c r="I9" s="28"/>
      <c r="J9" s="28"/>
      <c r="K9" s="28"/>
      <c r="L9" s="28"/>
    </row>
    <row r="10" spans="1:12" s="21" customFormat="1" ht="12">
      <c r="A10" s="120"/>
      <c r="B10" s="127" t="s">
        <v>914</v>
      </c>
      <c r="C10" s="127" t="s">
        <v>915</v>
      </c>
      <c r="D10" s="127" t="s">
        <v>916</v>
      </c>
      <c r="E10" s="127" t="s">
        <v>917</v>
      </c>
      <c r="F10" s="127" t="s">
        <v>1466</v>
      </c>
      <c r="G10" s="153"/>
      <c r="H10" s="28"/>
      <c r="I10" s="28"/>
      <c r="J10" s="28"/>
      <c r="K10" s="28"/>
      <c r="L10" s="28"/>
    </row>
    <row r="11" spans="1:12" s="21" customFormat="1" ht="12">
      <c r="A11" s="127" t="s">
        <v>53</v>
      </c>
      <c r="B11" s="127" t="s">
        <v>1467</v>
      </c>
      <c r="C11" s="127" t="s">
        <v>1468</v>
      </c>
      <c r="D11" s="117"/>
      <c r="E11" s="127" t="s">
        <v>1469</v>
      </c>
      <c r="F11" s="127" t="s">
        <v>1400</v>
      </c>
      <c r="G11" s="153"/>
      <c r="H11" s="28"/>
      <c r="I11" s="28"/>
      <c r="J11" s="28"/>
      <c r="K11" s="28"/>
      <c r="L11" s="28"/>
    </row>
    <row r="12" spans="1:12" s="21" customFormat="1" ht="12">
      <c r="A12" s="806" t="s">
        <v>730</v>
      </c>
      <c r="B12" s="806" t="s">
        <v>1470</v>
      </c>
      <c r="C12" s="806" t="s">
        <v>1471</v>
      </c>
      <c r="D12" s="806" t="s">
        <v>978</v>
      </c>
      <c r="E12" s="806" t="s">
        <v>1472</v>
      </c>
      <c r="F12" s="806" t="s">
        <v>1473</v>
      </c>
      <c r="G12" s="120"/>
    </row>
    <row r="13" spans="1:12" s="21" customFormat="1" ht="12">
      <c r="A13" s="117"/>
      <c r="B13" s="120"/>
      <c r="C13" s="120"/>
      <c r="D13" s="120"/>
      <c r="E13" s="120"/>
      <c r="F13" s="120"/>
      <c r="G13" s="120"/>
      <c r="L13" s="28"/>
    </row>
    <row r="14" spans="1:12" s="42" customFormat="1" ht="12">
      <c r="A14" s="1088">
        <v>1</v>
      </c>
      <c r="B14" s="2328" t="s">
        <v>2935</v>
      </c>
      <c r="C14" s="2328"/>
      <c r="D14" s="2328"/>
      <c r="E14" s="2328"/>
      <c r="F14" s="2328"/>
      <c r="G14" s="441"/>
      <c r="L14" s="27"/>
    </row>
    <row r="15" spans="1:12" s="21" customFormat="1" ht="12">
      <c r="A15" s="2287">
        <v>2</v>
      </c>
      <c r="B15" s="2328"/>
      <c r="C15" s="2328"/>
      <c r="D15" s="2328"/>
      <c r="E15" s="2328"/>
      <c r="F15" s="2328"/>
      <c r="G15" s="120"/>
      <c r="L15" s="28"/>
    </row>
    <row r="16" spans="1:12">
      <c r="A16" s="191"/>
    </row>
    <row r="17" spans="1:1">
      <c r="A17" s="148"/>
    </row>
    <row r="18" spans="1:1">
      <c r="A18" s="148"/>
    </row>
    <row r="19" spans="1:1">
      <c r="A19" s="148"/>
    </row>
    <row r="20" spans="1:1">
      <c r="A20" s="148"/>
    </row>
    <row r="21" spans="1:1">
      <c r="A21" s="148"/>
    </row>
    <row r="22" spans="1:1">
      <c r="A22" s="148"/>
    </row>
    <row r="23" spans="1:1">
      <c r="A23" s="148"/>
    </row>
    <row r="24" spans="1:1">
      <c r="A24" s="148"/>
    </row>
    <row r="25" spans="1:1">
      <c r="A25" s="148"/>
    </row>
    <row r="26" spans="1:1">
      <c r="A26" s="148"/>
    </row>
    <row r="27" spans="1:1">
      <c r="A27" s="148"/>
    </row>
    <row r="28" spans="1:1">
      <c r="A28" s="148"/>
    </row>
    <row r="29" spans="1:1">
      <c r="A29" s="148"/>
    </row>
    <row r="30" spans="1:1">
      <c r="A30" s="148"/>
    </row>
    <row r="31" spans="1:1">
      <c r="A31" s="148"/>
    </row>
    <row r="32" spans="1:1">
      <c r="A32" s="148"/>
    </row>
    <row r="33" spans="1:1">
      <c r="A33" s="148"/>
    </row>
    <row r="34" spans="1:1">
      <c r="A34" s="148"/>
    </row>
    <row r="35" spans="1:1">
      <c r="A35" s="148"/>
    </row>
    <row r="36" spans="1:1">
      <c r="A36" s="148"/>
    </row>
    <row r="37" spans="1:1">
      <c r="A37" s="148"/>
    </row>
    <row r="38" spans="1:1">
      <c r="A38" s="148"/>
    </row>
    <row r="39" spans="1:1">
      <c r="A39" s="148"/>
    </row>
    <row r="40" spans="1:1">
      <c r="A40" s="148"/>
    </row>
    <row r="41" spans="1:1">
      <c r="A41" s="148"/>
    </row>
    <row r="42" spans="1:1">
      <c r="A42" s="148"/>
    </row>
    <row r="43" spans="1:1">
      <c r="A43" s="148"/>
    </row>
    <row r="44" spans="1:1">
      <c r="A44" s="148"/>
    </row>
    <row r="45" spans="1:1">
      <c r="A45" s="148"/>
    </row>
    <row r="46" spans="1:1">
      <c r="A46" s="148"/>
    </row>
    <row r="47" spans="1:1">
      <c r="A47" s="148"/>
    </row>
    <row r="48" spans="1:1">
      <c r="A48" s="148"/>
    </row>
    <row r="49" spans="1:1">
      <c r="A49" s="148"/>
    </row>
    <row r="50" spans="1:1">
      <c r="A50" s="148"/>
    </row>
    <row r="51" spans="1:1">
      <c r="A51" s="148"/>
    </row>
    <row r="52" spans="1:1">
      <c r="A52" s="148"/>
    </row>
    <row r="53" spans="1:1">
      <c r="A53" s="148"/>
    </row>
    <row r="54" spans="1:1">
      <c r="A54" s="148"/>
    </row>
    <row r="55" spans="1:1">
      <c r="A55" s="148"/>
    </row>
    <row r="56" spans="1:1">
      <c r="A56" s="148"/>
    </row>
    <row r="57" spans="1:1">
      <c r="A57" s="148"/>
    </row>
    <row r="58" spans="1:1">
      <c r="A58" s="148"/>
    </row>
    <row r="59" spans="1:1">
      <c r="A59" s="148"/>
    </row>
    <row r="60" spans="1:1">
      <c r="A60" s="148"/>
    </row>
    <row r="61" spans="1:1">
      <c r="A61" s="148"/>
    </row>
    <row r="62" spans="1:1">
      <c r="A62" s="148"/>
    </row>
    <row r="63" spans="1:1">
      <c r="A63" s="148"/>
    </row>
    <row r="64" spans="1:1">
      <c r="A64" s="148"/>
    </row>
    <row r="65" spans="1:6">
      <c r="A65" s="189"/>
      <c r="B65" s="153"/>
      <c r="C65" s="153"/>
      <c r="D65" s="153"/>
      <c r="E65" s="153"/>
      <c r="F65" s="153"/>
    </row>
    <row r="66" spans="1:6">
      <c r="A66" s="148"/>
    </row>
    <row r="67" spans="1:6">
      <c r="A67" s="148"/>
    </row>
    <row r="68" spans="1:6">
      <c r="A68" s="148"/>
    </row>
    <row r="69" spans="1:6">
      <c r="A69" s="148"/>
    </row>
    <row r="70" spans="1:6">
      <c r="A70" s="148"/>
    </row>
    <row r="71" spans="1:6">
      <c r="A71" s="148"/>
    </row>
    <row r="72" spans="1:6">
      <c r="A72" s="148"/>
    </row>
    <row r="73" spans="1:6">
      <c r="A73" s="148"/>
    </row>
    <row r="74" spans="1:6">
      <c r="A74" s="148"/>
    </row>
    <row r="75" spans="1:6">
      <c r="A75" s="148"/>
    </row>
    <row r="76" spans="1:6">
      <c r="A76" s="148"/>
    </row>
    <row r="77" spans="1:6">
      <c r="A77" s="148"/>
    </row>
    <row r="78" spans="1:6">
      <c r="A78" s="148"/>
    </row>
    <row r="79" spans="1:6">
      <c r="A79" s="148"/>
    </row>
    <row r="80" spans="1:6">
      <c r="A80" s="148"/>
    </row>
    <row r="81" spans="1:6">
      <c r="A81" s="153"/>
      <c r="B81" s="148"/>
      <c r="C81" s="148"/>
      <c r="D81" s="148"/>
      <c r="E81" s="148"/>
      <c r="F81" s="148"/>
    </row>
    <row r="82" spans="1:6">
      <c r="A82" s="148"/>
    </row>
    <row r="83" spans="1:6">
      <c r="A83" s="148"/>
    </row>
    <row r="165" spans="8:8">
      <c r="H165" s="19"/>
    </row>
    <row r="168" spans="8:8">
      <c r="H168" s="19"/>
    </row>
    <row r="291" spans="1:2">
      <c r="A291" s="138"/>
      <c r="B291" s="138"/>
    </row>
    <row r="292" spans="1:2">
      <c r="A292" s="138"/>
      <c r="B292" s="138"/>
    </row>
    <row r="293" spans="1:2">
      <c r="A293" s="138"/>
      <c r="B293" s="138"/>
    </row>
    <row r="294" spans="1:2">
      <c r="A294" s="138"/>
      <c r="B294" s="138"/>
    </row>
    <row r="295" spans="1:2">
      <c r="A295" s="138"/>
      <c r="B295" s="138"/>
    </row>
    <row r="325" spans="1:1">
      <c r="A325" s="138"/>
    </row>
    <row r="394" spans="1:1">
      <c r="A394" s="117"/>
    </row>
    <row r="411" spans="1:1">
      <c r="A411" s="138"/>
    </row>
    <row r="412" spans="1:1">
      <c r="A412" s="138"/>
    </row>
    <row r="413" spans="1:1">
      <c r="A413" s="138"/>
    </row>
    <row r="414" spans="1:1">
      <c r="A414" s="138"/>
    </row>
    <row r="415" spans="1:1">
      <c r="A415" s="138"/>
    </row>
    <row r="416" spans="1:1">
      <c r="A416" s="138"/>
    </row>
    <row r="417" spans="1:1">
      <c r="A417" s="138"/>
    </row>
    <row r="418" spans="1:1">
      <c r="A418" s="138"/>
    </row>
    <row r="419" spans="1:1">
      <c r="A419" s="138"/>
    </row>
    <row r="420" spans="1:1">
      <c r="A420" s="138"/>
    </row>
    <row r="421" spans="1:1">
      <c r="A421" s="138"/>
    </row>
    <row r="422" spans="1:1">
      <c r="A422" s="138"/>
    </row>
    <row r="423" spans="1:1">
      <c r="A423" s="138"/>
    </row>
    <row r="424" spans="1:1">
      <c r="A424" s="138"/>
    </row>
    <row r="425" spans="1:1">
      <c r="A425" s="138"/>
    </row>
    <row r="426" spans="1:1">
      <c r="A426" s="138"/>
    </row>
    <row r="427" spans="1:1">
      <c r="A427" s="138"/>
    </row>
    <row r="428" spans="1:1">
      <c r="A428" s="138"/>
    </row>
    <row r="429" spans="1:1">
      <c r="A429" s="138"/>
    </row>
    <row r="430" spans="1:1">
      <c r="A430" s="138"/>
    </row>
    <row r="431" spans="1:1">
      <c r="A431" s="138"/>
    </row>
    <row r="432" spans="1:1">
      <c r="A432" s="138"/>
    </row>
    <row r="433" spans="1:1">
      <c r="A433" s="138"/>
    </row>
    <row r="434" spans="1:1">
      <c r="A434" s="138"/>
    </row>
    <row r="435" spans="1:1">
      <c r="A435" s="138"/>
    </row>
    <row r="436" spans="1:1">
      <c r="A436" s="138"/>
    </row>
    <row r="437" spans="1:1">
      <c r="A437" s="138"/>
    </row>
    <row r="438" spans="1:1">
      <c r="A438" s="138"/>
    </row>
    <row r="439" spans="1:1">
      <c r="A439" s="138"/>
    </row>
    <row r="440" spans="1:1">
      <c r="A440" s="138"/>
    </row>
    <row r="441" spans="1:1">
      <c r="A441" s="138"/>
    </row>
    <row r="442" spans="1:1">
      <c r="A442" s="138"/>
    </row>
    <row r="443" spans="1:1">
      <c r="A443" s="138"/>
    </row>
    <row r="444" spans="1:1">
      <c r="A444" s="138"/>
    </row>
    <row r="445" spans="1:1">
      <c r="A445" s="138"/>
    </row>
    <row r="446" spans="1:1">
      <c r="A446" s="138"/>
    </row>
    <row r="447" spans="1:1">
      <c r="A447" s="138"/>
    </row>
    <row r="448" spans="1:1">
      <c r="A448" s="138"/>
    </row>
    <row r="449" spans="1:1">
      <c r="A449" s="138"/>
    </row>
    <row r="450" spans="1:1">
      <c r="A450" s="138"/>
    </row>
    <row r="451" spans="1:1">
      <c r="A451" s="138"/>
    </row>
    <row r="452" spans="1:1">
      <c r="A452" s="138"/>
    </row>
    <row r="453" spans="1:1">
      <c r="A453" s="138"/>
    </row>
    <row r="454" spans="1:1">
      <c r="A454" s="138"/>
    </row>
    <row r="455" spans="1:1">
      <c r="A455" s="138"/>
    </row>
    <row r="456" spans="1:1">
      <c r="A456" s="138"/>
    </row>
    <row r="457" spans="1:1">
      <c r="A457" s="138"/>
    </row>
    <row r="458" spans="1:1">
      <c r="A458" s="138"/>
    </row>
    <row r="459" spans="1:1">
      <c r="A459" s="138"/>
    </row>
    <row r="460" spans="1:1">
      <c r="A460" s="138"/>
    </row>
    <row r="461" spans="1:1">
      <c r="A461" s="138"/>
    </row>
    <row r="462" spans="1:1">
      <c r="A462" s="138"/>
    </row>
    <row r="463" spans="1:1">
      <c r="A463" s="138"/>
    </row>
    <row r="464" spans="1:1">
      <c r="A464" s="138"/>
    </row>
    <row r="465" spans="1:1">
      <c r="A465" s="138"/>
    </row>
  </sheetData>
  <mergeCells count="2">
    <mergeCell ref="A7:F8"/>
    <mergeCell ref="B14:F15"/>
  </mergeCells>
  <phoneticPr fontId="27" type="noConversion"/>
  <printOptions horizontalCentered="1"/>
  <pageMargins left="0.75" right="0.5" top="0.75" bottom="0.5" header="0.25" footer="0.25"/>
  <pageSetup scale="88"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fitToPage="1"/>
  </sheetPr>
  <dimension ref="A1:X64"/>
  <sheetViews>
    <sheetView view="pageBreakPreview" zoomScale="60" zoomScaleNormal="100" workbookViewId="0">
      <selection sqref="A1:XFD1048576"/>
    </sheetView>
  </sheetViews>
  <sheetFormatPr defaultColWidth="9.140625" defaultRowHeight="12.75"/>
  <cols>
    <col min="1" max="1" width="6.7109375" style="455" customWidth="1"/>
    <col min="2" max="2" width="2" style="455" customWidth="1"/>
    <col min="3" max="3" width="9.140625" style="455"/>
    <col min="4" max="4" width="13" style="455" customWidth="1"/>
    <col min="5" max="5" width="2.7109375" style="455" customWidth="1"/>
    <col min="6" max="6" width="13.42578125" style="455" customWidth="1"/>
    <col min="7" max="7" width="2.42578125" style="455" customWidth="1"/>
    <col min="8" max="8" width="12.5703125" style="455" customWidth="1"/>
    <col min="9" max="9" width="2" style="455" customWidth="1"/>
    <col min="10" max="10" width="12.42578125" style="455" customWidth="1"/>
    <col min="11" max="11" width="2" style="455" customWidth="1"/>
    <col min="12" max="12" width="14.5703125" style="455" customWidth="1"/>
    <col min="13" max="13" width="7.28515625" style="455" bestFit="1" customWidth="1"/>
    <col min="14" max="16384" width="9.140625" style="60"/>
  </cols>
  <sheetData>
    <row r="1" spans="1:24" s="47" customFormat="1" ht="15">
      <c r="A1" s="793" t="s">
        <v>524</v>
      </c>
      <c r="B1" s="794"/>
      <c r="C1" s="793"/>
      <c r="D1" s="795"/>
      <c r="E1" s="794"/>
      <c r="F1" s="795"/>
      <c r="G1" s="796"/>
      <c r="H1" s="796"/>
      <c r="I1" s="796"/>
      <c r="J1" s="793" t="s">
        <v>1209</v>
      </c>
      <c r="K1" s="797"/>
      <c r="L1" s="795"/>
    </row>
    <row r="2" spans="1:24" s="47" customFormat="1" ht="15">
      <c r="A2" s="117" t="s">
        <v>2644</v>
      </c>
      <c r="B2" s="793"/>
      <c r="C2" s="794"/>
      <c r="D2" s="795"/>
      <c r="E2" s="794"/>
      <c r="F2" s="795"/>
      <c r="G2" s="796"/>
      <c r="H2" s="796"/>
      <c r="I2" s="796"/>
      <c r="J2" s="793" t="s">
        <v>716</v>
      </c>
      <c r="K2" s="797"/>
      <c r="L2" s="795"/>
    </row>
    <row r="3" spans="1:24" s="47" customFormat="1" ht="15">
      <c r="A3" s="117" t="s">
        <v>2645</v>
      </c>
      <c r="B3" s="793"/>
      <c r="C3" s="794"/>
      <c r="D3" s="795"/>
      <c r="E3" s="794"/>
      <c r="F3" s="795"/>
      <c r="G3" s="796"/>
      <c r="H3" s="796"/>
      <c r="I3" s="796"/>
      <c r="J3" s="793" t="s">
        <v>766</v>
      </c>
      <c r="K3" s="797"/>
      <c r="L3" s="795"/>
    </row>
    <row r="4" spans="1:24" s="47" customFormat="1" ht="15">
      <c r="A4" s="117" t="s">
        <v>1936</v>
      </c>
      <c r="B4" s="794"/>
      <c r="C4" s="793"/>
      <c r="D4" s="795"/>
      <c r="E4" s="794"/>
      <c r="F4" s="795"/>
      <c r="G4" s="796"/>
      <c r="H4" s="796"/>
      <c r="I4" s="796"/>
      <c r="J4" s="798"/>
      <c r="K4" s="797"/>
      <c r="L4" s="799"/>
    </row>
    <row r="5" spans="1:24" s="47" customFormat="1" ht="15">
      <c r="A5" s="793" t="s">
        <v>1092</v>
      </c>
      <c r="B5" s="794"/>
      <c r="C5" s="793"/>
      <c r="D5" s="795"/>
      <c r="E5" s="794"/>
      <c r="F5" s="795"/>
      <c r="G5" s="796"/>
      <c r="H5" s="796"/>
      <c r="I5" s="796"/>
      <c r="J5" s="474" t="s">
        <v>2951</v>
      </c>
      <c r="K5" s="797"/>
      <c r="L5" s="799"/>
    </row>
    <row r="6" spans="1:24" s="47" customFormat="1" ht="15">
      <c r="A6" s="793" t="s">
        <v>717</v>
      </c>
      <c r="B6" s="794"/>
      <c r="C6" s="793"/>
      <c r="D6" s="793"/>
      <c r="E6" s="794"/>
      <c r="F6" s="794"/>
      <c r="G6" s="796"/>
      <c r="H6" s="796"/>
      <c r="I6" s="796"/>
      <c r="J6" s="798"/>
      <c r="K6" s="797"/>
      <c r="L6" s="799"/>
    </row>
    <row r="7" spans="1:24" s="47" customFormat="1" ht="15" customHeight="1">
      <c r="A7" s="800" t="s">
        <v>718</v>
      </c>
      <c r="C7" s="443"/>
      <c r="D7" s="443"/>
      <c r="E7" s="443"/>
      <c r="F7" s="445"/>
      <c r="G7" s="443"/>
      <c r="H7" s="446"/>
      <c r="I7" s="442"/>
      <c r="J7" s="443"/>
      <c r="K7" s="443"/>
      <c r="L7" s="443"/>
    </row>
    <row r="8" spans="1:24" s="795" customFormat="1" ht="26.25" customHeight="1">
      <c r="A8" s="794"/>
      <c r="B8" s="2339" t="s">
        <v>1774</v>
      </c>
      <c r="C8" s="2299"/>
      <c r="D8" s="2299"/>
      <c r="E8" s="2299"/>
      <c r="F8" s="2299"/>
      <c r="G8" s="2299"/>
      <c r="H8" s="2299"/>
      <c r="I8" s="2299"/>
      <c r="J8" s="2299"/>
      <c r="K8" s="2299"/>
      <c r="L8" s="2299"/>
      <c r="M8" s="794"/>
    </row>
    <row r="9" spans="1:24" s="795" customFormat="1">
      <c r="A9" s="1091"/>
      <c r="B9" s="1091"/>
      <c r="C9" s="1091"/>
      <c r="D9" s="1091"/>
      <c r="E9" s="1091"/>
      <c r="F9" s="1092"/>
      <c r="G9" s="1091"/>
      <c r="H9" s="1093"/>
      <c r="I9" s="1091"/>
      <c r="J9" s="1091"/>
      <c r="K9" s="1091"/>
      <c r="L9" s="1091"/>
      <c r="M9" s="794"/>
    </row>
    <row r="10" spans="1:24" s="795" customFormat="1">
      <c r="A10" s="794"/>
      <c r="B10" s="794"/>
      <c r="C10" s="1094" t="s">
        <v>914</v>
      </c>
      <c r="D10" s="794"/>
      <c r="E10" s="794"/>
      <c r="F10" s="1089" t="s">
        <v>915</v>
      </c>
      <c r="G10" s="794"/>
      <c r="H10" s="1090" t="s">
        <v>916</v>
      </c>
      <c r="I10" s="794"/>
      <c r="J10" s="1095">
        <v>-4</v>
      </c>
      <c r="K10" s="796"/>
      <c r="L10" s="1095">
        <v>-5</v>
      </c>
      <c r="M10" s="794"/>
    </row>
    <row r="11" spans="1:24" s="795" customFormat="1" ht="12.75" customHeight="1">
      <c r="A11" s="794"/>
      <c r="B11" s="794"/>
      <c r="C11" s="1094"/>
      <c r="D11" s="794"/>
      <c r="E11" s="794"/>
      <c r="F11" s="2338" t="s">
        <v>498</v>
      </c>
      <c r="G11" s="2338"/>
      <c r="H11" s="2338"/>
      <c r="I11" s="794"/>
      <c r="J11" s="2338" t="s">
        <v>670</v>
      </c>
      <c r="K11" s="2338"/>
      <c r="L11" s="2338"/>
      <c r="M11" s="1096"/>
      <c r="N11" s="1097"/>
      <c r="O11" s="1098"/>
      <c r="P11" s="1099"/>
      <c r="R11" s="1097"/>
      <c r="T11" s="1097"/>
      <c r="U11" s="1098"/>
      <c r="V11" s="1099"/>
      <c r="X11" s="1097"/>
    </row>
    <row r="12" spans="1:24" s="795" customFormat="1">
      <c r="A12" s="1094" t="s">
        <v>53</v>
      </c>
      <c r="B12" s="794"/>
      <c r="C12" s="794"/>
      <c r="D12" s="794"/>
      <c r="E12" s="794"/>
      <c r="F12" s="1089" t="s">
        <v>1483</v>
      </c>
      <c r="G12" s="794"/>
      <c r="H12" s="1090" t="s">
        <v>1485</v>
      </c>
      <c r="I12" s="794"/>
      <c r="J12" s="1089" t="s">
        <v>1483</v>
      </c>
      <c r="K12" s="794"/>
      <c r="L12" s="1090" t="s">
        <v>1485</v>
      </c>
      <c r="M12" s="1090"/>
      <c r="N12" s="1100"/>
      <c r="P12" s="1101"/>
      <c r="R12" s="1100"/>
      <c r="T12" s="1100"/>
      <c r="V12" s="1101"/>
      <c r="X12" s="1100"/>
    </row>
    <row r="13" spans="1:24" s="795" customFormat="1">
      <c r="A13" s="1102" t="s">
        <v>730</v>
      </c>
      <c r="B13" s="1103" t="s">
        <v>574</v>
      </c>
      <c r="C13" s="1104"/>
      <c r="D13" s="1104"/>
      <c r="E13" s="794"/>
      <c r="F13" s="1092" t="s">
        <v>575</v>
      </c>
      <c r="G13" s="1104"/>
      <c r="H13" s="1093" t="s">
        <v>575</v>
      </c>
      <c r="I13" s="794"/>
      <c r="J13" s="1092" t="s">
        <v>575</v>
      </c>
      <c r="K13" s="1104"/>
      <c r="L13" s="1093" t="s">
        <v>575</v>
      </c>
      <c r="M13" s="1096"/>
      <c r="N13" s="1097"/>
      <c r="O13" s="1105"/>
      <c r="P13" s="1099"/>
      <c r="Q13" s="1105"/>
      <c r="R13" s="1097"/>
      <c r="S13" s="1105"/>
      <c r="T13" s="1097"/>
      <c r="U13" s="1105"/>
      <c r="V13" s="1099"/>
      <c r="W13" s="1105"/>
      <c r="X13" s="1097"/>
    </row>
    <row r="14" spans="1:24" s="47" customFormat="1" ht="15">
      <c r="A14" s="1352">
        <v>1</v>
      </c>
      <c r="B14" s="1352"/>
      <c r="C14" s="2340" t="s">
        <v>2936</v>
      </c>
      <c r="D14" s="2340"/>
      <c r="E14" s="2340"/>
      <c r="F14" s="2340"/>
      <c r="G14" s="2340"/>
      <c r="H14" s="2340"/>
      <c r="I14" s="2340"/>
      <c r="J14" s="2340"/>
      <c r="K14" s="2340"/>
      <c r="L14" s="2340"/>
      <c r="M14" s="448"/>
      <c r="N14" s="50"/>
      <c r="O14" s="52"/>
      <c r="P14" s="51"/>
      <c r="Q14" s="52"/>
      <c r="R14" s="50"/>
      <c r="S14" s="52"/>
      <c r="T14" s="50"/>
      <c r="U14" s="52"/>
      <c r="V14" s="51"/>
      <c r="W14" s="52"/>
      <c r="X14" s="50"/>
    </row>
    <row r="15" spans="1:24" s="47" customFormat="1" ht="12.75" customHeight="1">
      <c r="A15" s="1352">
        <v>2</v>
      </c>
      <c r="B15" s="1352"/>
      <c r="C15" s="2340"/>
      <c r="D15" s="2340"/>
      <c r="E15" s="2340"/>
      <c r="F15" s="2340"/>
      <c r="G15" s="2340"/>
      <c r="H15" s="2340"/>
      <c r="I15" s="2340"/>
      <c r="J15" s="2340"/>
      <c r="K15" s="2340"/>
      <c r="L15" s="2340"/>
      <c r="M15" s="448"/>
      <c r="N15" s="50"/>
      <c r="O15" s="52"/>
      <c r="P15" s="51"/>
      <c r="Q15" s="52"/>
      <c r="R15" s="50"/>
      <c r="S15" s="52"/>
      <c r="T15" s="50"/>
      <c r="U15" s="52"/>
      <c r="V15" s="51"/>
      <c r="W15" s="52"/>
      <c r="X15" s="50"/>
    </row>
    <row r="16" spans="1:24" s="47" customFormat="1" ht="12.75" customHeight="1">
      <c r="A16" s="1352"/>
      <c r="B16" s="1352"/>
      <c r="C16" s="1353"/>
      <c r="D16" s="1354"/>
      <c r="E16" s="443"/>
      <c r="F16" s="463"/>
      <c r="G16" s="476"/>
      <c r="H16" s="448"/>
      <c r="I16" s="443"/>
      <c r="J16" s="463"/>
      <c r="K16" s="476"/>
      <c r="L16" s="448"/>
      <c r="M16" s="448"/>
      <c r="N16" s="50"/>
      <c r="O16" s="52"/>
      <c r="P16" s="51"/>
      <c r="Q16" s="52"/>
      <c r="R16" s="50"/>
      <c r="S16" s="52"/>
      <c r="T16" s="50"/>
      <c r="U16" s="52"/>
      <c r="V16" s="51"/>
      <c r="W16" s="52"/>
      <c r="X16" s="50"/>
    </row>
    <row r="17" spans="1:24" s="47" customFormat="1" ht="12.75" customHeight="1">
      <c r="A17" s="1352"/>
      <c r="B17" s="1352"/>
      <c r="C17" s="1353"/>
      <c r="D17" s="1354"/>
      <c r="E17" s="443"/>
      <c r="F17" s="445"/>
      <c r="G17" s="443"/>
      <c r="H17" s="447"/>
      <c r="I17" s="443"/>
      <c r="J17" s="445"/>
      <c r="K17" s="443"/>
      <c r="L17" s="447"/>
      <c r="M17" s="448"/>
      <c r="N17" s="50"/>
      <c r="O17" s="52"/>
      <c r="P17" s="51"/>
      <c r="Q17" s="52"/>
      <c r="R17" s="50"/>
      <c r="S17" s="52"/>
      <c r="T17" s="50"/>
      <c r="U17" s="52"/>
      <c r="V17" s="51"/>
      <c r="W17" s="52"/>
      <c r="X17" s="50"/>
    </row>
    <row r="18" spans="1:24" s="47" customFormat="1" ht="12.75" customHeight="1">
      <c r="A18" s="1352"/>
      <c r="B18" s="1352"/>
      <c r="C18" s="1353"/>
      <c r="D18" s="1354"/>
      <c r="E18" s="443"/>
      <c r="F18" s="445"/>
      <c r="G18" s="444"/>
      <c r="H18" s="449"/>
      <c r="I18" s="444"/>
      <c r="J18" s="445"/>
      <c r="K18" s="444"/>
      <c r="L18" s="449"/>
      <c r="M18" s="450"/>
      <c r="N18" s="55"/>
      <c r="O18" s="56"/>
      <c r="P18" s="54"/>
      <c r="Q18" s="56"/>
      <c r="R18" s="55"/>
      <c r="S18" s="52"/>
      <c r="T18" s="55"/>
      <c r="U18" s="56"/>
      <c r="V18" s="54"/>
      <c r="W18" s="56"/>
      <c r="X18" s="55"/>
    </row>
    <row r="19" spans="1:24" s="47" customFormat="1" ht="12.75" customHeight="1">
      <c r="A19" s="1352"/>
      <c r="B19" s="1352"/>
      <c r="C19" s="1353"/>
      <c r="D19" s="1354"/>
      <c r="E19" s="443"/>
      <c r="F19" s="445"/>
      <c r="G19" s="451"/>
      <c r="H19" s="449"/>
      <c r="I19" s="451"/>
      <c r="J19" s="445"/>
      <c r="K19" s="451"/>
      <c r="L19" s="449"/>
      <c r="M19" s="452"/>
      <c r="N19" s="53"/>
      <c r="O19" s="57"/>
      <c r="P19" s="58"/>
      <c r="Q19" s="57"/>
      <c r="R19" s="53"/>
      <c r="T19" s="53"/>
      <c r="U19" s="57"/>
      <c r="V19" s="58"/>
      <c r="W19" s="57"/>
      <c r="X19" s="53"/>
    </row>
    <row r="20" spans="1:24" s="47" customFormat="1" ht="12.75" customHeight="1">
      <c r="A20" s="1352"/>
      <c r="B20" s="1352"/>
      <c r="C20" s="1353"/>
      <c r="D20" s="1354"/>
      <c r="E20" s="443"/>
      <c r="F20" s="445"/>
      <c r="G20" s="443"/>
      <c r="H20" s="452"/>
      <c r="I20" s="443"/>
      <c r="J20" s="445"/>
      <c r="K20" s="443"/>
      <c r="L20" s="452"/>
      <c r="M20" s="447"/>
      <c r="N20" s="48"/>
      <c r="P20" s="49"/>
      <c r="R20" s="48"/>
      <c r="T20" s="48"/>
      <c r="V20" s="49"/>
      <c r="X20" s="48"/>
    </row>
    <row r="21" spans="1:24" s="47" customFormat="1" ht="12.75" customHeight="1">
      <c r="A21" s="1352"/>
      <c r="B21" s="1352"/>
      <c r="C21" s="1353"/>
      <c r="D21" s="1355"/>
      <c r="E21" s="443"/>
      <c r="F21" s="445"/>
      <c r="G21" s="453"/>
      <c r="H21" s="449"/>
      <c r="I21" s="453"/>
      <c r="J21" s="445"/>
      <c r="K21" s="453"/>
      <c r="L21" s="449"/>
      <c r="M21" s="445"/>
      <c r="N21" s="48"/>
      <c r="O21" s="59"/>
      <c r="P21" s="48"/>
      <c r="Q21" s="59"/>
      <c r="R21" s="48"/>
      <c r="T21" s="48"/>
      <c r="U21" s="59"/>
      <c r="V21" s="48"/>
      <c r="W21" s="59"/>
      <c r="X21" s="48"/>
    </row>
    <row r="22" spans="1:24" s="47" customFormat="1" ht="12.75" customHeight="1">
      <c r="A22" s="1352"/>
      <c r="B22" s="1352"/>
      <c r="C22" s="1353"/>
      <c r="D22" s="1356"/>
      <c r="E22" s="443"/>
      <c r="F22" s="445"/>
      <c r="G22" s="453"/>
      <c r="H22" s="449"/>
      <c r="I22" s="453"/>
      <c r="J22" s="445"/>
      <c r="K22" s="453"/>
      <c r="L22" s="449"/>
      <c r="M22" s="445"/>
      <c r="N22" s="48"/>
      <c r="O22" s="59"/>
      <c r="P22" s="48"/>
      <c r="Q22" s="59"/>
      <c r="R22" s="48"/>
      <c r="T22" s="48"/>
      <c r="U22" s="59"/>
      <c r="V22" s="48"/>
      <c r="W22" s="59"/>
      <c r="X22" s="48"/>
    </row>
    <row r="23" spans="1:24" s="47" customFormat="1" ht="12.75" customHeight="1">
      <c r="A23" s="1352"/>
      <c r="B23" s="1352"/>
      <c r="C23" s="1353"/>
      <c r="D23" s="1356"/>
      <c r="E23" s="443"/>
      <c r="F23" s="445"/>
      <c r="G23" s="453"/>
      <c r="H23" s="449"/>
      <c r="I23" s="453"/>
      <c r="J23" s="445"/>
      <c r="K23" s="453"/>
      <c r="L23" s="449"/>
      <c r="M23" s="447"/>
      <c r="N23" s="48"/>
      <c r="O23" s="59"/>
      <c r="P23" s="49"/>
      <c r="Q23" s="59"/>
      <c r="R23" s="48"/>
      <c r="T23" s="48"/>
      <c r="U23" s="59"/>
      <c r="V23" s="49"/>
      <c r="W23" s="59"/>
      <c r="X23" s="48"/>
    </row>
    <row r="24" spans="1:24" s="47" customFormat="1" ht="12.75" customHeight="1">
      <c r="A24" s="1357"/>
      <c r="B24" s="1357"/>
      <c r="C24" s="1353"/>
      <c r="D24" s="1356"/>
      <c r="E24" s="443"/>
      <c r="F24" s="445"/>
      <c r="G24" s="453"/>
      <c r="H24" s="449"/>
      <c r="I24" s="453"/>
      <c r="J24" s="445"/>
      <c r="K24" s="453"/>
      <c r="L24" s="449"/>
      <c r="M24" s="445"/>
      <c r="N24" s="48"/>
      <c r="O24" s="59"/>
      <c r="P24" s="48"/>
      <c r="Q24" s="59"/>
      <c r="R24" s="48"/>
      <c r="T24" s="48"/>
      <c r="U24" s="59"/>
      <c r="V24" s="48"/>
      <c r="W24" s="59"/>
      <c r="X24" s="48"/>
    </row>
    <row r="25" spans="1:24" s="47" customFormat="1" ht="12.75" customHeight="1">
      <c r="A25" s="1357"/>
      <c r="B25" s="1357"/>
      <c r="C25" s="1353"/>
      <c r="D25" s="1356"/>
      <c r="E25" s="443"/>
      <c r="F25" s="445"/>
      <c r="G25" s="453"/>
      <c r="H25" s="449"/>
      <c r="I25" s="453"/>
      <c r="J25" s="445"/>
      <c r="K25" s="453"/>
      <c r="L25" s="449"/>
      <c r="M25" s="445"/>
      <c r="N25" s="48"/>
      <c r="O25" s="59"/>
      <c r="P25" s="48"/>
      <c r="Q25" s="59"/>
      <c r="R25" s="48"/>
      <c r="T25" s="48"/>
      <c r="U25" s="59"/>
      <c r="V25" s="48"/>
      <c r="W25" s="59"/>
      <c r="X25" s="48"/>
    </row>
    <row r="26" spans="1:24" s="47" customFormat="1" ht="12.75" customHeight="1">
      <c r="A26" s="1357"/>
      <c r="B26" s="1357"/>
      <c r="C26" s="1353"/>
      <c r="D26" s="1356"/>
      <c r="E26" s="443"/>
      <c r="F26" s="445"/>
      <c r="G26" s="453"/>
      <c r="H26" s="449"/>
      <c r="I26" s="453"/>
      <c r="J26" s="445"/>
      <c r="K26" s="453"/>
      <c r="L26" s="449"/>
      <c r="M26" s="445"/>
      <c r="N26" s="48"/>
      <c r="O26" s="59"/>
      <c r="P26" s="48"/>
      <c r="Q26" s="59"/>
      <c r="R26" s="48"/>
      <c r="T26" s="48"/>
      <c r="U26" s="59"/>
      <c r="V26" s="48"/>
      <c r="W26" s="59"/>
      <c r="X26" s="48"/>
    </row>
    <row r="27" spans="1:24" s="47" customFormat="1" ht="12.75" customHeight="1">
      <c r="A27" s="1357"/>
      <c r="B27" s="1357"/>
      <c r="C27" s="1353"/>
      <c r="D27" s="1356"/>
      <c r="E27" s="443"/>
      <c r="F27" s="445"/>
      <c r="G27" s="453"/>
      <c r="H27" s="449"/>
      <c r="I27" s="453"/>
      <c r="J27" s="445"/>
      <c r="K27" s="453"/>
      <c r="L27" s="449"/>
      <c r="M27" s="445"/>
      <c r="N27" s="48"/>
      <c r="O27" s="59"/>
      <c r="P27" s="48"/>
      <c r="Q27" s="59"/>
      <c r="R27" s="48"/>
      <c r="T27" s="48"/>
      <c r="U27" s="59"/>
      <c r="V27" s="48"/>
      <c r="W27" s="59"/>
      <c r="X27" s="48"/>
    </row>
    <row r="28" spans="1:24" s="47" customFormat="1" ht="12.75" customHeight="1">
      <c r="A28" s="1357"/>
      <c r="B28" s="1357"/>
      <c r="C28" s="1353"/>
      <c r="D28" s="1356"/>
      <c r="E28" s="443"/>
      <c r="F28" s="445"/>
      <c r="G28" s="443"/>
      <c r="H28" s="449"/>
      <c r="I28" s="443"/>
      <c r="J28" s="445"/>
      <c r="K28" s="443"/>
      <c r="L28" s="449"/>
      <c r="M28" s="447"/>
      <c r="N28" s="48"/>
      <c r="P28" s="49"/>
      <c r="R28" s="48"/>
      <c r="T28" s="48"/>
      <c r="V28" s="49"/>
      <c r="X28" s="48"/>
    </row>
    <row r="29" spans="1:24" s="47" customFormat="1" ht="12.75" customHeight="1">
      <c r="A29" s="1357"/>
      <c r="B29" s="1357"/>
      <c r="C29" s="1353"/>
      <c r="D29" s="1356"/>
      <c r="E29" s="443"/>
      <c r="F29" s="445"/>
      <c r="G29" s="443"/>
      <c r="H29" s="449"/>
      <c r="I29" s="443"/>
      <c r="J29" s="445"/>
      <c r="K29" s="453"/>
      <c r="L29" s="449"/>
      <c r="M29" s="445"/>
      <c r="N29" s="48"/>
      <c r="P29" s="48"/>
      <c r="R29" s="48"/>
      <c r="T29" s="48"/>
      <c r="V29" s="48"/>
      <c r="X29" s="48"/>
    </row>
    <row r="30" spans="1:24" s="47" customFormat="1" ht="12.75" customHeight="1">
      <c r="A30" s="1357"/>
      <c r="B30" s="1357"/>
      <c r="C30" s="1353"/>
      <c r="D30" s="1356"/>
      <c r="E30" s="443"/>
      <c r="F30" s="445"/>
      <c r="G30" s="443"/>
      <c r="H30" s="449"/>
      <c r="I30" s="443"/>
      <c r="J30" s="445"/>
      <c r="K30" s="453"/>
      <c r="L30" s="449"/>
      <c r="M30" s="445"/>
      <c r="N30" s="48"/>
      <c r="P30" s="48"/>
      <c r="R30" s="48"/>
      <c r="T30" s="48"/>
      <c r="V30" s="48"/>
      <c r="X30" s="48"/>
    </row>
    <row r="31" spans="1:24" s="47" customFormat="1" ht="12.75" customHeight="1">
      <c r="A31" s="1357"/>
      <c r="B31" s="1357"/>
      <c r="C31" s="1353"/>
      <c r="D31" s="1356"/>
      <c r="E31" s="443"/>
      <c r="F31" s="445"/>
      <c r="G31" s="443"/>
      <c r="H31" s="449"/>
      <c r="I31" s="443"/>
      <c r="J31" s="445"/>
      <c r="K31" s="453"/>
      <c r="L31" s="449"/>
      <c r="M31" s="445"/>
      <c r="N31" s="48"/>
      <c r="P31" s="48"/>
      <c r="R31" s="48"/>
      <c r="T31" s="48"/>
      <c r="V31" s="48"/>
      <c r="X31" s="48"/>
    </row>
    <row r="32" spans="1:24" s="47" customFormat="1" ht="12.75" customHeight="1">
      <c r="A32" s="1357"/>
      <c r="B32" s="1357"/>
      <c r="C32" s="1353"/>
      <c r="D32" s="1356"/>
      <c r="E32" s="443"/>
      <c r="F32" s="445"/>
      <c r="G32" s="443"/>
      <c r="H32" s="449"/>
      <c r="I32" s="443"/>
      <c r="J32" s="445"/>
      <c r="K32" s="453"/>
      <c r="L32" s="449"/>
      <c r="M32" s="445"/>
      <c r="N32" s="48"/>
      <c r="P32" s="48"/>
      <c r="R32" s="48"/>
      <c r="T32" s="48"/>
      <c r="V32" s="48"/>
      <c r="X32" s="48"/>
    </row>
    <row r="33" spans="1:24" s="47" customFormat="1" ht="12.75" customHeight="1">
      <c r="A33" s="1357"/>
      <c r="B33" s="1357"/>
      <c r="C33" s="1353"/>
      <c r="D33" s="1356"/>
      <c r="E33" s="443"/>
      <c r="F33" s="445"/>
      <c r="G33" s="443"/>
      <c r="H33" s="449"/>
      <c r="I33" s="443"/>
      <c r="J33" s="445"/>
      <c r="K33" s="453"/>
      <c r="L33" s="449"/>
      <c r="M33" s="445"/>
      <c r="N33" s="48"/>
      <c r="P33" s="48"/>
      <c r="R33" s="48"/>
      <c r="T33" s="48"/>
      <c r="V33" s="48"/>
      <c r="X33" s="48"/>
    </row>
    <row r="34" spans="1:24" s="47" customFormat="1" ht="12.75" customHeight="1">
      <c r="A34" s="1357"/>
      <c r="B34" s="1357"/>
      <c r="C34" s="1353"/>
      <c r="D34" s="1356"/>
      <c r="E34" s="443"/>
      <c r="F34" s="445"/>
      <c r="G34" s="443"/>
      <c r="H34" s="449"/>
      <c r="I34" s="443"/>
      <c r="J34" s="445"/>
      <c r="K34" s="443"/>
      <c r="L34" s="449"/>
      <c r="M34" s="447"/>
      <c r="N34" s="48"/>
      <c r="P34" s="49"/>
      <c r="R34" s="48"/>
      <c r="T34" s="48"/>
      <c r="V34" s="49"/>
      <c r="X34" s="48"/>
    </row>
    <row r="35" spans="1:24" s="47" customFormat="1" ht="12.75" customHeight="1">
      <c r="A35" s="1357"/>
      <c r="B35" s="1357"/>
      <c r="C35" s="1353"/>
      <c r="D35" s="1356"/>
      <c r="E35" s="443"/>
      <c r="F35" s="445"/>
      <c r="G35" s="454"/>
      <c r="H35" s="449"/>
      <c r="I35" s="443"/>
      <c r="J35" s="445"/>
      <c r="K35" s="454"/>
      <c r="L35" s="449"/>
      <c r="M35" s="445"/>
      <c r="N35" s="48"/>
      <c r="P35" s="48"/>
      <c r="R35" s="48"/>
      <c r="T35" s="48"/>
      <c r="V35" s="48"/>
      <c r="X35" s="48"/>
    </row>
    <row r="36" spans="1:24" s="47" customFormat="1" ht="12.75" customHeight="1">
      <c r="A36" s="1357"/>
      <c r="B36" s="1357"/>
      <c r="C36" s="1353"/>
      <c r="D36" s="1356"/>
      <c r="E36" s="443"/>
      <c r="F36" s="445"/>
      <c r="G36" s="454"/>
      <c r="H36" s="445"/>
      <c r="I36" s="445"/>
      <c r="J36" s="445"/>
      <c r="K36" s="443"/>
      <c r="L36" s="449"/>
      <c r="M36" s="445"/>
      <c r="N36" s="48"/>
      <c r="P36" s="48"/>
      <c r="R36" s="48"/>
      <c r="T36" s="48"/>
      <c r="V36" s="48"/>
      <c r="X36" s="48"/>
    </row>
    <row r="37" spans="1:24" s="47" customFormat="1" ht="12.75" customHeight="1">
      <c r="A37" s="1357"/>
      <c r="B37" s="1357"/>
      <c r="C37" s="1353"/>
      <c r="D37" s="1356"/>
      <c r="E37" s="443"/>
      <c r="F37" s="445"/>
      <c r="G37" s="443"/>
      <c r="H37" s="449"/>
      <c r="I37" s="443"/>
      <c r="J37" s="445"/>
      <c r="K37" s="443"/>
      <c r="L37" s="449"/>
      <c r="M37" s="445"/>
      <c r="N37" s="48"/>
      <c r="P37" s="48"/>
      <c r="R37" s="48"/>
      <c r="T37" s="48"/>
      <c r="V37" s="48"/>
      <c r="X37" s="48"/>
    </row>
    <row r="38" spans="1:24" s="47" customFormat="1" ht="12.75" customHeight="1">
      <c r="A38" s="1357"/>
      <c r="B38" s="1357"/>
      <c r="C38" s="1353"/>
      <c r="D38" s="1356"/>
      <c r="E38" s="443"/>
      <c r="F38" s="445"/>
      <c r="G38" s="443"/>
      <c r="H38" s="449"/>
      <c r="I38" s="443"/>
      <c r="J38" s="445"/>
      <c r="K38" s="443"/>
      <c r="L38" s="449"/>
      <c r="M38" s="445"/>
      <c r="N38" s="48"/>
      <c r="P38" s="48"/>
      <c r="R38" s="48"/>
      <c r="T38" s="48"/>
      <c r="V38" s="48"/>
      <c r="X38" s="48"/>
    </row>
    <row r="39" spans="1:24" s="47" customFormat="1" ht="12.75" customHeight="1">
      <c r="A39" s="1357"/>
      <c r="B39" s="1357"/>
      <c r="C39" s="1353"/>
      <c r="D39" s="1356"/>
      <c r="E39" s="443"/>
      <c r="F39" s="445"/>
      <c r="G39" s="443"/>
      <c r="H39" s="449"/>
      <c r="I39" s="443"/>
      <c r="J39" s="445"/>
      <c r="K39" s="454"/>
      <c r="L39" s="445"/>
      <c r="M39" s="445"/>
      <c r="N39" s="48"/>
      <c r="P39" s="48"/>
      <c r="R39" s="48"/>
      <c r="T39" s="48"/>
      <c r="V39" s="48"/>
      <c r="X39" s="48"/>
    </row>
    <row r="40" spans="1:24" s="47" customFormat="1" ht="12.75" customHeight="1">
      <c r="A40" s="1357"/>
      <c r="B40" s="1357"/>
      <c r="C40" s="1353"/>
      <c r="D40" s="1356"/>
      <c r="E40" s="443"/>
      <c r="F40" s="445"/>
      <c r="G40" s="443"/>
      <c r="H40" s="449"/>
      <c r="I40" s="443"/>
      <c r="J40" s="445"/>
      <c r="K40" s="443"/>
      <c r="L40" s="449"/>
      <c r="M40" s="447"/>
      <c r="N40" s="48"/>
      <c r="P40" s="49"/>
      <c r="R40" s="48"/>
      <c r="T40" s="48"/>
      <c r="V40" s="49"/>
      <c r="X40" s="48"/>
    </row>
    <row r="41" spans="1:24" s="47" customFormat="1" ht="12.75" customHeight="1">
      <c r="A41" s="1357"/>
      <c r="B41" s="1357"/>
      <c r="C41" s="1353"/>
      <c r="D41" s="1356"/>
      <c r="E41" s="443"/>
      <c r="F41" s="445"/>
      <c r="G41" s="443"/>
      <c r="H41" s="449"/>
      <c r="I41" s="443"/>
      <c r="J41" s="445"/>
      <c r="K41" s="443"/>
      <c r="L41" s="449"/>
      <c r="M41" s="445"/>
      <c r="N41" s="48"/>
      <c r="P41" s="48"/>
      <c r="R41" s="48"/>
      <c r="T41" s="48"/>
      <c r="V41" s="48"/>
      <c r="X41" s="48"/>
    </row>
    <row r="42" spans="1:24" s="47" customFormat="1" ht="12.75" customHeight="1">
      <c r="A42" s="1357"/>
      <c r="B42" s="1357"/>
      <c r="C42" s="1353"/>
      <c r="D42" s="1356"/>
      <c r="E42" s="443"/>
      <c r="F42" s="445"/>
      <c r="G42" s="443"/>
      <c r="H42" s="449"/>
      <c r="I42" s="443"/>
      <c r="J42" s="445"/>
      <c r="K42" s="443"/>
      <c r="L42" s="449"/>
      <c r="M42" s="445"/>
      <c r="N42" s="48"/>
      <c r="P42" s="48"/>
      <c r="R42" s="48"/>
      <c r="T42" s="48"/>
      <c r="V42" s="48"/>
      <c r="X42" s="48"/>
    </row>
    <row r="43" spans="1:24" s="47" customFormat="1" ht="12.75" customHeight="1">
      <c r="A43" s="1357"/>
      <c r="B43" s="1357"/>
      <c r="C43" s="1353"/>
      <c r="D43" s="1356"/>
      <c r="E43" s="443"/>
      <c r="F43" s="445"/>
      <c r="G43" s="443"/>
      <c r="H43" s="449"/>
      <c r="I43" s="443"/>
      <c r="J43" s="445"/>
      <c r="K43" s="443"/>
      <c r="L43" s="449"/>
      <c r="M43" s="445"/>
      <c r="N43" s="48"/>
      <c r="P43" s="48"/>
      <c r="R43" s="48"/>
      <c r="T43" s="48"/>
      <c r="V43" s="48"/>
      <c r="X43" s="48"/>
    </row>
    <row r="44" spans="1:24" s="47" customFormat="1" ht="12.75" customHeight="1">
      <c r="A44" s="1357"/>
      <c r="B44" s="1357"/>
      <c r="C44" s="1353"/>
      <c r="D44" s="1356"/>
      <c r="E44" s="443"/>
      <c r="F44" s="445"/>
      <c r="G44" s="443"/>
      <c r="H44" s="449"/>
      <c r="I44" s="443"/>
      <c r="J44" s="445"/>
      <c r="K44" s="443"/>
      <c r="L44" s="449"/>
      <c r="M44" s="445"/>
      <c r="N44" s="48"/>
      <c r="P44" s="48"/>
      <c r="R44" s="48"/>
      <c r="T44" s="48"/>
      <c r="V44" s="48"/>
      <c r="X44" s="48"/>
    </row>
    <row r="45" spans="1:24" s="47" customFormat="1" ht="12.75" customHeight="1">
      <c r="A45" s="1357"/>
      <c r="B45" s="1357"/>
      <c r="C45" s="1353"/>
      <c r="D45" s="1356"/>
      <c r="E45" s="443"/>
      <c r="F45" s="445"/>
      <c r="G45" s="443"/>
      <c r="H45" s="449"/>
      <c r="I45" s="443"/>
      <c r="J45" s="445"/>
      <c r="K45" s="443"/>
      <c r="L45" s="449"/>
      <c r="M45" s="445"/>
      <c r="N45" s="48"/>
      <c r="P45" s="48"/>
      <c r="R45" s="48"/>
      <c r="T45" s="48"/>
      <c r="V45" s="48"/>
      <c r="X45" s="48"/>
    </row>
    <row r="46" spans="1:24" s="47" customFormat="1" ht="12.75" customHeight="1">
      <c r="A46" s="1357"/>
      <c r="B46" s="1357"/>
      <c r="C46" s="1353"/>
      <c r="D46" s="1356"/>
      <c r="E46" s="443"/>
      <c r="F46" s="445"/>
      <c r="G46" s="443"/>
      <c r="H46" s="445"/>
      <c r="I46" s="445"/>
      <c r="J46" s="445"/>
      <c r="K46" s="454"/>
      <c r="L46" s="449"/>
      <c r="M46" s="445"/>
      <c r="N46" s="48"/>
      <c r="P46" s="48"/>
      <c r="R46" s="48"/>
      <c r="T46" s="48"/>
      <c r="V46" s="48"/>
      <c r="X46" s="48"/>
    </row>
    <row r="47" spans="1:24" s="47" customFormat="1" ht="12.75" customHeight="1">
      <c r="A47" s="1357"/>
      <c r="B47" s="1357"/>
      <c r="C47" s="1353"/>
      <c r="D47" s="1356"/>
      <c r="E47" s="443"/>
      <c r="F47" s="445"/>
      <c r="G47" s="443"/>
      <c r="H47" s="445"/>
      <c r="I47" s="445"/>
      <c r="J47" s="445"/>
      <c r="K47" s="454"/>
      <c r="L47" s="449"/>
      <c r="M47" s="445"/>
      <c r="N47" s="48"/>
      <c r="P47" s="48"/>
      <c r="R47" s="48"/>
      <c r="T47" s="48"/>
      <c r="V47" s="48"/>
      <c r="X47" s="48"/>
    </row>
    <row r="48" spans="1:24" s="47" customFormat="1" ht="12.75" customHeight="1">
      <c r="A48" s="1357"/>
      <c r="B48" s="1357"/>
      <c r="C48" s="1353"/>
      <c r="D48" s="1356"/>
      <c r="E48" s="443"/>
      <c r="F48" s="445"/>
      <c r="G48" s="443"/>
      <c r="H48" s="449"/>
      <c r="I48" s="443"/>
      <c r="J48" s="445"/>
      <c r="K48" s="443"/>
      <c r="L48" s="449"/>
      <c r="M48" s="447"/>
      <c r="N48" s="48"/>
      <c r="P48" s="49"/>
      <c r="R48" s="48"/>
      <c r="T48" s="48"/>
      <c r="V48" s="49"/>
      <c r="X48" s="48"/>
    </row>
    <row r="49" spans="1:24" s="47" customFormat="1" ht="12.75" customHeight="1">
      <c r="A49" s="1357"/>
      <c r="B49" s="1357"/>
      <c r="C49" s="1353"/>
      <c r="D49" s="1356"/>
      <c r="E49" s="443"/>
      <c r="F49" s="445"/>
      <c r="G49" s="443"/>
      <c r="H49" s="449"/>
      <c r="I49" s="443"/>
      <c r="J49" s="445"/>
      <c r="K49" s="443"/>
      <c r="L49" s="449"/>
      <c r="M49" s="447"/>
      <c r="N49" s="48"/>
      <c r="P49" s="49"/>
      <c r="R49" s="48"/>
      <c r="T49" s="48"/>
      <c r="V49" s="49"/>
      <c r="X49" s="48"/>
    </row>
    <row r="50" spans="1:24" s="47" customFormat="1" ht="12.75" customHeight="1">
      <c r="A50" s="1357"/>
      <c r="B50" s="1357"/>
      <c r="C50" s="1353"/>
      <c r="D50" s="1356"/>
      <c r="E50" s="443"/>
      <c r="F50" s="445"/>
      <c r="G50" s="443"/>
      <c r="H50" s="449"/>
      <c r="I50" s="443"/>
      <c r="J50" s="445"/>
      <c r="K50" s="443"/>
      <c r="L50" s="449"/>
      <c r="M50" s="445"/>
      <c r="N50" s="48"/>
      <c r="P50" s="48"/>
      <c r="R50" s="48"/>
      <c r="T50" s="48"/>
      <c r="V50" s="48"/>
      <c r="X50" s="48"/>
    </row>
    <row r="51" spans="1:24" s="47" customFormat="1" ht="12.75" customHeight="1">
      <c r="A51" s="1357"/>
      <c r="B51" s="1357"/>
      <c r="C51" s="1353"/>
      <c r="D51" s="1356"/>
      <c r="E51" s="443"/>
      <c r="F51" s="445"/>
      <c r="G51" s="443"/>
      <c r="H51" s="449"/>
      <c r="I51" s="443"/>
      <c r="J51" s="445"/>
      <c r="K51" s="443"/>
      <c r="L51" s="449"/>
      <c r="M51" s="445"/>
      <c r="N51" s="48"/>
      <c r="P51" s="48"/>
      <c r="R51" s="48"/>
      <c r="T51" s="48"/>
      <c r="V51" s="48"/>
      <c r="X51" s="48"/>
    </row>
    <row r="52" spans="1:24" s="47" customFormat="1" ht="12.75" customHeight="1">
      <c r="A52" s="1357"/>
      <c r="B52" s="1357"/>
      <c r="C52" s="1353"/>
      <c r="D52" s="1356"/>
      <c r="E52" s="443"/>
      <c r="F52" s="445"/>
      <c r="G52" s="443"/>
      <c r="H52" s="449"/>
      <c r="I52" s="443"/>
      <c r="J52" s="445"/>
      <c r="K52" s="443"/>
      <c r="L52" s="449"/>
      <c r="M52" s="447"/>
      <c r="N52" s="48"/>
      <c r="P52" s="49"/>
      <c r="R52" s="48"/>
      <c r="T52" s="48"/>
      <c r="V52" s="49"/>
      <c r="X52" s="48"/>
    </row>
    <row r="53" spans="1:24" s="47" customFormat="1" ht="12.75" customHeight="1">
      <c r="A53" s="1357"/>
      <c r="B53" s="1357"/>
      <c r="C53" s="1353"/>
      <c r="D53" s="1356"/>
      <c r="E53" s="443"/>
      <c r="F53" s="445"/>
      <c r="G53" s="443"/>
      <c r="H53" s="449"/>
      <c r="I53" s="443"/>
      <c r="J53" s="445"/>
      <c r="K53" s="443"/>
      <c r="L53" s="449"/>
      <c r="M53" s="445"/>
      <c r="N53" s="48"/>
      <c r="P53" s="48"/>
      <c r="R53" s="48"/>
      <c r="T53" s="48"/>
      <c r="V53" s="48"/>
      <c r="X53" s="48"/>
    </row>
    <row r="54" spans="1:24" s="47" customFormat="1" ht="12.75" customHeight="1">
      <c r="A54" s="1357"/>
      <c r="B54" s="1357"/>
      <c r="C54" s="1353"/>
      <c r="D54" s="1356"/>
      <c r="E54" s="443"/>
      <c r="F54" s="445"/>
      <c r="G54" s="443"/>
      <c r="H54" s="447"/>
      <c r="I54" s="443"/>
      <c r="J54" s="443"/>
      <c r="K54" s="443"/>
      <c r="L54" s="443"/>
      <c r="M54" s="443"/>
    </row>
    <row r="55" spans="1:24" s="47" customFormat="1" ht="12.75" customHeight="1">
      <c r="A55" s="1357"/>
      <c r="B55" s="1357"/>
      <c r="C55" s="1353"/>
      <c r="D55" s="1356"/>
      <c r="E55" s="443"/>
      <c r="F55" s="445"/>
      <c r="G55" s="443"/>
      <c r="H55" s="447"/>
      <c r="I55" s="443"/>
      <c r="J55" s="443"/>
      <c r="K55" s="443"/>
      <c r="L55" s="443"/>
      <c r="M55" s="443"/>
    </row>
    <row r="56" spans="1:24" s="47" customFormat="1" ht="12.75" customHeight="1">
      <c r="A56" s="1357"/>
      <c r="B56" s="1357"/>
      <c r="C56" s="1353"/>
      <c r="D56" s="1356"/>
      <c r="E56" s="443"/>
      <c r="F56" s="445"/>
      <c r="G56" s="443"/>
      <c r="H56" s="447"/>
      <c r="I56" s="443"/>
      <c r="J56" s="443"/>
      <c r="K56" s="443"/>
      <c r="L56" s="443"/>
      <c r="M56" s="443"/>
    </row>
    <row r="57" spans="1:24" ht="12.75" customHeight="1">
      <c r="A57" s="1357"/>
      <c r="B57" s="1357"/>
      <c r="C57" s="1353"/>
      <c r="D57" s="1356"/>
      <c r="E57" s="456"/>
      <c r="F57" s="456"/>
      <c r="G57" s="456"/>
      <c r="H57" s="456"/>
      <c r="I57" s="456"/>
      <c r="J57" s="456"/>
      <c r="K57" s="456"/>
      <c r="L57" s="456"/>
    </row>
    <row r="58" spans="1:24" ht="12.75" customHeight="1">
      <c r="A58" s="1357"/>
      <c r="B58" s="1357"/>
      <c r="C58" s="1353"/>
      <c r="D58" s="1356"/>
    </row>
    <row r="59" spans="1:24" ht="12.75" customHeight="1">
      <c r="A59" s="1357"/>
      <c r="B59" s="1357"/>
      <c r="C59" s="1353"/>
      <c r="D59" s="1356"/>
    </row>
    <row r="60" spans="1:24" ht="12.75" customHeight="1">
      <c r="A60" s="1357"/>
      <c r="B60" s="1357"/>
      <c r="C60" s="1353"/>
      <c r="D60" s="1356"/>
    </row>
    <row r="61" spans="1:24" ht="12.75" customHeight="1">
      <c r="A61" s="1357"/>
      <c r="B61" s="1357"/>
      <c r="C61" s="1353"/>
      <c r="D61" s="1356"/>
    </row>
    <row r="62" spans="1:24" ht="12.75" customHeight="1">
      <c r="A62" s="1357"/>
      <c r="B62" s="1357"/>
      <c r="C62" s="1353"/>
      <c r="D62" s="1356"/>
    </row>
    <row r="63" spans="1:24" ht="12.75" customHeight="1">
      <c r="A63" s="1357"/>
      <c r="B63" s="1357"/>
      <c r="C63" s="1353"/>
      <c r="D63" s="1356"/>
    </row>
    <row r="64" spans="1:24" ht="12.75" customHeight="1">
      <c r="A64" s="1357"/>
      <c r="B64" s="1357"/>
      <c r="C64" s="1353"/>
      <c r="D64" s="1356"/>
    </row>
  </sheetData>
  <mergeCells count="4">
    <mergeCell ref="F11:H11"/>
    <mergeCell ref="J11:L11"/>
    <mergeCell ref="B8:L8"/>
    <mergeCell ref="C14:L15"/>
  </mergeCells>
  <phoneticPr fontId="27" type="noConversion"/>
  <printOptions horizontalCentered="1"/>
  <pageMargins left="0.75" right="0.5" top="0.75" bottom="0.5" header="0.25" footer="0.25"/>
  <pageSetup scale="95"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68">
    <pageSetUpPr fitToPage="1"/>
  </sheetPr>
  <dimension ref="A1:J292"/>
  <sheetViews>
    <sheetView view="pageBreakPreview" zoomScale="60" zoomScaleNormal="100" workbookViewId="0">
      <selection sqref="A1:XFD1048576"/>
    </sheetView>
  </sheetViews>
  <sheetFormatPr defaultColWidth="10.85546875" defaultRowHeight="12.75"/>
  <cols>
    <col min="1" max="1" width="5" style="120" customWidth="1"/>
    <col min="2" max="2" width="31.42578125" style="120" customWidth="1"/>
    <col min="3" max="3" width="14.42578125" style="120" customWidth="1"/>
    <col min="4" max="4" width="14.7109375" style="120" customWidth="1"/>
    <col min="5" max="5" width="17.140625" style="120" customWidth="1"/>
    <col min="6" max="6" width="11.140625" style="120" customWidth="1"/>
    <col min="7" max="7" width="10.85546875" style="136"/>
    <col min="8" max="16384" width="10.85546875" style="11"/>
  </cols>
  <sheetData>
    <row r="1" spans="1:6">
      <c r="A1" s="117" t="s">
        <v>709</v>
      </c>
      <c r="B1" s="117"/>
      <c r="C1" s="143"/>
      <c r="E1" s="117" t="s">
        <v>1209</v>
      </c>
    </row>
    <row r="2" spans="1:6">
      <c r="A2" s="117"/>
      <c r="B2" s="117"/>
      <c r="C2" s="143"/>
      <c r="E2" s="117"/>
    </row>
    <row r="3" spans="1:6">
      <c r="A3" s="117" t="s">
        <v>2644</v>
      </c>
      <c r="B3" s="203"/>
      <c r="C3" s="143"/>
      <c r="E3" s="117" t="s">
        <v>710</v>
      </c>
    </row>
    <row r="4" spans="1:6">
      <c r="A4" s="203" t="s">
        <v>2645</v>
      </c>
      <c r="B4" s="140"/>
      <c r="C4" s="144"/>
      <c r="E4" s="117" t="s">
        <v>766</v>
      </c>
    </row>
    <row r="5" spans="1:6">
      <c r="A5" s="117" t="s">
        <v>1936</v>
      </c>
      <c r="B5" s="117"/>
      <c r="C5" s="117"/>
      <c r="E5" s="474" t="s">
        <v>2951</v>
      </c>
    </row>
    <row r="6" spans="1:6">
      <c r="A6" s="117" t="s">
        <v>1474</v>
      </c>
      <c r="B6" s="117"/>
      <c r="C6" s="117"/>
      <c r="D6" s="117"/>
      <c r="E6" s="117"/>
      <c r="F6" s="117"/>
    </row>
    <row r="7" spans="1:6">
      <c r="A7" s="123" t="s">
        <v>1348</v>
      </c>
      <c r="B7" s="117"/>
      <c r="C7" s="117"/>
      <c r="D7" s="117"/>
      <c r="E7" s="117"/>
      <c r="F7" s="117"/>
    </row>
    <row r="8" spans="1:6">
      <c r="A8" s="117"/>
      <c r="B8" s="117"/>
      <c r="C8" s="117"/>
      <c r="D8" s="117"/>
      <c r="E8" s="117"/>
      <c r="F8" s="117"/>
    </row>
    <row r="9" spans="1:6">
      <c r="A9" s="2308" t="s">
        <v>711</v>
      </c>
      <c r="B9" s="2308"/>
      <c r="C9" s="2308"/>
      <c r="D9" s="2308"/>
      <c r="E9" s="2308"/>
      <c r="F9" s="2308"/>
    </row>
    <row r="10" spans="1:6" ht="1.5" customHeight="1">
      <c r="A10" s="2308"/>
      <c r="B10" s="2308"/>
      <c r="C10" s="2308"/>
      <c r="D10" s="2308"/>
      <c r="E10" s="2308"/>
      <c r="F10" s="2308"/>
    </row>
    <row r="11" spans="1:6" ht="13.5" thickBot="1">
      <c r="A11" s="124"/>
      <c r="B11" s="124"/>
      <c r="C11" s="124"/>
      <c r="D11" s="124"/>
      <c r="E11" s="124"/>
      <c r="F11" s="124"/>
    </row>
    <row r="12" spans="1:6">
      <c r="A12" s="117"/>
      <c r="B12" s="127" t="s">
        <v>914</v>
      </c>
      <c r="C12" s="127" t="s">
        <v>915</v>
      </c>
      <c r="D12" s="127" t="s">
        <v>916</v>
      </c>
      <c r="E12" s="127" t="s">
        <v>917</v>
      </c>
      <c r="F12" s="127" t="s">
        <v>526</v>
      </c>
    </row>
    <row r="13" spans="1:6">
      <c r="A13" s="162" t="s">
        <v>53</v>
      </c>
      <c r="B13" s="162" t="s">
        <v>781</v>
      </c>
      <c r="C13" s="159"/>
      <c r="D13" s="162" t="s">
        <v>712</v>
      </c>
      <c r="E13" s="159"/>
      <c r="F13" s="159"/>
    </row>
    <row r="14" spans="1:6">
      <c r="A14" s="996" t="s">
        <v>730</v>
      </c>
      <c r="B14" s="996" t="s">
        <v>713</v>
      </c>
      <c r="C14" s="996" t="s">
        <v>714</v>
      </c>
      <c r="D14" s="996" t="s">
        <v>715</v>
      </c>
      <c r="E14" s="996" t="s">
        <v>1170</v>
      </c>
      <c r="F14" s="996" t="s">
        <v>81</v>
      </c>
    </row>
    <row r="15" spans="1:6">
      <c r="A15" s="153"/>
    </row>
    <row r="16" spans="1:6">
      <c r="A16" s="148"/>
    </row>
    <row r="17" spans="1:7" s="487" customFormat="1">
      <c r="A17" s="239">
        <v>1</v>
      </c>
      <c r="B17" s="2328" t="s">
        <v>2937</v>
      </c>
      <c r="C17" s="2328"/>
      <c r="D17" s="2328"/>
      <c r="E17" s="2328"/>
      <c r="F17" s="2328"/>
      <c r="G17" s="220"/>
    </row>
    <row r="18" spans="1:7">
      <c r="A18" s="148"/>
      <c r="B18" s="2328"/>
      <c r="C18" s="2328"/>
      <c r="D18" s="2328"/>
      <c r="E18" s="2328"/>
      <c r="F18" s="2328"/>
    </row>
    <row r="19" spans="1:7">
      <c r="A19" s="457" t="s">
        <v>560</v>
      </c>
    </row>
    <row r="20" spans="1:7">
      <c r="A20" s="148"/>
    </row>
    <row r="21" spans="1:7">
      <c r="A21" s="148"/>
    </row>
    <row r="22" spans="1:7">
      <c r="A22" s="148"/>
    </row>
    <row r="23" spans="1:7">
      <c r="A23" s="148"/>
    </row>
    <row r="24" spans="1:7">
      <c r="A24" s="148"/>
    </row>
    <row r="25" spans="1:7">
      <c r="A25" s="148"/>
    </row>
    <row r="26" spans="1:7">
      <c r="A26" s="148"/>
    </row>
    <row r="27" spans="1:7">
      <c r="A27" s="148"/>
    </row>
    <row r="28" spans="1:7">
      <c r="A28" s="148"/>
    </row>
    <row r="29" spans="1:7">
      <c r="A29" s="148"/>
    </row>
    <row r="30" spans="1:7">
      <c r="A30" s="148"/>
    </row>
    <row r="31" spans="1:7">
      <c r="A31" s="148"/>
    </row>
    <row r="32" spans="1:7">
      <c r="A32" s="148"/>
    </row>
    <row r="33" spans="1:6">
      <c r="A33" s="148"/>
    </row>
    <row r="34" spans="1:6">
      <c r="A34" s="148"/>
    </row>
    <row r="35" spans="1:6">
      <c r="A35" s="148"/>
    </row>
    <row r="36" spans="1:6">
      <c r="A36" s="148"/>
    </row>
    <row r="37" spans="1:6">
      <c r="A37" s="148"/>
    </row>
    <row r="38" spans="1:6">
      <c r="A38" s="148"/>
    </row>
    <row r="39" spans="1:6">
      <c r="A39" s="148"/>
    </row>
    <row r="40" spans="1:6">
      <c r="A40" s="148"/>
    </row>
    <row r="41" spans="1:6">
      <c r="A41" s="148"/>
    </row>
    <row r="42" spans="1:6">
      <c r="A42" s="148"/>
    </row>
    <row r="43" spans="1:6">
      <c r="A43" s="148"/>
    </row>
    <row r="44" spans="1:6">
      <c r="A44" s="148"/>
    </row>
    <row r="45" spans="1:6">
      <c r="A45" s="148"/>
    </row>
    <row r="46" spans="1:6">
      <c r="A46" s="148"/>
    </row>
    <row r="47" spans="1:6">
      <c r="A47" s="148"/>
    </row>
    <row r="48" spans="1:6">
      <c r="A48" s="189"/>
      <c r="B48" s="148"/>
      <c r="C48" s="148"/>
      <c r="D48" s="148"/>
      <c r="E48" s="148"/>
      <c r="F48" s="148"/>
    </row>
    <row r="49" spans="1:1">
      <c r="A49" s="148"/>
    </row>
    <row r="50" spans="1:1">
      <c r="A50" s="148"/>
    </row>
    <row r="132" spans="10:10">
      <c r="J132" s="19"/>
    </row>
    <row r="135" spans="10:10">
      <c r="J135" s="19"/>
    </row>
    <row r="258" spans="1:2">
      <c r="A258" s="138"/>
      <c r="B258" s="138"/>
    </row>
    <row r="259" spans="1:2">
      <c r="A259" s="138"/>
      <c r="B259" s="138"/>
    </row>
    <row r="260" spans="1:2">
      <c r="A260" s="138"/>
      <c r="B260" s="138"/>
    </row>
    <row r="261" spans="1:2">
      <c r="A261" s="138"/>
      <c r="B261" s="138"/>
    </row>
    <row r="262" spans="1:2">
      <c r="A262" s="138"/>
      <c r="B262" s="138"/>
    </row>
    <row r="292" spans="1:1">
      <c r="A292" s="138"/>
    </row>
  </sheetData>
  <mergeCells count="2">
    <mergeCell ref="A9:F10"/>
    <mergeCell ref="B17:F18"/>
  </mergeCells>
  <phoneticPr fontId="27" type="noConversion"/>
  <printOptions horizontalCentered="1"/>
  <pageMargins left="0.75" right="0.5" top="0.75" bottom="0.5" header="0.25" footer="0.25"/>
  <pageSetup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69">
    <pageSetUpPr fitToPage="1"/>
  </sheetPr>
  <dimension ref="A1:Y465"/>
  <sheetViews>
    <sheetView view="pageBreakPreview" zoomScale="60" zoomScaleNormal="100" workbookViewId="0">
      <selection sqref="A1:XFD1048576"/>
    </sheetView>
  </sheetViews>
  <sheetFormatPr defaultColWidth="10.85546875" defaultRowHeight="12.75"/>
  <cols>
    <col min="1" max="1" width="9.42578125" style="120" customWidth="1"/>
    <col min="2" max="2" width="12.85546875" style="120" customWidth="1"/>
    <col min="3" max="5" width="9.85546875" style="120" customWidth="1"/>
    <col min="6" max="6" width="8" style="120" customWidth="1"/>
    <col min="7" max="7" width="15.42578125" style="120" customWidth="1"/>
    <col min="8" max="8" width="9.85546875" style="120" customWidth="1"/>
    <col min="9" max="9" width="9.140625" style="120" customWidth="1"/>
    <col min="10" max="16384" width="10.85546875" style="11"/>
  </cols>
  <sheetData>
    <row r="1" spans="1:25">
      <c r="A1" s="117" t="s">
        <v>71</v>
      </c>
      <c r="B1" s="117"/>
      <c r="C1" s="117"/>
      <c r="E1" s="117"/>
      <c r="G1" s="117" t="s">
        <v>1209</v>
      </c>
      <c r="H1" s="117"/>
      <c r="I1" s="117"/>
      <c r="J1" s="43"/>
      <c r="K1" s="43"/>
    </row>
    <row r="2" spans="1:25">
      <c r="A2" s="117"/>
      <c r="B2" s="117"/>
      <c r="C2" s="117"/>
      <c r="E2" s="117"/>
      <c r="G2" s="117"/>
      <c r="H2" s="117"/>
      <c r="I2" s="117"/>
      <c r="J2" s="43"/>
      <c r="K2" s="43"/>
    </row>
    <row r="3" spans="1:25">
      <c r="A3" s="117" t="s">
        <v>2644</v>
      </c>
      <c r="B3" s="117"/>
      <c r="C3" s="117"/>
      <c r="E3" s="117"/>
      <c r="G3" s="117" t="s">
        <v>1475</v>
      </c>
      <c r="H3" s="117"/>
      <c r="I3" s="117"/>
      <c r="J3" s="43"/>
      <c r="K3" s="43"/>
    </row>
    <row r="4" spans="1:25">
      <c r="A4" s="117" t="s">
        <v>2645</v>
      </c>
      <c r="B4" s="117"/>
      <c r="C4" s="117"/>
      <c r="E4" s="117"/>
      <c r="G4" s="117" t="s">
        <v>766</v>
      </c>
      <c r="H4" s="117"/>
      <c r="I4" s="117"/>
      <c r="J4" s="22"/>
    </row>
    <row r="5" spans="1:25">
      <c r="A5" s="117" t="s">
        <v>1936</v>
      </c>
      <c r="B5" s="117"/>
      <c r="C5" s="117"/>
      <c r="E5" s="117"/>
      <c r="G5" s="474" t="s">
        <v>2951</v>
      </c>
      <c r="H5" s="117"/>
      <c r="I5" s="117"/>
    </row>
    <row r="6" spans="1:25">
      <c r="A6" s="117" t="s">
        <v>1474</v>
      </c>
      <c r="B6" s="117"/>
      <c r="C6" s="117"/>
      <c r="D6" s="117"/>
      <c r="E6" s="117"/>
      <c r="F6" s="117"/>
      <c r="G6" s="117"/>
      <c r="H6" s="117"/>
      <c r="I6" s="117"/>
    </row>
    <row r="7" spans="1:25">
      <c r="A7" s="117"/>
      <c r="B7" s="117"/>
      <c r="C7" s="117"/>
      <c r="D7" s="117"/>
      <c r="E7" s="117"/>
      <c r="F7" s="117"/>
      <c r="G7" s="176"/>
      <c r="H7" s="117"/>
      <c r="I7" s="117"/>
    </row>
    <row r="8" spans="1:25">
      <c r="A8" s="2292" t="s">
        <v>1476</v>
      </c>
      <c r="B8" s="2293"/>
      <c r="C8" s="2293"/>
      <c r="D8" s="2293"/>
      <c r="E8" s="2293"/>
      <c r="F8" s="2293"/>
      <c r="G8" s="2293"/>
      <c r="H8" s="2293"/>
      <c r="I8" s="2293"/>
    </row>
    <row r="9" spans="1:25">
      <c r="A9" s="2293"/>
      <c r="B9" s="2293"/>
      <c r="C9" s="2293"/>
      <c r="D9" s="2293"/>
      <c r="E9" s="2293"/>
      <c r="F9" s="2293"/>
      <c r="G9" s="2293"/>
      <c r="H9" s="2293"/>
      <c r="I9" s="2293"/>
    </row>
    <row r="10" spans="1:25" ht="8.25" customHeight="1">
      <c r="A10" s="2293"/>
      <c r="B10" s="2293"/>
      <c r="C10" s="2293"/>
      <c r="D10" s="2293"/>
      <c r="E10" s="2293"/>
      <c r="F10" s="2293"/>
      <c r="G10" s="2293"/>
      <c r="H10" s="2293"/>
      <c r="I10" s="2293"/>
      <c r="S10" s="12"/>
      <c r="T10" s="12"/>
      <c r="U10" s="12"/>
      <c r="V10" s="12"/>
      <c r="W10" s="12"/>
      <c r="X10" s="12"/>
      <c r="Y10" s="12"/>
    </row>
    <row r="11" spans="1:25" hidden="1">
      <c r="A11" s="2293"/>
      <c r="B11" s="2293"/>
      <c r="C11" s="2293"/>
      <c r="D11" s="2293"/>
      <c r="E11" s="2293"/>
      <c r="F11" s="2293"/>
      <c r="G11" s="2293"/>
      <c r="H11" s="2293"/>
      <c r="I11" s="2293"/>
      <c r="S11" s="12"/>
      <c r="T11" s="12"/>
      <c r="U11" s="12"/>
      <c r="V11" s="12"/>
      <c r="W11" s="12"/>
      <c r="X11" s="12"/>
      <c r="Y11" s="12"/>
    </row>
    <row r="12" spans="1:25" hidden="1">
      <c r="A12" s="2293"/>
      <c r="B12" s="2293"/>
      <c r="C12" s="2293"/>
      <c r="D12" s="2293"/>
      <c r="E12" s="2293"/>
      <c r="F12" s="2293"/>
      <c r="G12" s="2293"/>
      <c r="H12" s="2293"/>
      <c r="I12" s="2293"/>
      <c r="S12" s="12"/>
      <c r="T12" s="12"/>
      <c r="U12" s="12"/>
      <c r="V12" s="12"/>
      <c r="W12" s="12"/>
      <c r="X12" s="12"/>
      <c r="Y12" s="12"/>
    </row>
    <row r="13" spans="1:25" hidden="1">
      <c r="A13" s="2293"/>
      <c r="B13" s="2293"/>
      <c r="C13" s="2293"/>
      <c r="D13" s="2293"/>
      <c r="E13" s="2293"/>
      <c r="F13" s="2293"/>
      <c r="G13" s="2293"/>
      <c r="H13" s="2293"/>
      <c r="I13" s="2293"/>
    </row>
    <row r="14" spans="1:25" ht="13.5" thickBot="1">
      <c r="A14" s="124"/>
      <c r="B14" s="124"/>
      <c r="C14" s="124"/>
      <c r="D14" s="124"/>
      <c r="E14" s="124"/>
      <c r="F14" s="124"/>
      <c r="G14" s="194"/>
      <c r="H14" s="124"/>
      <c r="I14" s="124"/>
      <c r="J14" s="12"/>
      <c r="K14" s="12"/>
      <c r="L14" s="44"/>
      <c r="M14" s="12"/>
      <c r="N14" s="12"/>
      <c r="O14" s="12"/>
      <c r="P14" s="12"/>
      <c r="Q14" s="12"/>
    </row>
    <row r="15" spans="1:25">
      <c r="A15" s="155" t="s">
        <v>131</v>
      </c>
      <c r="B15" s="196"/>
      <c r="G15" s="153"/>
      <c r="J15" s="12"/>
      <c r="K15" s="12"/>
      <c r="L15" s="12"/>
      <c r="M15" s="12"/>
      <c r="N15" s="12"/>
      <c r="O15" s="12"/>
      <c r="P15" s="12"/>
      <c r="Y15" s="12"/>
    </row>
    <row r="16" spans="1:25" s="487" customFormat="1">
      <c r="A16" s="239">
        <v>1</v>
      </c>
      <c r="B16" s="2341" t="s">
        <v>2938</v>
      </c>
      <c r="C16" s="2341"/>
      <c r="D16" s="2341"/>
      <c r="E16" s="2341"/>
      <c r="F16" s="2341"/>
      <c r="G16" s="2341"/>
      <c r="H16" s="2341"/>
      <c r="I16" s="2341"/>
      <c r="J16" s="488" t="s">
        <v>560</v>
      </c>
      <c r="K16" s="489"/>
      <c r="L16" s="489"/>
      <c r="M16" s="489"/>
      <c r="N16" s="489"/>
      <c r="O16" s="489"/>
      <c r="P16" s="489"/>
      <c r="Y16" s="489"/>
    </row>
    <row r="17" spans="1:25">
      <c r="A17" s="1210">
        <v>2</v>
      </c>
      <c r="B17" s="2341"/>
      <c r="C17" s="2341"/>
      <c r="D17" s="2341"/>
      <c r="E17" s="2341"/>
      <c r="F17" s="2341"/>
      <c r="G17" s="2341"/>
      <c r="H17" s="2341"/>
      <c r="I17" s="2341"/>
      <c r="J17" s="12"/>
      <c r="K17" s="12"/>
      <c r="L17" s="12"/>
      <c r="M17" s="12"/>
      <c r="N17" s="12"/>
      <c r="O17" s="12"/>
      <c r="P17" s="12"/>
      <c r="Y17" s="12"/>
    </row>
    <row r="18" spans="1:25">
      <c r="A18" s="191"/>
      <c r="C18" s="211"/>
      <c r="D18" s="211"/>
      <c r="E18" s="211"/>
      <c r="F18" s="211"/>
      <c r="G18" s="211"/>
      <c r="H18" s="211"/>
    </row>
    <row r="19" spans="1:25">
      <c r="A19" s="153"/>
    </row>
    <row r="20" spans="1:25">
      <c r="A20" s="153"/>
    </row>
    <row r="21" spans="1:25">
      <c r="A21" s="153"/>
    </row>
    <row r="22" spans="1:25">
      <c r="A22" s="153"/>
    </row>
    <row r="23" spans="1:25">
      <c r="A23" s="153"/>
    </row>
    <row r="24" spans="1:25">
      <c r="A24" s="153"/>
    </row>
    <row r="25" spans="1:25">
      <c r="A25" s="153"/>
    </row>
    <row r="26" spans="1:25">
      <c r="A26" s="153"/>
    </row>
    <row r="27" spans="1:25">
      <c r="A27" s="153"/>
    </row>
    <row r="28" spans="1:25">
      <c r="A28" s="153"/>
    </row>
    <row r="29" spans="1:25">
      <c r="A29" s="153"/>
    </row>
    <row r="30" spans="1:25">
      <c r="A30" s="153"/>
    </row>
    <row r="31" spans="1:25">
      <c r="A31" s="153"/>
    </row>
    <row r="32" spans="1:25">
      <c r="A32" s="153"/>
    </row>
    <row r="33" spans="1:7">
      <c r="A33" s="153"/>
    </row>
    <row r="34" spans="1:7">
      <c r="A34" s="153"/>
      <c r="G34" s="211"/>
    </row>
    <row r="35" spans="1:7">
      <c r="A35" s="153"/>
    </row>
    <row r="36" spans="1:7">
      <c r="A36" s="153"/>
    </row>
    <row r="37" spans="1:7">
      <c r="A37" s="153"/>
    </row>
    <row r="38" spans="1:7">
      <c r="A38" s="153"/>
    </row>
    <row r="39" spans="1:7">
      <c r="A39" s="153"/>
    </row>
    <row r="40" spans="1:7">
      <c r="A40" s="153"/>
    </row>
    <row r="41" spans="1:7">
      <c r="A41" s="153"/>
    </row>
    <row r="42" spans="1:7">
      <c r="A42" s="153"/>
    </row>
    <row r="43" spans="1:7">
      <c r="A43" s="153"/>
    </row>
    <row r="44" spans="1:7">
      <c r="A44" s="153"/>
    </row>
    <row r="45" spans="1:7">
      <c r="A45" s="153"/>
    </row>
    <row r="46" spans="1:7">
      <c r="A46" s="153"/>
    </row>
    <row r="47" spans="1:7">
      <c r="A47" s="153"/>
    </row>
    <row r="48" spans="1:7">
      <c r="A48" s="153"/>
    </row>
    <row r="49" spans="1:10">
      <c r="A49" s="153"/>
    </row>
    <row r="50" spans="1:10">
      <c r="A50" s="153"/>
    </row>
    <row r="51" spans="1:10">
      <c r="A51" s="153"/>
    </row>
    <row r="52" spans="1:10">
      <c r="A52" s="153"/>
    </row>
    <row r="53" spans="1:10">
      <c r="A53" s="153"/>
    </row>
    <row r="54" spans="1:10">
      <c r="A54" s="153"/>
    </row>
    <row r="55" spans="1:10">
      <c r="A55" s="153"/>
    </row>
    <row r="56" spans="1:10">
      <c r="A56" s="153"/>
    </row>
    <row r="57" spans="1:10">
      <c r="A57" s="153"/>
    </row>
    <row r="58" spans="1:10">
      <c r="A58" s="153"/>
    </row>
    <row r="59" spans="1:10">
      <c r="A59" s="153"/>
    </row>
    <row r="60" spans="1:10">
      <c r="A60" s="189"/>
      <c r="B60" s="153"/>
      <c r="C60" s="153"/>
      <c r="D60" s="153"/>
      <c r="E60" s="153"/>
      <c r="F60" s="153"/>
      <c r="G60" s="153"/>
      <c r="H60" s="153"/>
      <c r="I60" s="153"/>
      <c r="J60" s="490"/>
    </row>
    <row r="61" spans="1:10">
      <c r="A61" s="153"/>
    </row>
    <row r="62" spans="1:10">
      <c r="A62" s="153"/>
    </row>
    <row r="63" spans="1:10">
      <c r="A63" s="153"/>
    </row>
    <row r="64" spans="1:10">
      <c r="A64" s="153"/>
    </row>
    <row r="65" spans="1:9">
      <c r="A65" s="153"/>
    </row>
    <row r="66" spans="1:9">
      <c r="A66" s="153"/>
      <c r="B66" s="148"/>
      <c r="C66" s="148"/>
      <c r="D66" s="148"/>
      <c r="E66" s="148"/>
      <c r="F66" s="148"/>
      <c r="G66" s="148"/>
      <c r="H66" s="148"/>
      <c r="I66" s="148"/>
    </row>
    <row r="91" spans="13:13">
      <c r="M91" s="19"/>
    </row>
    <row r="92" spans="13:13">
      <c r="M92" s="13"/>
    </row>
    <row r="93" spans="13:13">
      <c r="M93" s="13"/>
    </row>
    <row r="94" spans="13:13">
      <c r="M94" s="13"/>
    </row>
    <row r="95" spans="13:13">
      <c r="M95" s="13"/>
    </row>
    <row r="96" spans="13:13">
      <c r="M96" s="13"/>
    </row>
    <row r="97" spans="13:13">
      <c r="M97" s="13"/>
    </row>
    <row r="98" spans="13:13">
      <c r="M98" s="13"/>
    </row>
    <row r="99" spans="13:13">
      <c r="M99" s="13"/>
    </row>
    <row r="100" spans="13:13">
      <c r="M100" s="13"/>
    </row>
    <row r="101" spans="13:13">
      <c r="M101" s="13"/>
    </row>
    <row r="102" spans="13:13">
      <c r="M102" s="13"/>
    </row>
    <row r="103" spans="13:13">
      <c r="M103" s="13"/>
    </row>
    <row r="104" spans="13:13">
      <c r="M104" s="13"/>
    </row>
    <row r="105" spans="13:13">
      <c r="M105" s="13"/>
    </row>
    <row r="106" spans="13:13">
      <c r="M106" s="13"/>
    </row>
    <row r="107" spans="13:13">
      <c r="M107" s="13"/>
    </row>
    <row r="108" spans="13:13">
      <c r="M108" s="13"/>
    </row>
    <row r="109" spans="13:13">
      <c r="M109" s="13"/>
    </row>
    <row r="110" spans="13:13">
      <c r="M110" s="13"/>
    </row>
    <row r="111" spans="13:13">
      <c r="M111" s="13"/>
    </row>
    <row r="112" spans="13:13">
      <c r="M112" s="13"/>
    </row>
    <row r="113" spans="13:13">
      <c r="M113" s="13"/>
    </row>
    <row r="114" spans="13:13">
      <c r="M114" s="13"/>
    </row>
    <row r="115" spans="13:13">
      <c r="M115" s="13"/>
    </row>
    <row r="116" spans="13:13">
      <c r="M116" s="13"/>
    </row>
    <row r="117" spans="13:13">
      <c r="M117" s="13"/>
    </row>
    <row r="118" spans="13:13">
      <c r="M118" s="13"/>
    </row>
    <row r="119" spans="13:13">
      <c r="M119" s="13"/>
    </row>
    <row r="120" spans="13:13">
      <c r="M120" s="13"/>
    </row>
    <row r="122" spans="13:13">
      <c r="M122" s="19"/>
    </row>
    <row r="162" spans="13:21">
      <c r="M162" s="19"/>
    </row>
    <row r="163" spans="13:21">
      <c r="M163" s="13"/>
    </row>
    <row r="164" spans="13:21">
      <c r="M164" s="13"/>
    </row>
    <row r="165" spans="13:21">
      <c r="M165" s="13"/>
      <c r="Q165" s="19"/>
      <c r="U165" s="19"/>
    </row>
    <row r="166" spans="13:21">
      <c r="M166" s="13"/>
    </row>
    <row r="167" spans="13:21">
      <c r="M167" s="13"/>
    </row>
    <row r="168" spans="13:21">
      <c r="M168" s="13"/>
      <c r="Q168" s="19"/>
      <c r="U168" s="19"/>
    </row>
    <row r="169" spans="13:21">
      <c r="M169" s="13"/>
    </row>
    <row r="170" spans="13:21">
      <c r="M170" s="13"/>
    </row>
    <row r="171" spans="13:21">
      <c r="M171" s="13"/>
    </row>
    <row r="172" spans="13:21">
      <c r="M172" s="13"/>
    </row>
    <row r="173" spans="13:21">
      <c r="M173" s="13"/>
    </row>
    <row r="174" spans="13:21">
      <c r="M174" s="13"/>
    </row>
    <row r="175" spans="13:21">
      <c r="M175" s="13"/>
    </row>
    <row r="176" spans="13:21">
      <c r="M176" s="13"/>
    </row>
    <row r="177" spans="13:13">
      <c r="M177" s="13"/>
    </row>
    <row r="178" spans="13:13">
      <c r="M178" s="13"/>
    </row>
    <row r="179" spans="13:13">
      <c r="M179" s="13"/>
    </row>
    <row r="180" spans="13:13">
      <c r="M180" s="13"/>
    </row>
    <row r="181" spans="13:13">
      <c r="M181" s="13"/>
    </row>
    <row r="182" spans="13:13">
      <c r="M182" s="13"/>
    </row>
    <row r="183" spans="13:13">
      <c r="M183" s="13"/>
    </row>
    <row r="184" spans="13:13">
      <c r="M184" s="13"/>
    </row>
    <row r="185" spans="13:13">
      <c r="M185" s="13"/>
    </row>
    <row r="186" spans="13:13">
      <c r="M186" s="13"/>
    </row>
    <row r="187" spans="13:13">
      <c r="M187" s="13"/>
    </row>
    <row r="188" spans="13:13">
      <c r="M188" s="13"/>
    </row>
    <row r="189" spans="13:13">
      <c r="M189" s="13"/>
    </row>
    <row r="190" spans="13:13">
      <c r="M190" s="13"/>
    </row>
    <row r="191" spans="13:13">
      <c r="M191" s="13"/>
    </row>
    <row r="193" spans="9:13">
      <c r="M193" s="19"/>
    </row>
    <row r="207" spans="9:13">
      <c r="I207" s="138"/>
    </row>
    <row r="209" spans="9:13">
      <c r="I209" s="138"/>
    </row>
    <row r="210" spans="9:13">
      <c r="I210" s="138"/>
    </row>
    <row r="211" spans="9:13">
      <c r="I211" s="138"/>
    </row>
    <row r="212" spans="9:13">
      <c r="I212" s="138"/>
    </row>
    <row r="213" spans="9:13">
      <c r="I213" s="138"/>
    </row>
    <row r="214" spans="9:13">
      <c r="I214" s="138"/>
    </row>
    <row r="215" spans="9:13">
      <c r="I215" s="138"/>
    </row>
    <row r="216" spans="9:13">
      <c r="I216" s="138"/>
    </row>
    <row r="222" spans="9:13">
      <c r="M222" s="19"/>
    </row>
    <row r="223" spans="9:13">
      <c r="M223" s="13"/>
    </row>
    <row r="224" spans="9:13">
      <c r="M224" s="13"/>
    </row>
    <row r="225" spans="13:13">
      <c r="M225" s="13"/>
    </row>
    <row r="226" spans="13:13">
      <c r="M226" s="13"/>
    </row>
    <row r="227" spans="13:13">
      <c r="M227" s="13"/>
    </row>
    <row r="228" spans="13:13">
      <c r="M228" s="13"/>
    </row>
    <row r="229" spans="13:13">
      <c r="M229" s="13"/>
    </row>
    <row r="230" spans="13:13">
      <c r="M230" s="13"/>
    </row>
    <row r="231" spans="13:13">
      <c r="M231" s="13"/>
    </row>
    <row r="232" spans="13:13">
      <c r="M232" s="13"/>
    </row>
    <row r="233" spans="13:13">
      <c r="M233" s="13"/>
    </row>
    <row r="234" spans="13:13">
      <c r="M234" s="13"/>
    </row>
    <row r="235" spans="13:13">
      <c r="M235" s="13"/>
    </row>
    <row r="236" spans="13:13">
      <c r="M236" s="13"/>
    </row>
    <row r="237" spans="13:13">
      <c r="M237" s="13"/>
    </row>
    <row r="238" spans="13:13">
      <c r="M238" s="13"/>
    </row>
    <row r="239" spans="13:13">
      <c r="M239" s="13"/>
    </row>
    <row r="240" spans="13:13">
      <c r="M240" s="13"/>
    </row>
    <row r="241" spans="13:13">
      <c r="M241" s="13"/>
    </row>
    <row r="260" spans="13:13">
      <c r="M260" s="19"/>
    </row>
    <row r="261" spans="13:13">
      <c r="M261" s="13"/>
    </row>
    <row r="262" spans="13:13">
      <c r="M262" s="13"/>
    </row>
    <row r="263" spans="13:13">
      <c r="M263" s="13"/>
    </row>
    <row r="264" spans="13:13">
      <c r="M264" s="13"/>
    </row>
    <row r="265" spans="13:13">
      <c r="M265" s="13"/>
    </row>
    <row r="266" spans="13:13">
      <c r="M266" s="13"/>
    </row>
    <row r="267" spans="13:13">
      <c r="M267" s="13"/>
    </row>
    <row r="268" spans="13:13">
      <c r="M268" s="13"/>
    </row>
    <row r="269" spans="13:13">
      <c r="M269" s="13"/>
    </row>
    <row r="270" spans="13:13">
      <c r="M270" s="13"/>
    </row>
    <row r="271" spans="13:13">
      <c r="M271" s="13"/>
    </row>
    <row r="272" spans="13:13">
      <c r="M272" s="13"/>
    </row>
    <row r="273" spans="13:13">
      <c r="M273" s="13"/>
    </row>
    <row r="274" spans="13:13">
      <c r="M274" s="13"/>
    </row>
    <row r="275" spans="13:13">
      <c r="M275" s="13"/>
    </row>
    <row r="276" spans="13:13">
      <c r="M276" s="13"/>
    </row>
    <row r="277" spans="13:13">
      <c r="M277" s="13"/>
    </row>
    <row r="278" spans="13:13">
      <c r="M278" s="13"/>
    </row>
    <row r="279" spans="13:13">
      <c r="M279" s="13"/>
    </row>
    <row r="280" spans="13:13">
      <c r="M280" s="13"/>
    </row>
    <row r="281" spans="13:13">
      <c r="M281" s="13"/>
    </row>
    <row r="282" spans="13:13">
      <c r="M282" s="13"/>
    </row>
    <row r="283" spans="13:13">
      <c r="M283" s="13"/>
    </row>
    <row r="284" spans="13:13">
      <c r="M284" s="13"/>
    </row>
    <row r="285" spans="13:13">
      <c r="M285" s="13"/>
    </row>
    <row r="286" spans="13:13">
      <c r="M286" s="13"/>
    </row>
    <row r="287" spans="13:13">
      <c r="M287" s="13"/>
    </row>
    <row r="288" spans="13:13">
      <c r="M288" s="13"/>
    </row>
    <row r="289" spans="1:13">
      <c r="M289" s="13"/>
    </row>
    <row r="290" spans="1:13">
      <c r="M290" s="13"/>
    </row>
    <row r="291" spans="1:13">
      <c r="A291" s="138"/>
      <c r="B291" s="138"/>
      <c r="C291" s="138"/>
      <c r="D291" s="138"/>
      <c r="E291" s="138"/>
      <c r="F291" s="138"/>
      <c r="G291" s="138"/>
      <c r="H291" s="138"/>
      <c r="M291" s="13"/>
    </row>
    <row r="292" spans="1:13">
      <c r="A292" s="138"/>
      <c r="B292" s="138"/>
      <c r="C292" s="138"/>
      <c r="D292" s="138"/>
      <c r="E292" s="138"/>
      <c r="F292" s="138"/>
      <c r="G292" s="138"/>
      <c r="H292" s="138"/>
      <c r="M292" s="13"/>
    </row>
    <row r="293" spans="1:13">
      <c r="A293" s="138"/>
      <c r="B293" s="138"/>
      <c r="C293" s="138"/>
      <c r="D293" s="138"/>
      <c r="E293" s="138"/>
      <c r="F293" s="138"/>
      <c r="G293" s="138"/>
      <c r="H293" s="138"/>
      <c r="M293" s="13"/>
    </row>
    <row r="294" spans="1:13">
      <c r="A294" s="138"/>
      <c r="B294" s="138"/>
      <c r="C294" s="138"/>
      <c r="D294" s="138"/>
      <c r="E294" s="138"/>
      <c r="F294" s="138"/>
      <c r="G294" s="138"/>
      <c r="H294" s="138"/>
      <c r="M294" s="13"/>
    </row>
    <row r="295" spans="1:13">
      <c r="A295" s="138"/>
      <c r="B295" s="138"/>
      <c r="C295" s="138"/>
      <c r="D295" s="138"/>
      <c r="E295" s="138"/>
      <c r="F295" s="138"/>
      <c r="G295" s="138"/>
      <c r="H295" s="138"/>
      <c r="M295" s="13"/>
    </row>
    <row r="296" spans="1:13">
      <c r="M296" s="13"/>
    </row>
    <row r="298" spans="1:13">
      <c r="M298" s="19"/>
    </row>
    <row r="300" spans="1:13">
      <c r="M300" s="14"/>
    </row>
    <row r="320" spans="13:13">
      <c r="M320" s="19"/>
    </row>
    <row r="321" spans="1:13">
      <c r="M321" s="13"/>
    </row>
    <row r="322" spans="1:13">
      <c r="M322" s="13"/>
    </row>
    <row r="323" spans="1:13">
      <c r="M323" s="13"/>
    </row>
    <row r="324" spans="1:13">
      <c r="M324" s="13"/>
    </row>
    <row r="325" spans="1:13">
      <c r="A325" s="138"/>
      <c r="B325" s="138"/>
      <c r="C325" s="138"/>
      <c r="D325" s="138"/>
      <c r="E325" s="138"/>
      <c r="F325" s="138"/>
      <c r="G325" s="138"/>
      <c r="M325" s="13"/>
    </row>
    <row r="326" spans="1:13">
      <c r="M326" s="13"/>
    </row>
    <row r="327" spans="1:13">
      <c r="M327" s="13"/>
    </row>
    <row r="328" spans="1:13">
      <c r="M328" s="13"/>
    </row>
    <row r="329" spans="1:13">
      <c r="M329" s="13"/>
    </row>
    <row r="330" spans="1:13">
      <c r="M330" s="13"/>
    </row>
    <row r="331" spans="1:13">
      <c r="M331" s="13"/>
    </row>
    <row r="332" spans="1:13">
      <c r="M332" s="13"/>
    </row>
    <row r="333" spans="1:13">
      <c r="M333" s="13"/>
    </row>
    <row r="334" spans="1:13">
      <c r="M334" s="13"/>
    </row>
    <row r="335" spans="1:13">
      <c r="M335" s="13"/>
    </row>
    <row r="336" spans="1:13">
      <c r="M336" s="13"/>
    </row>
    <row r="337" spans="13:13">
      <c r="M337" s="13"/>
    </row>
    <row r="338" spans="13:13">
      <c r="M338" s="13"/>
    </row>
    <row r="339" spans="13:13">
      <c r="M339" s="13"/>
    </row>
    <row r="340" spans="13:13">
      <c r="M340" s="13"/>
    </row>
    <row r="341" spans="13:13">
      <c r="M341" s="13"/>
    </row>
    <row r="342" spans="13:13">
      <c r="M342" s="13"/>
    </row>
    <row r="343" spans="13:13">
      <c r="M343" s="13"/>
    </row>
    <row r="344" spans="13:13">
      <c r="M344" s="13"/>
    </row>
    <row r="345" spans="13:13">
      <c r="M345" s="13"/>
    </row>
    <row r="346" spans="13:13">
      <c r="M346" s="13"/>
    </row>
    <row r="347" spans="13:13">
      <c r="M347" s="13"/>
    </row>
    <row r="348" spans="13:13">
      <c r="M348" s="13"/>
    </row>
    <row r="349" spans="13:13">
      <c r="M349" s="13"/>
    </row>
    <row r="350" spans="13:13">
      <c r="M350" s="13"/>
    </row>
    <row r="351" spans="13:13">
      <c r="M351" s="13"/>
    </row>
    <row r="352" spans="13:13">
      <c r="M352" s="13"/>
    </row>
    <row r="353" spans="13:13">
      <c r="M353" s="13"/>
    </row>
    <row r="354" spans="13:13">
      <c r="M354" s="13"/>
    </row>
    <row r="355" spans="13:13">
      <c r="M355" s="13"/>
    </row>
    <row r="356" spans="13:13">
      <c r="M356" s="13"/>
    </row>
    <row r="358" spans="13:13">
      <c r="M358" s="19"/>
    </row>
    <row r="360" spans="13:13">
      <c r="M360" s="14"/>
    </row>
    <row r="394" spans="1:1">
      <c r="A394" s="117"/>
    </row>
    <row r="411" spans="1:1">
      <c r="A411" s="138"/>
    </row>
    <row r="412" spans="1:1">
      <c r="A412" s="138"/>
    </row>
    <row r="413" spans="1:1">
      <c r="A413" s="138"/>
    </row>
    <row r="414" spans="1:1">
      <c r="A414" s="138"/>
    </row>
    <row r="415" spans="1:1">
      <c r="A415" s="138"/>
    </row>
    <row r="416" spans="1:1">
      <c r="A416" s="138"/>
    </row>
    <row r="417" spans="1:1">
      <c r="A417" s="138"/>
    </row>
    <row r="418" spans="1:1">
      <c r="A418" s="138"/>
    </row>
    <row r="419" spans="1:1">
      <c r="A419" s="138"/>
    </row>
    <row r="420" spans="1:1">
      <c r="A420" s="138"/>
    </row>
    <row r="421" spans="1:1">
      <c r="A421" s="138"/>
    </row>
    <row r="422" spans="1:1">
      <c r="A422" s="138"/>
    </row>
    <row r="423" spans="1:1">
      <c r="A423" s="138"/>
    </row>
    <row r="424" spans="1:1">
      <c r="A424" s="138"/>
    </row>
    <row r="425" spans="1:1">
      <c r="A425" s="138"/>
    </row>
    <row r="426" spans="1:1">
      <c r="A426" s="138"/>
    </row>
    <row r="427" spans="1:1">
      <c r="A427" s="138"/>
    </row>
    <row r="428" spans="1:1">
      <c r="A428" s="138"/>
    </row>
    <row r="429" spans="1:1">
      <c r="A429" s="138"/>
    </row>
    <row r="430" spans="1:1">
      <c r="A430" s="138"/>
    </row>
    <row r="431" spans="1:1">
      <c r="A431" s="138"/>
    </row>
    <row r="432" spans="1:1">
      <c r="A432" s="138"/>
    </row>
    <row r="433" spans="1:1">
      <c r="A433" s="138"/>
    </row>
    <row r="434" spans="1:1">
      <c r="A434" s="138"/>
    </row>
    <row r="435" spans="1:1">
      <c r="A435" s="138"/>
    </row>
    <row r="436" spans="1:1">
      <c r="A436" s="138"/>
    </row>
    <row r="437" spans="1:1">
      <c r="A437" s="138"/>
    </row>
    <row r="438" spans="1:1">
      <c r="A438" s="138"/>
    </row>
    <row r="439" spans="1:1">
      <c r="A439" s="138"/>
    </row>
    <row r="440" spans="1:1">
      <c r="A440" s="138"/>
    </row>
    <row r="441" spans="1:1">
      <c r="A441" s="138"/>
    </row>
    <row r="442" spans="1:1">
      <c r="A442" s="138"/>
    </row>
    <row r="443" spans="1:1">
      <c r="A443" s="138"/>
    </row>
    <row r="444" spans="1:1">
      <c r="A444" s="138"/>
    </row>
    <row r="445" spans="1:1">
      <c r="A445" s="138"/>
    </row>
    <row r="446" spans="1:1">
      <c r="A446" s="138"/>
    </row>
    <row r="447" spans="1:1">
      <c r="A447" s="138"/>
    </row>
    <row r="448" spans="1:1">
      <c r="A448" s="138"/>
    </row>
    <row r="449" spans="1:1">
      <c r="A449" s="138"/>
    </row>
    <row r="450" spans="1:1">
      <c r="A450" s="138"/>
    </row>
    <row r="451" spans="1:1">
      <c r="A451" s="138"/>
    </row>
    <row r="452" spans="1:1">
      <c r="A452" s="138"/>
    </row>
    <row r="453" spans="1:1">
      <c r="A453" s="138"/>
    </row>
    <row r="454" spans="1:1">
      <c r="A454" s="138"/>
    </row>
    <row r="455" spans="1:1">
      <c r="A455" s="138"/>
    </row>
    <row r="456" spans="1:1">
      <c r="A456" s="138"/>
    </row>
    <row r="457" spans="1:1">
      <c r="A457" s="138"/>
    </row>
    <row r="458" spans="1:1">
      <c r="A458" s="138"/>
    </row>
    <row r="459" spans="1:1">
      <c r="A459" s="138"/>
    </row>
    <row r="460" spans="1:1">
      <c r="A460" s="138"/>
    </row>
    <row r="461" spans="1:1">
      <c r="A461" s="138"/>
    </row>
    <row r="462" spans="1:1">
      <c r="A462" s="138"/>
    </row>
    <row r="463" spans="1:1">
      <c r="A463" s="138"/>
    </row>
    <row r="464" spans="1:1">
      <c r="A464" s="138"/>
    </row>
    <row r="465" spans="1:1">
      <c r="A465" s="138"/>
    </row>
  </sheetData>
  <mergeCells count="2">
    <mergeCell ref="A8:I13"/>
    <mergeCell ref="B16:I17"/>
  </mergeCells>
  <phoneticPr fontId="27" type="noConversion"/>
  <printOptions horizontalCentered="1"/>
  <pageMargins left="0.75" right="0.5" top="0.75" bottom="0.5" header="0.25" footer="0.25"/>
  <pageSetup orientation="portrait"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70">
    <pageSetUpPr fitToPage="1"/>
  </sheetPr>
  <dimension ref="A1:M61"/>
  <sheetViews>
    <sheetView view="pageBreakPreview" zoomScale="60" zoomScaleNormal="100" workbookViewId="0">
      <selection sqref="A1:XFD1048576"/>
    </sheetView>
  </sheetViews>
  <sheetFormatPr defaultColWidth="10.85546875" defaultRowHeight="12"/>
  <cols>
    <col min="1" max="1" width="4.42578125" style="120" customWidth="1"/>
    <col min="2" max="2" width="15" style="120" customWidth="1"/>
    <col min="3" max="3" width="10.85546875" style="120" customWidth="1"/>
    <col min="4" max="4" width="9" style="120" customWidth="1"/>
    <col min="5" max="6" width="10.85546875" style="120" customWidth="1"/>
    <col min="7" max="7" width="8.85546875" style="120" customWidth="1"/>
    <col min="8" max="8" width="11.28515625" style="120" customWidth="1"/>
    <col min="9" max="9" width="9" style="120" customWidth="1"/>
    <col min="10" max="10" width="12.85546875" style="120" customWidth="1"/>
    <col min="11" max="11" width="8.42578125" style="120" customWidth="1"/>
    <col min="12" max="12" width="12.85546875" style="120" customWidth="1"/>
    <col min="13" max="13" width="10.85546875" style="120"/>
    <col min="14" max="16384" width="10.85546875" style="16"/>
  </cols>
  <sheetData>
    <row r="1" spans="1:13">
      <c r="A1" s="117" t="s">
        <v>72</v>
      </c>
      <c r="B1" s="117"/>
      <c r="C1" s="117"/>
      <c r="E1" s="117"/>
      <c r="G1" s="117"/>
      <c r="H1" s="117"/>
      <c r="I1" s="117"/>
      <c r="J1" s="117" t="s">
        <v>1209</v>
      </c>
      <c r="K1" s="117"/>
      <c r="L1" s="117"/>
      <c r="M1" s="16"/>
    </row>
    <row r="2" spans="1:13">
      <c r="A2" s="117"/>
      <c r="B2" s="117"/>
      <c r="C2" s="117"/>
      <c r="E2" s="117"/>
      <c r="G2" s="117"/>
      <c r="H2" s="117"/>
      <c r="I2" s="117"/>
      <c r="J2" s="117"/>
      <c r="K2" s="117"/>
      <c r="L2" s="117"/>
      <c r="M2" s="16"/>
    </row>
    <row r="3" spans="1:13">
      <c r="A3" s="117" t="s">
        <v>2644</v>
      </c>
      <c r="B3" s="117"/>
      <c r="C3" s="117"/>
      <c r="E3" s="117"/>
      <c r="G3" s="117"/>
      <c r="H3" s="117"/>
      <c r="I3" s="117"/>
      <c r="J3" s="117" t="s">
        <v>1477</v>
      </c>
      <c r="K3" s="117"/>
      <c r="L3" s="117"/>
      <c r="M3" s="16"/>
    </row>
    <row r="4" spans="1:13">
      <c r="A4" s="117" t="s">
        <v>2645</v>
      </c>
      <c r="B4" s="117"/>
      <c r="C4" s="117"/>
      <c r="E4" s="117"/>
      <c r="G4" s="117"/>
      <c r="H4" s="117"/>
      <c r="I4" s="117"/>
      <c r="J4" s="123" t="s">
        <v>766</v>
      </c>
      <c r="K4" s="117"/>
      <c r="L4" s="117"/>
      <c r="M4" s="16"/>
    </row>
    <row r="5" spans="1:13">
      <c r="A5" s="117" t="s">
        <v>1936</v>
      </c>
      <c r="B5" s="117"/>
      <c r="C5" s="117"/>
      <c r="E5" s="117"/>
      <c r="G5" s="117"/>
      <c r="H5" s="117"/>
      <c r="I5" s="117"/>
      <c r="J5" s="474" t="s">
        <v>2951</v>
      </c>
      <c r="K5" s="117"/>
      <c r="L5" s="117"/>
      <c r="M5" s="16"/>
    </row>
    <row r="6" spans="1:13">
      <c r="A6" s="123" t="s">
        <v>1474</v>
      </c>
      <c r="B6" s="123"/>
      <c r="C6" s="117"/>
      <c r="D6" s="117"/>
      <c r="E6" s="117"/>
      <c r="F6" s="117"/>
      <c r="G6" s="117"/>
      <c r="H6" s="117"/>
      <c r="I6" s="117"/>
      <c r="J6" s="117"/>
      <c r="K6" s="117"/>
      <c r="L6" s="117"/>
      <c r="M6" s="16"/>
    </row>
    <row r="7" spans="1:13">
      <c r="A7" s="117"/>
      <c r="B7" s="117"/>
      <c r="C7" s="117"/>
      <c r="D7" s="117"/>
      <c r="E7" s="117"/>
      <c r="F7" s="117"/>
      <c r="G7" s="117"/>
      <c r="H7" s="117"/>
      <c r="I7" s="117"/>
      <c r="J7" s="117"/>
      <c r="K7" s="117"/>
      <c r="L7" s="117"/>
      <c r="M7" s="16"/>
    </row>
    <row r="8" spans="1:13" ht="12" customHeight="1">
      <c r="A8" s="2306" t="s">
        <v>1494</v>
      </c>
      <c r="B8" s="2306"/>
      <c r="C8" s="2293"/>
      <c r="D8" s="2293"/>
      <c r="E8" s="2293"/>
      <c r="F8" s="2293"/>
      <c r="G8" s="2293"/>
      <c r="H8" s="2293"/>
      <c r="I8" s="2293"/>
      <c r="J8" s="2293"/>
      <c r="K8" s="2293"/>
      <c r="L8" s="2293"/>
    </row>
    <row r="9" spans="1:13" ht="12" customHeight="1">
      <c r="A9" s="2293"/>
      <c r="B9" s="2293"/>
      <c r="C9" s="2293"/>
      <c r="D9" s="2293"/>
      <c r="E9" s="2293"/>
      <c r="F9" s="2293"/>
      <c r="G9" s="2293"/>
      <c r="H9" s="2293"/>
      <c r="I9" s="2293"/>
      <c r="J9" s="2293"/>
      <c r="K9" s="2293"/>
      <c r="L9" s="2293"/>
    </row>
    <row r="10" spans="1:13" ht="12" customHeight="1">
      <c r="A10" s="2293"/>
      <c r="B10" s="2293"/>
      <c r="C10" s="2293"/>
      <c r="D10" s="2293"/>
      <c r="E10" s="2293"/>
      <c r="F10" s="2293"/>
      <c r="G10" s="2293"/>
      <c r="H10" s="2293"/>
      <c r="I10" s="2293"/>
      <c r="J10" s="2293"/>
      <c r="K10" s="2293"/>
      <c r="L10" s="2293"/>
    </row>
    <row r="11" spans="1:13" ht="12" customHeight="1">
      <c r="A11" s="2293"/>
      <c r="B11" s="2293"/>
      <c r="C11" s="2293"/>
      <c r="D11" s="2293"/>
      <c r="E11" s="2293"/>
      <c r="F11" s="2293"/>
      <c r="G11" s="2293"/>
      <c r="H11" s="2293"/>
      <c r="I11" s="2293"/>
      <c r="J11" s="2293"/>
      <c r="K11" s="2293"/>
      <c r="L11" s="2293"/>
    </row>
    <row r="12" spans="1:13" ht="12.75" thickBot="1">
      <c r="A12" s="124"/>
      <c r="B12" s="124"/>
      <c r="C12" s="124"/>
      <c r="D12" s="124"/>
      <c r="E12" s="124"/>
      <c r="F12" s="124"/>
      <c r="G12" s="124"/>
      <c r="H12" s="124"/>
      <c r="I12" s="124"/>
      <c r="J12" s="124"/>
      <c r="K12" s="124"/>
      <c r="L12" s="124"/>
    </row>
    <row r="13" spans="1:13">
      <c r="A13" s="127"/>
      <c r="B13" s="127" t="s">
        <v>914</v>
      </c>
      <c r="C13" s="127" t="s">
        <v>915</v>
      </c>
      <c r="D13" s="127" t="s">
        <v>916</v>
      </c>
      <c r="E13" s="127" t="s">
        <v>917</v>
      </c>
      <c r="F13" s="127" t="s">
        <v>526</v>
      </c>
      <c r="G13" s="127" t="s">
        <v>76</v>
      </c>
      <c r="H13" s="127" t="s">
        <v>822</v>
      </c>
      <c r="I13" s="127" t="s">
        <v>970</v>
      </c>
      <c r="J13" s="127" t="s">
        <v>971</v>
      </c>
      <c r="K13" s="127" t="s">
        <v>972</v>
      </c>
      <c r="L13" s="127" t="s">
        <v>973</v>
      </c>
    </row>
    <row r="14" spans="1:13">
      <c r="A14" s="117"/>
      <c r="B14" s="117"/>
      <c r="C14" s="117"/>
      <c r="D14" s="117"/>
      <c r="E14" s="117"/>
      <c r="F14" s="127" t="s">
        <v>74</v>
      </c>
      <c r="G14" s="117"/>
      <c r="H14" s="127" t="s">
        <v>1478</v>
      </c>
      <c r="I14" s="117"/>
      <c r="J14" s="117"/>
      <c r="K14" s="117"/>
      <c r="L14" s="117"/>
    </row>
    <row r="15" spans="1:13">
      <c r="A15" s="127" t="s">
        <v>53</v>
      </c>
      <c r="B15" s="117"/>
      <c r="C15" s="127" t="s">
        <v>1479</v>
      </c>
      <c r="D15" s="127" t="s">
        <v>1480</v>
      </c>
      <c r="E15" s="127" t="s">
        <v>1481</v>
      </c>
      <c r="F15" s="127" t="s">
        <v>1482</v>
      </c>
      <c r="G15" s="127" t="s">
        <v>1480</v>
      </c>
      <c r="H15" s="127" t="s">
        <v>1482</v>
      </c>
      <c r="I15" s="127" t="s">
        <v>1483</v>
      </c>
      <c r="J15" s="127" t="s">
        <v>1484</v>
      </c>
      <c r="K15" s="127" t="s">
        <v>1485</v>
      </c>
      <c r="L15" s="127" t="s">
        <v>1486</v>
      </c>
    </row>
    <row r="16" spans="1:13">
      <c r="A16" s="806" t="s">
        <v>730</v>
      </c>
      <c r="B16" s="806" t="s">
        <v>1487</v>
      </c>
      <c r="C16" s="806" t="s">
        <v>1488</v>
      </c>
      <c r="D16" s="806" t="s">
        <v>1489</v>
      </c>
      <c r="E16" s="806" t="s">
        <v>1488</v>
      </c>
      <c r="F16" s="806" t="s">
        <v>1490</v>
      </c>
      <c r="G16" s="806" t="s">
        <v>1489</v>
      </c>
      <c r="H16" s="806" t="s">
        <v>1490</v>
      </c>
      <c r="I16" s="806" t="s">
        <v>1491</v>
      </c>
      <c r="J16" s="806" t="s">
        <v>1492</v>
      </c>
      <c r="K16" s="806" t="s">
        <v>1491</v>
      </c>
      <c r="L16" s="806" t="s">
        <v>1493</v>
      </c>
    </row>
    <row r="17" spans="1:12">
      <c r="E17" s="138"/>
    </row>
    <row r="18" spans="1:12" ht="12.75">
      <c r="A18" s="131">
        <v>1</v>
      </c>
      <c r="B18" s="2342" t="s">
        <v>2939</v>
      </c>
      <c r="C18" s="2299"/>
      <c r="D18" s="2299"/>
      <c r="E18" s="2299"/>
      <c r="F18" s="2299"/>
      <c r="G18" s="2299"/>
      <c r="H18" s="2299"/>
      <c r="I18" s="2299"/>
      <c r="J18" s="2299"/>
      <c r="K18" s="2299"/>
      <c r="L18" s="2299"/>
    </row>
    <row r="19" spans="1:12">
      <c r="A19" s="158"/>
      <c r="B19" s="158"/>
      <c r="C19" s="243"/>
      <c r="D19" s="459"/>
      <c r="E19" s="243"/>
      <c r="F19" s="243"/>
      <c r="G19" s="459"/>
      <c r="H19" s="243"/>
      <c r="I19" s="158"/>
      <c r="J19" s="243"/>
      <c r="K19" s="458"/>
      <c r="L19" s="243"/>
    </row>
    <row r="20" spans="1:12">
      <c r="A20" s="158"/>
      <c r="B20" s="158"/>
      <c r="C20" s="243"/>
      <c r="D20" s="459"/>
      <c r="E20" s="243"/>
      <c r="F20" s="243"/>
      <c r="G20" s="459"/>
      <c r="H20" s="243"/>
      <c r="I20" s="158"/>
      <c r="J20" s="243"/>
      <c r="K20" s="458"/>
      <c r="L20" s="243"/>
    </row>
    <row r="21" spans="1:12">
      <c r="A21" s="158"/>
      <c r="B21" s="158"/>
      <c r="C21" s="243"/>
      <c r="D21" s="459"/>
      <c r="E21" s="243"/>
      <c r="F21" s="243"/>
      <c r="G21" s="459"/>
      <c r="H21" s="243"/>
      <c r="I21" s="158"/>
      <c r="J21" s="243"/>
      <c r="K21" s="458"/>
      <c r="L21" s="243"/>
    </row>
    <row r="22" spans="1:12">
      <c r="A22" s="158"/>
      <c r="B22" s="158"/>
      <c r="C22" s="243"/>
      <c r="D22" s="459"/>
      <c r="E22" s="243"/>
      <c r="F22" s="243"/>
      <c r="G22" s="459"/>
      <c r="H22" s="243"/>
      <c r="I22" s="158"/>
      <c r="J22" s="243"/>
      <c r="K22" s="458"/>
      <c r="L22" s="243"/>
    </row>
    <row r="23" spans="1:12">
      <c r="A23" s="158"/>
      <c r="B23" s="158"/>
      <c r="C23" s="243"/>
      <c r="D23" s="459"/>
      <c r="E23" s="243"/>
      <c r="F23" s="243"/>
      <c r="G23" s="459"/>
      <c r="H23" s="243"/>
      <c r="I23" s="158"/>
      <c r="J23" s="243"/>
      <c r="K23" s="458"/>
      <c r="L23" s="243"/>
    </row>
    <row r="24" spans="1:12">
      <c r="A24" s="158"/>
      <c r="B24" s="158"/>
      <c r="C24" s="243"/>
      <c r="D24" s="459"/>
      <c r="E24" s="243"/>
      <c r="F24" s="243"/>
      <c r="G24" s="459"/>
      <c r="H24" s="243"/>
      <c r="I24" s="158"/>
      <c r="J24" s="243"/>
      <c r="K24" s="458"/>
      <c r="L24" s="243"/>
    </row>
    <row r="25" spans="1:12">
      <c r="A25" s="158"/>
      <c r="B25" s="158"/>
      <c r="C25" s="243"/>
      <c r="D25" s="459"/>
      <c r="E25" s="243"/>
      <c r="F25" s="243"/>
      <c r="G25" s="459"/>
      <c r="H25" s="243"/>
      <c r="I25" s="158"/>
      <c r="J25" s="243"/>
      <c r="K25" s="458"/>
      <c r="L25" s="243"/>
    </row>
    <row r="26" spans="1:12">
      <c r="A26" s="158"/>
      <c r="B26" s="158"/>
      <c r="C26" s="243"/>
      <c r="D26" s="459"/>
      <c r="E26" s="243"/>
      <c r="F26" s="243"/>
      <c r="G26" s="459"/>
      <c r="H26" s="243"/>
      <c r="I26" s="158"/>
      <c r="J26" s="243"/>
      <c r="K26" s="458"/>
      <c r="L26" s="243"/>
    </row>
    <row r="27" spans="1:12">
      <c r="A27" s="158"/>
      <c r="B27" s="158"/>
      <c r="C27" s="243"/>
      <c r="D27" s="459"/>
      <c r="E27" s="243"/>
      <c r="F27" s="243"/>
      <c r="G27" s="459"/>
      <c r="H27" s="243"/>
      <c r="I27" s="158"/>
      <c r="J27" s="243"/>
      <c r="K27" s="458"/>
      <c r="L27" s="243"/>
    </row>
    <row r="28" spans="1:12">
      <c r="A28" s="158"/>
      <c r="B28" s="158"/>
      <c r="C28" s="243"/>
      <c r="D28" s="459"/>
      <c r="E28" s="243"/>
      <c r="F28" s="243"/>
      <c r="G28" s="459"/>
      <c r="H28" s="243"/>
      <c r="I28" s="158"/>
      <c r="J28" s="243"/>
      <c r="K28" s="458"/>
      <c r="L28" s="243"/>
    </row>
    <row r="29" spans="1:12">
      <c r="A29" s="158"/>
      <c r="B29" s="158"/>
      <c r="C29" s="243"/>
      <c r="D29" s="459"/>
      <c r="E29" s="243"/>
      <c r="F29" s="243"/>
      <c r="G29" s="459"/>
      <c r="H29" s="243"/>
      <c r="I29" s="158"/>
      <c r="J29" s="243"/>
      <c r="K29" s="458"/>
      <c r="L29" s="243"/>
    </row>
    <row r="30" spans="1:12">
      <c r="A30" s="158"/>
      <c r="B30" s="158"/>
      <c r="C30" s="243"/>
      <c r="D30" s="459"/>
      <c r="E30" s="243"/>
      <c r="F30" s="243"/>
      <c r="G30" s="459"/>
      <c r="H30" s="243"/>
      <c r="I30" s="158"/>
      <c r="J30" s="243"/>
      <c r="K30" s="458"/>
      <c r="L30" s="243"/>
    </row>
    <row r="31" spans="1:12">
      <c r="A31" s="158"/>
      <c r="B31" s="158"/>
      <c r="C31" s="243"/>
      <c r="D31" s="459"/>
      <c r="E31" s="243"/>
      <c r="F31" s="243"/>
      <c r="G31" s="459"/>
      <c r="H31" s="243"/>
      <c r="I31" s="158"/>
      <c r="J31" s="243"/>
      <c r="K31" s="158"/>
      <c r="L31" s="243"/>
    </row>
    <row r="32" spans="1:12">
      <c r="C32" s="180"/>
      <c r="D32" s="460"/>
      <c r="E32" s="180"/>
      <c r="F32" s="180"/>
      <c r="G32" s="460"/>
      <c r="H32" s="180"/>
      <c r="J32" s="180"/>
      <c r="L32" s="180"/>
    </row>
    <row r="33" spans="1:12">
      <c r="L33" s="180"/>
    </row>
    <row r="34" spans="1:12">
      <c r="L34" s="180"/>
    </row>
    <row r="35" spans="1:12">
      <c r="L35" s="180"/>
    </row>
    <row r="36" spans="1:12">
      <c r="C36" s="180"/>
      <c r="D36" s="460"/>
      <c r="E36" s="180"/>
      <c r="F36" s="180"/>
      <c r="G36" s="460"/>
      <c r="H36" s="180"/>
      <c r="J36" s="180"/>
      <c r="L36" s="180"/>
    </row>
    <row r="37" spans="1:12">
      <c r="C37" s="180"/>
      <c r="D37" s="460"/>
      <c r="E37" s="180"/>
      <c r="F37" s="180"/>
      <c r="G37" s="460"/>
      <c r="H37" s="180"/>
      <c r="J37" s="180"/>
      <c r="L37" s="180"/>
    </row>
    <row r="38" spans="1:12">
      <c r="C38" s="180"/>
      <c r="D38" s="460"/>
      <c r="E38" s="180"/>
      <c r="F38" s="180"/>
      <c r="G38" s="460"/>
      <c r="H38" s="180"/>
      <c r="J38" s="180"/>
      <c r="L38" s="180"/>
    </row>
    <row r="39" spans="1:12">
      <c r="C39" s="180"/>
      <c r="D39" s="460"/>
      <c r="E39" s="180"/>
      <c r="F39" s="180"/>
      <c r="G39" s="460"/>
      <c r="H39" s="180"/>
      <c r="J39" s="180"/>
      <c r="L39" s="180"/>
    </row>
    <row r="40" spans="1:12">
      <c r="C40" s="180"/>
      <c r="D40" s="460"/>
      <c r="E40" s="180"/>
      <c r="F40" s="180"/>
      <c r="G40" s="460"/>
      <c r="H40" s="180"/>
      <c r="J40" s="180"/>
      <c r="L40" s="180"/>
    </row>
    <row r="41" spans="1:12">
      <c r="C41" s="180"/>
      <c r="D41" s="460"/>
      <c r="E41" s="180"/>
      <c r="F41" s="180"/>
      <c r="G41" s="460"/>
      <c r="H41" s="180"/>
      <c r="J41" s="180"/>
      <c r="L41" s="180"/>
    </row>
    <row r="42" spans="1:12">
      <c r="A42" s="189"/>
      <c r="B42" s="153"/>
      <c r="C42" s="186"/>
      <c r="D42" s="461"/>
      <c r="E42" s="186"/>
      <c r="F42" s="186"/>
      <c r="G42" s="461"/>
      <c r="H42" s="186"/>
      <c r="I42" s="153"/>
      <c r="J42" s="186"/>
      <c r="K42" s="153"/>
      <c r="L42" s="186"/>
    </row>
    <row r="43" spans="1:12">
      <c r="C43" s="180"/>
      <c r="D43" s="460"/>
      <c r="E43" s="180"/>
      <c r="F43" s="180"/>
      <c r="G43" s="460"/>
      <c r="H43" s="180"/>
      <c r="J43" s="180"/>
      <c r="L43" s="180"/>
    </row>
    <row r="44" spans="1:12">
      <c r="C44" s="180"/>
      <c r="D44" s="460"/>
      <c r="E44" s="180"/>
      <c r="F44" s="180"/>
      <c r="G44" s="460"/>
      <c r="H44" s="180"/>
      <c r="J44" s="180"/>
      <c r="L44" s="180"/>
    </row>
    <row r="45" spans="1:12">
      <c r="C45" s="180"/>
      <c r="D45" s="460"/>
      <c r="E45" s="180"/>
      <c r="F45" s="180"/>
      <c r="G45" s="460"/>
      <c r="H45" s="180"/>
      <c r="J45" s="180"/>
      <c r="L45" s="180"/>
    </row>
    <row r="46" spans="1:12">
      <c r="C46" s="180"/>
      <c r="D46" s="460"/>
      <c r="E46" s="180"/>
      <c r="F46" s="180"/>
      <c r="G46" s="460"/>
      <c r="H46" s="180"/>
      <c r="J46" s="180"/>
      <c r="L46" s="180"/>
    </row>
    <row r="47" spans="1:12">
      <c r="C47" s="180"/>
      <c r="D47" s="460"/>
      <c r="E47" s="180"/>
      <c r="F47" s="180"/>
      <c r="G47" s="460"/>
      <c r="H47" s="180"/>
      <c r="J47" s="180"/>
      <c r="L47" s="180"/>
    </row>
    <row r="48" spans="1:12">
      <c r="C48" s="180"/>
      <c r="D48" s="460"/>
      <c r="E48" s="180"/>
      <c r="F48" s="180"/>
      <c r="G48" s="460"/>
      <c r="H48" s="180"/>
      <c r="J48" s="180"/>
      <c r="L48" s="180"/>
    </row>
    <row r="49" spans="1:12">
      <c r="C49" s="180"/>
      <c r="D49" s="460"/>
      <c r="E49" s="180"/>
      <c r="F49" s="180"/>
      <c r="G49" s="460"/>
      <c r="H49" s="180"/>
      <c r="J49" s="180"/>
    </row>
    <row r="50" spans="1:12">
      <c r="C50" s="180"/>
      <c r="D50" s="460"/>
      <c r="E50" s="180"/>
      <c r="F50" s="180"/>
      <c r="G50" s="460"/>
      <c r="H50" s="180"/>
      <c r="J50" s="180"/>
    </row>
    <row r="51" spans="1:12">
      <c r="C51" s="180"/>
      <c r="D51" s="460"/>
      <c r="E51" s="180"/>
      <c r="F51" s="180"/>
      <c r="G51" s="460"/>
      <c r="H51" s="180"/>
      <c r="J51" s="180"/>
    </row>
    <row r="60" spans="1:12">
      <c r="E60" s="180"/>
      <c r="F60" s="180"/>
      <c r="H60" s="180"/>
      <c r="J60" s="180"/>
    </row>
    <row r="61" spans="1:12">
      <c r="A61" s="153"/>
      <c r="B61" s="148"/>
      <c r="C61" s="148"/>
      <c r="D61" s="148"/>
      <c r="E61" s="148"/>
      <c r="F61" s="148"/>
      <c r="G61" s="148"/>
      <c r="H61" s="148"/>
      <c r="I61" s="148"/>
      <c r="J61" s="148"/>
      <c r="K61" s="148"/>
      <c r="L61" s="148"/>
    </row>
  </sheetData>
  <mergeCells count="2">
    <mergeCell ref="A8:L11"/>
    <mergeCell ref="B18:L18"/>
  </mergeCells>
  <phoneticPr fontId="27" type="noConversion"/>
  <printOptions horizontalCentered="1"/>
  <pageMargins left="0.75" right="0.5" top="0.75" bottom="0.5" header="0.25" footer="0.25"/>
  <pageSetup orientation="landscape"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71">
    <pageSetUpPr fitToPage="1"/>
  </sheetPr>
  <dimension ref="A1:M314"/>
  <sheetViews>
    <sheetView view="pageBreakPreview" zoomScale="60" zoomScaleNormal="100" workbookViewId="0">
      <selection sqref="A1:XFD1048576"/>
    </sheetView>
  </sheetViews>
  <sheetFormatPr defaultColWidth="10.85546875" defaultRowHeight="12.75"/>
  <cols>
    <col min="1" max="1" width="5.140625" style="120" customWidth="1"/>
    <col min="2" max="2" width="11" style="120" customWidth="1"/>
    <col min="3" max="3" width="9.5703125" style="120" customWidth="1"/>
    <col min="4" max="4" width="10.28515625" style="120" customWidth="1"/>
    <col min="5" max="5" width="12.5703125" style="120" customWidth="1"/>
    <col min="6" max="6" width="11.140625" style="120" customWidth="1"/>
    <col min="7" max="7" width="10.42578125" style="120" customWidth="1"/>
    <col min="8" max="8" width="13.85546875" style="120" customWidth="1"/>
    <col min="9" max="9" width="13.140625" style="120" customWidth="1"/>
    <col min="10" max="10" width="10.85546875" style="120"/>
    <col min="11" max="16384" width="10.85546875" style="11"/>
  </cols>
  <sheetData>
    <row r="1" spans="1:13">
      <c r="A1" s="117" t="s">
        <v>1495</v>
      </c>
      <c r="C1" s="117"/>
      <c r="E1" s="117"/>
      <c r="H1" s="117" t="s">
        <v>1209</v>
      </c>
      <c r="I1" s="117"/>
    </row>
    <row r="2" spans="1:13">
      <c r="A2" s="117"/>
      <c r="C2" s="117"/>
      <c r="E2" s="117"/>
      <c r="H2" s="117"/>
      <c r="I2" s="117"/>
    </row>
    <row r="3" spans="1:13">
      <c r="A3" s="117" t="s">
        <v>2644</v>
      </c>
      <c r="C3" s="117"/>
      <c r="E3" s="117"/>
      <c r="H3" s="117" t="s">
        <v>630</v>
      </c>
      <c r="I3" s="117"/>
    </row>
    <row r="4" spans="1:13">
      <c r="A4" s="117" t="s">
        <v>2645</v>
      </c>
      <c r="C4" s="117"/>
      <c r="E4" s="117"/>
      <c r="H4" s="117" t="s">
        <v>766</v>
      </c>
      <c r="I4" s="117"/>
    </row>
    <row r="5" spans="1:13">
      <c r="A5" s="117" t="s">
        <v>1936</v>
      </c>
      <c r="C5" s="117"/>
      <c r="E5" s="117"/>
      <c r="H5" s="474" t="s">
        <v>2951</v>
      </c>
      <c r="I5" s="117"/>
    </row>
    <row r="6" spans="1:13">
      <c r="A6" s="117" t="s">
        <v>631</v>
      </c>
      <c r="C6" s="117"/>
      <c r="D6" s="117"/>
      <c r="E6" s="117"/>
      <c r="F6" s="117"/>
      <c r="H6" s="117"/>
      <c r="I6" s="117"/>
    </row>
    <row r="7" spans="1:13">
      <c r="C7" s="117"/>
      <c r="D7" s="117"/>
      <c r="E7" s="117"/>
      <c r="F7" s="117"/>
      <c r="H7" s="117"/>
      <c r="I7" s="117"/>
    </row>
    <row r="8" spans="1:13">
      <c r="A8" s="117" t="s">
        <v>632</v>
      </c>
      <c r="C8" s="117"/>
      <c r="D8" s="117"/>
      <c r="E8" s="117"/>
      <c r="F8" s="117"/>
      <c r="H8" s="117" t="s">
        <v>633</v>
      </c>
      <c r="I8" s="117"/>
    </row>
    <row r="9" spans="1:13">
      <c r="B9" s="117"/>
      <c r="C9" s="117"/>
      <c r="D9" s="117"/>
      <c r="E9" s="117"/>
      <c r="F9" s="117"/>
      <c r="G9" s="117"/>
      <c r="H9" s="117"/>
      <c r="I9" s="117"/>
    </row>
    <row r="10" spans="1:13" ht="12.75" customHeight="1">
      <c r="B10" s="2308" t="s">
        <v>599</v>
      </c>
      <c r="C10" s="2308"/>
      <c r="D10" s="2308"/>
      <c r="E10" s="2308"/>
      <c r="F10" s="2308"/>
      <c r="G10" s="2308"/>
      <c r="H10" s="2308"/>
      <c r="I10" s="2308"/>
    </row>
    <row r="11" spans="1:13">
      <c r="B11" s="2308"/>
      <c r="C11" s="2308"/>
      <c r="D11" s="2308"/>
      <c r="E11" s="2308"/>
      <c r="F11" s="2308"/>
      <c r="G11" s="2308"/>
      <c r="H11" s="2308"/>
      <c r="I11" s="2308"/>
    </row>
    <row r="12" spans="1:13">
      <c r="B12" s="2308"/>
      <c r="C12" s="2308"/>
      <c r="D12" s="2308"/>
      <c r="E12" s="2308"/>
      <c r="F12" s="2308"/>
      <c r="G12" s="2308"/>
      <c r="H12" s="2308"/>
      <c r="I12" s="2308"/>
    </row>
    <row r="13" spans="1:13">
      <c r="B13" s="2308"/>
      <c r="C13" s="2308"/>
      <c r="D13" s="2308"/>
      <c r="E13" s="2308"/>
      <c r="F13" s="2308"/>
      <c r="G13" s="2308"/>
      <c r="H13" s="2308"/>
      <c r="I13" s="2308"/>
    </row>
    <row r="14" spans="1:13" ht="13.5" thickBot="1">
      <c r="A14" s="124"/>
      <c r="B14" s="124"/>
      <c r="C14" s="124"/>
      <c r="D14" s="462"/>
      <c r="E14" s="462"/>
      <c r="F14" s="462"/>
      <c r="G14" s="462"/>
      <c r="H14" s="124"/>
      <c r="I14" s="124"/>
      <c r="M14" s="17"/>
    </row>
    <row r="15" spans="1:13">
      <c r="A15" s="127"/>
      <c r="B15" s="127" t="s">
        <v>914</v>
      </c>
      <c r="C15" s="127" t="s">
        <v>915</v>
      </c>
      <c r="D15" s="127" t="s">
        <v>916</v>
      </c>
      <c r="E15" s="127" t="s">
        <v>917</v>
      </c>
      <c r="F15" s="127" t="s">
        <v>526</v>
      </c>
      <c r="G15" s="127" t="s">
        <v>76</v>
      </c>
      <c r="H15" s="127" t="s">
        <v>822</v>
      </c>
      <c r="I15" s="127" t="s">
        <v>970</v>
      </c>
      <c r="M15" s="17"/>
    </row>
    <row r="16" spans="1:13">
      <c r="A16" s="117"/>
      <c r="B16" s="117"/>
      <c r="C16" s="117"/>
      <c r="D16" s="117"/>
      <c r="E16" s="127" t="s">
        <v>634</v>
      </c>
      <c r="F16" s="117"/>
      <c r="G16" s="117"/>
      <c r="H16" s="127" t="s">
        <v>635</v>
      </c>
      <c r="I16" s="117"/>
    </row>
    <row r="17" spans="1:9">
      <c r="A17" s="127" t="s">
        <v>53</v>
      </c>
      <c r="B17" s="127" t="s">
        <v>1482</v>
      </c>
      <c r="C17" s="127" t="s">
        <v>636</v>
      </c>
      <c r="D17" s="127" t="s">
        <v>637</v>
      </c>
      <c r="E17" s="127" t="s">
        <v>638</v>
      </c>
      <c r="F17" s="127" t="s">
        <v>637</v>
      </c>
      <c r="G17" s="127" t="s">
        <v>639</v>
      </c>
      <c r="H17" s="127" t="s">
        <v>1489</v>
      </c>
      <c r="I17" s="127" t="s">
        <v>900</v>
      </c>
    </row>
    <row r="18" spans="1:9">
      <c r="A18" s="806" t="s">
        <v>730</v>
      </c>
      <c r="B18" s="806" t="s">
        <v>826</v>
      </c>
      <c r="C18" s="806" t="s">
        <v>827</v>
      </c>
      <c r="D18" s="806" t="s">
        <v>828</v>
      </c>
      <c r="E18" s="806" t="s">
        <v>829</v>
      </c>
      <c r="F18" s="806" t="s">
        <v>634</v>
      </c>
      <c r="G18" s="806" t="s">
        <v>828</v>
      </c>
      <c r="H18" s="806" t="s">
        <v>830</v>
      </c>
      <c r="I18" s="806" t="s">
        <v>831</v>
      </c>
    </row>
    <row r="20" spans="1:9">
      <c r="A20" s="337" t="s">
        <v>832</v>
      </c>
      <c r="B20" s="153"/>
      <c r="C20" s="153"/>
      <c r="D20" s="153"/>
      <c r="E20" s="153"/>
      <c r="F20" s="153"/>
      <c r="G20" s="153"/>
      <c r="H20" s="153"/>
      <c r="I20" s="153"/>
    </row>
    <row r="22" spans="1:9">
      <c r="D22" s="127"/>
    </row>
    <row r="23" spans="1:9">
      <c r="D23" s="117"/>
    </row>
    <row r="24" spans="1:9">
      <c r="D24" s="127"/>
    </row>
    <row r="25" spans="1:9" ht="15">
      <c r="D25" s="128"/>
    </row>
    <row r="49" spans="1:9">
      <c r="A49" s="190"/>
      <c r="B49" s="153"/>
      <c r="C49" s="153"/>
      <c r="D49" s="153"/>
      <c r="E49" s="153"/>
      <c r="F49" s="153"/>
      <c r="G49" s="153"/>
      <c r="H49" s="153"/>
      <c r="I49" s="153"/>
    </row>
    <row r="55" spans="1:9">
      <c r="B55" s="153"/>
      <c r="C55" s="153"/>
      <c r="D55" s="148"/>
      <c r="E55" s="148"/>
      <c r="F55" s="148"/>
      <c r="G55" s="148"/>
      <c r="H55" s="148"/>
      <c r="I55" s="148"/>
    </row>
    <row r="280" spans="2:3">
      <c r="B280" s="138"/>
      <c r="C280" s="138"/>
    </row>
    <row r="281" spans="2:3">
      <c r="B281" s="138"/>
      <c r="C281" s="138"/>
    </row>
    <row r="282" spans="2:3">
      <c r="B282" s="138"/>
      <c r="C282" s="138"/>
    </row>
    <row r="283" spans="2:3">
      <c r="B283" s="138"/>
      <c r="C283" s="138"/>
    </row>
    <row r="284" spans="2:3">
      <c r="B284" s="138"/>
      <c r="C284" s="138"/>
    </row>
    <row r="314" spans="2:2">
      <c r="B314" s="138"/>
    </row>
  </sheetData>
  <mergeCells count="1">
    <mergeCell ref="B10:I13"/>
  </mergeCells>
  <phoneticPr fontId="27" type="noConversion"/>
  <printOptions horizontalCentered="1"/>
  <pageMargins left="0.75" right="0.5" top="0.75" bottom="0.5" header="0.25" footer="0.25"/>
  <pageSetup scale="97" orientation="portrait"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pageSetUpPr fitToPage="1"/>
  </sheetPr>
  <dimension ref="A1:M31"/>
  <sheetViews>
    <sheetView view="pageBreakPreview" zoomScale="60" zoomScaleNormal="100" workbookViewId="0">
      <selection sqref="A1:XFD1048576"/>
    </sheetView>
  </sheetViews>
  <sheetFormatPr defaultRowHeight="12.75"/>
  <cols>
    <col min="1" max="1" width="11.7109375" customWidth="1"/>
    <col min="2" max="2" width="2.7109375" customWidth="1"/>
    <col min="3" max="3" width="12.7109375"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4.7109375" customWidth="1"/>
    <col min="12" max="12" width="2.7109375" customWidth="1"/>
    <col min="13" max="13" width="12.7109375" customWidth="1"/>
  </cols>
  <sheetData>
    <row r="1" spans="1:13">
      <c r="A1" s="2181" t="s">
        <v>814</v>
      </c>
      <c r="B1" s="2182"/>
      <c r="C1" s="2182"/>
      <c r="D1" s="2182"/>
      <c r="E1" s="2182"/>
      <c r="F1" s="2182"/>
      <c r="G1" s="2182"/>
      <c r="H1" s="2182"/>
      <c r="I1" s="2182"/>
      <c r="J1" s="2181" t="s">
        <v>1209</v>
      </c>
      <c r="K1" s="2183"/>
      <c r="L1" s="2182"/>
      <c r="M1" s="2182"/>
    </row>
    <row r="2" spans="1:13">
      <c r="A2" s="2181" t="s">
        <v>3042</v>
      </c>
      <c r="B2" s="2182"/>
      <c r="C2" s="2182"/>
      <c r="D2" s="2182"/>
      <c r="E2" s="2182"/>
      <c r="F2" s="2182"/>
      <c r="G2" s="2182"/>
      <c r="H2" s="2182"/>
      <c r="I2" s="2182"/>
      <c r="J2" s="2182"/>
      <c r="K2" s="2183"/>
      <c r="L2" s="2182"/>
      <c r="M2" s="2182"/>
    </row>
    <row r="3" spans="1:13">
      <c r="A3" s="2182"/>
      <c r="B3" s="2182"/>
      <c r="C3" s="2182"/>
      <c r="D3" s="2182"/>
      <c r="E3" s="2182"/>
      <c r="F3" s="2182"/>
      <c r="G3" s="2182"/>
      <c r="H3" s="2182"/>
      <c r="I3" s="2182"/>
      <c r="J3" s="2181" t="s">
        <v>3043</v>
      </c>
      <c r="K3" s="2183"/>
      <c r="L3" s="2182"/>
      <c r="M3" s="2182"/>
    </row>
    <row r="4" spans="1:13">
      <c r="A4" s="2181" t="s">
        <v>3255</v>
      </c>
      <c r="B4" s="2182"/>
      <c r="C4" s="2182"/>
      <c r="D4" s="2182"/>
      <c r="E4" s="2182"/>
      <c r="F4" s="2182"/>
      <c r="G4" s="2182"/>
      <c r="H4" s="2182"/>
      <c r="I4" s="2182"/>
      <c r="J4" s="2181" t="s">
        <v>766</v>
      </c>
      <c r="K4" s="2183"/>
      <c r="L4" s="2182"/>
      <c r="M4" s="2182"/>
    </row>
    <row r="5" spans="1:13">
      <c r="A5" s="2181" t="s">
        <v>3256</v>
      </c>
      <c r="B5" s="2182"/>
      <c r="C5" s="2182"/>
      <c r="D5" s="2182"/>
      <c r="E5" s="2182"/>
      <c r="F5" s="2182"/>
      <c r="G5" s="2182"/>
      <c r="H5" s="2182"/>
      <c r="I5" s="2182"/>
      <c r="J5" s="2181" t="s">
        <v>3258</v>
      </c>
      <c r="K5" s="2183"/>
      <c r="L5" s="2182"/>
      <c r="M5" s="2182"/>
    </row>
    <row r="6" spans="1:13">
      <c r="A6" s="2181" t="s">
        <v>3257</v>
      </c>
      <c r="B6" s="2182"/>
      <c r="C6" s="2184"/>
      <c r="D6" s="2182"/>
      <c r="E6" s="2182"/>
      <c r="F6" s="2182"/>
      <c r="G6" s="2182"/>
      <c r="H6" s="2182"/>
      <c r="I6" s="2182"/>
      <c r="J6" s="2182"/>
      <c r="K6" s="2183"/>
      <c r="L6" s="2182"/>
      <c r="M6" s="2182"/>
    </row>
    <row r="7" spans="1:13">
      <c r="A7" s="2182"/>
      <c r="B7" s="2182"/>
      <c r="C7" s="2182"/>
      <c r="D7" s="2182"/>
      <c r="E7" s="2182"/>
      <c r="F7" s="2182"/>
      <c r="G7" s="2182"/>
      <c r="H7" s="2182"/>
      <c r="I7" s="2182"/>
      <c r="J7" s="2182"/>
      <c r="K7" s="2183"/>
      <c r="L7" s="2182"/>
      <c r="M7" s="2182"/>
    </row>
    <row r="8" spans="1:13">
      <c r="A8" s="2181" t="s">
        <v>3044</v>
      </c>
      <c r="B8" s="2182"/>
      <c r="C8" s="2182"/>
      <c r="D8" s="2182"/>
      <c r="E8" s="2182"/>
      <c r="F8" s="2182"/>
      <c r="G8" s="2182"/>
      <c r="H8" s="2182"/>
      <c r="I8" s="2182"/>
      <c r="J8" s="2182"/>
      <c r="K8" s="2183"/>
      <c r="L8" s="2182"/>
      <c r="M8" s="2182"/>
    </row>
    <row r="9" spans="1:13">
      <c r="A9" s="2181" t="s">
        <v>3045</v>
      </c>
      <c r="B9" s="2182"/>
      <c r="C9" s="2182"/>
      <c r="D9" s="2182"/>
      <c r="E9" s="2182"/>
      <c r="F9" s="2182"/>
      <c r="G9" s="2182"/>
      <c r="H9" s="2182"/>
      <c r="I9" s="2182"/>
      <c r="J9" s="2182"/>
      <c r="K9" s="2183"/>
      <c r="L9" s="2182"/>
      <c r="M9" s="2182"/>
    </row>
    <row r="10" spans="1:13">
      <c r="A10" s="2185" t="s">
        <v>3046</v>
      </c>
      <c r="B10" s="2185" t="s">
        <v>3046</v>
      </c>
      <c r="C10" s="2185" t="s">
        <v>3046</v>
      </c>
      <c r="D10" s="2185" t="s">
        <v>3046</v>
      </c>
      <c r="E10" s="2185" t="s">
        <v>3046</v>
      </c>
      <c r="F10" s="2185" t="s">
        <v>3046</v>
      </c>
      <c r="G10" s="2185" t="s">
        <v>3046</v>
      </c>
      <c r="H10" s="2185" t="s">
        <v>3046</v>
      </c>
      <c r="I10" s="2185" t="s">
        <v>3046</v>
      </c>
      <c r="J10" s="2185" t="s">
        <v>3046</v>
      </c>
      <c r="K10" s="2186" t="s">
        <v>3046</v>
      </c>
      <c r="L10" s="2185" t="s">
        <v>3046</v>
      </c>
      <c r="M10" s="2185" t="s">
        <v>3046</v>
      </c>
    </row>
    <row r="11" spans="1:13">
      <c r="A11" s="2182"/>
      <c r="B11" s="2182"/>
      <c r="C11" s="2187" t="s">
        <v>914</v>
      </c>
      <c r="D11" s="2182"/>
      <c r="E11" s="2187" t="s">
        <v>915</v>
      </c>
      <c r="F11" s="2182"/>
      <c r="G11" s="2187" t="s">
        <v>916</v>
      </c>
      <c r="H11" s="2182"/>
      <c r="I11" s="2187" t="s">
        <v>917</v>
      </c>
      <c r="J11" s="2182"/>
      <c r="K11" s="2188" t="s">
        <v>526</v>
      </c>
      <c r="L11" s="2182"/>
      <c r="M11" s="2187" t="s">
        <v>76</v>
      </c>
    </row>
    <row r="12" spans="1:13">
      <c r="A12" s="2182"/>
      <c r="B12" s="2182"/>
      <c r="C12" s="2182"/>
      <c r="D12" s="2182"/>
      <c r="E12" s="2189" t="s">
        <v>3047</v>
      </c>
      <c r="F12" s="2189"/>
      <c r="G12" s="2189"/>
      <c r="H12" s="2182"/>
      <c r="I12" s="2182"/>
      <c r="J12" s="2182"/>
      <c r="K12" s="2183"/>
      <c r="L12" s="2182"/>
      <c r="M12" s="2187" t="s">
        <v>3048</v>
      </c>
    </row>
    <row r="13" spans="1:13">
      <c r="A13" s="2187" t="s">
        <v>811</v>
      </c>
      <c r="B13" s="2182"/>
      <c r="C13" s="2185" t="s">
        <v>3046</v>
      </c>
      <c r="D13" s="2185" t="s">
        <v>3046</v>
      </c>
      <c r="E13" s="2185" t="s">
        <v>3046</v>
      </c>
      <c r="F13" s="2185" t="s">
        <v>3046</v>
      </c>
      <c r="G13" s="2185" t="s">
        <v>3046</v>
      </c>
      <c r="H13" s="2185" t="s">
        <v>3046</v>
      </c>
      <c r="I13" s="2185" t="s">
        <v>3046</v>
      </c>
      <c r="J13" s="2182"/>
      <c r="K13" s="2188" t="s">
        <v>1236</v>
      </c>
      <c r="L13" s="2182"/>
      <c r="M13" s="2187" t="s">
        <v>3049</v>
      </c>
    </row>
    <row r="14" spans="1:13">
      <c r="A14" s="2187" t="s">
        <v>1163</v>
      </c>
      <c r="B14" s="2182"/>
      <c r="C14" s="2187" t="s">
        <v>2242</v>
      </c>
      <c r="D14" s="2182"/>
      <c r="E14" s="2187" t="s">
        <v>3050</v>
      </c>
      <c r="F14" s="2182"/>
      <c r="G14" s="2187" t="s">
        <v>3050</v>
      </c>
      <c r="H14" s="2182"/>
      <c r="I14" s="2187" t="s">
        <v>3050</v>
      </c>
      <c r="J14" s="2182"/>
      <c r="K14" s="2188" t="s">
        <v>3051</v>
      </c>
      <c r="L14" s="2182"/>
      <c r="M14" s="2187" t="s">
        <v>3052</v>
      </c>
    </row>
    <row r="15" spans="1:13">
      <c r="A15" s="2185" t="s">
        <v>3046</v>
      </c>
      <c r="B15" s="2182"/>
      <c r="C15" s="2190"/>
      <c r="D15" s="2182"/>
      <c r="E15" s="2185" t="s">
        <v>3046</v>
      </c>
      <c r="F15" s="2182"/>
      <c r="G15" s="2185" t="s">
        <v>3046</v>
      </c>
      <c r="H15" s="2182"/>
      <c r="I15" s="2185" t="s">
        <v>3046</v>
      </c>
      <c r="J15" s="2182"/>
      <c r="K15" s="2186" t="s">
        <v>3046</v>
      </c>
      <c r="L15" s="2182"/>
      <c r="M15" s="2185" t="s">
        <v>3046</v>
      </c>
    </row>
    <row r="16" spans="1:13">
      <c r="A16" s="2191">
        <v>42005</v>
      </c>
      <c r="B16" s="2182"/>
      <c r="C16" s="2192">
        <v>21.052000000000003</v>
      </c>
      <c r="D16" s="2192"/>
      <c r="E16" s="2192"/>
      <c r="F16" s="2192"/>
      <c r="G16" s="2192"/>
      <c r="H16" s="2192"/>
      <c r="I16" s="2192"/>
      <c r="J16" s="2192"/>
      <c r="K16" s="2192">
        <v>21.052000000000003</v>
      </c>
      <c r="L16" s="2192"/>
      <c r="M16" s="2192">
        <v>0</v>
      </c>
    </row>
    <row r="17" spans="1:13">
      <c r="A17" s="2191">
        <v>42036</v>
      </c>
      <c r="B17" s="2182"/>
      <c r="C17" s="2192">
        <v>20.201999999999995</v>
      </c>
      <c r="D17" s="2192"/>
      <c r="E17" s="2192"/>
      <c r="F17" s="2192"/>
      <c r="G17" s="2192"/>
      <c r="H17" s="2192"/>
      <c r="I17" s="2192"/>
      <c r="J17" s="2192"/>
      <c r="K17" s="2192">
        <v>20.201999999999995</v>
      </c>
      <c r="L17" s="2192"/>
      <c r="M17" s="2192">
        <v>0</v>
      </c>
    </row>
    <row r="18" spans="1:13">
      <c r="A18" s="2191">
        <v>42064</v>
      </c>
      <c r="B18" s="2182"/>
      <c r="C18" s="2192">
        <v>23.462999999999997</v>
      </c>
      <c r="D18" s="2192"/>
      <c r="E18" s="2192"/>
      <c r="F18" s="2192"/>
      <c r="G18" s="2192"/>
      <c r="H18" s="2192"/>
      <c r="I18" s="2192"/>
      <c r="J18" s="2192"/>
      <c r="K18" s="2192">
        <v>23.462999999999997</v>
      </c>
      <c r="L18" s="2192"/>
      <c r="M18" s="2192">
        <v>0</v>
      </c>
    </row>
    <row r="19" spans="1:13">
      <c r="A19" s="2191">
        <v>42095</v>
      </c>
      <c r="B19" s="2182"/>
      <c r="C19" s="2192">
        <v>20.503000000000004</v>
      </c>
      <c r="D19" s="2192"/>
      <c r="E19" s="2192"/>
      <c r="F19" s="2192"/>
      <c r="G19" s="2192"/>
      <c r="H19" s="2192"/>
      <c r="I19" s="2192"/>
      <c r="J19" s="2192"/>
      <c r="K19" s="2192">
        <v>20.503000000000004</v>
      </c>
      <c r="L19" s="2192"/>
      <c r="M19" s="2192">
        <v>0</v>
      </c>
    </row>
    <row r="20" spans="1:13">
      <c r="A20" s="2191">
        <v>42125</v>
      </c>
      <c r="B20" s="2182"/>
      <c r="C20" s="2192">
        <v>20.928999999999998</v>
      </c>
      <c r="D20" s="2192"/>
      <c r="E20" s="2192"/>
      <c r="F20" s="2192"/>
      <c r="G20" s="2192"/>
      <c r="H20" s="2192"/>
      <c r="I20" s="2192"/>
      <c r="J20" s="2192"/>
      <c r="K20" s="2192">
        <v>20.928999999999998</v>
      </c>
      <c r="L20" s="2192"/>
      <c r="M20" s="2192">
        <v>0</v>
      </c>
    </row>
    <row r="21" spans="1:13">
      <c r="A21" s="2191">
        <v>42156</v>
      </c>
      <c r="B21" s="2182"/>
      <c r="C21" s="2192">
        <v>22.086999999999993</v>
      </c>
      <c r="D21" s="2192"/>
      <c r="E21" s="2192"/>
      <c r="F21" s="2192"/>
      <c r="G21" s="2192"/>
      <c r="H21" s="2192"/>
      <c r="I21" s="2192"/>
      <c r="J21" s="2192"/>
      <c r="K21" s="2192">
        <v>22.086999999999993</v>
      </c>
      <c r="L21" s="2192"/>
      <c r="M21" s="2192">
        <v>0</v>
      </c>
    </row>
    <row r="22" spans="1:13">
      <c r="A22" s="2191">
        <v>42186</v>
      </c>
      <c r="B22" s="2182"/>
      <c r="C22" s="2192">
        <v>28.405000000000005</v>
      </c>
      <c r="D22" s="2192"/>
      <c r="E22" s="2192"/>
      <c r="F22" s="2192"/>
      <c r="G22" s="2192"/>
      <c r="H22" s="2192"/>
      <c r="I22" s="2192"/>
      <c r="J22" s="2192"/>
      <c r="K22" s="2192">
        <v>28.405000000000005</v>
      </c>
      <c r="L22" s="2192"/>
      <c r="M22" s="2192">
        <v>0</v>
      </c>
    </row>
    <row r="23" spans="1:13">
      <c r="A23" s="2191">
        <v>42217</v>
      </c>
      <c r="B23" s="2182"/>
      <c r="C23" s="2192">
        <v>34.024000000000008</v>
      </c>
      <c r="D23" s="2192"/>
      <c r="E23" s="2192"/>
      <c r="F23" s="2192"/>
      <c r="G23" s="2192"/>
      <c r="H23" s="2192"/>
      <c r="I23" s="2192"/>
      <c r="J23" s="2192"/>
      <c r="K23" s="2192">
        <v>34.024000000000008</v>
      </c>
      <c r="L23" s="2192"/>
      <c r="M23" s="2192">
        <v>0</v>
      </c>
    </row>
    <row r="24" spans="1:13">
      <c r="A24" s="2191">
        <v>42248</v>
      </c>
      <c r="B24" s="2182"/>
      <c r="C24" s="2192">
        <v>27.931000000000001</v>
      </c>
      <c r="D24" s="2192"/>
      <c r="E24" s="2192"/>
      <c r="F24" s="2192"/>
      <c r="G24" s="2192"/>
      <c r="H24" s="2192"/>
      <c r="I24" s="2192"/>
      <c r="J24" s="2192"/>
      <c r="K24" s="2192">
        <v>27.931000000000001</v>
      </c>
      <c r="L24" s="2192"/>
      <c r="M24" s="2192">
        <v>0</v>
      </c>
    </row>
    <row r="25" spans="1:13">
      <c r="A25" s="2191">
        <v>42278</v>
      </c>
      <c r="B25" s="2182"/>
      <c r="C25" s="2192">
        <v>22.071000000000005</v>
      </c>
      <c r="D25" s="2192"/>
      <c r="E25" s="2192"/>
      <c r="F25" s="2192"/>
      <c r="G25" s="2192"/>
      <c r="H25" s="2192"/>
      <c r="I25" s="2192"/>
      <c r="J25" s="2192"/>
      <c r="K25" s="2192">
        <v>22.071000000000005</v>
      </c>
      <c r="L25" s="2192"/>
      <c r="M25" s="2192">
        <v>0</v>
      </c>
    </row>
    <row r="26" spans="1:13">
      <c r="A26" s="2191">
        <v>42309</v>
      </c>
      <c r="B26" s="2182"/>
      <c r="C26" s="2192">
        <v>20.917000000000002</v>
      </c>
      <c r="D26" s="2192"/>
      <c r="E26" s="2192"/>
      <c r="F26" s="2192"/>
      <c r="G26" s="2192"/>
      <c r="H26" s="2192"/>
      <c r="I26" s="2192"/>
      <c r="J26" s="2192"/>
      <c r="K26" s="2192">
        <v>20.917000000000002</v>
      </c>
      <c r="L26" s="2192"/>
      <c r="M26" s="2192">
        <v>0</v>
      </c>
    </row>
    <row r="27" spans="1:13">
      <c r="A27" s="2191">
        <v>42339</v>
      </c>
      <c r="B27" s="2182"/>
      <c r="C27" s="2192">
        <v>20.685000000000002</v>
      </c>
      <c r="D27" s="2192"/>
      <c r="E27" s="2192"/>
      <c r="F27" s="2192"/>
      <c r="G27" s="2192"/>
      <c r="H27" s="2192"/>
      <c r="I27" s="2192"/>
      <c r="J27" s="2192"/>
      <c r="K27" s="2192">
        <v>20.685000000000002</v>
      </c>
      <c r="L27" s="2192"/>
      <c r="M27" s="2192">
        <v>0</v>
      </c>
    </row>
    <row r="28" spans="1:13">
      <c r="A28" s="2191"/>
      <c r="B28" s="2182"/>
      <c r="C28" s="2192"/>
      <c r="D28" s="2192"/>
      <c r="E28" s="2192"/>
      <c r="F28" s="2192"/>
      <c r="G28" s="2192"/>
      <c r="H28" s="2192"/>
      <c r="I28" s="2192"/>
      <c r="J28" s="2192"/>
      <c r="K28" s="2192"/>
      <c r="L28" s="2192"/>
      <c r="M28" s="2192"/>
    </row>
    <row r="29" spans="1:13">
      <c r="A29" s="2182"/>
      <c r="B29" s="2182"/>
      <c r="C29" s="2193" t="s">
        <v>1328</v>
      </c>
      <c r="D29" s="2192"/>
      <c r="E29" s="2193" t="s">
        <v>1328</v>
      </c>
      <c r="F29" s="2192"/>
      <c r="G29" s="2193" t="s">
        <v>1328</v>
      </c>
      <c r="H29" s="2192"/>
      <c r="I29" s="2193" t="s">
        <v>1328</v>
      </c>
      <c r="J29" s="2192"/>
      <c r="K29" s="2193" t="s">
        <v>1328</v>
      </c>
      <c r="L29" s="2192"/>
      <c r="M29" s="2193" t="s">
        <v>1328</v>
      </c>
    </row>
    <row r="30" spans="1:13">
      <c r="A30" s="2187" t="s">
        <v>81</v>
      </c>
      <c r="B30" s="2182"/>
      <c r="C30" s="2192">
        <v>282.26900000000001</v>
      </c>
      <c r="D30" s="2192"/>
      <c r="E30" s="2192"/>
      <c r="F30" s="2192"/>
      <c r="G30" s="2192"/>
      <c r="H30" s="2192"/>
      <c r="I30" s="2192"/>
      <c r="J30" s="2192"/>
      <c r="K30" s="2192">
        <v>282.26900000000001</v>
      </c>
      <c r="L30" s="2192"/>
      <c r="M30" s="2192">
        <v>0</v>
      </c>
    </row>
    <row r="31" spans="1:13">
      <c r="A31" s="2182"/>
      <c r="B31" s="2182"/>
      <c r="C31" s="2186" t="s">
        <v>3053</v>
      </c>
      <c r="D31" s="2182"/>
      <c r="E31" s="2185" t="s">
        <v>3053</v>
      </c>
      <c r="F31" s="2182"/>
      <c r="G31" s="2185" t="s">
        <v>3053</v>
      </c>
      <c r="H31" s="2182"/>
      <c r="I31" s="2185" t="s">
        <v>3053</v>
      </c>
      <c r="J31" s="2182"/>
      <c r="K31" s="2186" t="s">
        <v>3053</v>
      </c>
      <c r="L31" s="2182"/>
      <c r="M31" s="2185" t="s">
        <v>3053</v>
      </c>
    </row>
  </sheetData>
  <printOptions horizontalCentered="1"/>
  <pageMargins left="0.75" right="0.5" top="0.75" bottom="0.5" header="0.25" footer="0.25"/>
  <pageSetup scale="88"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11">
    <pageSetUpPr fitToPage="1"/>
  </sheetPr>
  <dimension ref="A1:E293"/>
  <sheetViews>
    <sheetView view="pageBreakPreview" zoomScale="70" zoomScaleNormal="100" zoomScaleSheetLayoutView="70" workbookViewId="0">
      <selection activeCell="K27" sqref="K27"/>
    </sheetView>
  </sheetViews>
  <sheetFormatPr defaultColWidth="10.85546875" defaultRowHeight="12"/>
  <cols>
    <col min="1" max="1" width="7.85546875" style="211" customWidth="1"/>
    <col min="2" max="2" width="38.28515625" style="211" customWidth="1"/>
    <col min="3" max="5" width="15.7109375" style="211" customWidth="1"/>
    <col min="6" max="16384" width="10.85546875" style="211"/>
  </cols>
  <sheetData>
    <row r="1" spans="1:5">
      <c r="A1" s="345" t="s">
        <v>1220</v>
      </c>
      <c r="B1" s="345"/>
      <c r="C1" s="266" t="s">
        <v>1209</v>
      </c>
      <c r="E1" s="266"/>
    </row>
    <row r="2" spans="1:5">
      <c r="A2" s="345"/>
      <c r="B2" s="345"/>
      <c r="E2" s="266"/>
    </row>
    <row r="3" spans="1:5">
      <c r="A3" s="345" t="s">
        <v>2644</v>
      </c>
      <c r="B3" s="345"/>
      <c r="C3" s="269" t="s">
        <v>1221</v>
      </c>
      <c r="E3" s="203"/>
    </row>
    <row r="4" spans="1:5">
      <c r="A4" s="345" t="s">
        <v>2645</v>
      </c>
      <c r="B4" s="345"/>
      <c r="C4" s="345" t="s">
        <v>2948</v>
      </c>
      <c r="E4" s="266"/>
    </row>
    <row r="5" spans="1:5">
      <c r="A5" s="345" t="s">
        <v>1935</v>
      </c>
      <c r="B5" s="345"/>
      <c r="E5" s="345"/>
    </row>
    <row r="6" spans="1:5">
      <c r="A6" s="345"/>
      <c r="B6" s="345"/>
      <c r="C6" s="345"/>
      <c r="D6" s="345"/>
      <c r="E6" s="345"/>
    </row>
    <row r="7" spans="1:5">
      <c r="A7" s="2295" t="s">
        <v>1452</v>
      </c>
      <c r="B7" s="2296"/>
      <c r="C7" s="2296"/>
      <c r="D7" s="2296"/>
      <c r="E7" s="2296"/>
    </row>
    <row r="8" spans="1:5">
      <c r="A8" s="2296"/>
      <c r="B8" s="2296"/>
      <c r="C8" s="2296"/>
      <c r="D8" s="2296"/>
      <c r="E8" s="2296"/>
    </row>
    <row r="9" spans="1:5" ht="12.75" thickBot="1">
      <c r="A9" s="1156"/>
      <c r="B9" s="1156"/>
      <c r="C9" s="1156"/>
      <c r="D9" s="1156"/>
      <c r="E9" s="1156"/>
    </row>
    <row r="10" spans="1:5" s="1144" customFormat="1">
      <c r="A10" s="1157"/>
      <c r="B10" s="1142" t="s">
        <v>914</v>
      </c>
      <c r="C10" s="1142" t="s">
        <v>915</v>
      </c>
      <c r="D10" s="1142">
        <v>-3</v>
      </c>
      <c r="E10" s="1142">
        <v>-4</v>
      </c>
    </row>
    <row r="11" spans="1:5">
      <c r="A11" s="293" t="s">
        <v>53</v>
      </c>
      <c r="B11" s="345"/>
      <c r="C11" s="293" t="s">
        <v>453</v>
      </c>
      <c r="D11" s="293" t="s">
        <v>728</v>
      </c>
      <c r="E11" s="293" t="s">
        <v>527</v>
      </c>
    </row>
    <row r="12" spans="1:5">
      <c r="A12" s="762" t="s">
        <v>730</v>
      </c>
      <c r="B12" s="761" t="s">
        <v>731</v>
      </c>
      <c r="C12" s="761" t="s">
        <v>1293</v>
      </c>
      <c r="D12" s="761" t="s">
        <v>733</v>
      </c>
      <c r="E12" s="761" t="s">
        <v>1294</v>
      </c>
    </row>
    <row r="13" spans="1:5">
      <c r="A13" s="295">
        <v>1</v>
      </c>
      <c r="B13" s="345" t="s">
        <v>1295</v>
      </c>
      <c r="C13" s="345"/>
      <c r="D13" s="1159"/>
      <c r="E13" s="1159"/>
    </row>
    <row r="14" spans="1:5">
      <c r="A14" s="295">
        <v>2</v>
      </c>
      <c r="B14" s="1160"/>
      <c r="C14" s="345"/>
      <c r="D14" s="1159"/>
      <c r="E14" s="1159"/>
    </row>
    <row r="15" spans="1:5">
      <c r="A15" s="295">
        <v>3</v>
      </c>
      <c r="B15" s="1160" t="s">
        <v>1296</v>
      </c>
      <c r="C15" s="1161"/>
      <c r="D15" s="216"/>
      <c r="E15" s="216">
        <v>0</v>
      </c>
    </row>
    <row r="16" spans="1:5">
      <c r="A16" s="295">
        <v>4</v>
      </c>
      <c r="B16" s="1160"/>
      <c r="C16" s="345"/>
      <c r="D16" s="212"/>
      <c r="E16" s="212"/>
    </row>
    <row r="17" spans="1:5">
      <c r="A17" s="295">
        <v>5</v>
      </c>
      <c r="B17" s="1160" t="s">
        <v>1297</v>
      </c>
      <c r="C17" s="214"/>
      <c r="D17" s="212"/>
      <c r="E17" s="212">
        <v>0</v>
      </c>
    </row>
    <row r="18" spans="1:5">
      <c r="A18" s="295">
        <v>6</v>
      </c>
      <c r="B18" s="1160"/>
      <c r="C18" s="345"/>
      <c r="D18" s="212"/>
      <c r="E18" s="212"/>
    </row>
    <row r="19" spans="1:5">
      <c r="A19" s="295">
        <v>7</v>
      </c>
      <c r="B19" s="1160" t="s">
        <v>502</v>
      </c>
      <c r="C19" s="214"/>
      <c r="D19" s="222"/>
      <c r="E19" s="212">
        <v>0</v>
      </c>
    </row>
    <row r="20" spans="1:5">
      <c r="A20" s="295">
        <v>8</v>
      </c>
      <c r="B20" s="1160"/>
      <c r="C20" s="345"/>
      <c r="D20" s="212"/>
      <c r="E20" s="212"/>
    </row>
    <row r="21" spans="1:5">
      <c r="A21" s="295">
        <v>9</v>
      </c>
      <c r="B21" s="1160" t="s">
        <v>1298</v>
      </c>
      <c r="C21" s="1160"/>
      <c r="D21" s="212"/>
      <c r="E21" s="212"/>
    </row>
    <row r="22" spans="1:5">
      <c r="A22" s="295">
        <v>10</v>
      </c>
      <c r="B22" s="1160"/>
      <c r="C22" s="222" t="s">
        <v>911</v>
      </c>
      <c r="D22" s="222" t="s">
        <v>911</v>
      </c>
      <c r="E22" s="222" t="s">
        <v>911</v>
      </c>
    </row>
    <row r="23" spans="1:5">
      <c r="A23" s="295">
        <v>11</v>
      </c>
      <c r="B23" s="1160"/>
      <c r="C23" s="837"/>
      <c r="D23" s="837"/>
      <c r="E23" s="837"/>
    </row>
    <row r="24" spans="1:5" ht="12.75" thickBot="1">
      <c r="A24" s="295">
        <v>12</v>
      </c>
      <c r="B24" s="1160" t="s">
        <v>1299</v>
      </c>
      <c r="C24" s="1162">
        <v>0</v>
      </c>
      <c r="D24" s="1162">
        <v>0</v>
      </c>
      <c r="E24" s="1162" t="s">
        <v>877</v>
      </c>
    </row>
    <row r="25" spans="1:5" ht="12.75" thickTop="1">
      <c r="A25" s="295">
        <v>13</v>
      </c>
      <c r="B25" s="345" t="s">
        <v>1300</v>
      </c>
      <c r="C25" s="345"/>
      <c r="D25" s="227"/>
      <c r="E25" s="227"/>
    </row>
    <row r="26" spans="1:5">
      <c r="A26" s="295">
        <v>14</v>
      </c>
      <c r="B26" s="1160"/>
      <c r="C26" s="345"/>
      <c r="D26" s="227"/>
      <c r="E26" s="227"/>
    </row>
    <row r="27" spans="1:5">
      <c r="A27" s="295">
        <v>15</v>
      </c>
      <c r="B27" s="1160" t="s">
        <v>1296</v>
      </c>
      <c r="C27" s="1161"/>
      <c r="D27" s="216"/>
      <c r="E27" s="216">
        <v>0</v>
      </c>
    </row>
    <row r="28" spans="1:5">
      <c r="A28" s="295">
        <v>16</v>
      </c>
      <c r="B28" s="1160"/>
      <c r="C28" s="1160"/>
      <c r="D28" s="212"/>
      <c r="E28" s="212"/>
    </row>
    <row r="29" spans="1:5">
      <c r="A29" s="295">
        <v>17</v>
      </c>
      <c r="B29" s="1160" t="s">
        <v>1297</v>
      </c>
      <c r="C29" s="214"/>
      <c r="D29" s="212"/>
      <c r="E29" s="212">
        <v>0</v>
      </c>
    </row>
    <row r="30" spans="1:5">
      <c r="A30" s="295">
        <v>18</v>
      </c>
      <c r="B30" s="1160"/>
      <c r="C30" s="1160"/>
      <c r="D30" s="212"/>
      <c r="E30" s="212"/>
    </row>
    <row r="31" spans="1:5">
      <c r="A31" s="295">
        <v>19</v>
      </c>
      <c r="B31" s="1160" t="s">
        <v>502</v>
      </c>
      <c r="C31" s="214"/>
      <c r="D31" s="212"/>
      <c r="E31" s="212">
        <v>0</v>
      </c>
    </row>
    <row r="32" spans="1:5">
      <c r="A32" s="295">
        <v>20</v>
      </c>
      <c r="B32" s="1160"/>
      <c r="C32" s="1160"/>
      <c r="D32" s="212"/>
      <c r="E32" s="212"/>
    </row>
    <row r="33" spans="1:5">
      <c r="A33" s="295">
        <v>21</v>
      </c>
      <c r="B33" s="1160" t="s">
        <v>1298</v>
      </c>
      <c r="C33" s="1160"/>
      <c r="D33" s="212"/>
      <c r="E33" s="212"/>
    </row>
    <row r="34" spans="1:5">
      <c r="A34" s="295">
        <v>22</v>
      </c>
      <c r="B34" s="1160"/>
      <c r="C34" s="212" t="s">
        <v>911</v>
      </c>
      <c r="D34" s="212" t="s">
        <v>911</v>
      </c>
      <c r="E34" s="212" t="s">
        <v>911</v>
      </c>
    </row>
    <row r="35" spans="1:5">
      <c r="A35" s="295">
        <v>23</v>
      </c>
      <c r="B35" s="1160"/>
      <c r="C35" s="837"/>
      <c r="D35" s="837"/>
      <c r="E35" s="837"/>
    </row>
    <row r="36" spans="1:5" ht="12.75" thickBot="1">
      <c r="A36" s="295">
        <v>24</v>
      </c>
      <c r="B36" s="1160" t="s">
        <v>1299</v>
      </c>
      <c r="C36" s="1162">
        <v>0</v>
      </c>
      <c r="D36" s="1162">
        <v>0</v>
      </c>
      <c r="E36" s="1162" t="s">
        <v>877</v>
      </c>
    </row>
    <row r="37" spans="1:5" ht="12.75" thickTop="1">
      <c r="A37" s="345"/>
      <c r="B37" s="345"/>
      <c r="C37" s="345"/>
      <c r="D37" s="227"/>
      <c r="E37" s="227"/>
    </row>
    <row r="38" spans="1:5">
      <c r="A38" s="293"/>
      <c r="B38" s="345"/>
      <c r="C38" s="345"/>
      <c r="D38" s="227"/>
      <c r="E38" s="227"/>
    </row>
    <row r="39" spans="1:5">
      <c r="A39" s="345"/>
      <c r="B39" s="345"/>
      <c r="C39" s="345"/>
      <c r="D39" s="227"/>
      <c r="E39" s="227"/>
    </row>
    <row r="40" spans="1:5">
      <c r="A40" s="345"/>
      <c r="B40" s="345"/>
      <c r="C40" s="345"/>
      <c r="D40" s="227"/>
      <c r="E40" s="227"/>
    </row>
    <row r="41" spans="1:5">
      <c r="A41" s="345"/>
      <c r="B41" s="345"/>
      <c r="C41" s="345"/>
    </row>
    <row r="42" spans="1:5">
      <c r="A42" s="345"/>
      <c r="B42" s="345"/>
      <c r="C42" s="345"/>
    </row>
    <row r="43" spans="1:5">
      <c r="A43" s="345"/>
      <c r="B43" s="345"/>
      <c r="C43" s="345"/>
    </row>
    <row r="44" spans="1:5">
      <c r="A44" s="345"/>
      <c r="B44" s="345"/>
      <c r="C44" s="345"/>
    </row>
    <row r="45" spans="1:5">
      <c r="A45" s="345"/>
      <c r="B45" s="345"/>
      <c r="C45" s="345"/>
    </row>
    <row r="46" spans="1:5">
      <c r="A46" s="345"/>
      <c r="B46" s="345"/>
      <c r="C46" s="345"/>
    </row>
    <row r="47" spans="1:5">
      <c r="A47" s="345"/>
      <c r="B47" s="345"/>
      <c r="C47" s="345"/>
    </row>
    <row r="48" spans="1:5">
      <c r="A48" s="345"/>
      <c r="B48" s="345"/>
      <c r="C48" s="345"/>
    </row>
    <row r="49" spans="1:5">
      <c r="A49" s="345"/>
      <c r="B49" s="345"/>
      <c r="C49" s="345"/>
    </row>
    <row r="50" spans="1:5">
      <c r="A50" s="345"/>
      <c r="B50" s="345" t="s">
        <v>482</v>
      </c>
      <c r="C50" s="345"/>
    </row>
    <row r="51" spans="1:5">
      <c r="A51" s="345"/>
      <c r="B51" s="345" t="s">
        <v>483</v>
      </c>
      <c r="C51" s="345"/>
    </row>
    <row r="52" spans="1:5">
      <c r="A52" s="345"/>
      <c r="B52" s="345"/>
      <c r="C52" s="345"/>
    </row>
    <row r="53" spans="1:5">
      <c r="A53" s="1164"/>
      <c r="B53" s="1164"/>
      <c r="C53" s="1164"/>
      <c r="D53" s="1165"/>
      <c r="E53" s="1165"/>
    </row>
    <row r="119" spans="1:3">
      <c r="A119" s="286"/>
      <c r="B119" s="286"/>
      <c r="C119" s="286"/>
    </row>
    <row r="120" spans="1:3">
      <c r="A120" s="286"/>
      <c r="B120" s="286"/>
      <c r="C120" s="286"/>
    </row>
    <row r="121" spans="1:3">
      <c r="A121" s="286"/>
      <c r="B121" s="286"/>
      <c r="C121" s="286"/>
    </row>
    <row r="122" spans="1:3">
      <c r="A122" s="286"/>
      <c r="B122" s="286"/>
      <c r="C122" s="286"/>
    </row>
    <row r="123" spans="1:3">
      <c r="A123" s="286"/>
      <c r="B123" s="286"/>
      <c r="C123" s="286"/>
    </row>
    <row r="153" spans="1:1">
      <c r="A153" s="286"/>
    </row>
    <row r="222" spans="1:1">
      <c r="A222" s="345"/>
    </row>
    <row r="239" spans="1:1">
      <c r="A239" s="286"/>
    </row>
    <row r="240" spans="1:1">
      <c r="A240" s="286"/>
    </row>
    <row r="241" spans="1:1">
      <c r="A241" s="286"/>
    </row>
    <row r="242" spans="1:1">
      <c r="A242" s="286"/>
    </row>
    <row r="243" spans="1:1">
      <c r="A243" s="286"/>
    </row>
    <row r="244" spans="1:1">
      <c r="A244" s="286"/>
    </row>
    <row r="245" spans="1:1">
      <c r="A245" s="286"/>
    </row>
    <row r="246" spans="1:1">
      <c r="A246" s="286"/>
    </row>
    <row r="247" spans="1:1">
      <c r="A247" s="286"/>
    </row>
    <row r="248" spans="1:1">
      <c r="A248" s="286"/>
    </row>
    <row r="249" spans="1:1">
      <c r="A249" s="286"/>
    </row>
    <row r="250" spans="1:1">
      <c r="A250" s="286"/>
    </row>
    <row r="251" spans="1:1">
      <c r="A251" s="286"/>
    </row>
    <row r="252" spans="1:1">
      <c r="A252" s="286"/>
    </row>
    <row r="253" spans="1:1">
      <c r="A253" s="286"/>
    </row>
    <row r="254" spans="1:1">
      <c r="A254" s="286"/>
    </row>
    <row r="255" spans="1:1">
      <c r="A255" s="286"/>
    </row>
    <row r="256" spans="1:1">
      <c r="A256" s="286"/>
    </row>
    <row r="257" spans="1:1">
      <c r="A257" s="286"/>
    </row>
    <row r="258" spans="1:1">
      <c r="A258" s="286"/>
    </row>
    <row r="259" spans="1:1">
      <c r="A259" s="286"/>
    </row>
    <row r="260" spans="1:1">
      <c r="A260" s="286"/>
    </row>
    <row r="261" spans="1:1">
      <c r="A261" s="286"/>
    </row>
    <row r="262" spans="1:1">
      <c r="A262" s="286"/>
    </row>
    <row r="263" spans="1:1">
      <c r="A263" s="286"/>
    </row>
    <row r="264" spans="1:1">
      <c r="A264" s="286"/>
    </row>
    <row r="265" spans="1:1">
      <c r="A265" s="286"/>
    </row>
    <row r="266" spans="1:1">
      <c r="A266" s="286"/>
    </row>
    <row r="267" spans="1:1">
      <c r="A267" s="286"/>
    </row>
    <row r="268" spans="1:1">
      <c r="A268" s="286"/>
    </row>
    <row r="269" spans="1:1">
      <c r="A269" s="286"/>
    </row>
    <row r="270" spans="1:1">
      <c r="A270" s="286"/>
    </row>
    <row r="271" spans="1:1">
      <c r="A271" s="286"/>
    </row>
    <row r="272" spans="1:1">
      <c r="A272" s="286"/>
    </row>
    <row r="273" spans="1:1">
      <c r="A273" s="286"/>
    </row>
    <row r="274" spans="1:1">
      <c r="A274" s="286"/>
    </row>
    <row r="275" spans="1:1">
      <c r="A275" s="286"/>
    </row>
    <row r="276" spans="1:1">
      <c r="A276" s="286"/>
    </row>
    <row r="277" spans="1:1">
      <c r="A277" s="286"/>
    </row>
    <row r="278" spans="1:1">
      <c r="A278" s="286"/>
    </row>
    <row r="279" spans="1:1">
      <c r="A279" s="286"/>
    </row>
    <row r="280" spans="1:1">
      <c r="A280" s="286"/>
    </row>
    <row r="281" spans="1:1">
      <c r="A281" s="286"/>
    </row>
    <row r="282" spans="1:1">
      <c r="A282" s="286"/>
    </row>
    <row r="283" spans="1:1">
      <c r="A283" s="286"/>
    </row>
    <row r="284" spans="1:1">
      <c r="A284" s="286"/>
    </row>
    <row r="285" spans="1:1">
      <c r="A285" s="286"/>
    </row>
    <row r="286" spans="1:1">
      <c r="A286" s="286"/>
    </row>
    <row r="287" spans="1:1">
      <c r="A287" s="286"/>
    </row>
    <row r="288" spans="1:1">
      <c r="A288" s="286"/>
    </row>
    <row r="289" spans="1:1">
      <c r="A289" s="286"/>
    </row>
    <row r="290" spans="1:1">
      <c r="A290" s="286"/>
    </row>
    <row r="291" spans="1:1">
      <c r="A291" s="286"/>
    </row>
    <row r="292" spans="1:1">
      <c r="A292" s="286"/>
    </row>
    <row r="293" spans="1:1">
      <c r="A293" s="286"/>
    </row>
  </sheetData>
  <mergeCells count="1">
    <mergeCell ref="A7:E8"/>
  </mergeCells>
  <phoneticPr fontId="27" type="noConversion"/>
  <printOptions horizontalCentered="1"/>
  <pageMargins left="0.75" right="0.5" top="0.75" bottom="0.5" header="0.25" footer="0.25"/>
  <pageSetup orientation="portrait" r:id="rId1"/>
  <headerFooter alignWithMargins="0">
    <oddFooter xml:space="preserve">&amp;C&amp;"Garmond (W1),Bold"
</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A1:K26"/>
  <sheetViews>
    <sheetView view="pageBreakPreview" zoomScale="60" zoomScaleNormal="100" workbookViewId="0">
      <selection sqref="A1:XFD1048576"/>
    </sheetView>
  </sheetViews>
  <sheetFormatPr defaultRowHeight="12.75"/>
  <cols>
    <col min="1" max="7" width="8.7109375" customWidth="1"/>
    <col min="8" max="8" width="6.7109375" customWidth="1"/>
    <col min="9" max="10" width="10.7109375" customWidth="1"/>
    <col min="11" max="11" width="11.28515625" customWidth="1"/>
  </cols>
  <sheetData>
    <row r="1" spans="1:11">
      <c r="A1" s="2181" t="s">
        <v>610</v>
      </c>
      <c r="B1" s="2182"/>
      <c r="C1" s="2182"/>
      <c r="D1" s="2182"/>
      <c r="E1" s="2182"/>
      <c r="F1" s="2182"/>
      <c r="G1" s="2182"/>
      <c r="H1" s="2182"/>
      <c r="I1" s="2181" t="s">
        <v>1209</v>
      </c>
      <c r="J1" s="2182"/>
      <c r="K1" s="2194"/>
    </row>
    <row r="2" spans="1:11">
      <c r="A2" s="2182"/>
      <c r="B2" s="2182"/>
      <c r="C2" s="2182"/>
      <c r="D2" s="2182"/>
      <c r="E2" s="2182"/>
      <c r="F2" s="2182"/>
      <c r="G2" s="2182"/>
      <c r="H2" s="2182"/>
      <c r="I2" s="2182"/>
      <c r="J2" s="2182"/>
      <c r="K2" s="2194"/>
    </row>
    <row r="3" spans="1:11">
      <c r="A3" s="2181" t="s">
        <v>3255</v>
      </c>
      <c r="B3" s="2182"/>
      <c r="C3" s="2182"/>
      <c r="D3" s="2182"/>
      <c r="E3" s="2182"/>
      <c r="F3" s="2182"/>
      <c r="G3" s="2182"/>
      <c r="H3" s="2182"/>
      <c r="I3" s="2181" t="s">
        <v>3054</v>
      </c>
      <c r="J3" s="2182"/>
      <c r="K3" s="2194"/>
    </row>
    <row r="4" spans="1:11">
      <c r="A4" s="2181" t="s">
        <v>3256</v>
      </c>
      <c r="B4" s="2182"/>
      <c r="C4" s="2182"/>
      <c r="D4" s="2182"/>
      <c r="E4" s="2182"/>
      <c r="F4" s="2182"/>
      <c r="G4" s="2182"/>
      <c r="H4" s="2182"/>
      <c r="I4" s="2181" t="s">
        <v>766</v>
      </c>
      <c r="J4" s="2182"/>
      <c r="K4" s="2194"/>
    </row>
    <row r="5" spans="1:11">
      <c r="A5" s="2181" t="s">
        <v>3257</v>
      </c>
      <c r="B5" s="2182"/>
      <c r="C5" s="2184"/>
      <c r="D5" s="2182"/>
      <c r="E5" s="2182"/>
      <c r="F5" s="2182"/>
      <c r="G5" s="2182"/>
      <c r="H5" s="2182"/>
      <c r="I5" s="2181" t="s">
        <v>3258</v>
      </c>
      <c r="J5" s="2182"/>
      <c r="K5" s="2194"/>
    </row>
    <row r="6" spans="1:11">
      <c r="A6" s="2182"/>
      <c r="B6" s="2182"/>
      <c r="C6" s="2182"/>
      <c r="D6" s="2182"/>
      <c r="E6" s="2182"/>
      <c r="F6" s="2182"/>
      <c r="G6" s="2182"/>
      <c r="H6" s="2182"/>
      <c r="I6" s="2182"/>
      <c r="J6" s="2182"/>
      <c r="K6" s="2194"/>
    </row>
    <row r="7" spans="1:11">
      <c r="A7" s="2181" t="s">
        <v>3055</v>
      </c>
      <c r="B7" s="2182"/>
      <c r="C7" s="2182"/>
      <c r="D7" s="2182"/>
      <c r="E7" s="2182"/>
      <c r="F7" s="2182"/>
      <c r="G7" s="2182"/>
      <c r="H7" s="2182"/>
      <c r="I7" s="2182"/>
      <c r="J7" s="2182"/>
      <c r="K7" s="2194"/>
    </row>
    <row r="8" spans="1:11">
      <c r="A8" s="2181" t="s">
        <v>3056</v>
      </c>
      <c r="B8" s="2182"/>
      <c r="C8" s="2182"/>
      <c r="D8" s="2182"/>
      <c r="E8" s="2182"/>
      <c r="F8" s="2182"/>
      <c r="G8" s="2182"/>
      <c r="H8" s="2182"/>
      <c r="I8" s="2182"/>
      <c r="J8" s="2182"/>
      <c r="K8" s="2194"/>
    </row>
    <row r="9" spans="1:11">
      <c r="A9" s="2185" t="s">
        <v>3046</v>
      </c>
      <c r="B9" s="2185" t="s">
        <v>3046</v>
      </c>
      <c r="C9" s="2185" t="s">
        <v>3046</v>
      </c>
      <c r="D9" s="2185" t="s">
        <v>3046</v>
      </c>
      <c r="E9" s="2185" t="s">
        <v>3046</v>
      </c>
      <c r="F9" s="2185" t="s">
        <v>3046</v>
      </c>
      <c r="G9" s="2185" t="s">
        <v>3046</v>
      </c>
      <c r="H9" s="2185" t="s">
        <v>3046</v>
      </c>
      <c r="I9" s="2185" t="s">
        <v>3046</v>
      </c>
      <c r="J9" s="2185" t="s">
        <v>3046</v>
      </c>
      <c r="K9" s="2195" t="s">
        <v>3046</v>
      </c>
    </row>
    <row r="10" spans="1:11">
      <c r="A10" s="2182"/>
      <c r="B10" s="2182"/>
      <c r="C10" s="2182"/>
      <c r="D10" s="2182"/>
      <c r="E10" s="2182"/>
      <c r="F10" s="2182"/>
      <c r="G10" s="2182"/>
      <c r="H10" s="2182"/>
      <c r="I10" s="2187" t="s">
        <v>3057</v>
      </c>
      <c r="J10" s="2182"/>
      <c r="K10" s="2196" t="s">
        <v>3058</v>
      </c>
    </row>
    <row r="11" spans="1:11">
      <c r="A11" s="2182"/>
      <c r="B11" s="2192"/>
      <c r="C11" s="2182"/>
      <c r="D11" s="2182"/>
      <c r="E11" s="2182"/>
      <c r="F11" s="2182"/>
      <c r="G11" s="2182"/>
      <c r="H11" s="2182"/>
      <c r="I11" s="2185" t="s">
        <v>3046</v>
      </c>
      <c r="J11" s="2182"/>
      <c r="K11" s="2195" t="s">
        <v>3046</v>
      </c>
    </row>
    <row r="12" spans="1:11">
      <c r="A12" s="2182"/>
      <c r="B12" s="2182"/>
      <c r="C12" s="2182"/>
      <c r="D12" s="2182"/>
      <c r="E12" s="2182"/>
      <c r="F12" s="2182"/>
      <c r="G12" s="2182"/>
      <c r="H12" s="2182"/>
      <c r="I12" s="2182"/>
      <c r="J12" s="2182"/>
      <c r="K12" s="2194"/>
    </row>
    <row r="13" spans="1:11">
      <c r="A13" s="2187" t="s">
        <v>1013</v>
      </c>
      <c r="B13" s="2181" t="s">
        <v>3059</v>
      </c>
      <c r="C13" s="2182"/>
      <c r="D13" s="2182"/>
      <c r="E13" s="2182"/>
      <c r="F13" s="2182"/>
      <c r="G13" s="2182"/>
      <c r="H13" s="2182"/>
      <c r="I13" s="2197"/>
      <c r="J13" s="2182"/>
      <c r="K13" s="2198">
        <v>900000</v>
      </c>
    </row>
    <row r="14" spans="1:11">
      <c r="A14" s="2182"/>
      <c r="B14" s="2182"/>
      <c r="C14" s="2182"/>
      <c r="D14" s="2182"/>
      <c r="E14" s="2182"/>
      <c r="F14" s="2182"/>
      <c r="G14" s="2182"/>
      <c r="H14" s="2182"/>
      <c r="I14" s="2182"/>
      <c r="J14" s="2182"/>
      <c r="K14" s="2194"/>
    </row>
    <row r="15" spans="1:11">
      <c r="A15" s="2182"/>
      <c r="B15" s="2181" t="s">
        <v>3060</v>
      </c>
      <c r="C15" s="2182"/>
      <c r="D15" s="2182"/>
      <c r="E15" s="2182"/>
      <c r="F15" s="2182"/>
      <c r="G15" s="2182"/>
      <c r="H15" s="2182"/>
      <c r="I15" s="2191"/>
      <c r="J15" s="2182"/>
      <c r="K15" s="2194"/>
    </row>
    <row r="16" spans="1:11">
      <c r="A16" s="2182"/>
      <c r="B16" s="2181" t="s">
        <v>3061</v>
      </c>
      <c r="C16" s="2182"/>
      <c r="D16" s="2182"/>
      <c r="E16" s="2182"/>
      <c r="F16" s="2182"/>
      <c r="G16" s="2182"/>
      <c r="H16" s="2182"/>
      <c r="I16" s="2191"/>
      <c r="J16" s="2182"/>
      <c r="K16" s="2194"/>
    </row>
    <row r="17" spans="1:11">
      <c r="A17" s="2182"/>
      <c r="B17" s="2182"/>
      <c r="C17" s="2182"/>
      <c r="D17" s="2182"/>
      <c r="E17" s="2182"/>
      <c r="F17" s="2182"/>
      <c r="G17" s="2182"/>
      <c r="H17" s="2182"/>
      <c r="I17" s="2191"/>
      <c r="J17" s="2182"/>
      <c r="K17" s="2194"/>
    </row>
    <row r="18" spans="1:11">
      <c r="A18" s="2182"/>
      <c r="B18" s="2182"/>
      <c r="C18" s="2182"/>
      <c r="D18" s="2182"/>
      <c r="E18" s="2182"/>
      <c r="F18" s="2182"/>
      <c r="G18" s="2182"/>
      <c r="H18" s="2182"/>
      <c r="I18" s="2191"/>
      <c r="J18" s="2182"/>
      <c r="K18" s="2194"/>
    </row>
    <row r="19" spans="1:11">
      <c r="A19" s="2182"/>
      <c r="B19" s="2182"/>
      <c r="C19" s="2182"/>
      <c r="D19" s="2182"/>
      <c r="E19" s="2182"/>
      <c r="F19" s="2182"/>
      <c r="G19" s="2182"/>
      <c r="H19" s="2182"/>
      <c r="I19" s="2182"/>
      <c r="J19" s="2182"/>
      <c r="K19" s="2194"/>
    </row>
    <row r="20" spans="1:11">
      <c r="A20" s="2187" t="s">
        <v>1014</v>
      </c>
      <c r="B20" s="2181" t="s">
        <v>3062</v>
      </c>
      <c r="C20" s="2182"/>
      <c r="D20" s="2182"/>
      <c r="E20" s="2182"/>
      <c r="F20" s="2182"/>
      <c r="G20" s="2182"/>
      <c r="H20" s="2182"/>
      <c r="I20" s="2199"/>
      <c r="J20" s="2182"/>
      <c r="K20" s="2198">
        <v>773339.72602739721</v>
      </c>
    </row>
    <row r="21" spans="1:11">
      <c r="A21" s="2182"/>
      <c r="B21" s="2182"/>
      <c r="C21" s="2182"/>
      <c r="D21" s="2182"/>
      <c r="E21" s="2182"/>
      <c r="F21" s="2182"/>
      <c r="G21" s="2182"/>
      <c r="H21" s="2182"/>
      <c r="I21" s="2182"/>
      <c r="J21" s="2182"/>
      <c r="K21" s="2194"/>
    </row>
    <row r="22" spans="1:11">
      <c r="A22" s="2182"/>
      <c r="B22" s="2181" t="s">
        <v>3063</v>
      </c>
      <c r="C22" s="2182"/>
      <c r="D22" s="2182"/>
      <c r="E22" s="2182"/>
      <c r="F22" s="2182"/>
      <c r="G22" s="2182"/>
      <c r="H22" s="2182"/>
      <c r="I22" s="2182"/>
      <c r="J22" s="2182"/>
      <c r="K22" s="2194"/>
    </row>
    <row r="23" spans="1:11">
      <c r="A23" s="2182"/>
      <c r="B23" s="2181" t="s">
        <v>3064</v>
      </c>
      <c r="C23" s="2182"/>
      <c r="D23" s="2182"/>
      <c r="E23" s="2182"/>
      <c r="F23" s="2182"/>
      <c r="G23" s="2182"/>
      <c r="H23" s="2182"/>
      <c r="I23" s="2182"/>
      <c r="J23" s="2182"/>
      <c r="K23" s="2194"/>
    </row>
    <row r="24" spans="1:11">
      <c r="A24" s="2182"/>
      <c r="B24" s="2181" t="s">
        <v>3065</v>
      </c>
      <c r="C24" s="2182"/>
      <c r="D24" s="2182"/>
      <c r="E24" s="2182"/>
      <c r="F24" s="2182"/>
      <c r="G24" s="2182"/>
      <c r="H24" s="2182"/>
      <c r="I24" s="2182"/>
      <c r="J24" s="2182"/>
      <c r="K24" s="2194"/>
    </row>
    <row r="25" spans="1:11">
      <c r="A25" s="2182"/>
      <c r="B25" s="2181" t="s">
        <v>3066</v>
      </c>
      <c r="C25" s="2182"/>
      <c r="D25" s="2182"/>
      <c r="E25" s="2182"/>
      <c r="F25" s="2182"/>
      <c r="G25" s="2182"/>
      <c r="H25" s="2182"/>
      <c r="I25" s="2182"/>
      <c r="J25" s="2182"/>
      <c r="K25" s="2194"/>
    </row>
    <row r="26" spans="1:11" ht="15.75">
      <c r="A26" s="2200"/>
      <c r="B26" s="2200"/>
      <c r="C26" s="2200"/>
      <c r="D26" s="2200"/>
      <c r="E26" s="2200"/>
      <c r="F26" s="2200"/>
      <c r="G26" s="2200"/>
      <c r="H26" s="2200"/>
      <c r="I26" s="2200"/>
      <c r="J26" s="2200"/>
      <c r="K26" s="2201"/>
    </row>
  </sheetData>
  <printOptions horizontalCentered="1"/>
  <pageMargins left="0.75" right="0.5" top="0.75" bottom="0.5" header="0.25" footer="0.25"/>
  <pageSetup scale="93" orientation="portrait"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pageSetUpPr fitToPage="1"/>
  </sheetPr>
  <dimension ref="A1:I43"/>
  <sheetViews>
    <sheetView view="pageBreakPreview" zoomScale="60" zoomScaleNormal="100" workbookViewId="0">
      <selection sqref="A1:XFD1048576"/>
    </sheetView>
  </sheetViews>
  <sheetFormatPr defaultRowHeight="12.75"/>
  <cols>
    <col min="1" max="1" width="3.42578125" customWidth="1"/>
    <col min="2" max="2" width="3.7109375" customWidth="1"/>
    <col min="3" max="5" width="8.7109375" customWidth="1"/>
    <col min="6" max="6" width="42.7109375" customWidth="1"/>
    <col min="7" max="7" width="4.5703125" customWidth="1"/>
    <col min="8" max="8" width="14" customWidth="1"/>
    <col min="9" max="9" width="12.42578125" customWidth="1"/>
  </cols>
  <sheetData>
    <row r="1" spans="1:9">
      <c r="A1" s="2181" t="s">
        <v>3067</v>
      </c>
      <c r="B1" s="2182"/>
      <c r="C1" s="2182"/>
      <c r="D1" s="2182"/>
      <c r="E1" s="2182"/>
      <c r="F1" s="2182"/>
      <c r="G1" s="2181" t="s">
        <v>1209</v>
      </c>
      <c r="H1" s="2182"/>
      <c r="I1" s="2182"/>
    </row>
    <row r="2" spans="1:9">
      <c r="A2" s="2181" t="s">
        <v>3068</v>
      </c>
      <c r="B2" s="2182"/>
      <c r="C2" s="2182"/>
      <c r="D2" s="2182"/>
      <c r="E2" s="2182"/>
      <c r="F2" s="2182"/>
      <c r="G2" s="2182"/>
      <c r="H2" s="2182"/>
      <c r="I2" s="2182"/>
    </row>
    <row r="3" spans="1:9">
      <c r="A3" s="2182"/>
      <c r="B3" s="2182"/>
      <c r="C3" s="2182"/>
      <c r="D3" s="2182"/>
      <c r="E3" s="2182"/>
      <c r="F3" s="2182"/>
      <c r="G3" s="2182"/>
      <c r="H3" s="2182"/>
      <c r="I3" s="2182"/>
    </row>
    <row r="4" spans="1:9">
      <c r="A4" s="2181" t="s">
        <v>3255</v>
      </c>
      <c r="B4" s="2182"/>
      <c r="C4" s="2182"/>
      <c r="D4" s="2182"/>
      <c r="E4" s="2182"/>
      <c r="F4" s="2182"/>
      <c r="G4" s="2181" t="s">
        <v>3069</v>
      </c>
      <c r="H4" s="2182"/>
      <c r="I4" s="2182"/>
    </row>
    <row r="5" spans="1:9">
      <c r="A5" s="2181" t="s">
        <v>3256</v>
      </c>
      <c r="B5" s="2182"/>
      <c r="C5" s="2182"/>
      <c r="D5" s="2182"/>
      <c r="E5" s="2182"/>
      <c r="F5" s="2182"/>
      <c r="G5" s="2181" t="s">
        <v>1455</v>
      </c>
      <c r="H5" s="2182"/>
      <c r="I5" s="2182"/>
    </row>
    <row r="6" spans="1:9">
      <c r="A6" s="2181" t="s">
        <v>3257</v>
      </c>
      <c r="B6" s="2181"/>
      <c r="C6" s="2184"/>
      <c r="D6" s="2184"/>
      <c r="E6" s="2182"/>
      <c r="F6" s="2182"/>
      <c r="G6" s="2181" t="s">
        <v>3258</v>
      </c>
      <c r="H6" s="2182"/>
      <c r="I6" s="2182"/>
    </row>
    <row r="7" spans="1:9">
      <c r="A7" s="2182"/>
      <c r="B7" s="2182"/>
      <c r="C7" s="2182"/>
      <c r="D7" s="2182"/>
      <c r="E7" s="2182"/>
      <c r="F7" s="2182"/>
      <c r="G7" s="2182"/>
      <c r="H7" s="2182"/>
      <c r="I7" s="2182"/>
    </row>
    <row r="8" spans="1:9">
      <c r="A8" s="2181" t="s">
        <v>3070</v>
      </c>
      <c r="B8" s="2182"/>
      <c r="C8" s="2182"/>
      <c r="D8" s="2182"/>
      <c r="E8" s="2182"/>
      <c r="F8" s="2182"/>
      <c r="G8" s="2182"/>
      <c r="H8" s="2182"/>
      <c r="I8" s="2182"/>
    </row>
    <row r="9" spans="1:9">
      <c r="A9" s="2181" t="s">
        <v>3071</v>
      </c>
      <c r="B9" s="2182"/>
      <c r="C9" s="2182"/>
      <c r="D9" s="2182"/>
      <c r="E9" s="2182"/>
      <c r="F9" s="2182"/>
      <c r="G9" s="2182"/>
      <c r="H9" s="2182"/>
      <c r="I9" s="2182"/>
    </row>
    <row r="10" spans="1:9">
      <c r="A10" s="2181" t="s">
        <v>3072</v>
      </c>
      <c r="B10" s="2182"/>
      <c r="C10" s="2182"/>
      <c r="D10" s="2182"/>
      <c r="E10" s="2182"/>
      <c r="F10" s="2182"/>
      <c r="G10" s="2182"/>
      <c r="H10" s="2182"/>
      <c r="I10" s="2182"/>
    </row>
    <row r="11" spans="1:9">
      <c r="A11" s="2202"/>
      <c r="B11" s="2202"/>
      <c r="C11" s="2202"/>
      <c r="D11" s="2202"/>
      <c r="E11" s="2202"/>
      <c r="F11" s="2202"/>
      <c r="G11" s="2202"/>
      <c r="H11" s="2202"/>
      <c r="I11" s="2202"/>
    </row>
    <row r="12" spans="1:9">
      <c r="A12" s="2182"/>
      <c r="B12" s="2182"/>
      <c r="C12" s="2182"/>
      <c r="D12" s="2182"/>
      <c r="E12" s="2182"/>
      <c r="F12" s="2182"/>
      <c r="G12" s="2182"/>
      <c r="H12" s="2182"/>
      <c r="I12" s="2182"/>
    </row>
    <row r="13" spans="1:9">
      <c r="A13" s="2181" t="s">
        <v>3249</v>
      </c>
      <c r="B13" s="2182"/>
      <c r="C13" s="2182"/>
      <c r="D13" s="2182"/>
      <c r="E13" s="2182"/>
      <c r="F13" s="2182"/>
      <c r="G13" s="2182"/>
      <c r="H13" s="2182"/>
      <c r="I13" s="2182"/>
    </row>
    <row r="14" spans="1:9">
      <c r="A14" s="2187" t="s">
        <v>53</v>
      </c>
      <c r="B14" s="2182"/>
      <c r="C14" s="2182"/>
      <c r="D14" s="2182"/>
      <c r="E14" s="2182"/>
      <c r="F14" s="2182"/>
      <c r="G14" s="2182"/>
      <c r="H14" s="2182"/>
      <c r="I14" s="2189"/>
    </row>
    <row r="15" spans="1:9" ht="15">
      <c r="A15" s="2203" t="s">
        <v>730</v>
      </c>
      <c r="B15" s="2182"/>
      <c r="C15" s="2182"/>
      <c r="D15" s="2182"/>
      <c r="E15" s="2182"/>
      <c r="F15" s="2182"/>
      <c r="G15" s="2182"/>
      <c r="H15" s="2182"/>
      <c r="I15" s="2182"/>
    </row>
    <row r="16" spans="1:9" ht="15">
      <c r="A16" s="2203"/>
      <c r="B16" s="2182"/>
      <c r="C16" s="2182"/>
      <c r="D16" s="2182"/>
      <c r="E16" s="2182"/>
      <c r="F16" s="2182"/>
      <c r="G16" s="2182"/>
      <c r="H16" s="2182"/>
      <c r="I16" s="2182"/>
    </row>
    <row r="17" spans="1:9" ht="15">
      <c r="A17" s="2204">
        <v>1</v>
      </c>
      <c r="B17" s="2205" t="s">
        <v>500</v>
      </c>
      <c r="C17" s="2205" t="s">
        <v>3073</v>
      </c>
      <c r="D17" s="2182"/>
      <c r="E17" s="2182"/>
      <c r="F17" s="2182"/>
      <c r="G17" s="2182"/>
      <c r="H17" s="2206">
        <v>773339.72602739721</v>
      </c>
      <c r="I17" s="2182"/>
    </row>
    <row r="18" spans="1:9" ht="15">
      <c r="A18" s="2204"/>
      <c r="B18" s="2182"/>
      <c r="C18" s="2207"/>
      <c r="D18" s="2182"/>
      <c r="E18" s="2182"/>
      <c r="F18" s="2182"/>
      <c r="G18" s="2182"/>
      <c r="H18" s="2208"/>
      <c r="I18" s="2182"/>
    </row>
    <row r="19" spans="1:9">
      <c r="A19" s="2204">
        <v>2</v>
      </c>
      <c r="B19" s="2205" t="s">
        <v>501</v>
      </c>
      <c r="C19" s="2207" t="s">
        <v>3074</v>
      </c>
      <c r="D19" s="2182"/>
      <c r="E19" s="2182"/>
      <c r="F19" s="2182"/>
      <c r="G19" s="2182"/>
      <c r="H19" s="2209">
        <v>0</v>
      </c>
      <c r="I19" s="2182"/>
    </row>
    <row r="20" spans="1:9">
      <c r="A20" s="2204"/>
      <c r="B20" s="2182"/>
      <c r="C20" s="2182"/>
      <c r="D20" s="2182"/>
      <c r="E20" s="2182"/>
      <c r="F20" s="2182"/>
      <c r="G20" s="2182"/>
      <c r="H20" s="2210"/>
      <c r="I20" s="2182"/>
    </row>
    <row r="21" spans="1:9" ht="15">
      <c r="A21" s="2204">
        <v>3</v>
      </c>
      <c r="B21" s="2205" t="s">
        <v>465</v>
      </c>
      <c r="C21" s="2182" t="s">
        <v>3075</v>
      </c>
      <c r="D21" s="2182"/>
      <c r="E21" s="2182"/>
      <c r="F21" s="2182"/>
      <c r="G21" s="2182"/>
      <c r="H21" s="2211">
        <v>52367.582647032643</v>
      </c>
      <c r="I21" s="2182"/>
    </row>
    <row r="22" spans="1:9">
      <c r="A22" s="2204"/>
      <c r="B22" s="2182"/>
      <c r="C22" s="2182"/>
      <c r="D22" s="2182"/>
      <c r="E22" s="2182"/>
      <c r="F22" s="2182"/>
      <c r="G22" s="2182"/>
      <c r="H22" s="2210"/>
      <c r="I22" s="2182"/>
    </row>
    <row r="23" spans="1:9" ht="15">
      <c r="A23" s="2204">
        <v>4</v>
      </c>
      <c r="B23" s="2205" t="s">
        <v>466</v>
      </c>
      <c r="C23" s="2182" t="s">
        <v>3076</v>
      </c>
      <c r="D23" s="2182"/>
      <c r="E23" s="2182"/>
      <c r="F23" s="2182"/>
      <c r="G23" s="2182"/>
      <c r="H23" s="2206">
        <v>900000</v>
      </c>
      <c r="I23" s="2212"/>
    </row>
    <row r="24" spans="1:9">
      <c r="A24" s="2204"/>
      <c r="B24" s="2182"/>
      <c r="C24" s="2182"/>
      <c r="D24" s="2182"/>
      <c r="E24" s="2182"/>
      <c r="F24" s="2182"/>
      <c r="G24" s="2182"/>
      <c r="H24" s="2210"/>
      <c r="I24" s="2182"/>
    </row>
    <row r="25" spans="1:9" ht="15">
      <c r="A25" s="2204">
        <v>5</v>
      </c>
      <c r="B25" s="2205" t="s">
        <v>383</v>
      </c>
      <c r="C25" s="2182" t="s">
        <v>3077</v>
      </c>
      <c r="D25" s="2182"/>
      <c r="E25" s="2182"/>
      <c r="F25" s="2182"/>
      <c r="G25" s="2182"/>
      <c r="H25" s="2213">
        <v>0.91745256519381102</v>
      </c>
      <c r="I25" s="2205"/>
    </row>
    <row r="26" spans="1:9" ht="15">
      <c r="A26" s="2204">
        <v>6</v>
      </c>
      <c r="B26" s="2182"/>
      <c r="C26" s="2182"/>
      <c r="D26" s="2182"/>
      <c r="E26" s="2182"/>
      <c r="F26" s="2182" t="s">
        <v>3078</v>
      </c>
      <c r="G26" s="2182"/>
      <c r="H26" s="2214">
        <v>1</v>
      </c>
      <c r="I26" s="2182"/>
    </row>
    <row r="27" spans="1:9" ht="15">
      <c r="A27" s="2215"/>
      <c r="B27" s="2182"/>
      <c r="C27" s="2182"/>
      <c r="D27" s="2182"/>
      <c r="E27" s="2182"/>
      <c r="F27" s="2182"/>
      <c r="G27" s="2182"/>
      <c r="H27" s="2214"/>
      <c r="I27" s="2182"/>
    </row>
    <row r="28" spans="1:9" ht="15">
      <c r="A28" s="2204">
        <v>7</v>
      </c>
      <c r="B28" s="2205" t="s">
        <v>3012</v>
      </c>
      <c r="C28" s="2182" t="s">
        <v>3079</v>
      </c>
      <c r="D28" s="2182"/>
      <c r="E28" s="2182"/>
      <c r="F28" s="2182"/>
      <c r="G28" s="2182"/>
      <c r="H28" s="2213">
        <v>8.254743480618898E-2</v>
      </c>
      <c r="I28" s="2205"/>
    </row>
    <row r="29" spans="1:9" ht="15">
      <c r="A29" s="2204">
        <v>8</v>
      </c>
      <c r="B29" s="2182"/>
      <c r="C29" s="2182"/>
      <c r="D29" s="2182"/>
      <c r="E29" s="2182"/>
      <c r="F29" s="2182" t="s">
        <v>3078</v>
      </c>
      <c r="G29" s="2182"/>
      <c r="H29" s="2214">
        <v>0</v>
      </c>
      <c r="I29" s="2182"/>
    </row>
    <row r="30" spans="1:9">
      <c r="A30" s="2182"/>
      <c r="B30" s="2182"/>
      <c r="C30" s="2182"/>
      <c r="D30" s="2182"/>
      <c r="E30" s="2182"/>
      <c r="F30" s="2182"/>
      <c r="G30" s="2182"/>
      <c r="H30" s="2182"/>
      <c r="I30" s="2182"/>
    </row>
    <row r="31" spans="1:9">
      <c r="A31" s="2182"/>
      <c r="B31" s="2182"/>
      <c r="C31" s="2182"/>
      <c r="D31" s="2182"/>
      <c r="E31" s="2216"/>
      <c r="F31" s="2182"/>
      <c r="G31" s="2182"/>
      <c r="H31" s="2182"/>
      <c r="I31" s="2189"/>
    </row>
    <row r="32" spans="1:9">
      <c r="A32" s="2182"/>
      <c r="B32" s="2182"/>
      <c r="C32" s="2182"/>
      <c r="D32" s="2182"/>
      <c r="E32" s="2182"/>
      <c r="F32" s="2182"/>
      <c r="G32" s="2182"/>
      <c r="H32" s="2182"/>
      <c r="I32" s="2182"/>
    </row>
    <row r="33" spans="1:9">
      <c r="A33" s="2182"/>
      <c r="B33" s="2182"/>
      <c r="C33" s="2182"/>
      <c r="D33" s="2182"/>
      <c r="E33" s="2182"/>
      <c r="F33" s="2182"/>
      <c r="G33" s="2182"/>
      <c r="H33" s="2182"/>
      <c r="I33" s="2182"/>
    </row>
    <row r="34" spans="1:9">
      <c r="A34" s="2182"/>
      <c r="B34" s="2182" t="s">
        <v>3080</v>
      </c>
      <c r="C34" s="2182"/>
      <c r="D34" s="2182"/>
      <c r="E34" s="2182"/>
      <c r="F34" s="2182"/>
      <c r="G34" s="2182"/>
      <c r="H34" s="2182"/>
      <c r="I34" s="2182"/>
    </row>
    <row r="35" spans="1:9">
      <c r="A35" s="2182"/>
      <c r="B35" s="2182" t="s">
        <v>3081</v>
      </c>
      <c r="C35" s="2182"/>
      <c r="D35" s="2182"/>
      <c r="E35" s="2182"/>
      <c r="F35" s="2182"/>
      <c r="G35" s="2182"/>
      <c r="H35" s="2182"/>
      <c r="I35" s="2182"/>
    </row>
    <row r="36" spans="1:9">
      <c r="A36" s="2182"/>
      <c r="B36" s="2182" t="s">
        <v>3082</v>
      </c>
      <c r="C36" s="2182"/>
      <c r="D36" s="2182"/>
      <c r="E36" s="2182"/>
      <c r="F36" s="2182"/>
      <c r="G36" s="2182"/>
      <c r="H36" s="2182"/>
      <c r="I36" s="2182"/>
    </row>
    <row r="37" spans="1:9">
      <c r="A37" s="2182"/>
      <c r="B37" s="2182" t="s">
        <v>3083</v>
      </c>
      <c r="C37" s="2182"/>
      <c r="D37" s="2182"/>
      <c r="E37" s="2182"/>
      <c r="F37" s="2182"/>
      <c r="G37" s="2182"/>
      <c r="H37" s="2182"/>
      <c r="I37" s="2182"/>
    </row>
    <row r="38" spans="1:9">
      <c r="A38" s="2182"/>
      <c r="B38" s="2182" t="s">
        <v>3084</v>
      </c>
      <c r="C38" s="2182"/>
      <c r="D38" s="2217"/>
      <c r="E38" s="2182"/>
      <c r="F38" s="2182"/>
      <c r="G38" s="2182"/>
      <c r="H38" s="2218"/>
      <c r="I38" s="2182"/>
    </row>
    <row r="39" spans="1:9">
      <c r="A39" s="2182"/>
      <c r="B39" s="2182" t="s">
        <v>3085</v>
      </c>
      <c r="C39" s="2182"/>
      <c r="D39" s="2182"/>
      <c r="E39" s="2182"/>
      <c r="F39" s="2182"/>
      <c r="G39" s="2182"/>
      <c r="H39" s="2182"/>
      <c r="I39" s="2182"/>
    </row>
    <row r="40" spans="1:9">
      <c r="A40" s="2219"/>
      <c r="B40" s="2182" t="s">
        <v>3086</v>
      </c>
      <c r="C40" s="2219"/>
      <c r="D40" s="2219"/>
      <c r="E40" s="2219"/>
      <c r="F40" s="2219"/>
      <c r="G40" s="2219"/>
      <c r="H40" s="2219"/>
      <c r="I40" s="2219"/>
    </row>
    <row r="41" spans="1:9">
      <c r="A41" s="1020"/>
      <c r="B41" s="2182" t="s">
        <v>3087</v>
      </c>
      <c r="C41" s="1020"/>
      <c r="D41" s="1020"/>
      <c r="E41" s="1020"/>
      <c r="F41" s="1020"/>
      <c r="G41" s="1020"/>
      <c r="H41" s="1020"/>
      <c r="I41" s="1020"/>
    </row>
    <row r="42" spans="1:9">
      <c r="A42" s="1020"/>
      <c r="B42" s="2182" t="s">
        <v>3088</v>
      </c>
      <c r="C42" s="1020"/>
      <c r="D42" s="1020"/>
      <c r="E42" s="1020"/>
      <c r="F42" s="1020"/>
      <c r="G42" s="1020"/>
      <c r="H42" s="1020"/>
      <c r="I42" s="1020"/>
    </row>
    <row r="43" spans="1:9">
      <c r="A43" s="1020"/>
      <c r="B43" s="1020"/>
      <c r="C43" s="1020"/>
      <c r="D43" s="1020"/>
      <c r="E43" s="1020"/>
      <c r="F43" s="1020"/>
      <c r="G43" s="1020"/>
      <c r="H43" s="1020"/>
      <c r="I43" s="1020"/>
    </row>
  </sheetData>
  <printOptions horizontalCentered="1"/>
  <pageMargins left="0.75" right="0.5" top="0.75" bottom="0.5" header="0.25" footer="0.25"/>
  <pageSetup scale="88" orientation="portrait"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pageSetUpPr fitToPage="1"/>
  </sheetPr>
  <dimension ref="A1:H42"/>
  <sheetViews>
    <sheetView view="pageBreakPreview" topLeftCell="A15" zoomScaleNormal="100" zoomScaleSheetLayoutView="100" workbookViewId="0">
      <selection sqref="A1:XFD1048576"/>
    </sheetView>
  </sheetViews>
  <sheetFormatPr defaultRowHeight="12.75"/>
  <cols>
    <col min="3" max="3" width="23.28515625" customWidth="1"/>
    <col min="4" max="4" width="14.5703125" customWidth="1"/>
    <col min="5" max="5" width="10.7109375" customWidth="1"/>
    <col min="6" max="6" width="14.42578125" customWidth="1"/>
    <col min="7" max="7" width="15.7109375" customWidth="1"/>
  </cols>
  <sheetData>
    <row r="1" spans="1:8">
      <c r="A1" s="2182" t="s">
        <v>3067</v>
      </c>
      <c r="B1" s="2182"/>
      <c r="C1" s="2182"/>
      <c r="D1" s="2182"/>
      <c r="E1" s="2182"/>
      <c r="F1" s="2182"/>
      <c r="G1" s="2239" t="s">
        <v>1209</v>
      </c>
      <c r="H1" s="2182"/>
    </row>
    <row r="2" spans="1:8">
      <c r="A2" s="2182" t="s">
        <v>3068</v>
      </c>
      <c r="B2" s="2182"/>
      <c r="C2" s="2182"/>
      <c r="D2" s="2182"/>
      <c r="E2" s="2182"/>
      <c r="F2" s="2182"/>
      <c r="G2" s="2239"/>
      <c r="H2" s="2182"/>
    </row>
    <row r="3" spans="1:8">
      <c r="A3" s="2182"/>
      <c r="B3" s="2182"/>
      <c r="C3" s="2182"/>
      <c r="D3" s="2182"/>
      <c r="E3" s="2182"/>
      <c r="F3" s="2182"/>
      <c r="G3" s="2239"/>
      <c r="H3" s="2182"/>
    </row>
    <row r="4" spans="1:8">
      <c r="A4" s="2181" t="s">
        <v>3255</v>
      </c>
      <c r="B4" s="2182"/>
      <c r="C4" s="2182"/>
      <c r="D4" s="2182"/>
      <c r="E4" s="2182"/>
      <c r="F4" s="2182"/>
      <c r="G4" s="2239" t="s">
        <v>3069</v>
      </c>
      <c r="H4" s="2182"/>
    </row>
    <row r="5" spans="1:8">
      <c r="A5" s="2181" t="s">
        <v>3256</v>
      </c>
      <c r="B5" s="2182"/>
      <c r="C5" s="2182"/>
      <c r="D5" s="2182"/>
      <c r="E5" s="2182"/>
      <c r="F5" s="2182"/>
      <c r="G5" s="2239" t="s">
        <v>1504</v>
      </c>
      <c r="H5" s="2182"/>
    </row>
    <row r="6" spans="1:8">
      <c r="A6" s="2181" t="s">
        <v>3257</v>
      </c>
      <c r="B6" s="2182"/>
      <c r="C6" s="2184"/>
      <c r="D6" s="2184"/>
      <c r="E6" s="2182"/>
      <c r="F6" s="2182"/>
      <c r="G6" s="2239" t="s">
        <v>3258</v>
      </c>
      <c r="H6" s="2182"/>
    </row>
    <row r="7" spans="1:8">
      <c r="A7" s="2182"/>
      <c r="B7" s="2182"/>
      <c r="C7" s="2182"/>
      <c r="D7" s="2182"/>
      <c r="E7" s="2182"/>
      <c r="F7" s="2182"/>
      <c r="G7" s="2182"/>
      <c r="H7" s="2182"/>
    </row>
    <row r="8" spans="1:8">
      <c r="A8" s="2182"/>
      <c r="B8" s="2182"/>
      <c r="C8" s="2182"/>
      <c r="D8" s="2182"/>
      <c r="E8" s="2182"/>
      <c r="F8" s="2182"/>
      <c r="G8" s="2182"/>
      <c r="H8" s="2182"/>
    </row>
    <row r="9" spans="1:8">
      <c r="A9" s="2182"/>
      <c r="B9" s="2182"/>
      <c r="C9" s="2182"/>
      <c r="D9" s="2182"/>
      <c r="E9" s="2182"/>
      <c r="F9" s="2182"/>
      <c r="G9" s="2182"/>
      <c r="H9" s="2182"/>
    </row>
    <row r="10" spans="1:8">
      <c r="A10" s="2182"/>
      <c r="B10" s="2182" t="s">
        <v>3089</v>
      </c>
      <c r="C10" s="2182"/>
      <c r="D10" s="2182"/>
      <c r="E10" s="2182"/>
      <c r="F10" s="2220"/>
      <c r="G10" s="2182"/>
      <c r="H10" s="2182"/>
    </row>
    <row r="11" spans="1:8">
      <c r="A11" s="2182"/>
      <c r="B11" s="2182"/>
      <c r="C11" s="2182"/>
      <c r="D11" s="2182"/>
      <c r="E11" s="2182"/>
      <c r="F11" s="2182"/>
      <c r="G11" s="2182"/>
      <c r="H11" s="2182"/>
    </row>
    <row r="12" spans="1:8">
      <c r="A12" s="2182"/>
      <c r="B12" s="2182"/>
      <c r="C12" s="2182"/>
      <c r="D12" s="2182"/>
      <c r="E12" s="2182"/>
      <c r="F12" s="2182"/>
      <c r="G12" s="2182"/>
      <c r="H12" s="2182"/>
    </row>
    <row r="13" spans="1:8">
      <c r="A13" s="2182"/>
      <c r="B13" s="2182"/>
      <c r="C13" s="2182"/>
      <c r="D13" s="2182"/>
      <c r="E13" s="2182" t="s">
        <v>3090</v>
      </c>
      <c r="F13" s="2220"/>
      <c r="G13" s="2182"/>
      <c r="H13" s="2182"/>
    </row>
    <row r="14" spans="1:8">
      <c r="A14" s="2182"/>
      <c r="B14" s="2182" t="s">
        <v>3091</v>
      </c>
      <c r="C14" s="2182" t="s">
        <v>3092</v>
      </c>
      <c r="D14" s="2182"/>
      <c r="E14" s="2182" t="s">
        <v>3093</v>
      </c>
      <c r="F14" s="2220"/>
      <c r="G14" s="2182"/>
      <c r="H14" s="2182"/>
    </row>
    <row r="15" spans="1:8">
      <c r="A15" s="2182"/>
      <c r="B15" s="2182" t="s">
        <v>3094</v>
      </c>
      <c r="C15" s="2182" t="s">
        <v>3095</v>
      </c>
      <c r="D15" s="2182" t="s">
        <v>3096</v>
      </c>
      <c r="E15" s="2182" t="s">
        <v>3097</v>
      </c>
      <c r="F15" s="2220" t="s">
        <v>3098</v>
      </c>
      <c r="G15" s="2182"/>
      <c r="H15" s="2182"/>
    </row>
    <row r="16" spans="1:8">
      <c r="A16" s="2182"/>
      <c r="B16" s="2182">
        <v>4</v>
      </c>
      <c r="C16" s="2182">
        <v>0</v>
      </c>
      <c r="D16" s="2192">
        <v>0</v>
      </c>
      <c r="E16" s="2220">
        <v>0</v>
      </c>
      <c r="F16" s="2220"/>
      <c r="G16" s="2182"/>
      <c r="H16" s="2182"/>
    </row>
    <row r="17" spans="1:8">
      <c r="A17" s="2187">
        <v>1</v>
      </c>
      <c r="B17" s="2182">
        <v>6</v>
      </c>
      <c r="C17" s="2220">
        <v>0</v>
      </c>
      <c r="D17" s="2192">
        <v>0</v>
      </c>
      <c r="E17" s="2220">
        <v>0</v>
      </c>
      <c r="F17" s="2220"/>
      <c r="G17" s="2182"/>
      <c r="H17" s="2182"/>
    </row>
    <row r="18" spans="1:8">
      <c r="A18" s="2187">
        <v>2</v>
      </c>
      <c r="B18" s="2182">
        <v>8</v>
      </c>
      <c r="C18" s="2220">
        <v>84087</v>
      </c>
      <c r="D18" s="2192">
        <v>15.925568181818182</v>
      </c>
      <c r="E18" s="2220">
        <v>63702.272727272728</v>
      </c>
      <c r="F18" s="2220"/>
      <c r="G18" s="2182"/>
      <c r="H18" s="2182"/>
    </row>
    <row r="19" spans="1:8">
      <c r="A19" s="2187">
        <v>3</v>
      </c>
      <c r="B19" s="2182">
        <v>10</v>
      </c>
      <c r="C19" s="2220">
        <v>5010</v>
      </c>
      <c r="D19" s="2192">
        <v>0.94886363636363635</v>
      </c>
      <c r="E19" s="2220">
        <v>4744.318181818182</v>
      </c>
      <c r="F19" s="2220"/>
      <c r="G19" s="2182"/>
      <c r="H19" s="2182"/>
    </row>
    <row r="20" spans="1:8">
      <c r="A20" s="2187">
        <v>4</v>
      </c>
      <c r="B20" s="2182" t="s">
        <v>81</v>
      </c>
      <c r="C20" s="2220">
        <v>89097</v>
      </c>
      <c r="D20" s="2221">
        <v>16.874431818181819</v>
      </c>
      <c r="E20" s="2220">
        <v>68446.590909090912</v>
      </c>
      <c r="F20" s="2220">
        <v>24983005.681818184</v>
      </c>
      <c r="G20" s="2182"/>
      <c r="H20" s="2182"/>
    </row>
    <row r="21" spans="1:8">
      <c r="A21" s="2187">
        <v>5</v>
      </c>
      <c r="B21" s="2182" t="s">
        <v>3099</v>
      </c>
      <c r="C21" s="2182"/>
      <c r="D21" s="2182"/>
      <c r="E21" s="2182"/>
      <c r="F21" s="2220">
        <v>31599800</v>
      </c>
      <c r="G21" s="2219"/>
      <c r="H21" s="2219"/>
    </row>
    <row r="22" spans="1:8">
      <c r="A22" s="2187">
        <v>6</v>
      </c>
      <c r="B22" s="2182" t="s">
        <v>3100</v>
      </c>
      <c r="C22" s="2182"/>
      <c r="D22" s="2182"/>
      <c r="E22" s="2182"/>
      <c r="F22" s="2220">
        <v>56582805.681818187</v>
      </c>
      <c r="G22" s="2219"/>
      <c r="H22" s="2219"/>
    </row>
    <row r="23" spans="1:8">
      <c r="A23" s="2187"/>
      <c r="B23" s="2182"/>
      <c r="C23" s="2182"/>
      <c r="D23" s="2182"/>
      <c r="E23" s="2182"/>
      <c r="F23" s="2220"/>
      <c r="G23" s="2219"/>
      <c r="H23" s="2219"/>
    </row>
    <row r="24" spans="1:8">
      <c r="A24" s="2187"/>
      <c r="B24" s="2182" t="s">
        <v>3101</v>
      </c>
      <c r="C24" s="2182"/>
      <c r="D24" s="2182"/>
      <c r="E24" s="2182"/>
      <c r="F24" s="2220"/>
      <c r="G24" s="2219"/>
      <c r="H24" s="2219"/>
    </row>
    <row r="25" spans="1:8">
      <c r="A25" s="2187">
        <v>7</v>
      </c>
      <c r="B25" s="2182" t="s">
        <v>3102</v>
      </c>
      <c r="C25" s="2182"/>
      <c r="D25" s="2182"/>
      <c r="E25" s="2182"/>
      <c r="F25" s="2220">
        <v>282269000</v>
      </c>
      <c r="G25" s="2219"/>
      <c r="H25" s="2219"/>
    </row>
    <row r="26" spans="1:8">
      <c r="A26" s="2187"/>
      <c r="B26" s="2182"/>
      <c r="C26" s="2182"/>
      <c r="D26" s="2182"/>
      <c r="E26" s="2182"/>
      <c r="F26" s="2220"/>
      <c r="G26" s="2219"/>
      <c r="H26" s="2219"/>
    </row>
    <row r="27" spans="1:8">
      <c r="A27" s="2187"/>
      <c r="B27" s="2182"/>
      <c r="C27" s="2182"/>
      <c r="D27" s="2182"/>
      <c r="E27" s="2182"/>
      <c r="F27" s="2220"/>
      <c r="G27" s="2219"/>
      <c r="H27" s="2219"/>
    </row>
    <row r="28" spans="1:8">
      <c r="A28" s="2187"/>
      <c r="B28" s="2182"/>
      <c r="C28" s="2182"/>
      <c r="D28" s="2182"/>
      <c r="E28" s="2182" t="s">
        <v>3103</v>
      </c>
      <c r="F28" s="2220"/>
      <c r="G28" s="2219"/>
      <c r="H28" s="2219"/>
    </row>
    <row r="29" spans="1:8">
      <c r="A29" s="2187"/>
      <c r="B29" s="2182" t="s">
        <v>3104</v>
      </c>
      <c r="C29" s="2182"/>
      <c r="D29" s="2182"/>
      <c r="E29" s="2182" t="s">
        <v>3105</v>
      </c>
      <c r="F29" s="2220"/>
      <c r="G29" s="2219"/>
      <c r="H29" s="2219"/>
    </row>
    <row r="30" spans="1:8">
      <c r="A30" s="2187">
        <v>8</v>
      </c>
      <c r="B30" s="2182" t="s">
        <v>3106</v>
      </c>
      <c r="C30" s="2182"/>
      <c r="D30" s="2220">
        <v>130810000</v>
      </c>
      <c r="E30" s="2222">
        <v>0.8</v>
      </c>
      <c r="F30" s="2220">
        <v>104648000</v>
      </c>
      <c r="G30" s="2219"/>
      <c r="H30" s="2219"/>
    </row>
    <row r="31" spans="1:8">
      <c r="A31" s="2187">
        <v>9</v>
      </c>
      <c r="B31" s="2182" t="s">
        <v>3107</v>
      </c>
      <c r="C31" s="2182"/>
      <c r="D31" s="2220">
        <v>185188000</v>
      </c>
      <c r="E31" s="2222">
        <v>0.9</v>
      </c>
      <c r="F31" s="2220">
        <v>166669200</v>
      </c>
      <c r="G31" s="2219"/>
      <c r="H31" s="2219"/>
    </row>
    <row r="32" spans="1:8">
      <c r="A32" s="2187">
        <v>10</v>
      </c>
      <c r="B32" s="2182" t="s">
        <v>3108</v>
      </c>
      <c r="C32" s="2182"/>
      <c r="D32" s="2220">
        <v>315998000</v>
      </c>
      <c r="E32" s="2182"/>
      <c r="F32" s="2220">
        <v>271317200</v>
      </c>
      <c r="G32" s="2219"/>
      <c r="H32" s="2219"/>
    </row>
    <row r="33" spans="1:8">
      <c r="A33" s="2187"/>
      <c r="B33" s="2182"/>
      <c r="C33" s="2182"/>
      <c r="D33" s="2182"/>
      <c r="E33" s="2182"/>
      <c r="F33" s="2220"/>
      <c r="G33" s="2219"/>
      <c r="H33" s="2219"/>
    </row>
    <row r="34" spans="1:8">
      <c r="A34" s="2187"/>
      <c r="B34" s="2182"/>
      <c r="C34" s="2182"/>
      <c r="D34" s="2182"/>
      <c r="E34" s="2182"/>
      <c r="F34" s="2220"/>
      <c r="G34" s="2219"/>
      <c r="H34" s="2219"/>
    </row>
    <row r="35" spans="1:8">
      <c r="A35" s="2187"/>
      <c r="B35" s="2182"/>
      <c r="C35" s="2182"/>
      <c r="D35" s="2182"/>
      <c r="E35" s="2182"/>
      <c r="F35" s="2220"/>
      <c r="G35" s="2219"/>
      <c r="H35" s="2219"/>
    </row>
    <row r="36" spans="1:8">
      <c r="A36" s="2187"/>
      <c r="B36" s="2182"/>
      <c r="C36" s="2182"/>
      <c r="D36" s="2182"/>
      <c r="E36" s="2182"/>
      <c r="F36" s="2220"/>
      <c r="G36" s="2219"/>
      <c r="H36" s="2219"/>
    </row>
    <row r="37" spans="1:8">
      <c r="A37" s="2187"/>
      <c r="B37" s="2182"/>
      <c r="C37" s="2182"/>
      <c r="D37" s="2182"/>
      <c r="E37" s="2182"/>
      <c r="F37" s="2220"/>
      <c r="G37" s="2219"/>
      <c r="H37" s="2219"/>
    </row>
    <row r="38" spans="1:8">
      <c r="A38" s="2187">
        <v>11</v>
      </c>
      <c r="B38" s="2182" t="s">
        <v>3109</v>
      </c>
      <c r="C38" s="2182"/>
      <c r="D38" s="2182"/>
      <c r="E38" s="2182"/>
      <c r="F38" s="2220">
        <v>10951800</v>
      </c>
      <c r="G38" s="2219"/>
      <c r="H38" s="2219"/>
    </row>
    <row r="39" spans="1:8">
      <c r="A39" s="2187">
        <v>12</v>
      </c>
      <c r="B39" s="2182" t="s">
        <v>3110</v>
      </c>
      <c r="C39" s="2182"/>
      <c r="D39" s="2182"/>
      <c r="E39" s="2182"/>
      <c r="F39" s="2220">
        <v>-45631005.681818187</v>
      </c>
      <c r="G39" s="2219"/>
      <c r="H39" s="2219"/>
    </row>
    <row r="40" spans="1:8">
      <c r="A40" s="2187">
        <v>13</v>
      </c>
      <c r="B40" s="2182" t="s">
        <v>3111</v>
      </c>
      <c r="C40" s="2182"/>
      <c r="D40" s="2182"/>
      <c r="E40" s="2182"/>
      <c r="F40" s="2220">
        <v>0</v>
      </c>
      <c r="G40" s="2219"/>
      <c r="H40" s="2219"/>
    </row>
    <row r="41" spans="1:8">
      <c r="A41" s="2187">
        <v>14</v>
      </c>
      <c r="B41" s="2182" t="s">
        <v>3112</v>
      </c>
      <c r="C41" s="2182"/>
      <c r="D41" s="2182"/>
      <c r="E41" s="2182"/>
      <c r="F41" s="2223">
        <v>0</v>
      </c>
      <c r="G41" s="2219"/>
      <c r="H41" s="2219"/>
    </row>
    <row r="42" spans="1:8">
      <c r="A42" s="2224"/>
      <c r="B42" s="2224"/>
      <c r="C42" s="2224"/>
      <c r="D42" s="2224"/>
      <c r="E42" s="2224"/>
      <c r="F42" s="2224"/>
      <c r="G42" s="2224"/>
      <c r="H42" s="2224"/>
    </row>
  </sheetData>
  <printOptions horizontalCentered="1"/>
  <pageMargins left="0.75" right="0.5" top="0.75" bottom="0.5" header="0.25" footer="0.25"/>
  <pageSetup scale="97" orientation="portrait"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A1:J26"/>
  <sheetViews>
    <sheetView view="pageBreakPreview" zoomScale="115" zoomScaleNormal="100" zoomScaleSheetLayoutView="115" workbookViewId="0">
      <selection sqref="A1:XFD1048576"/>
    </sheetView>
  </sheetViews>
  <sheetFormatPr defaultRowHeight="12.75"/>
  <cols>
    <col min="1" max="1" width="4.7109375" customWidth="1"/>
    <col min="2" max="5" width="8.7109375" customWidth="1"/>
    <col min="6" max="6" width="24.7109375" customWidth="1"/>
    <col min="7" max="7" width="13.7109375" customWidth="1"/>
    <col min="8" max="8" width="3.7109375" customWidth="1"/>
    <col min="9" max="9" width="15.42578125" customWidth="1"/>
    <col min="10" max="10" width="12" customWidth="1"/>
  </cols>
  <sheetData>
    <row r="1" spans="1:10">
      <c r="A1" s="2181" t="s">
        <v>3067</v>
      </c>
      <c r="B1" s="2182"/>
      <c r="C1" s="2182"/>
      <c r="D1" s="2182"/>
      <c r="E1" s="2182"/>
      <c r="F1" s="2182"/>
      <c r="G1" s="2181" t="s">
        <v>1209</v>
      </c>
      <c r="H1" s="2182"/>
      <c r="I1" s="2182"/>
      <c r="J1" s="2182"/>
    </row>
    <row r="2" spans="1:10">
      <c r="A2" s="2181" t="s">
        <v>3113</v>
      </c>
      <c r="B2" s="2182"/>
      <c r="C2" s="2182"/>
      <c r="D2" s="2182"/>
      <c r="E2" s="2182"/>
      <c r="F2" s="2182"/>
      <c r="G2" s="2182"/>
      <c r="H2" s="2182"/>
      <c r="I2" s="2182"/>
      <c r="J2" s="2182"/>
    </row>
    <row r="3" spans="1:10">
      <c r="A3" s="2182"/>
      <c r="B3" s="2182"/>
      <c r="C3" s="2182"/>
      <c r="D3" s="2182"/>
      <c r="E3" s="2182"/>
      <c r="F3" s="2182"/>
      <c r="G3" s="2182"/>
      <c r="H3" s="2182"/>
      <c r="I3" s="2182"/>
      <c r="J3" s="2182"/>
    </row>
    <row r="4" spans="1:10">
      <c r="A4" s="2181" t="s">
        <v>3255</v>
      </c>
      <c r="B4" s="2182"/>
      <c r="C4" s="2182"/>
      <c r="D4" s="2182"/>
      <c r="E4" s="2182"/>
      <c r="F4" s="2182"/>
      <c r="G4" s="2181" t="s">
        <v>3114</v>
      </c>
      <c r="H4" s="2182"/>
      <c r="I4" s="2182"/>
      <c r="J4" s="2182"/>
    </row>
    <row r="5" spans="1:10">
      <c r="A5" s="2181" t="s">
        <v>3256</v>
      </c>
      <c r="B5" s="2182"/>
      <c r="C5" s="2182"/>
      <c r="D5" s="2182"/>
      <c r="E5" s="2182"/>
      <c r="F5" s="2182"/>
      <c r="G5" s="2181" t="s">
        <v>766</v>
      </c>
      <c r="H5" s="2182"/>
      <c r="I5" s="2182"/>
      <c r="J5" s="2182"/>
    </row>
    <row r="6" spans="1:10">
      <c r="A6" s="2181" t="s">
        <v>3257</v>
      </c>
      <c r="B6" s="2182"/>
      <c r="C6" s="2184"/>
      <c r="D6" s="2182"/>
      <c r="E6" s="2182"/>
      <c r="F6" s="2182"/>
      <c r="G6" s="2181" t="s">
        <v>3258</v>
      </c>
      <c r="H6" s="2182"/>
      <c r="I6" s="2182"/>
      <c r="J6" s="2182"/>
    </row>
    <row r="7" spans="1:10">
      <c r="A7" s="2182"/>
      <c r="B7" s="2182"/>
      <c r="C7" s="2182"/>
      <c r="D7" s="2182"/>
      <c r="E7" s="2182"/>
      <c r="F7" s="2182"/>
      <c r="G7" s="2182"/>
      <c r="H7" s="2182"/>
      <c r="I7" s="2182"/>
      <c r="J7" s="2182"/>
    </row>
    <row r="8" spans="1:10">
      <c r="A8" s="2181" t="s">
        <v>3115</v>
      </c>
      <c r="B8" s="2182"/>
      <c r="C8" s="2182"/>
      <c r="D8" s="2182"/>
      <c r="E8" s="2182"/>
      <c r="F8" s="2182"/>
      <c r="G8" s="2182"/>
      <c r="H8" s="2182"/>
      <c r="I8" s="2182"/>
      <c r="J8" s="2182"/>
    </row>
    <row r="9" spans="1:10">
      <c r="A9" s="2181" t="s">
        <v>3116</v>
      </c>
      <c r="B9" s="2182"/>
      <c r="C9" s="2182"/>
      <c r="D9" s="2182"/>
      <c r="E9" s="2182"/>
      <c r="F9" s="2182"/>
      <c r="G9" s="2182"/>
      <c r="H9" s="2182"/>
      <c r="I9" s="2182"/>
      <c r="J9" s="2182"/>
    </row>
    <row r="10" spans="1:10">
      <c r="A10" s="2181" t="s">
        <v>3117</v>
      </c>
      <c r="B10" s="2182"/>
      <c r="C10" s="2182"/>
      <c r="D10" s="2182"/>
      <c r="E10" s="2182"/>
      <c r="F10" s="2182"/>
      <c r="G10" s="2182"/>
      <c r="H10" s="2182"/>
      <c r="I10" s="2182"/>
      <c r="J10" s="2182"/>
    </row>
    <row r="11" spans="1:10">
      <c r="A11" s="2181" t="s">
        <v>3118</v>
      </c>
      <c r="B11" s="2182"/>
      <c r="C11" s="2182"/>
      <c r="D11" s="2182"/>
      <c r="E11" s="2182"/>
      <c r="F11" s="2182"/>
      <c r="G11" s="2182"/>
      <c r="H11" s="2182"/>
      <c r="I11" s="2182"/>
      <c r="J11" s="2182"/>
    </row>
    <row r="12" spans="1:10">
      <c r="A12" s="2181" t="s">
        <v>3119</v>
      </c>
      <c r="B12" s="2182"/>
      <c r="C12" s="2182"/>
      <c r="D12" s="2182"/>
      <c r="E12" s="2182"/>
      <c r="F12" s="2182"/>
      <c r="G12" s="2182"/>
      <c r="H12" s="2182"/>
      <c r="I12" s="2182"/>
      <c r="J12" s="2182"/>
    </row>
    <row r="13" spans="1:10">
      <c r="A13" s="2181" t="s">
        <v>3120</v>
      </c>
      <c r="B13" s="2182"/>
      <c r="C13" s="2182"/>
      <c r="D13" s="2182"/>
      <c r="E13" s="2182"/>
      <c r="F13" s="2182"/>
      <c r="G13" s="2182"/>
      <c r="H13" s="2182"/>
      <c r="I13" s="2182"/>
      <c r="J13" s="2182"/>
    </row>
    <row r="14" spans="1:10">
      <c r="A14" s="2181" t="s">
        <v>3121</v>
      </c>
      <c r="B14" s="2182"/>
      <c r="C14" s="2182"/>
      <c r="D14" s="2182"/>
      <c r="E14" s="2182"/>
      <c r="F14" s="2182"/>
      <c r="G14" s="2182"/>
      <c r="H14" s="2182"/>
      <c r="I14" s="2182"/>
      <c r="J14" s="2182"/>
    </row>
    <row r="15" spans="1:10">
      <c r="A15" s="2185" t="s">
        <v>3046</v>
      </c>
      <c r="B15" s="2185" t="s">
        <v>3046</v>
      </c>
      <c r="C15" s="2185" t="s">
        <v>3046</v>
      </c>
      <c r="D15" s="2185" t="s">
        <v>3046</v>
      </c>
      <c r="E15" s="2185" t="s">
        <v>3046</v>
      </c>
      <c r="F15" s="2185" t="s">
        <v>3046</v>
      </c>
      <c r="G15" s="2185" t="s">
        <v>3046</v>
      </c>
      <c r="H15" s="2185" t="s">
        <v>3046</v>
      </c>
      <c r="I15" s="2185" t="s">
        <v>3046</v>
      </c>
      <c r="J15" s="2185" t="s">
        <v>3046</v>
      </c>
    </row>
    <row r="16" spans="1:10">
      <c r="A16" s="2182"/>
      <c r="B16" s="2182"/>
      <c r="C16" s="2182"/>
      <c r="D16" s="2182"/>
      <c r="E16" s="2182"/>
      <c r="F16" s="2182"/>
      <c r="G16" s="2182"/>
      <c r="H16" s="2182"/>
      <c r="I16" s="2182"/>
      <c r="J16" s="2182"/>
    </row>
    <row r="17" spans="1:10">
      <c r="A17" s="2181" t="s">
        <v>3250</v>
      </c>
      <c r="B17" s="2182"/>
      <c r="C17" s="2182"/>
      <c r="D17" s="2182"/>
      <c r="E17" s="2182"/>
      <c r="F17" s="2182"/>
      <c r="G17" s="2225"/>
      <c r="H17" s="2225"/>
      <c r="I17" s="2182"/>
      <c r="J17" s="2182"/>
    </row>
    <row r="18" spans="1:10">
      <c r="A18" s="2182"/>
      <c r="B18" s="2182"/>
      <c r="C18" s="2182"/>
      <c r="D18" s="2182"/>
      <c r="E18" s="2182"/>
      <c r="F18" s="2182"/>
      <c r="G18" s="2182"/>
      <c r="H18" s="2182"/>
      <c r="I18" s="2182"/>
      <c r="J18" s="2182"/>
    </row>
    <row r="19" spans="1:10">
      <c r="A19" s="2182"/>
      <c r="B19" s="15" t="s">
        <v>3122</v>
      </c>
      <c r="C19" s="2182"/>
      <c r="D19" s="2182"/>
      <c r="E19" s="2182"/>
      <c r="F19" s="2182"/>
      <c r="G19" s="2182"/>
      <c r="H19" s="2182"/>
      <c r="I19" s="2182"/>
      <c r="J19" s="2182"/>
    </row>
    <row r="20" spans="1:10">
      <c r="A20" s="2182"/>
      <c r="B20" s="2226"/>
      <c r="C20" s="2182"/>
      <c r="D20" s="2182"/>
      <c r="E20" s="2182"/>
      <c r="F20" s="2182"/>
      <c r="G20" s="2182"/>
      <c r="H20" s="2182"/>
      <c r="I20" s="2182"/>
      <c r="J20" s="2182"/>
    </row>
    <row r="21" spans="1:10">
      <c r="A21" s="2182"/>
      <c r="B21" s="2227" t="s">
        <v>3123</v>
      </c>
      <c r="C21" s="2182"/>
      <c r="D21" s="2182"/>
      <c r="E21" s="2182"/>
      <c r="F21" s="2182"/>
      <c r="G21" s="2182"/>
      <c r="H21" s="2182"/>
      <c r="I21" s="2182"/>
      <c r="J21" s="2182"/>
    </row>
    <row r="22" spans="1:10">
      <c r="A22" s="2182"/>
      <c r="B22" s="2228" t="s">
        <v>3124</v>
      </c>
      <c r="C22" s="2182"/>
      <c r="D22" s="2182"/>
      <c r="E22" s="2182"/>
      <c r="F22" s="2182"/>
      <c r="G22" s="2182"/>
      <c r="H22" s="2182"/>
      <c r="I22" s="2182"/>
      <c r="J22" s="2182"/>
    </row>
    <row r="23" spans="1:10">
      <c r="A23" s="2182"/>
      <c r="B23" s="2228" t="s">
        <v>3125</v>
      </c>
      <c r="C23" s="2182"/>
      <c r="D23" s="2182"/>
      <c r="E23" s="2182"/>
      <c r="F23" s="2182"/>
      <c r="G23" s="2182"/>
      <c r="H23" s="2182"/>
      <c r="I23" s="2182"/>
      <c r="J23" s="2182"/>
    </row>
    <row r="24" spans="1:10">
      <c r="A24" s="2182"/>
      <c r="B24" s="2229" t="s">
        <v>3126</v>
      </c>
      <c r="C24" s="2182"/>
      <c r="D24" s="2182"/>
      <c r="E24" s="2182"/>
      <c r="F24" s="2182"/>
      <c r="G24" s="2182"/>
      <c r="H24" s="2182"/>
      <c r="I24" s="2182"/>
      <c r="J24" s="2182"/>
    </row>
    <row r="25" spans="1:10">
      <c r="A25" s="2182"/>
      <c r="B25" s="15" t="s">
        <v>3127</v>
      </c>
      <c r="C25" s="2182"/>
      <c r="D25" s="2182"/>
      <c r="E25" s="2182"/>
      <c r="F25" s="2182"/>
      <c r="G25" s="2182"/>
      <c r="H25" s="2182"/>
      <c r="I25" s="2182"/>
      <c r="J25" s="2182"/>
    </row>
    <row r="26" spans="1:10">
      <c r="A26" s="2182"/>
      <c r="B26" s="15" t="s">
        <v>3128</v>
      </c>
      <c r="C26" s="2182"/>
      <c r="D26" s="2182"/>
      <c r="E26" s="2182"/>
      <c r="F26" s="2182"/>
      <c r="G26" s="2182"/>
      <c r="H26" s="2182"/>
      <c r="I26" s="2182"/>
      <c r="J26" s="2182"/>
    </row>
  </sheetData>
  <printOptions horizontalCentered="1"/>
  <pageMargins left="0.75" right="0.5" top="0.75" bottom="0.5" header="0.25" footer="0.25"/>
  <pageSetup scale="86"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pageSetUpPr fitToPage="1"/>
  </sheetPr>
  <dimension ref="A1:H29"/>
  <sheetViews>
    <sheetView view="pageBreakPreview" zoomScale="60" zoomScaleNormal="100" workbookViewId="0">
      <selection sqref="A1:XFD1048576"/>
    </sheetView>
  </sheetViews>
  <sheetFormatPr defaultRowHeight="12.75"/>
  <cols>
    <col min="1" max="1" width="4.42578125" customWidth="1"/>
    <col min="2" max="2" width="20.7109375" customWidth="1"/>
    <col min="3" max="4" width="10.85546875"/>
    <col min="5" max="5" width="30.140625" customWidth="1"/>
    <col min="6" max="7" width="17.85546875" customWidth="1"/>
    <col min="8" max="8" width="6.85546875" customWidth="1"/>
  </cols>
  <sheetData>
    <row r="1" spans="1:8">
      <c r="A1" s="2181" t="s">
        <v>3129</v>
      </c>
      <c r="B1" s="2182"/>
      <c r="C1" s="2182"/>
      <c r="D1" s="2182"/>
      <c r="E1" s="2182"/>
      <c r="F1" s="2181" t="s">
        <v>1209</v>
      </c>
      <c r="G1" s="2182"/>
      <c r="H1" s="2230"/>
    </row>
    <row r="2" spans="1:8">
      <c r="A2" s="2182"/>
      <c r="B2" s="2182"/>
      <c r="C2" s="2182"/>
      <c r="D2" s="2182"/>
      <c r="E2" s="2182"/>
      <c r="F2" s="2182"/>
      <c r="G2" s="2182"/>
      <c r="H2" s="2230"/>
    </row>
    <row r="3" spans="1:8">
      <c r="A3" s="2181" t="s">
        <v>3255</v>
      </c>
      <c r="B3" s="2182"/>
      <c r="C3" s="2182"/>
      <c r="D3" s="2182"/>
      <c r="E3" s="2182"/>
      <c r="F3" s="2181" t="s">
        <v>3130</v>
      </c>
      <c r="G3" s="2182"/>
      <c r="H3" s="2230"/>
    </row>
    <row r="4" spans="1:8">
      <c r="A4" s="2181" t="s">
        <v>3256</v>
      </c>
      <c r="B4" s="2182"/>
      <c r="C4" s="2182"/>
      <c r="D4" s="2182"/>
      <c r="E4" s="2182"/>
      <c r="F4" s="2181" t="s">
        <v>766</v>
      </c>
      <c r="G4" s="2182"/>
      <c r="H4" s="2230"/>
    </row>
    <row r="5" spans="1:8">
      <c r="A5" s="2181" t="s">
        <v>3257</v>
      </c>
      <c r="B5" s="2182"/>
      <c r="C5" s="2184"/>
      <c r="D5" s="2182"/>
      <c r="E5" s="2182"/>
      <c r="F5" s="2181" t="s">
        <v>3258</v>
      </c>
      <c r="G5" s="2182"/>
      <c r="H5" s="2230"/>
    </row>
    <row r="6" spans="1:8">
      <c r="A6" s="2182"/>
      <c r="B6" s="2182"/>
      <c r="C6" s="2182"/>
      <c r="D6" s="2182"/>
      <c r="E6" s="2182"/>
      <c r="F6" s="2182"/>
      <c r="G6" s="2182"/>
      <c r="H6" s="2182"/>
    </row>
    <row r="7" spans="1:8">
      <c r="A7" s="2181" t="s">
        <v>3131</v>
      </c>
      <c r="B7" s="2182"/>
      <c r="C7" s="2182"/>
      <c r="D7" s="2182"/>
      <c r="E7" s="2182"/>
      <c r="F7" s="2182"/>
      <c r="G7" s="2182"/>
      <c r="H7" s="2182"/>
    </row>
    <row r="8" spans="1:8">
      <c r="A8" s="2181" t="s">
        <v>3132</v>
      </c>
      <c r="B8" s="2182"/>
      <c r="C8" s="2182"/>
      <c r="D8" s="2182"/>
      <c r="E8" s="2182"/>
      <c r="F8" s="2182"/>
      <c r="G8" s="2182"/>
      <c r="H8" s="2182"/>
    </row>
    <row r="9" spans="1:8">
      <c r="A9" s="2202"/>
      <c r="B9" s="2202"/>
      <c r="C9" s="2202"/>
      <c r="D9" s="2202"/>
      <c r="E9" s="2202"/>
      <c r="F9" s="2202"/>
      <c r="G9" s="2202"/>
      <c r="H9" s="2202"/>
    </row>
    <row r="10" spans="1:8">
      <c r="A10" s="2182"/>
      <c r="B10" s="2182"/>
      <c r="C10" s="2182"/>
      <c r="D10" s="2182"/>
      <c r="E10" s="2182"/>
      <c r="F10" s="2182"/>
      <c r="G10" s="2182"/>
      <c r="H10" s="2182"/>
    </row>
    <row r="11" spans="1:8">
      <c r="A11" s="2182"/>
      <c r="B11" s="2182"/>
      <c r="C11" s="2182"/>
      <c r="D11" s="2182"/>
      <c r="E11" s="2182"/>
      <c r="F11" s="2182"/>
      <c r="G11" s="2182"/>
      <c r="H11" s="2182"/>
    </row>
    <row r="12" spans="1:8">
      <c r="A12" s="2181" t="s">
        <v>3251</v>
      </c>
      <c r="B12" s="2182"/>
      <c r="C12" s="2182"/>
      <c r="D12" s="2182"/>
      <c r="E12" s="2182"/>
      <c r="F12" s="2182"/>
      <c r="G12" s="2182"/>
      <c r="H12" s="2182"/>
    </row>
    <row r="13" spans="1:8">
      <c r="A13" s="2182"/>
      <c r="B13" s="2182"/>
      <c r="C13" s="2182"/>
      <c r="D13" s="2182"/>
      <c r="E13" s="2182"/>
      <c r="F13" s="2182"/>
      <c r="G13" s="2182"/>
      <c r="H13" s="2182"/>
    </row>
    <row r="14" spans="1:8">
      <c r="A14" s="2182"/>
      <c r="B14" s="2182"/>
      <c r="C14" s="2182"/>
      <c r="D14" s="2182"/>
      <c r="E14" s="2182"/>
      <c r="F14" s="2182"/>
      <c r="G14" s="2182"/>
      <c r="H14" s="2182"/>
    </row>
    <row r="15" spans="1:8">
      <c r="A15" s="2182"/>
      <c r="B15" s="2231" t="s">
        <v>3133</v>
      </c>
      <c r="C15" s="15"/>
      <c r="D15" s="15"/>
      <c r="E15" s="15"/>
      <c r="F15" s="15"/>
      <c r="G15" s="15"/>
      <c r="H15" s="2182"/>
    </row>
    <row r="16" spans="1:8">
      <c r="A16" s="2182"/>
      <c r="B16" s="15"/>
      <c r="C16" s="15"/>
      <c r="D16" s="15"/>
      <c r="E16" s="15"/>
      <c r="F16" s="15"/>
      <c r="G16" s="15"/>
      <c r="H16" s="2182"/>
    </row>
    <row r="17" spans="1:8">
      <c r="A17" s="2182"/>
      <c r="B17" s="15" t="s">
        <v>3134</v>
      </c>
      <c r="C17" s="15"/>
      <c r="D17" s="15"/>
      <c r="E17" s="15"/>
      <c r="F17" s="15"/>
      <c r="G17" s="15"/>
      <c r="H17" s="2182"/>
    </row>
    <row r="18" spans="1:8">
      <c r="A18" s="2232"/>
      <c r="B18" s="15"/>
      <c r="C18" s="15"/>
      <c r="D18" s="15"/>
      <c r="E18" s="15"/>
      <c r="F18" s="15"/>
      <c r="G18" s="15"/>
      <c r="H18" s="2232"/>
    </row>
    <row r="19" spans="1:8">
      <c r="A19" s="2232"/>
      <c r="B19" s="15" t="s">
        <v>3135</v>
      </c>
      <c r="C19" s="15"/>
      <c r="D19" s="15"/>
      <c r="E19" s="15"/>
      <c r="F19" s="15"/>
      <c r="G19" s="15"/>
      <c r="H19" s="2232"/>
    </row>
    <row r="20" spans="1:8">
      <c r="A20" s="2232"/>
      <c r="B20" s="15" t="s">
        <v>3136</v>
      </c>
      <c r="C20" s="15" t="s">
        <v>3137</v>
      </c>
      <c r="D20" s="15"/>
      <c r="E20" s="15"/>
      <c r="F20" s="2233">
        <v>27.1</v>
      </c>
      <c r="G20" s="15" t="s">
        <v>3138</v>
      </c>
      <c r="H20" s="2232"/>
    </row>
    <row r="21" spans="1:8">
      <c r="A21" s="2232"/>
      <c r="B21" s="15" t="s">
        <v>3139</v>
      </c>
      <c r="C21" s="15" t="s">
        <v>3140</v>
      </c>
      <c r="D21" s="15"/>
      <c r="E21" s="15"/>
      <c r="F21" s="15">
        <v>5</v>
      </c>
      <c r="G21" s="15" t="s">
        <v>3141</v>
      </c>
      <c r="H21" s="2232"/>
    </row>
    <row r="22" spans="1:8">
      <c r="A22" s="2232"/>
      <c r="B22" s="15" t="s">
        <v>3142</v>
      </c>
      <c r="C22" s="15" t="s">
        <v>3143</v>
      </c>
      <c r="D22" s="15"/>
      <c r="E22" s="15"/>
      <c r="F22" s="2233">
        <v>386.47662470134793</v>
      </c>
      <c r="G22" s="15" t="s">
        <v>3144</v>
      </c>
      <c r="H22" s="2232"/>
    </row>
    <row r="23" spans="1:8">
      <c r="A23" s="2232"/>
      <c r="B23" s="15" t="s">
        <v>3145</v>
      </c>
      <c r="C23" s="15" t="s">
        <v>3146</v>
      </c>
      <c r="D23" s="15"/>
      <c r="E23" s="15"/>
      <c r="F23" s="2233">
        <v>52367.582647032643</v>
      </c>
      <c r="G23" s="15" t="s">
        <v>3097</v>
      </c>
      <c r="H23" s="2232"/>
    </row>
    <row r="24" spans="1:8">
      <c r="A24" s="2232"/>
      <c r="B24" s="15"/>
      <c r="C24" s="15"/>
      <c r="D24" s="15"/>
      <c r="E24" s="15"/>
      <c r="F24" s="15"/>
      <c r="G24" s="15"/>
      <c r="H24" s="2232"/>
    </row>
    <row r="25" spans="1:8">
      <c r="A25" s="2232"/>
      <c r="B25" s="15"/>
      <c r="C25" s="15"/>
      <c r="D25" s="15"/>
      <c r="E25" s="15"/>
      <c r="F25" s="15"/>
      <c r="G25" s="15"/>
      <c r="H25" s="2232"/>
    </row>
    <row r="26" spans="1:8">
      <c r="A26" s="2232"/>
      <c r="B26" s="15"/>
      <c r="C26" s="15"/>
      <c r="D26" s="15"/>
      <c r="E26" s="15"/>
      <c r="F26" s="15"/>
      <c r="G26" s="15"/>
      <c r="H26" s="2232"/>
    </row>
    <row r="27" spans="1:8">
      <c r="A27" s="2232"/>
      <c r="B27" s="15"/>
      <c r="C27" s="15"/>
      <c r="D27" s="15"/>
      <c r="E27" s="15"/>
      <c r="F27" s="15"/>
      <c r="G27" s="15"/>
      <c r="H27" s="2232"/>
    </row>
    <row r="28" spans="1:8">
      <c r="A28" s="2232"/>
      <c r="B28" s="15"/>
      <c r="C28" s="15"/>
      <c r="D28" s="15"/>
      <c r="E28" s="15"/>
      <c r="F28" s="15"/>
      <c r="G28" s="15"/>
      <c r="H28" s="2232"/>
    </row>
    <row r="29" spans="1:8">
      <c r="A29" s="2232"/>
      <c r="B29" s="15"/>
      <c r="C29" s="2234" t="s">
        <v>3147</v>
      </c>
      <c r="D29" s="15"/>
      <c r="E29" s="15"/>
      <c r="F29" s="15"/>
      <c r="G29" s="15"/>
      <c r="H29" s="2232"/>
    </row>
  </sheetData>
  <printOptions horizontalCentered="1"/>
  <pageMargins left="0.75" right="0.5" top="0.75" bottom="0.5" header="0.25" footer="0.25"/>
  <pageSetup scale="78" orientation="portrait"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pageSetUpPr fitToPage="1"/>
  </sheetPr>
  <dimension ref="A1:S59"/>
  <sheetViews>
    <sheetView view="pageBreakPreview" zoomScaleNormal="100" zoomScaleSheetLayoutView="100" workbookViewId="0">
      <selection activeCell="V20" sqref="V20"/>
    </sheetView>
  </sheetViews>
  <sheetFormatPr defaultRowHeight="12.75"/>
  <cols>
    <col min="1" max="1" width="3.7109375" customWidth="1"/>
    <col min="2" max="2" width="1.7109375" customWidth="1"/>
    <col min="3" max="3" width="8.7109375" customWidth="1"/>
    <col min="4" max="4" width="1.7109375" customWidth="1"/>
    <col min="5" max="5" width="8.7109375" customWidth="1"/>
    <col min="6" max="6" width="1.7109375" customWidth="1"/>
    <col min="7" max="7" width="8.7109375" customWidth="1"/>
    <col min="8" max="8" width="1.7109375" customWidth="1"/>
    <col min="9" max="9" width="8.7109375" customWidth="1"/>
    <col min="10" max="10" width="1.7109375" customWidth="1"/>
    <col min="11" max="11" width="17.28515625" customWidth="1"/>
    <col min="12" max="12" width="1.7109375" customWidth="1"/>
    <col min="13" max="13" width="11.7109375" customWidth="1"/>
    <col min="14" max="14" width="1.7109375" customWidth="1"/>
    <col min="15" max="15" width="19.42578125" customWidth="1"/>
    <col min="16" max="16" width="4" customWidth="1"/>
    <col min="17" max="17" width="8.7109375" customWidth="1"/>
    <col min="18" max="18" width="1.7109375" customWidth="1"/>
    <col min="19" max="19" width="14.140625" customWidth="1"/>
  </cols>
  <sheetData>
    <row r="1" spans="1:19">
      <c r="A1" s="2181" t="s">
        <v>1349</v>
      </c>
      <c r="B1" s="2182"/>
      <c r="C1" s="2182"/>
      <c r="D1" s="2182"/>
      <c r="E1" s="2182"/>
      <c r="F1" s="2182"/>
      <c r="G1" s="2182"/>
      <c r="H1" s="2182"/>
      <c r="I1" s="2182"/>
      <c r="J1" s="2182"/>
      <c r="K1" s="2182"/>
      <c r="L1" s="2182"/>
      <c r="M1" s="2181" t="s">
        <v>1209</v>
      </c>
      <c r="N1" s="2182"/>
      <c r="O1" s="2182"/>
      <c r="P1" s="2182"/>
      <c r="Q1" s="2182"/>
      <c r="R1" s="2182"/>
      <c r="S1" s="2182"/>
    </row>
    <row r="2" spans="1:19">
      <c r="A2" s="2182"/>
      <c r="B2" s="2182"/>
      <c r="C2" s="2182"/>
      <c r="D2" s="2182"/>
      <c r="E2" s="2182"/>
      <c r="F2" s="2182"/>
      <c r="G2" s="2182"/>
      <c r="H2" s="2182"/>
      <c r="I2" s="2182"/>
      <c r="J2" s="2182"/>
      <c r="K2" s="2182"/>
      <c r="L2" s="2182"/>
      <c r="M2" s="2182"/>
      <c r="N2" s="2182"/>
      <c r="O2" s="2182"/>
      <c r="P2" s="2182"/>
      <c r="Q2" s="2182"/>
      <c r="R2" s="2182"/>
      <c r="S2" s="2182"/>
    </row>
    <row r="3" spans="1:19">
      <c r="A3" s="2181" t="s">
        <v>3255</v>
      </c>
      <c r="B3" s="2182"/>
      <c r="C3" s="2182"/>
      <c r="D3" s="2182"/>
      <c r="E3" s="2182"/>
      <c r="F3" s="2182"/>
      <c r="G3" s="2182"/>
      <c r="H3" s="2182"/>
      <c r="I3" s="2182"/>
      <c r="J3" s="2182"/>
      <c r="K3" s="2182"/>
      <c r="L3" s="2182"/>
      <c r="M3" s="2181" t="s">
        <v>3148</v>
      </c>
      <c r="N3" s="2182"/>
      <c r="O3" s="2182"/>
      <c r="P3" s="2182"/>
      <c r="Q3" s="2182"/>
      <c r="R3" s="2182"/>
      <c r="S3" s="2182"/>
    </row>
    <row r="4" spans="1:19">
      <c r="A4" s="2181" t="s">
        <v>3256</v>
      </c>
      <c r="B4" s="2182"/>
      <c r="C4" s="2182"/>
      <c r="D4" s="2182"/>
      <c r="E4" s="2182"/>
      <c r="F4" s="2182"/>
      <c r="G4" s="2182"/>
      <c r="H4" s="2182"/>
      <c r="I4" s="2182"/>
      <c r="J4" s="2182"/>
      <c r="K4" s="2182"/>
      <c r="L4" s="2182"/>
      <c r="M4" s="2181" t="s">
        <v>766</v>
      </c>
      <c r="N4" s="2182"/>
      <c r="O4" s="2182"/>
      <c r="P4" s="2182"/>
      <c r="Q4" s="2182"/>
      <c r="R4" s="2182"/>
      <c r="S4" s="2182"/>
    </row>
    <row r="5" spans="1:19">
      <c r="A5" s="2181" t="s">
        <v>3257</v>
      </c>
      <c r="B5" s="2182"/>
      <c r="C5" s="2182"/>
      <c r="D5" s="2182"/>
      <c r="E5" s="2182"/>
      <c r="F5" s="2182"/>
      <c r="G5" s="2182"/>
      <c r="H5" s="2182"/>
      <c r="I5" s="2182"/>
      <c r="J5" s="2182"/>
      <c r="K5" s="2182"/>
      <c r="L5" s="2182"/>
      <c r="M5" s="2181" t="s">
        <v>3258</v>
      </c>
      <c r="N5" s="2182"/>
      <c r="O5" s="2182"/>
      <c r="P5" s="2182"/>
      <c r="Q5" s="2182"/>
      <c r="R5" s="2182"/>
      <c r="S5" s="2182"/>
    </row>
    <row r="6" spans="1:19">
      <c r="A6" s="2182"/>
      <c r="B6" s="2182"/>
      <c r="C6" s="2182"/>
      <c r="D6" s="2182"/>
      <c r="E6" s="2182"/>
      <c r="F6" s="2182"/>
      <c r="G6" s="2182"/>
      <c r="H6" s="2182"/>
      <c r="I6" s="2182"/>
      <c r="J6" s="2182"/>
      <c r="K6" s="2182"/>
      <c r="L6" s="2182"/>
      <c r="M6" s="2182"/>
      <c r="N6" s="2182"/>
      <c r="O6" s="2182"/>
      <c r="P6" s="2182"/>
      <c r="Q6" s="2182"/>
      <c r="R6" s="2182"/>
      <c r="S6" s="2182"/>
    </row>
    <row r="7" spans="1:19">
      <c r="A7" s="2181" t="s">
        <v>3149</v>
      </c>
      <c r="B7" s="2182"/>
      <c r="C7" s="2182"/>
      <c r="D7" s="2182"/>
      <c r="E7" s="2182"/>
      <c r="F7" s="2182"/>
      <c r="G7" s="2182"/>
      <c r="H7" s="2182"/>
      <c r="I7" s="2182"/>
      <c r="J7" s="2182"/>
      <c r="K7" s="2182"/>
      <c r="L7" s="2182"/>
      <c r="M7" s="2182"/>
      <c r="N7" s="2182"/>
      <c r="O7" s="2182"/>
      <c r="P7" s="2182"/>
      <c r="Q7" s="2182"/>
      <c r="R7" s="2182"/>
      <c r="S7" s="2182"/>
    </row>
    <row r="8" spans="1:19">
      <c r="A8" s="2181" t="s">
        <v>3150</v>
      </c>
      <c r="B8" s="2182"/>
      <c r="C8" s="2182"/>
      <c r="D8" s="2182"/>
      <c r="E8" s="2182"/>
      <c r="F8" s="2182"/>
      <c r="G8" s="2182"/>
      <c r="H8" s="2182"/>
      <c r="I8" s="2182"/>
      <c r="J8" s="2182"/>
      <c r="K8" s="2182"/>
      <c r="L8" s="2182"/>
      <c r="M8" s="2182"/>
      <c r="N8" s="2182"/>
      <c r="O8" s="2182"/>
      <c r="P8" s="2182"/>
      <c r="Q8" s="2182"/>
      <c r="R8" s="2182"/>
      <c r="S8" s="2182"/>
    </row>
    <row r="9" spans="1:19">
      <c r="A9" s="2181" t="s">
        <v>3151</v>
      </c>
      <c r="B9" s="2182"/>
      <c r="C9" s="2182"/>
      <c r="D9" s="2182"/>
      <c r="E9" s="2182"/>
      <c r="F9" s="2182"/>
      <c r="G9" s="2182"/>
      <c r="H9" s="2182"/>
      <c r="I9" s="2182"/>
      <c r="J9" s="2182"/>
      <c r="K9" s="2182"/>
      <c r="L9" s="2182"/>
      <c r="M9" s="2182"/>
      <c r="N9" s="2182"/>
      <c r="O9" s="2182"/>
      <c r="P9" s="2182"/>
      <c r="Q9" s="2182"/>
      <c r="R9" s="2182"/>
      <c r="S9" s="2182"/>
    </row>
    <row r="10" spans="1:19">
      <c r="A10" s="2202"/>
      <c r="B10" s="2202"/>
      <c r="C10" s="2202"/>
      <c r="D10" s="2202"/>
      <c r="E10" s="2202"/>
      <c r="F10" s="2202"/>
      <c r="G10" s="2202"/>
      <c r="H10" s="2202"/>
      <c r="I10" s="2202"/>
      <c r="J10" s="2202"/>
      <c r="K10" s="2202"/>
      <c r="L10" s="2202"/>
      <c r="M10" s="2202"/>
      <c r="N10" s="2202"/>
      <c r="O10" s="2202"/>
      <c r="P10" s="2202"/>
      <c r="Q10" s="2202"/>
      <c r="R10" s="2202"/>
      <c r="S10" s="2202"/>
    </row>
    <row r="11" spans="1:19">
      <c r="A11" s="2182"/>
      <c r="B11" s="2182"/>
      <c r="C11" s="2212" t="s">
        <v>914</v>
      </c>
      <c r="D11" s="2182"/>
      <c r="E11" s="2212" t="s">
        <v>915</v>
      </c>
      <c r="F11" s="2182"/>
      <c r="G11" s="2212" t="s">
        <v>916</v>
      </c>
      <c r="H11" s="2187"/>
      <c r="I11" s="2212" t="s">
        <v>917</v>
      </c>
      <c r="J11" s="2182"/>
      <c r="K11" s="2212" t="s">
        <v>526</v>
      </c>
      <c r="L11" s="2187"/>
      <c r="M11" s="2212" t="s">
        <v>76</v>
      </c>
      <c r="N11" s="2187"/>
      <c r="O11" s="2212" t="s">
        <v>822</v>
      </c>
      <c r="P11" s="2187"/>
      <c r="Q11" s="2212" t="s">
        <v>970</v>
      </c>
      <c r="R11" s="2187"/>
      <c r="S11" s="2212" t="s">
        <v>971</v>
      </c>
    </row>
    <row r="12" spans="1:19">
      <c r="A12" s="2182"/>
      <c r="B12" s="2182"/>
      <c r="C12" s="2187"/>
      <c r="D12" s="2182"/>
      <c r="E12" s="2343" t="s">
        <v>3152</v>
      </c>
      <c r="F12" s="2343"/>
      <c r="G12" s="2343"/>
      <c r="H12" s="2343"/>
      <c r="I12" s="2343"/>
      <c r="J12" s="2182"/>
      <c r="K12" s="2187" t="s">
        <v>3153</v>
      </c>
      <c r="L12" s="2187"/>
      <c r="M12" s="2187" t="s">
        <v>3154</v>
      </c>
      <c r="N12" s="2187"/>
      <c r="O12" s="2187" t="s">
        <v>81</v>
      </c>
      <c r="P12" s="2187"/>
      <c r="Q12" s="2187" t="s">
        <v>81</v>
      </c>
      <c r="R12" s="2187"/>
      <c r="S12" s="2187" t="s">
        <v>456</v>
      </c>
    </row>
    <row r="13" spans="1:19">
      <c r="A13" s="2182" t="s">
        <v>53</v>
      </c>
      <c r="B13" s="2182"/>
      <c r="C13" s="2187"/>
      <c r="D13" s="2182"/>
      <c r="E13" s="2202"/>
      <c r="F13" s="2202"/>
      <c r="G13" s="2202"/>
      <c r="H13" s="2202"/>
      <c r="I13" s="2202"/>
      <c r="J13" s="2182"/>
      <c r="K13" s="2187" t="s">
        <v>634</v>
      </c>
      <c r="L13" s="2187"/>
      <c r="M13" s="2187" t="s">
        <v>3153</v>
      </c>
      <c r="N13" s="2187"/>
      <c r="O13" s="2187" t="s">
        <v>634</v>
      </c>
      <c r="P13" s="2187"/>
      <c r="Q13" s="2187" t="s">
        <v>3155</v>
      </c>
      <c r="R13" s="2187"/>
      <c r="S13" s="2187" t="s">
        <v>3156</v>
      </c>
    </row>
    <row r="14" spans="1:19">
      <c r="A14" s="2182" t="s">
        <v>730</v>
      </c>
      <c r="B14" s="2182"/>
      <c r="C14" s="2187" t="s">
        <v>1163</v>
      </c>
      <c r="D14" s="2182"/>
      <c r="E14" s="2187" t="s">
        <v>1161</v>
      </c>
      <c r="F14" s="2187"/>
      <c r="G14" s="2187" t="s">
        <v>1164</v>
      </c>
      <c r="H14" s="2187"/>
      <c r="I14" s="2187" t="s">
        <v>976</v>
      </c>
      <c r="J14" s="2182"/>
      <c r="K14" s="2187" t="s">
        <v>3157</v>
      </c>
      <c r="L14" s="2187"/>
      <c r="M14" s="2187" t="s">
        <v>3158</v>
      </c>
      <c r="N14" s="2187"/>
      <c r="O14" s="2187" t="s">
        <v>3157</v>
      </c>
      <c r="P14" s="2187"/>
      <c r="Q14" s="2187" t="s">
        <v>3159</v>
      </c>
      <c r="R14" s="2187"/>
      <c r="S14" s="2187" t="s">
        <v>3160</v>
      </c>
    </row>
    <row r="15" spans="1:19">
      <c r="A15" s="2202"/>
      <c r="B15" s="2182"/>
      <c r="C15" s="2190"/>
      <c r="D15" s="2182"/>
      <c r="E15" s="2190" t="s">
        <v>3161</v>
      </c>
      <c r="F15" s="2182"/>
      <c r="G15" s="2190" t="s">
        <v>3161</v>
      </c>
      <c r="H15" s="2182"/>
      <c r="I15" s="2190" t="s">
        <v>3161</v>
      </c>
      <c r="J15" s="2182"/>
      <c r="K15" s="2190" t="s">
        <v>3161</v>
      </c>
      <c r="L15" s="2187"/>
      <c r="M15" s="2190" t="s">
        <v>3161</v>
      </c>
      <c r="N15" s="2187"/>
      <c r="O15" s="2190" t="s">
        <v>3161</v>
      </c>
      <c r="P15" s="2187"/>
      <c r="Q15" s="2190"/>
      <c r="R15" s="2187"/>
      <c r="S15" s="2190"/>
    </row>
    <row r="16" spans="1:19">
      <c r="A16" s="2182"/>
      <c r="B16" s="2182"/>
      <c r="C16" s="2187"/>
      <c r="D16" s="2182"/>
      <c r="E16" s="2182"/>
      <c r="F16" s="2182"/>
      <c r="G16" s="2182"/>
      <c r="H16" s="2182"/>
      <c r="I16" s="2182"/>
      <c r="J16" s="2182"/>
      <c r="K16" s="2187"/>
      <c r="L16" s="2187"/>
      <c r="M16" s="2187"/>
      <c r="N16" s="2187"/>
      <c r="O16" s="2187"/>
      <c r="P16" s="2187"/>
      <c r="Q16" s="2187"/>
      <c r="R16" s="2187"/>
      <c r="S16" s="2187"/>
    </row>
    <row r="17" spans="1:19">
      <c r="A17" s="2187">
        <v>1</v>
      </c>
      <c r="B17" s="2182"/>
      <c r="C17" s="2187">
        <v>2011</v>
      </c>
      <c r="D17" s="2182"/>
      <c r="E17" s="2235">
        <v>1908</v>
      </c>
      <c r="F17" s="2235"/>
      <c r="G17" s="2235">
        <v>1909</v>
      </c>
      <c r="H17" s="2235"/>
      <c r="I17" s="2235">
        <v>1908.5</v>
      </c>
      <c r="J17" s="2236"/>
      <c r="K17" s="2235" t="s">
        <v>877</v>
      </c>
      <c r="L17" s="2235"/>
      <c r="M17" s="2235" t="s">
        <v>877</v>
      </c>
      <c r="N17" s="2235"/>
      <c r="O17" s="2235" t="s">
        <v>877</v>
      </c>
      <c r="P17" s="2235"/>
      <c r="Q17" s="2235">
        <v>1908.5</v>
      </c>
      <c r="R17" s="2187"/>
      <c r="S17" s="2237"/>
    </row>
    <row r="18" spans="1:19">
      <c r="A18" s="2187"/>
      <c r="B18" s="2182"/>
      <c r="C18" s="2187"/>
      <c r="D18" s="2182"/>
      <c r="E18" s="2235"/>
      <c r="F18" s="2235"/>
      <c r="G18" s="2235"/>
      <c r="H18" s="2235"/>
      <c r="I18" s="2235"/>
      <c r="J18" s="2236"/>
      <c r="K18" s="2235"/>
      <c r="L18" s="2235"/>
      <c r="M18" s="2235"/>
      <c r="N18" s="2235"/>
      <c r="O18" s="2235"/>
      <c r="P18" s="2235"/>
      <c r="Q18" s="2235"/>
      <c r="R18" s="2187"/>
      <c r="S18" s="2237"/>
    </row>
    <row r="19" spans="1:19">
      <c r="A19" s="2187">
        <v>2</v>
      </c>
      <c r="B19" s="2182"/>
      <c r="C19" s="2187">
        <v>2012</v>
      </c>
      <c r="D19" s="2182"/>
      <c r="E19" s="2235">
        <v>1909</v>
      </c>
      <c r="F19" s="2235"/>
      <c r="G19" s="2235">
        <v>1991</v>
      </c>
      <c r="H19" s="2238"/>
      <c r="I19" s="2235">
        <v>1950</v>
      </c>
      <c r="J19" s="2236"/>
      <c r="K19" s="2235" t="s">
        <v>877</v>
      </c>
      <c r="L19" s="2235"/>
      <c r="M19" s="2235" t="s">
        <v>877</v>
      </c>
      <c r="N19" s="2235"/>
      <c r="O19" s="2235" t="s">
        <v>877</v>
      </c>
      <c r="P19" s="2235"/>
      <c r="Q19" s="2235">
        <v>1950</v>
      </c>
      <c r="R19" s="2187"/>
      <c r="S19" s="2237">
        <v>2.174482577940795E-2</v>
      </c>
    </row>
    <row r="20" spans="1:19">
      <c r="A20" s="2187"/>
      <c r="B20" s="2182"/>
      <c r="C20" s="2187"/>
      <c r="D20" s="2182"/>
      <c r="E20" s="2235"/>
      <c r="F20" s="2235"/>
      <c r="G20" s="2235"/>
      <c r="H20" s="2235"/>
      <c r="I20" s="2235"/>
      <c r="J20" s="2236"/>
      <c r="K20" s="2235"/>
      <c r="L20" s="2235"/>
      <c r="M20" s="2235"/>
      <c r="N20" s="2235"/>
      <c r="O20" s="2235"/>
      <c r="P20" s="2235"/>
      <c r="Q20" s="2235"/>
      <c r="R20" s="2187"/>
      <c r="S20" s="2237"/>
    </row>
    <row r="21" spans="1:19">
      <c r="A21" s="2187">
        <v>3</v>
      </c>
      <c r="B21" s="2182"/>
      <c r="C21" s="2187">
        <v>2013</v>
      </c>
      <c r="D21" s="2182"/>
      <c r="E21" s="2235">
        <v>1991</v>
      </c>
      <c r="F21" s="2235"/>
      <c r="G21" s="2235">
        <v>2001</v>
      </c>
      <c r="H21" s="2235"/>
      <c r="I21" s="2235">
        <v>1996</v>
      </c>
      <c r="J21" s="2236"/>
      <c r="K21" s="2235" t="s">
        <v>877</v>
      </c>
      <c r="L21" s="2235"/>
      <c r="M21" s="2235" t="s">
        <v>877</v>
      </c>
      <c r="N21" s="2235"/>
      <c r="O21" s="2235" t="s">
        <v>877</v>
      </c>
      <c r="P21" s="2235"/>
      <c r="Q21" s="2235">
        <v>1996</v>
      </c>
      <c r="R21" s="2187"/>
      <c r="S21" s="2237">
        <v>2.3589743589743639E-2</v>
      </c>
    </row>
    <row r="22" spans="1:19">
      <c r="A22" s="2187"/>
      <c r="B22" s="2182"/>
      <c r="C22" s="2187"/>
      <c r="D22" s="2182"/>
      <c r="E22" s="2235"/>
      <c r="F22" s="2235"/>
      <c r="G22" s="2235"/>
      <c r="H22" s="2235"/>
      <c r="I22" s="2235"/>
      <c r="J22" s="2236"/>
      <c r="K22" s="2235"/>
      <c r="L22" s="2235"/>
      <c r="M22" s="2235"/>
      <c r="N22" s="2235"/>
      <c r="O22" s="2235"/>
      <c r="P22" s="2235"/>
      <c r="Q22" s="2235"/>
      <c r="R22" s="2187"/>
      <c r="S22" s="2237"/>
    </row>
    <row r="23" spans="1:19">
      <c r="A23" s="2187">
        <v>4</v>
      </c>
      <c r="B23" s="2182"/>
      <c r="C23" s="2187">
        <v>2014</v>
      </c>
      <c r="D23" s="2182"/>
      <c r="E23" s="2235">
        <v>2001</v>
      </c>
      <c r="F23" s="2235"/>
      <c r="G23" s="2235">
        <v>2001</v>
      </c>
      <c r="H23" s="2235"/>
      <c r="I23" s="2235">
        <v>2001</v>
      </c>
      <c r="J23" s="2236"/>
      <c r="K23" s="2235" t="s">
        <v>877</v>
      </c>
      <c r="L23" s="2235"/>
      <c r="M23" s="2235" t="s">
        <v>877</v>
      </c>
      <c r="N23" s="2235"/>
      <c r="O23" s="2235" t="s">
        <v>877</v>
      </c>
      <c r="P23" s="2235"/>
      <c r="Q23" s="2235">
        <v>2001</v>
      </c>
      <c r="R23" s="2187"/>
      <c r="S23" s="2237">
        <v>2.5050100200401104E-3</v>
      </c>
    </row>
    <row r="24" spans="1:19">
      <c r="A24" s="2187"/>
      <c r="B24" s="2182"/>
      <c r="C24" s="2187"/>
      <c r="D24" s="2182"/>
      <c r="E24" s="2235"/>
      <c r="F24" s="2235"/>
      <c r="G24" s="2235"/>
      <c r="H24" s="2235"/>
      <c r="I24" s="2235"/>
      <c r="J24" s="2236"/>
      <c r="K24" s="2235"/>
      <c r="L24" s="2235"/>
      <c r="M24" s="2235"/>
      <c r="N24" s="2235"/>
      <c r="O24" s="2235"/>
      <c r="P24" s="2235"/>
      <c r="Q24" s="2235"/>
      <c r="R24" s="2187"/>
      <c r="S24" s="2237"/>
    </row>
    <row r="25" spans="1:19">
      <c r="A25" s="2187">
        <v>5</v>
      </c>
      <c r="B25" s="2182"/>
      <c r="C25" s="2187">
        <v>2015</v>
      </c>
      <c r="D25" s="2182"/>
      <c r="E25" s="2235">
        <v>2001</v>
      </c>
      <c r="F25" s="2235"/>
      <c r="G25" s="2235">
        <v>2001</v>
      </c>
      <c r="H25" s="2235"/>
      <c r="I25" s="2235">
        <v>2001</v>
      </c>
      <c r="J25" s="2236"/>
      <c r="K25" s="2235" t="s">
        <v>877</v>
      </c>
      <c r="L25" s="2235"/>
      <c r="M25" s="2235" t="s">
        <v>877</v>
      </c>
      <c r="N25" s="2235"/>
      <c r="O25" s="2235" t="s">
        <v>877</v>
      </c>
      <c r="P25" s="2235"/>
      <c r="Q25" s="2235">
        <v>2001</v>
      </c>
      <c r="R25" s="2187"/>
      <c r="S25" s="2237">
        <v>0</v>
      </c>
    </row>
    <row r="26" spans="1:19" ht="13.5" thickBot="1">
      <c r="A26" s="2187"/>
      <c r="B26" s="2182"/>
      <c r="C26" s="2182"/>
      <c r="D26" s="2182"/>
      <c r="E26" s="2182"/>
      <c r="F26" s="2182"/>
      <c r="G26" s="2182"/>
      <c r="H26" s="2182"/>
      <c r="I26" s="2182"/>
      <c r="J26" s="2182"/>
      <c r="K26" s="2187"/>
      <c r="L26" s="2187"/>
      <c r="M26" s="2187"/>
      <c r="N26" s="2187"/>
      <c r="O26" s="2239" t="s">
        <v>3162</v>
      </c>
      <c r="P26" s="2187"/>
      <c r="Q26" s="2187"/>
      <c r="R26" s="2187"/>
      <c r="S26" s="2240">
        <v>1.1959894847297925E-2</v>
      </c>
    </row>
    <row r="27" spans="1:19" ht="13.5" thickTop="1">
      <c r="A27" s="2187"/>
      <c r="B27" s="2182"/>
      <c r="C27" s="2182"/>
      <c r="D27" s="2182"/>
      <c r="E27" s="2182"/>
      <c r="F27" s="2182"/>
      <c r="G27" s="2182"/>
      <c r="H27" s="2182"/>
      <c r="I27" s="2182"/>
      <c r="J27" s="2182"/>
      <c r="K27" s="2187"/>
      <c r="L27" s="2187"/>
      <c r="M27" s="2187"/>
      <c r="N27" s="2187"/>
      <c r="O27" s="2239"/>
      <c r="P27" s="2187"/>
      <c r="Q27" s="2187"/>
      <c r="R27" s="2187"/>
      <c r="S27" s="2241"/>
    </row>
    <row r="28" spans="1:19">
      <c r="A28" s="2187"/>
      <c r="B28" s="2182"/>
      <c r="C28" s="2182" t="s">
        <v>3163</v>
      </c>
      <c r="D28" s="2182"/>
      <c r="E28" s="2182"/>
      <c r="F28" s="2182"/>
      <c r="G28" s="2182"/>
      <c r="H28" s="2182"/>
      <c r="I28" s="2182"/>
      <c r="J28" s="2182"/>
      <c r="K28" s="2187"/>
      <c r="L28" s="2187"/>
      <c r="M28" s="2187"/>
      <c r="N28" s="2187"/>
      <c r="O28" s="2239"/>
      <c r="P28" s="2187"/>
      <c r="Q28" s="2187"/>
      <c r="R28" s="2187"/>
      <c r="S28" s="2241"/>
    </row>
    <row r="29" spans="1:19">
      <c r="A29" s="2187"/>
      <c r="B29" s="2182"/>
      <c r="C29" s="2182"/>
      <c r="D29" s="2182"/>
      <c r="E29" s="2182"/>
      <c r="F29" s="2182"/>
      <c r="G29" s="2187" t="s">
        <v>828</v>
      </c>
      <c r="H29" s="2182"/>
      <c r="I29" s="2182"/>
      <c r="J29" s="2182"/>
      <c r="K29" s="2187"/>
      <c r="L29" s="2187"/>
      <c r="M29" s="2187"/>
      <c r="N29" s="2187"/>
      <c r="O29" s="2239"/>
      <c r="P29" s="2187"/>
      <c r="Q29" s="2187"/>
      <c r="R29" s="2187"/>
      <c r="S29" s="2241"/>
    </row>
    <row r="30" spans="1:19">
      <c r="A30" s="2187"/>
      <c r="B30" s="2182"/>
      <c r="C30" s="2182" t="s">
        <v>3164</v>
      </c>
      <c r="D30" s="2182"/>
      <c r="E30" s="2182">
        <v>2062</v>
      </c>
      <c r="F30" s="2182"/>
      <c r="G30" s="2182">
        <v>2063</v>
      </c>
      <c r="H30" s="2182"/>
      <c r="I30" s="2235">
        <v>2062.5</v>
      </c>
      <c r="J30" s="2182"/>
      <c r="K30" s="2187">
        <v>130810</v>
      </c>
      <c r="L30" s="2187"/>
      <c r="M30" s="2242">
        <v>63423.030303030304</v>
      </c>
      <c r="N30" s="2187"/>
      <c r="O30" s="2239">
        <v>315998</v>
      </c>
      <c r="P30" s="2187"/>
      <c r="Q30" s="2187"/>
      <c r="R30" s="2187"/>
      <c r="S30" s="2241"/>
    </row>
    <row r="31" spans="1:19">
      <c r="A31" s="2187"/>
      <c r="B31" s="2182"/>
      <c r="C31" s="2182"/>
      <c r="D31" s="2182"/>
      <c r="E31" s="2182"/>
      <c r="F31" s="2182"/>
      <c r="G31" s="2182"/>
      <c r="H31" s="2182"/>
      <c r="I31" s="2182"/>
      <c r="J31" s="2182"/>
      <c r="K31" s="2187"/>
      <c r="L31" s="2187"/>
      <c r="M31" s="2187"/>
      <c r="N31" s="2187"/>
      <c r="O31" s="2239"/>
      <c r="P31" s="2187"/>
      <c r="Q31" s="2187"/>
      <c r="R31" s="2187"/>
      <c r="S31" s="2241"/>
    </row>
    <row r="32" spans="1:19">
      <c r="A32" s="2182"/>
      <c r="B32" s="2182"/>
      <c r="C32" s="2182"/>
      <c r="D32" s="2182"/>
      <c r="E32" s="2182"/>
      <c r="F32" s="2182"/>
      <c r="G32" s="2182"/>
      <c r="H32" s="2182"/>
      <c r="I32" s="2182"/>
      <c r="J32" s="2182"/>
      <c r="K32" s="2182"/>
      <c r="L32" s="2182"/>
      <c r="M32" s="2182"/>
      <c r="N32" s="2182"/>
      <c r="O32" s="2182"/>
      <c r="P32" s="2182"/>
      <c r="Q32" s="2182"/>
      <c r="R32" s="2182"/>
      <c r="S32" s="2182"/>
    </row>
    <row r="33" spans="1:19">
      <c r="A33" s="2182"/>
      <c r="B33" s="2182"/>
      <c r="C33" s="2182"/>
      <c r="D33" s="2182"/>
      <c r="E33" s="2182"/>
      <c r="F33" s="2182"/>
      <c r="G33" s="2182"/>
      <c r="H33" s="2182" t="s">
        <v>3165</v>
      </c>
      <c r="I33" s="2182"/>
      <c r="J33" s="2182"/>
      <c r="K33" s="2182"/>
      <c r="L33" s="2182"/>
      <c r="M33" s="2182"/>
      <c r="N33" s="2182"/>
      <c r="O33" s="2182"/>
      <c r="P33" s="2182"/>
      <c r="Q33" s="2182"/>
      <c r="R33" s="2182"/>
      <c r="S33" s="2185"/>
    </row>
    <row r="34" spans="1:19">
      <c r="A34" s="2182"/>
      <c r="B34" s="2182"/>
      <c r="C34" s="2182"/>
      <c r="D34" s="2182"/>
      <c r="E34" s="2182"/>
      <c r="F34" s="2182"/>
      <c r="G34" s="2182"/>
      <c r="H34" s="2182"/>
      <c r="I34" s="2182"/>
      <c r="J34" s="2182"/>
      <c r="K34" s="2182"/>
      <c r="L34" s="2182"/>
      <c r="M34" s="2182"/>
      <c r="N34" s="2182"/>
      <c r="O34" s="2182"/>
      <c r="P34" s="2243" t="s">
        <v>3166</v>
      </c>
      <c r="Q34" s="2244" t="s">
        <v>3167</v>
      </c>
      <c r="R34" s="2182"/>
      <c r="S34" s="2182"/>
    </row>
    <row r="35" spans="1:19">
      <c r="A35" s="2182"/>
      <c r="B35" s="2182"/>
      <c r="C35" s="2182"/>
      <c r="D35" s="2182"/>
      <c r="E35" s="2182"/>
      <c r="F35" s="2182"/>
      <c r="G35" s="2182"/>
      <c r="H35" s="2182"/>
      <c r="I35" s="2182"/>
      <c r="J35" s="2182" t="s">
        <v>3168</v>
      </c>
      <c r="K35" s="2182"/>
      <c r="L35" s="2182"/>
      <c r="M35" s="2182">
        <v>1900.5</v>
      </c>
      <c r="N35" s="2182"/>
      <c r="O35" s="2187"/>
      <c r="P35" s="2182">
        <v>1</v>
      </c>
      <c r="Q35" s="2235">
        <v>1908.5</v>
      </c>
      <c r="R35" s="2182"/>
      <c r="S35" s="2182"/>
    </row>
    <row r="36" spans="1:19">
      <c r="A36" s="2182"/>
      <c r="B36" s="2182"/>
      <c r="C36" s="2182"/>
      <c r="D36" s="2182"/>
      <c r="E36" s="2182"/>
      <c r="F36" s="2182"/>
      <c r="G36" s="2182"/>
      <c r="H36" s="2182"/>
      <c r="I36" s="2182"/>
      <c r="J36" s="2182" t="s">
        <v>3169</v>
      </c>
      <c r="K36" s="2182"/>
      <c r="L36" s="2182"/>
      <c r="M36" s="2182">
        <v>23.6</v>
      </c>
      <c r="N36" s="2182"/>
      <c r="O36" s="2182"/>
      <c r="P36" s="2182">
        <v>2</v>
      </c>
      <c r="Q36" s="2235">
        <v>1950</v>
      </c>
      <c r="R36" s="2182"/>
      <c r="S36" s="2182"/>
    </row>
    <row r="37" spans="1:19">
      <c r="A37" s="2182"/>
      <c r="B37" s="2182"/>
      <c r="C37" s="2182"/>
      <c r="D37" s="2182"/>
      <c r="E37" s="2182"/>
      <c r="F37" s="2182"/>
      <c r="G37" s="2182"/>
      <c r="H37" s="2182"/>
      <c r="I37" s="2182"/>
      <c r="J37" s="2182" t="s">
        <v>3170</v>
      </c>
      <c r="K37" s="2182"/>
      <c r="L37" s="2182"/>
      <c r="M37" s="2182">
        <v>0.8224696535633067</v>
      </c>
      <c r="N37" s="2182"/>
      <c r="O37" s="2182"/>
      <c r="P37" s="2182">
        <v>3</v>
      </c>
      <c r="Q37" s="2235">
        <v>1996</v>
      </c>
      <c r="R37" s="2182"/>
      <c r="S37" s="2182"/>
    </row>
    <row r="38" spans="1:19">
      <c r="A38" s="2181"/>
      <c r="B38" s="2182"/>
      <c r="C38" s="2182"/>
      <c r="D38" s="2182"/>
      <c r="E38" s="2182"/>
      <c r="F38" s="2182"/>
      <c r="G38" s="2182"/>
      <c r="H38" s="2182"/>
      <c r="I38" s="2182"/>
      <c r="J38" s="2182"/>
      <c r="K38" s="2182"/>
      <c r="L38" s="2182"/>
      <c r="M38" s="2182"/>
      <c r="N38" s="2182"/>
      <c r="O38" s="2182"/>
      <c r="P38" s="2182">
        <v>4</v>
      </c>
      <c r="Q38" s="2235">
        <v>2001</v>
      </c>
      <c r="R38" s="2182"/>
      <c r="S38" s="2182"/>
    </row>
    <row r="39" spans="1:19">
      <c r="A39" s="2181"/>
      <c r="B39" s="2182"/>
      <c r="C39" s="2182"/>
      <c r="D39" s="2182"/>
      <c r="E39" s="2182"/>
      <c r="F39" s="2182"/>
      <c r="G39" s="2182"/>
      <c r="H39" s="2182"/>
      <c r="I39" s="2182"/>
      <c r="J39" s="2182"/>
      <c r="K39" s="2182"/>
      <c r="L39" s="2182"/>
      <c r="M39" s="2181"/>
      <c r="N39" s="2182"/>
      <c r="O39" s="2182"/>
      <c r="P39" s="2182">
        <v>5</v>
      </c>
      <c r="Q39" s="2235">
        <v>2001</v>
      </c>
      <c r="R39" s="2182"/>
      <c r="S39" s="2182"/>
    </row>
    <row r="40" spans="1:19">
      <c r="A40" s="2181"/>
      <c r="B40" s="2182"/>
      <c r="C40" s="2182"/>
      <c r="D40" s="2182"/>
      <c r="E40" s="2182"/>
      <c r="F40" s="2182"/>
      <c r="G40" s="2182"/>
      <c r="H40" s="2182"/>
      <c r="I40" s="2182"/>
      <c r="J40" s="2182"/>
      <c r="K40" s="2182"/>
      <c r="L40" s="2182"/>
      <c r="M40" s="2181"/>
      <c r="N40" s="2182"/>
      <c r="O40" s="2182"/>
      <c r="P40" s="2182">
        <v>10</v>
      </c>
      <c r="Q40" s="2245">
        <v>2136.5</v>
      </c>
      <c r="R40" s="2182"/>
      <c r="S40" s="2182"/>
    </row>
    <row r="41" spans="1:19">
      <c r="A41" s="2181"/>
      <c r="B41" s="2182"/>
      <c r="C41" s="2182"/>
      <c r="D41" s="2182"/>
      <c r="E41" s="2182"/>
      <c r="F41" s="2182"/>
      <c r="G41" s="2182"/>
      <c r="H41" s="2182"/>
      <c r="I41" s="2182"/>
      <c r="J41" s="2182"/>
      <c r="K41" s="2182"/>
      <c r="L41" s="2182"/>
      <c r="M41" s="2181"/>
      <c r="N41" s="2182"/>
      <c r="O41" s="2182"/>
      <c r="P41" s="2182"/>
      <c r="Q41" s="2182"/>
      <c r="R41" s="2182"/>
      <c r="S41" s="2182"/>
    </row>
    <row r="42" spans="1:19">
      <c r="A42" s="2181"/>
      <c r="B42" s="2182"/>
      <c r="C42" s="2182"/>
      <c r="D42" s="2182"/>
      <c r="E42" s="2182"/>
      <c r="F42" s="2182"/>
      <c r="G42" s="2182"/>
      <c r="H42" s="2182"/>
      <c r="I42" s="2182"/>
      <c r="J42" s="2182"/>
      <c r="K42" s="2182" t="s">
        <v>3171</v>
      </c>
      <c r="L42" s="2182"/>
      <c r="M42" s="2181"/>
      <c r="N42" s="2182"/>
      <c r="O42" s="2182"/>
      <c r="P42" s="2182"/>
      <c r="Q42" s="2246">
        <v>135.5</v>
      </c>
      <c r="R42" s="2182" t="s">
        <v>3172</v>
      </c>
      <c r="S42" s="2182"/>
    </row>
    <row r="43" spans="1:19">
      <c r="A43" s="2181"/>
      <c r="B43" s="2182"/>
      <c r="C43" s="2182"/>
      <c r="D43" s="2182"/>
      <c r="E43" s="2182"/>
      <c r="F43" s="2182"/>
      <c r="G43" s="2182"/>
      <c r="H43" s="2182"/>
      <c r="I43" s="2182"/>
      <c r="J43" s="2182"/>
      <c r="K43" s="2182" t="s">
        <v>3173</v>
      </c>
      <c r="L43" s="2182"/>
      <c r="M43" s="2181"/>
      <c r="N43" s="2182"/>
      <c r="O43" s="2182"/>
      <c r="P43" s="2182"/>
      <c r="Q43" s="2247">
        <v>27.1</v>
      </c>
      <c r="R43" s="2182" t="s">
        <v>3172</v>
      </c>
      <c r="S43" s="2182"/>
    </row>
    <row r="44" spans="1:19" ht="15.75">
      <c r="A44" s="2248"/>
      <c r="B44" s="2200"/>
      <c r="C44" s="2200"/>
      <c r="D44" s="2200"/>
      <c r="E44" s="2200"/>
      <c r="F44" s="2200"/>
      <c r="G44" s="2200"/>
      <c r="H44" s="2200"/>
      <c r="I44" s="2200"/>
      <c r="J44" s="2200"/>
      <c r="K44" s="2200"/>
      <c r="L44" s="2200"/>
      <c r="M44" s="2248"/>
      <c r="N44" s="2200"/>
      <c r="O44" s="2200"/>
      <c r="P44" s="2200"/>
      <c r="Q44" s="2200"/>
      <c r="R44" s="2200"/>
      <c r="S44" s="2200"/>
    </row>
    <row r="45" spans="1:19" ht="15.75">
      <c r="A45" s="2248"/>
      <c r="B45" s="2200"/>
      <c r="C45" s="2182" t="s">
        <v>3174</v>
      </c>
      <c r="D45" s="2200"/>
      <c r="E45" s="2200"/>
      <c r="F45" s="2200"/>
      <c r="G45" s="2200"/>
      <c r="H45" s="2200"/>
      <c r="I45" s="2200"/>
      <c r="J45" s="2200"/>
      <c r="K45" s="2200"/>
      <c r="L45" s="2200"/>
      <c r="M45" s="2248"/>
      <c r="N45" s="2200"/>
      <c r="O45" s="2200"/>
      <c r="P45" s="2200"/>
      <c r="Q45" s="2200"/>
      <c r="R45" s="2200"/>
      <c r="S45" s="2200"/>
    </row>
    <row r="46" spans="1:19">
      <c r="A46" s="2249"/>
      <c r="B46" s="2219"/>
      <c r="C46" s="2182" t="s">
        <v>3175</v>
      </c>
      <c r="D46" s="2219"/>
      <c r="E46" s="2219"/>
      <c r="F46" s="2219"/>
      <c r="G46" s="2219"/>
      <c r="H46" s="2219"/>
      <c r="I46" s="2219"/>
      <c r="J46" s="2219"/>
      <c r="K46" s="2219"/>
      <c r="L46" s="2219"/>
      <c r="M46" s="2249"/>
      <c r="N46" s="2219"/>
      <c r="O46" s="2219"/>
      <c r="P46" s="2219"/>
      <c r="Q46" s="2219"/>
      <c r="R46" s="2219"/>
      <c r="S46" s="2219"/>
    </row>
    <row r="47" spans="1:19">
      <c r="A47" s="2249"/>
      <c r="B47" s="2219"/>
      <c r="C47" s="2182" t="s">
        <v>3176</v>
      </c>
      <c r="D47" s="2219"/>
      <c r="E47" s="2219"/>
      <c r="F47" s="2219"/>
      <c r="G47" s="2219"/>
      <c r="H47" s="2219"/>
      <c r="I47" s="2219"/>
      <c r="J47" s="2219"/>
      <c r="K47" s="2219"/>
      <c r="L47" s="2219"/>
      <c r="M47" s="2249"/>
      <c r="N47" s="2219"/>
      <c r="O47" s="2219"/>
      <c r="P47" s="2219"/>
      <c r="Q47" s="2219"/>
      <c r="R47" s="2219"/>
      <c r="S47" s="2219"/>
    </row>
    <row r="48" spans="1:19">
      <c r="A48" s="2249"/>
      <c r="B48" s="2219"/>
      <c r="C48" s="2182" t="s">
        <v>3177</v>
      </c>
      <c r="D48" s="2219"/>
      <c r="E48" s="2219"/>
      <c r="F48" s="2219"/>
      <c r="G48" s="2219"/>
      <c r="H48" s="2219"/>
      <c r="I48" s="2219"/>
      <c r="J48" s="2219"/>
      <c r="K48" s="2219"/>
      <c r="L48" s="2219"/>
      <c r="M48" s="2249"/>
      <c r="N48" s="2219"/>
      <c r="O48" s="2219"/>
      <c r="P48" s="2219"/>
      <c r="Q48" s="2219"/>
      <c r="R48" s="2219"/>
      <c r="S48" s="2219"/>
    </row>
    <row r="49" spans="1:19">
      <c r="A49" s="2249"/>
      <c r="B49" s="2219"/>
      <c r="C49" s="2182" t="s">
        <v>3178</v>
      </c>
      <c r="D49" s="2219"/>
      <c r="E49" s="2219"/>
      <c r="F49" s="2219"/>
      <c r="G49" s="2219"/>
      <c r="H49" s="2219"/>
      <c r="I49" s="2219"/>
      <c r="J49" s="2219"/>
      <c r="K49" s="2219"/>
      <c r="L49" s="2219"/>
      <c r="M49" s="2249"/>
      <c r="N49" s="2219"/>
      <c r="O49" s="2219"/>
      <c r="P49" s="2219"/>
      <c r="Q49" s="2219"/>
      <c r="R49" s="2219"/>
      <c r="S49" s="2219"/>
    </row>
    <row r="50" spans="1:19">
      <c r="A50" s="2250"/>
      <c r="B50" s="2251"/>
      <c r="C50" s="2251"/>
      <c r="D50" s="2251"/>
      <c r="E50" s="2251"/>
      <c r="F50" s="2251"/>
      <c r="G50" s="2251"/>
      <c r="H50" s="2251"/>
      <c r="I50" s="2251"/>
      <c r="J50" s="2251"/>
      <c r="K50" s="2251"/>
      <c r="L50" s="2251"/>
      <c r="M50" s="2250"/>
      <c r="N50" s="2251"/>
      <c r="O50" s="2251"/>
      <c r="P50" s="2251"/>
      <c r="Q50" s="2251"/>
      <c r="R50" s="2251"/>
      <c r="S50" s="2251"/>
    </row>
    <row r="51" spans="1:19">
      <c r="A51" s="2250"/>
      <c r="B51" s="2251"/>
      <c r="C51" s="2182" t="s">
        <v>3179</v>
      </c>
      <c r="D51" s="2251"/>
      <c r="E51" s="2251"/>
      <c r="F51" s="2251"/>
      <c r="G51" s="2251"/>
      <c r="H51" s="2251"/>
      <c r="I51" s="2251"/>
      <c r="J51" s="2251"/>
      <c r="K51" s="2251"/>
      <c r="L51" s="2251"/>
      <c r="M51" s="2250"/>
      <c r="N51" s="2251"/>
      <c r="O51" s="2251"/>
      <c r="P51" s="2251"/>
      <c r="Q51" s="2251"/>
      <c r="R51" s="2251"/>
      <c r="S51" s="2251"/>
    </row>
    <row r="52" spans="1:19">
      <c r="A52" s="2250"/>
      <c r="B52" s="2251"/>
      <c r="C52" s="2182" t="s">
        <v>3180</v>
      </c>
      <c r="D52" s="2182"/>
      <c r="E52" s="2182"/>
      <c r="F52" s="2182"/>
      <c r="G52" s="2182"/>
      <c r="H52" s="2182"/>
      <c r="I52" s="2182"/>
      <c r="J52" s="2182"/>
      <c r="K52" s="2187"/>
      <c r="L52" s="2187"/>
      <c r="M52" s="2187"/>
      <c r="N52" s="2187"/>
      <c r="O52" s="2239"/>
      <c r="P52" s="2251"/>
      <c r="Q52" s="2251"/>
      <c r="R52" s="2251"/>
      <c r="S52" s="2251"/>
    </row>
    <row r="53" spans="1:19">
      <c r="A53" s="2250"/>
      <c r="B53" s="2251"/>
      <c r="C53" s="2182"/>
      <c r="D53" s="2182"/>
      <c r="E53" s="2343" t="s">
        <v>3181</v>
      </c>
      <c r="F53" s="2343"/>
      <c r="G53" s="2343"/>
      <c r="H53" s="2343"/>
      <c r="I53" s="2343"/>
      <c r="J53" s="2182"/>
      <c r="K53" s="2187" t="s">
        <v>3153</v>
      </c>
      <c r="L53" s="2187"/>
      <c r="M53" s="2187" t="s">
        <v>3154</v>
      </c>
      <c r="N53" s="2187"/>
      <c r="O53" s="2187" t="s">
        <v>81</v>
      </c>
      <c r="P53" s="2251"/>
      <c r="Q53" s="2251"/>
      <c r="R53" s="2251"/>
      <c r="S53" s="2251"/>
    </row>
    <row r="54" spans="1:19">
      <c r="A54" s="2250"/>
      <c r="B54" s="2251"/>
      <c r="C54" s="2182"/>
      <c r="D54" s="2182"/>
      <c r="E54" s="2202"/>
      <c r="F54" s="2202"/>
      <c r="G54" s="2202"/>
      <c r="H54" s="2202"/>
      <c r="I54" s="2202"/>
      <c r="J54" s="2182"/>
      <c r="K54" s="2187" t="s">
        <v>634</v>
      </c>
      <c r="L54" s="2187"/>
      <c r="M54" s="2187" t="s">
        <v>3153</v>
      </c>
      <c r="N54" s="2187"/>
      <c r="O54" s="2187" t="s">
        <v>634</v>
      </c>
      <c r="P54" s="2251"/>
      <c r="Q54" s="2251"/>
      <c r="R54" s="2251"/>
      <c r="S54" s="2251"/>
    </row>
    <row r="55" spans="1:19">
      <c r="A55" s="2250"/>
      <c r="B55" s="2251"/>
      <c r="C55" s="2182"/>
      <c r="D55" s="2182"/>
      <c r="E55" s="2187" t="s">
        <v>1161</v>
      </c>
      <c r="F55" s="2187"/>
      <c r="G55" s="2187" t="s">
        <v>1164</v>
      </c>
      <c r="H55" s="2187"/>
      <c r="I55" s="2187" t="s">
        <v>976</v>
      </c>
      <c r="J55" s="2182"/>
      <c r="K55" s="2187" t="s">
        <v>3157</v>
      </c>
      <c r="L55" s="2187"/>
      <c r="M55" s="2187" t="s">
        <v>3158</v>
      </c>
      <c r="N55" s="2187"/>
      <c r="O55" s="2187" t="s">
        <v>3157</v>
      </c>
      <c r="P55" s="2251"/>
      <c r="Q55" s="2251"/>
      <c r="R55" s="2251"/>
      <c r="S55" s="2251"/>
    </row>
    <row r="56" spans="1:19">
      <c r="A56" s="2250"/>
      <c r="B56" s="2251"/>
      <c r="C56" s="2182" t="s">
        <v>3164</v>
      </c>
      <c r="D56" s="2182"/>
      <c r="E56" s="2182">
        <v>2100</v>
      </c>
      <c r="F56" s="2182"/>
      <c r="G56" s="2182">
        <v>2100</v>
      </c>
      <c r="H56" s="2182"/>
      <c r="I56" s="2182">
        <v>2100</v>
      </c>
      <c r="J56" s="2182"/>
      <c r="K56" s="2187">
        <v>130810</v>
      </c>
      <c r="L56" s="2187"/>
      <c r="M56" s="2242">
        <v>62290.476190476191</v>
      </c>
      <c r="N56" s="2187"/>
      <c r="O56" s="2187">
        <v>315998</v>
      </c>
      <c r="P56" s="2251"/>
      <c r="Q56" s="2251"/>
      <c r="R56" s="2251"/>
      <c r="S56" s="2251"/>
    </row>
    <row r="57" spans="1:19">
      <c r="A57" s="2250"/>
      <c r="B57" s="2251"/>
      <c r="C57" s="2182"/>
      <c r="D57" s="2182"/>
      <c r="E57" s="2182"/>
      <c r="F57" s="2182"/>
      <c r="G57" s="2182"/>
      <c r="H57" s="2182"/>
      <c r="I57" s="2182"/>
      <c r="J57" s="2182"/>
      <c r="K57" s="2187"/>
      <c r="L57" s="2187"/>
      <c r="M57" s="2242"/>
      <c r="N57" s="2187"/>
      <c r="O57" s="2187"/>
      <c r="P57" s="2251"/>
      <c r="Q57" s="2251"/>
      <c r="R57" s="2251"/>
      <c r="S57" s="2251"/>
    </row>
    <row r="58" spans="1:19">
      <c r="A58" s="2250"/>
      <c r="B58" s="2251"/>
      <c r="C58" s="2182" t="s">
        <v>3182</v>
      </c>
      <c r="D58" s="2251"/>
      <c r="E58" s="2251"/>
      <c r="F58" s="2251"/>
      <c r="G58" s="2251"/>
      <c r="H58" s="2251"/>
      <c r="I58" s="2251"/>
      <c r="J58" s="2251"/>
      <c r="K58" s="2251"/>
      <c r="L58" s="2251"/>
      <c r="M58" s="2250"/>
      <c r="N58" s="2251"/>
      <c r="O58" s="2251"/>
      <c r="P58" s="2251"/>
      <c r="Q58" s="2251"/>
      <c r="R58" s="2251"/>
      <c r="S58" s="2251"/>
    </row>
    <row r="59" spans="1:19">
      <c r="A59" s="2250"/>
      <c r="B59" s="2251"/>
      <c r="C59" s="2182" t="s">
        <v>3183</v>
      </c>
      <c r="D59" s="2251"/>
      <c r="E59" s="2251"/>
      <c r="F59" s="2251"/>
      <c r="G59" s="2251"/>
      <c r="H59" s="2251"/>
      <c r="I59" s="2251"/>
      <c r="J59" s="2251"/>
      <c r="K59" s="2251"/>
      <c r="L59" s="2251"/>
      <c r="M59" s="2250"/>
      <c r="N59" s="2251"/>
      <c r="O59" s="2251"/>
      <c r="P59" s="2251"/>
      <c r="Q59" s="2251"/>
      <c r="R59" s="2251"/>
      <c r="S59" s="2251"/>
    </row>
  </sheetData>
  <mergeCells count="2">
    <mergeCell ref="E12:I12"/>
    <mergeCell ref="E53:I53"/>
  </mergeCells>
  <printOptions horizontalCentered="1"/>
  <pageMargins left="0.75" right="0.5" top="0.75" bottom="0.5" header="0.25" footer="0.25"/>
  <pageSetup scale="73" orientation="portrait"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dimension ref="A1:P395"/>
  <sheetViews>
    <sheetView workbookViewId="0"/>
  </sheetViews>
  <sheetFormatPr defaultRowHeight="12.75"/>
  <cols>
    <col min="1" max="1" width="21.28515625" customWidth="1"/>
    <col min="3" max="15" width="13.5703125" bestFit="1" customWidth="1"/>
    <col min="16" max="16" width="13.5703125" style="1546" bestFit="1" customWidth="1"/>
  </cols>
  <sheetData>
    <row r="1" spans="1:16">
      <c r="B1" t="s">
        <v>2102</v>
      </c>
      <c r="C1" s="1524">
        <v>41974</v>
      </c>
      <c r="D1" s="1524">
        <v>42005</v>
      </c>
      <c r="E1" s="1524">
        <v>42036</v>
      </c>
      <c r="F1" s="1524">
        <v>42064</v>
      </c>
      <c r="G1" s="1524">
        <v>42095</v>
      </c>
      <c r="H1" s="1524">
        <v>42125</v>
      </c>
      <c r="I1" s="1524">
        <v>42156</v>
      </c>
      <c r="J1" s="1524">
        <v>42186</v>
      </c>
      <c r="K1" s="1524">
        <v>42217</v>
      </c>
      <c r="L1" s="1524">
        <v>42248</v>
      </c>
      <c r="M1" s="1524">
        <v>42278</v>
      </c>
      <c r="N1" s="1524">
        <v>42309</v>
      </c>
      <c r="O1" s="1524">
        <v>42339</v>
      </c>
      <c r="P1" s="687" t="s">
        <v>388</v>
      </c>
    </row>
    <row r="2" spans="1:16">
      <c r="B2" s="1605" t="s">
        <v>2242</v>
      </c>
      <c r="C2" s="1524"/>
      <c r="D2" s="1524"/>
      <c r="E2" s="1524"/>
      <c r="F2" s="1524"/>
      <c r="G2" s="1524"/>
      <c r="H2" s="1524"/>
      <c r="I2" s="1524"/>
      <c r="J2" s="1524"/>
      <c r="K2" s="1524"/>
      <c r="L2" s="1524"/>
      <c r="M2" s="1524"/>
      <c r="N2" s="1524"/>
      <c r="O2" s="1524"/>
      <c r="P2" s="1545" t="s">
        <v>2104</v>
      </c>
    </row>
    <row r="3" spans="1:16">
      <c r="A3" s="1605"/>
      <c r="B3" s="1539"/>
      <c r="C3" s="1605"/>
      <c r="P3"/>
    </row>
    <row r="4" spans="1:16">
      <c r="A4" s="1539" t="s">
        <v>2103</v>
      </c>
      <c r="B4" s="1538">
        <v>1025</v>
      </c>
      <c r="C4" s="1526">
        <v>104.36</v>
      </c>
      <c r="D4" s="1526">
        <v>104.28</v>
      </c>
      <c r="E4" s="1526">
        <v>104.12</v>
      </c>
      <c r="F4" s="1526">
        <v>103.72</v>
      </c>
      <c r="G4" s="1526">
        <v>103.63</v>
      </c>
      <c r="H4" s="1526">
        <v>103.47</v>
      </c>
      <c r="I4" s="1526">
        <v>103.39</v>
      </c>
      <c r="J4" s="1526">
        <v>103.33</v>
      </c>
      <c r="K4" s="1526">
        <v>103.18</v>
      </c>
      <c r="L4" s="1526">
        <v>103.09</v>
      </c>
      <c r="M4" s="1526">
        <v>103.04</v>
      </c>
      <c r="N4" s="1526">
        <v>102.88</v>
      </c>
      <c r="O4" s="1526">
        <v>102.84</v>
      </c>
      <c r="P4"/>
    </row>
    <row r="5" spans="1:16">
      <c r="B5" s="1538">
        <v>1045</v>
      </c>
      <c r="C5" s="1526">
        <v>1180.1300000000001</v>
      </c>
      <c r="D5" s="1526">
        <v>1179.57</v>
      </c>
      <c r="E5" s="1526">
        <v>1167.67</v>
      </c>
      <c r="F5" s="1526">
        <v>1165.6500000000001</v>
      </c>
      <c r="G5" s="1526">
        <v>1168.97</v>
      </c>
      <c r="H5" s="1526">
        <v>1167.5</v>
      </c>
      <c r="I5" s="1526">
        <v>1167.6500000000001</v>
      </c>
      <c r="J5" s="1526">
        <v>1166.07</v>
      </c>
      <c r="K5" s="1526">
        <v>1164.4000000000001</v>
      </c>
      <c r="L5" s="1526">
        <v>1153.57</v>
      </c>
      <c r="M5" s="1526">
        <v>1153.3</v>
      </c>
      <c r="N5" s="1526">
        <v>1151.8</v>
      </c>
      <c r="O5" s="1526">
        <v>1150.73</v>
      </c>
      <c r="P5"/>
    </row>
    <row r="6" spans="1:16">
      <c r="B6" s="1538">
        <v>1175</v>
      </c>
      <c r="C6" s="1526">
        <v>87159.05</v>
      </c>
      <c r="D6" s="1526">
        <v>87099.96</v>
      </c>
      <c r="E6" s="1526">
        <v>86652.18</v>
      </c>
      <c r="F6" s="1526">
        <v>86535.9</v>
      </c>
      <c r="G6" s="1526">
        <v>86599.96</v>
      </c>
      <c r="H6" s="1526">
        <v>86479.8</v>
      </c>
      <c r="I6" s="1526">
        <v>86605.59</v>
      </c>
      <c r="J6" s="1526">
        <v>86857.7</v>
      </c>
      <c r="K6" s="1526">
        <v>86766.66</v>
      </c>
      <c r="L6" s="1526">
        <v>86448.06</v>
      </c>
      <c r="M6" s="1526">
        <v>86414.81</v>
      </c>
      <c r="N6" s="1526">
        <v>86648.73</v>
      </c>
      <c r="O6" s="1526">
        <v>86814.98</v>
      </c>
      <c r="P6"/>
    </row>
    <row r="7" spans="1:16">
      <c r="B7" s="1538">
        <v>1180</v>
      </c>
      <c r="C7" s="1526">
        <v>29121.16</v>
      </c>
      <c r="D7" s="1526">
        <v>29159.439999999999</v>
      </c>
      <c r="E7" s="1526">
        <v>28989.57</v>
      </c>
      <c r="F7" s="1526">
        <v>28932.07</v>
      </c>
      <c r="G7" s="1526">
        <v>28974.400000000001</v>
      </c>
      <c r="H7" s="1526">
        <v>29116.97</v>
      </c>
      <c r="I7" s="1526">
        <v>29185.63</v>
      </c>
      <c r="J7" s="1526">
        <v>29187.15</v>
      </c>
      <c r="K7" s="1526">
        <v>29145.18</v>
      </c>
      <c r="L7" s="1526">
        <v>28945.9</v>
      </c>
      <c r="M7" s="1526">
        <v>28967.62</v>
      </c>
      <c r="N7" s="1526">
        <v>28936.31</v>
      </c>
      <c r="O7" s="1526">
        <v>29027.1</v>
      </c>
      <c r="P7"/>
    </row>
    <row r="8" spans="1:16">
      <c r="B8" s="1538">
        <v>1190</v>
      </c>
      <c r="C8" s="1526">
        <v>11728.18</v>
      </c>
      <c r="D8" s="1526">
        <v>11718.58</v>
      </c>
      <c r="E8" s="1526">
        <v>11698.56</v>
      </c>
      <c r="F8" s="1526">
        <v>11654.36</v>
      </c>
      <c r="G8" s="1526">
        <v>11645.19</v>
      </c>
      <c r="H8" s="1526">
        <v>11627.13</v>
      </c>
      <c r="I8" s="1526">
        <v>11618.08</v>
      </c>
      <c r="J8" s="1526">
        <v>11611.77</v>
      </c>
      <c r="K8" s="1526">
        <v>11594.94</v>
      </c>
      <c r="L8" s="1526">
        <v>11582.37</v>
      </c>
      <c r="M8" s="1526">
        <v>11576.72</v>
      </c>
      <c r="N8" s="1526">
        <v>11559.31</v>
      </c>
      <c r="O8" s="1526">
        <v>11554.13</v>
      </c>
      <c r="P8"/>
    </row>
    <row r="9" spans="1:16">
      <c r="B9" s="1538">
        <v>1205</v>
      </c>
      <c r="C9" s="1526">
        <v>4407.46</v>
      </c>
      <c r="D9" s="1526">
        <v>4405.37</v>
      </c>
      <c r="E9" s="1526">
        <v>4360.91</v>
      </c>
      <c r="F9" s="1526">
        <v>4353.3900000000003</v>
      </c>
      <c r="G9" s="1526">
        <v>4365.76</v>
      </c>
      <c r="H9" s="1526">
        <v>4360.2700000000004</v>
      </c>
      <c r="I9" s="1526">
        <v>4360.82</v>
      </c>
      <c r="J9" s="1526">
        <v>4354.93</v>
      </c>
      <c r="K9" s="1526">
        <v>4348.7</v>
      </c>
      <c r="L9" s="1526">
        <v>4308.2700000000004</v>
      </c>
      <c r="M9" s="1526">
        <v>4307.24</v>
      </c>
      <c r="N9" s="1526">
        <v>4301.6400000000003</v>
      </c>
      <c r="O9" s="1526">
        <v>4297.6499999999996</v>
      </c>
      <c r="P9"/>
    </row>
    <row r="10" spans="1:16">
      <c r="B10" s="1538">
        <v>1245</v>
      </c>
      <c r="C10" s="1526">
        <v>2350.34</v>
      </c>
      <c r="D10" s="1526">
        <v>2350.34</v>
      </c>
      <c r="E10" s="1526">
        <v>2350.34</v>
      </c>
      <c r="F10" s="1526">
        <v>2350.34</v>
      </c>
      <c r="G10" s="1526">
        <v>2350.34</v>
      </c>
      <c r="H10" s="1526">
        <v>2350.34</v>
      </c>
      <c r="I10" s="1526">
        <v>2350.34</v>
      </c>
      <c r="J10" s="1526">
        <v>2350.34</v>
      </c>
      <c r="K10" s="1526">
        <v>2350.34</v>
      </c>
      <c r="L10" s="1526">
        <v>2350.34</v>
      </c>
      <c r="M10" s="1526">
        <v>2350.34</v>
      </c>
      <c r="N10" s="1526">
        <v>2350.34</v>
      </c>
      <c r="O10" s="1526">
        <v>2350.34</v>
      </c>
      <c r="P10"/>
    </row>
    <row r="11" spans="1:16">
      <c r="B11" s="1538">
        <v>1270</v>
      </c>
      <c r="C11" s="1526">
        <v>18403.25</v>
      </c>
      <c r="D11" s="1526">
        <v>18403.25</v>
      </c>
      <c r="E11" s="1526">
        <v>18403.25</v>
      </c>
      <c r="F11" s="1526">
        <v>18403.25</v>
      </c>
      <c r="G11" s="1526">
        <v>18403.25</v>
      </c>
      <c r="H11" s="1526">
        <v>18403.25</v>
      </c>
      <c r="I11" s="1526">
        <v>18403.25</v>
      </c>
      <c r="J11" s="1526">
        <v>18403.25</v>
      </c>
      <c r="K11" s="1526">
        <v>18403.25</v>
      </c>
      <c r="L11" s="1526">
        <v>18403.25</v>
      </c>
      <c r="M11" s="1526">
        <v>18403.25</v>
      </c>
      <c r="N11" s="1526">
        <v>18403.25</v>
      </c>
      <c r="O11" s="1526">
        <v>18403.25</v>
      </c>
      <c r="P11"/>
    </row>
    <row r="12" spans="1:16">
      <c r="B12" s="1538">
        <v>1295</v>
      </c>
      <c r="C12" s="1526">
        <v>295114.01</v>
      </c>
      <c r="D12" s="1526">
        <v>295114.01</v>
      </c>
      <c r="E12" s="1526">
        <v>296864.01</v>
      </c>
      <c r="F12" s="1526">
        <v>296864.01</v>
      </c>
      <c r="G12" s="1526">
        <v>309947.96999999997</v>
      </c>
      <c r="H12" s="1526">
        <v>305107.96999999997</v>
      </c>
      <c r="I12" s="1526">
        <v>818281.59</v>
      </c>
      <c r="J12" s="1526">
        <v>854792.46</v>
      </c>
      <c r="K12" s="1526">
        <v>854792.46</v>
      </c>
      <c r="L12" s="1526">
        <v>598892.46</v>
      </c>
      <c r="M12" s="1526">
        <v>598892.46</v>
      </c>
      <c r="N12" s="1526">
        <v>598892.46</v>
      </c>
      <c r="O12" s="1526">
        <v>598892.46</v>
      </c>
      <c r="P12"/>
    </row>
    <row r="13" spans="1:16">
      <c r="B13" s="1538">
        <v>1300</v>
      </c>
      <c r="C13" s="1526">
        <v>137954.18</v>
      </c>
      <c r="D13" s="1526">
        <v>137954.18</v>
      </c>
      <c r="E13" s="1526">
        <v>137954.18</v>
      </c>
      <c r="F13" s="1526">
        <v>137954.18</v>
      </c>
      <c r="G13" s="1526">
        <v>138315.01999999999</v>
      </c>
      <c r="H13" s="1526">
        <v>138315.01999999999</v>
      </c>
      <c r="I13" s="1526">
        <v>138330.32</v>
      </c>
      <c r="J13" s="1526">
        <v>157723.32</v>
      </c>
      <c r="K13" s="1526">
        <v>158731.54999999999</v>
      </c>
      <c r="L13" s="1526">
        <v>164138.9</v>
      </c>
      <c r="M13" s="1526">
        <v>166923.98000000001</v>
      </c>
      <c r="N13" s="1526">
        <v>167756.37</v>
      </c>
      <c r="O13" s="1526">
        <v>167756.37</v>
      </c>
      <c r="P13"/>
    </row>
    <row r="14" spans="1:16">
      <c r="B14" s="1538">
        <v>1310</v>
      </c>
      <c r="C14" s="1526">
        <v>193</v>
      </c>
      <c r="D14" s="1526">
        <v>193</v>
      </c>
      <c r="E14" s="1526">
        <v>193</v>
      </c>
      <c r="F14" s="1526">
        <v>193</v>
      </c>
      <c r="G14" s="1526">
        <v>193</v>
      </c>
      <c r="H14" s="1526">
        <v>193</v>
      </c>
      <c r="I14" s="1526">
        <v>193</v>
      </c>
      <c r="J14" s="1526">
        <v>193</v>
      </c>
      <c r="K14" s="1526">
        <v>193</v>
      </c>
      <c r="L14" s="1526">
        <v>193</v>
      </c>
      <c r="M14" s="1526">
        <v>193</v>
      </c>
      <c r="N14" s="1526">
        <v>193</v>
      </c>
      <c r="O14" s="1526">
        <v>193</v>
      </c>
      <c r="P14"/>
    </row>
    <row r="15" spans="1:16">
      <c r="B15" s="1538">
        <v>1315</v>
      </c>
      <c r="C15" s="1526">
        <v>2392089.7799999998</v>
      </c>
      <c r="D15" s="1526">
        <v>2392089.7799999998</v>
      </c>
      <c r="E15" s="1526">
        <v>2392251.2000000002</v>
      </c>
      <c r="F15" s="1526">
        <v>2392251.2000000002</v>
      </c>
      <c r="G15" s="1526">
        <v>2392251.2000000002</v>
      </c>
      <c r="H15" s="1526">
        <v>2392452.65</v>
      </c>
      <c r="I15" s="1526">
        <v>2392452.65</v>
      </c>
      <c r="J15" s="1526">
        <v>2392452.65</v>
      </c>
      <c r="K15" s="1526">
        <v>2392452.65</v>
      </c>
      <c r="L15" s="1526">
        <v>2392452.65</v>
      </c>
      <c r="M15" s="1526">
        <v>2392452.65</v>
      </c>
      <c r="N15" s="1526">
        <v>2393075.84</v>
      </c>
      <c r="O15" s="1526">
        <v>2393729.9</v>
      </c>
      <c r="P15"/>
    </row>
    <row r="16" spans="1:16">
      <c r="B16" s="1538">
        <v>1330</v>
      </c>
      <c r="C16" s="1526">
        <v>348.93</v>
      </c>
      <c r="D16" s="1526">
        <v>348.93</v>
      </c>
      <c r="E16" s="1526">
        <v>348.93</v>
      </c>
      <c r="F16" s="1526">
        <v>348.93</v>
      </c>
      <c r="G16" s="1526">
        <v>348.93</v>
      </c>
      <c r="H16" s="1526">
        <v>348.93</v>
      </c>
      <c r="I16" s="1526">
        <v>348.93</v>
      </c>
      <c r="J16" s="1526">
        <v>348.93</v>
      </c>
      <c r="K16" s="1526">
        <v>469.8</v>
      </c>
      <c r="L16" s="1526">
        <v>469.8</v>
      </c>
      <c r="M16" s="1526">
        <v>550.38</v>
      </c>
      <c r="N16" s="1526">
        <v>953.28</v>
      </c>
      <c r="O16" s="1526">
        <v>953.28</v>
      </c>
      <c r="P16"/>
    </row>
    <row r="17" spans="2:16">
      <c r="B17" s="1538">
        <v>1345</v>
      </c>
      <c r="C17" s="1526">
        <v>244274.56</v>
      </c>
      <c r="D17" s="1526">
        <v>244274.56</v>
      </c>
      <c r="E17" s="1526">
        <v>244274.56</v>
      </c>
      <c r="F17" s="1526">
        <v>244355.36</v>
      </c>
      <c r="G17" s="1526">
        <v>244355.36</v>
      </c>
      <c r="H17" s="1526">
        <v>244429.19</v>
      </c>
      <c r="I17" s="1526">
        <v>244429.19</v>
      </c>
      <c r="J17" s="1526">
        <v>244429.19</v>
      </c>
      <c r="K17" s="1526">
        <v>244879.19</v>
      </c>
      <c r="L17" s="1526">
        <v>244879.19</v>
      </c>
      <c r="M17" s="1526">
        <v>244969.19</v>
      </c>
      <c r="N17" s="1526">
        <v>248969.19</v>
      </c>
      <c r="O17" s="1526">
        <v>248969.19</v>
      </c>
      <c r="P17"/>
    </row>
    <row r="18" spans="2:16">
      <c r="B18" s="1538">
        <v>1350</v>
      </c>
      <c r="C18" s="1526">
        <v>2374634.36</v>
      </c>
      <c r="D18" s="1526">
        <v>2374969.6</v>
      </c>
      <c r="E18" s="1526">
        <v>2374969.6</v>
      </c>
      <c r="F18" s="1526">
        <v>2375131.2000000002</v>
      </c>
      <c r="G18" s="1526">
        <v>2375131.2000000002</v>
      </c>
      <c r="H18" s="1526">
        <v>2375261.4900000002</v>
      </c>
      <c r="I18" s="1526">
        <v>2375351.4900000002</v>
      </c>
      <c r="J18" s="1526">
        <v>2375593.23</v>
      </c>
      <c r="K18" s="1526">
        <v>2376377.58</v>
      </c>
      <c r="L18" s="1526">
        <v>2381738.16</v>
      </c>
      <c r="M18" s="1526">
        <v>2384196.67</v>
      </c>
      <c r="N18" s="1526">
        <v>2384618.41</v>
      </c>
      <c r="O18" s="1526">
        <v>2386835.73</v>
      </c>
      <c r="P18"/>
    </row>
    <row r="19" spans="2:16">
      <c r="B19" s="1538">
        <v>1353</v>
      </c>
      <c r="C19" s="1526">
        <v>175836.59</v>
      </c>
      <c r="D19" s="1526">
        <v>175836.59</v>
      </c>
      <c r="E19" s="1526">
        <v>179206.79</v>
      </c>
      <c r="F19" s="1526">
        <v>180319.58</v>
      </c>
      <c r="G19" s="1526">
        <v>180319.58</v>
      </c>
      <c r="H19" s="1526">
        <v>180319.58</v>
      </c>
      <c r="I19" s="1526">
        <v>180319.58</v>
      </c>
      <c r="J19" s="1526">
        <v>180319.58</v>
      </c>
      <c r="K19" s="1526">
        <v>180319.58</v>
      </c>
      <c r="L19" s="1526">
        <v>180319.58</v>
      </c>
      <c r="M19" s="1526">
        <v>180319.58</v>
      </c>
      <c r="N19" s="1526">
        <v>180319.58</v>
      </c>
      <c r="O19" s="1526">
        <v>180319.58</v>
      </c>
      <c r="P19"/>
    </row>
    <row r="20" spans="2:16">
      <c r="B20" s="1538">
        <v>1360</v>
      </c>
      <c r="C20" s="1526">
        <v>131589.92000000001</v>
      </c>
      <c r="D20" s="1526">
        <v>131589.92000000001</v>
      </c>
      <c r="E20" s="1526">
        <v>131589.92000000001</v>
      </c>
      <c r="F20" s="1526">
        <v>131589.92000000001</v>
      </c>
      <c r="G20" s="1526">
        <v>131589.92000000001</v>
      </c>
      <c r="H20" s="1526">
        <v>131589.92000000001</v>
      </c>
      <c r="I20" s="1526">
        <v>131589.92000000001</v>
      </c>
      <c r="J20" s="1526">
        <v>131589.92000000001</v>
      </c>
      <c r="K20" s="1526">
        <v>131589.92000000001</v>
      </c>
      <c r="L20" s="1526">
        <v>131589.92000000001</v>
      </c>
      <c r="M20" s="1526">
        <v>131589.92000000001</v>
      </c>
      <c r="N20" s="1526">
        <v>131589.92000000001</v>
      </c>
      <c r="O20" s="1526">
        <v>135174.92000000001</v>
      </c>
      <c r="P20"/>
    </row>
    <row r="21" spans="2:16">
      <c r="B21" s="1538">
        <v>1365</v>
      </c>
      <c r="C21" s="1526">
        <v>1028.94</v>
      </c>
      <c r="D21" s="1526">
        <v>3779.41</v>
      </c>
      <c r="E21" s="1526">
        <v>3779.41</v>
      </c>
      <c r="F21" s="1526">
        <v>3779.41</v>
      </c>
      <c r="G21" s="1526">
        <v>3779.41</v>
      </c>
      <c r="H21" s="1526">
        <v>3779.41</v>
      </c>
      <c r="I21" s="1526">
        <v>3779.41</v>
      </c>
      <c r="J21" s="1526">
        <v>3779.41</v>
      </c>
      <c r="K21" s="1526">
        <v>3779.41</v>
      </c>
      <c r="L21" s="1526">
        <v>3779.41</v>
      </c>
      <c r="M21" s="1526">
        <v>5715.54</v>
      </c>
      <c r="N21" s="1526">
        <v>5715.54</v>
      </c>
      <c r="O21" s="1526">
        <v>5715.54</v>
      </c>
      <c r="P21"/>
    </row>
    <row r="22" spans="2:16">
      <c r="B22" s="1538">
        <v>1380</v>
      </c>
      <c r="C22" s="1526">
        <v>243029.37</v>
      </c>
      <c r="D22" s="1526">
        <v>243029.37</v>
      </c>
      <c r="E22" s="1526">
        <v>245166.8</v>
      </c>
      <c r="F22" s="1526">
        <v>245466.8</v>
      </c>
      <c r="G22" s="1526">
        <v>256385.71</v>
      </c>
      <c r="H22" s="1526">
        <v>247339.58</v>
      </c>
      <c r="I22" s="1526">
        <v>247420.16</v>
      </c>
      <c r="J22" s="1526">
        <v>247420.16</v>
      </c>
      <c r="K22" s="1526">
        <v>247420.16</v>
      </c>
      <c r="L22" s="1526">
        <v>247420.16</v>
      </c>
      <c r="M22" s="1526">
        <v>247420.16</v>
      </c>
      <c r="N22" s="1526">
        <v>247420.16</v>
      </c>
      <c r="O22" s="1526">
        <v>247690.16</v>
      </c>
      <c r="P22"/>
    </row>
    <row r="23" spans="2:16">
      <c r="B23" s="1538">
        <v>1395</v>
      </c>
      <c r="C23" s="1526">
        <v>42177.88</v>
      </c>
      <c r="D23" s="1526">
        <v>42177.88</v>
      </c>
      <c r="E23" s="1526">
        <v>42177.88</v>
      </c>
      <c r="F23" s="1526">
        <v>42177.88</v>
      </c>
      <c r="G23" s="1526">
        <v>42177.88</v>
      </c>
      <c r="H23" s="1526">
        <v>42177.88</v>
      </c>
      <c r="I23" s="1526">
        <v>42177.88</v>
      </c>
      <c r="J23" s="1526">
        <v>42177.88</v>
      </c>
      <c r="K23" s="1526">
        <v>42177.88</v>
      </c>
      <c r="L23" s="1526">
        <v>42177.88</v>
      </c>
      <c r="M23" s="1526">
        <v>42177.88</v>
      </c>
      <c r="N23" s="1526">
        <v>42177.88</v>
      </c>
      <c r="O23" s="1526">
        <v>42177.88</v>
      </c>
      <c r="P23"/>
    </row>
    <row r="24" spans="2:16">
      <c r="B24" s="1538">
        <v>1400</v>
      </c>
      <c r="C24" s="1526">
        <v>951324.57</v>
      </c>
      <c r="D24" s="1526">
        <v>951417.33</v>
      </c>
      <c r="E24" s="1526">
        <v>952870.54</v>
      </c>
      <c r="F24" s="1526">
        <v>957250.26</v>
      </c>
      <c r="G24" s="1526">
        <v>958830.61</v>
      </c>
      <c r="H24" s="1526">
        <v>963633.21</v>
      </c>
      <c r="I24" s="1526">
        <v>963913.5</v>
      </c>
      <c r="J24" s="1526">
        <v>965675.92</v>
      </c>
      <c r="K24" s="1526">
        <v>970018.57</v>
      </c>
      <c r="L24" s="1526">
        <v>971723.2</v>
      </c>
      <c r="M24" s="1526">
        <v>973739.55</v>
      </c>
      <c r="N24" s="1526">
        <v>974510.53</v>
      </c>
      <c r="O24" s="1526">
        <v>976560.64000000001</v>
      </c>
      <c r="P24"/>
    </row>
    <row r="25" spans="2:16">
      <c r="B25" s="1656">
        <v>1405</v>
      </c>
      <c r="C25" s="1526">
        <v>2347.39</v>
      </c>
      <c r="D25" s="1526">
        <v>2347.39</v>
      </c>
      <c r="E25" s="1526">
        <v>2347.39</v>
      </c>
      <c r="F25" s="1526">
        <v>2347.39</v>
      </c>
      <c r="G25" s="1526">
        <v>2347.39</v>
      </c>
      <c r="H25" s="1526">
        <v>2347.39</v>
      </c>
      <c r="I25" s="1526">
        <v>2347.39</v>
      </c>
      <c r="J25" s="1526">
        <v>2347.39</v>
      </c>
      <c r="K25" s="1526">
        <v>2347.39</v>
      </c>
      <c r="L25" s="1526">
        <v>2347.39</v>
      </c>
      <c r="M25" s="1526">
        <v>2347.39</v>
      </c>
      <c r="N25" s="1526">
        <v>2347.39</v>
      </c>
      <c r="O25" s="1526">
        <v>2347.39</v>
      </c>
      <c r="P25"/>
    </row>
    <row r="26" spans="2:16">
      <c r="B26" s="1538">
        <v>1410</v>
      </c>
      <c r="C26" s="1526">
        <v>63709.93</v>
      </c>
      <c r="D26" s="1526">
        <v>65736.929999999993</v>
      </c>
      <c r="E26" s="1526">
        <v>65736.929999999993</v>
      </c>
      <c r="F26" s="1526">
        <v>68697.759999999995</v>
      </c>
      <c r="G26" s="1526">
        <v>68899.210000000006</v>
      </c>
      <c r="H26" s="1526">
        <v>68899.210000000006</v>
      </c>
      <c r="I26" s="1526">
        <v>68899.210000000006</v>
      </c>
      <c r="J26" s="1526">
        <v>68907.19</v>
      </c>
      <c r="K26" s="1526">
        <v>66802.880000000005</v>
      </c>
      <c r="L26" s="1526">
        <v>66802.880000000005</v>
      </c>
      <c r="M26" s="1526">
        <v>67143.960000000006</v>
      </c>
      <c r="N26" s="1526">
        <v>67203.92</v>
      </c>
      <c r="O26" s="1526">
        <v>67203.92</v>
      </c>
      <c r="P26"/>
    </row>
    <row r="27" spans="2:16">
      <c r="B27" s="1538">
        <v>1420</v>
      </c>
      <c r="C27" s="1526">
        <v>221.52</v>
      </c>
      <c r="D27" s="1526">
        <v>221.52</v>
      </c>
      <c r="E27" s="1526">
        <v>221.52</v>
      </c>
      <c r="F27" s="1526">
        <v>221.52</v>
      </c>
      <c r="G27" s="1526">
        <v>221.52</v>
      </c>
      <c r="H27" s="1526">
        <v>221.52</v>
      </c>
      <c r="I27" s="1526">
        <v>221.52</v>
      </c>
      <c r="J27" s="1526">
        <v>221.52</v>
      </c>
      <c r="K27" s="1526">
        <v>221.52</v>
      </c>
      <c r="L27" s="1526">
        <v>221.52</v>
      </c>
      <c r="M27" s="1526">
        <v>221.52</v>
      </c>
      <c r="N27" s="1526">
        <v>221.52</v>
      </c>
      <c r="O27" s="1526">
        <v>221.52</v>
      </c>
      <c r="P27"/>
    </row>
    <row r="28" spans="2:16">
      <c r="B28" s="1538">
        <v>1430</v>
      </c>
      <c r="C28" s="1526">
        <v>1430.57</v>
      </c>
      <c r="D28" s="1526">
        <v>1430.57</v>
      </c>
      <c r="E28" s="1526">
        <v>1430.57</v>
      </c>
      <c r="F28" s="1526">
        <v>1430.57</v>
      </c>
      <c r="G28" s="1526">
        <v>1430.57</v>
      </c>
      <c r="H28" s="1526">
        <v>1430.57</v>
      </c>
      <c r="I28" s="1526">
        <v>1430.57</v>
      </c>
      <c r="J28" s="1526">
        <v>1430.57</v>
      </c>
      <c r="K28" s="1526">
        <v>1430.57</v>
      </c>
      <c r="L28" s="1526">
        <v>1430.57</v>
      </c>
      <c r="M28" s="1526">
        <v>1430.57</v>
      </c>
      <c r="N28" s="1526">
        <v>1430.57</v>
      </c>
      <c r="O28" s="1526">
        <v>1430.57</v>
      </c>
      <c r="P28"/>
    </row>
    <row r="29" spans="2:16">
      <c r="B29" s="1538">
        <v>1435</v>
      </c>
      <c r="C29" s="1526">
        <v>8716.56</v>
      </c>
      <c r="D29" s="1526">
        <v>8716.56</v>
      </c>
      <c r="E29" s="1526">
        <v>8716.56</v>
      </c>
      <c r="F29" s="1526">
        <v>8716.56</v>
      </c>
      <c r="G29" s="1526">
        <v>8716.56</v>
      </c>
      <c r="H29" s="1526">
        <v>8716.56</v>
      </c>
      <c r="I29" s="1526">
        <v>8716.56</v>
      </c>
      <c r="J29" s="1526">
        <v>8716.56</v>
      </c>
      <c r="K29" s="1526">
        <v>8716.56</v>
      </c>
      <c r="L29" s="1526">
        <v>8716.56</v>
      </c>
      <c r="M29" s="1526">
        <v>8716.56</v>
      </c>
      <c r="N29" s="1526">
        <v>8716.56</v>
      </c>
      <c r="O29" s="1526">
        <v>8716.56</v>
      </c>
      <c r="P29"/>
    </row>
    <row r="30" spans="2:16">
      <c r="B30" s="1538">
        <v>1440</v>
      </c>
      <c r="C30" s="1526">
        <v>6328.75</v>
      </c>
      <c r="D30" s="1526">
        <v>6328.75</v>
      </c>
      <c r="E30" s="1526">
        <v>6328.75</v>
      </c>
      <c r="F30" s="1526">
        <v>6328.75</v>
      </c>
      <c r="G30" s="1526">
        <v>6328.75</v>
      </c>
      <c r="H30" s="1526">
        <v>6328.75</v>
      </c>
      <c r="I30" s="1526">
        <v>6328.75</v>
      </c>
      <c r="J30" s="1526">
        <v>6369.04</v>
      </c>
      <c r="K30" s="1526">
        <v>6369.04</v>
      </c>
      <c r="L30" s="1526">
        <v>6369.04</v>
      </c>
      <c r="M30" s="1526">
        <v>6369.04</v>
      </c>
      <c r="N30" s="1526">
        <v>6369.04</v>
      </c>
      <c r="O30" s="1526">
        <v>6369.04</v>
      </c>
      <c r="P30"/>
    </row>
    <row r="31" spans="2:16">
      <c r="B31" s="1538">
        <v>1455</v>
      </c>
      <c r="C31" s="1526">
        <v>24340.14</v>
      </c>
      <c r="D31" s="1526">
        <v>24340.14</v>
      </c>
      <c r="E31" s="1526">
        <v>24340.14</v>
      </c>
      <c r="F31" s="1526">
        <v>24340.14</v>
      </c>
      <c r="G31" s="1526">
        <v>24340.14</v>
      </c>
      <c r="H31" s="1526">
        <v>24340.14</v>
      </c>
      <c r="I31" s="1526">
        <v>24340.14</v>
      </c>
      <c r="J31" s="1526">
        <v>24340.14</v>
      </c>
      <c r="K31" s="1526">
        <v>24340.14</v>
      </c>
      <c r="L31" s="1526">
        <v>24340.14</v>
      </c>
      <c r="M31" s="1526">
        <v>24340.14</v>
      </c>
      <c r="N31" s="1526">
        <v>68889.73</v>
      </c>
      <c r="O31" s="1526">
        <v>68889.73</v>
      </c>
      <c r="P31"/>
    </row>
    <row r="32" spans="2:16">
      <c r="B32" s="1538">
        <v>1460</v>
      </c>
      <c r="C32" s="1526">
        <v>2872.58</v>
      </c>
      <c r="D32" s="1526">
        <v>2872.58</v>
      </c>
      <c r="E32" s="1526">
        <v>2872.58</v>
      </c>
      <c r="F32" s="1526">
        <v>2872.58</v>
      </c>
      <c r="G32" s="1526">
        <v>2872.58</v>
      </c>
      <c r="H32" s="1526">
        <v>2872.58</v>
      </c>
      <c r="I32" s="1526">
        <v>2872.58</v>
      </c>
      <c r="J32" s="1526">
        <v>2872.58</v>
      </c>
      <c r="K32" s="1526">
        <v>2872.58</v>
      </c>
      <c r="L32" s="1526">
        <v>2872.58</v>
      </c>
      <c r="M32" s="1526">
        <v>2872.58</v>
      </c>
      <c r="N32" s="1526">
        <v>2872.58</v>
      </c>
      <c r="O32" s="1526">
        <v>2872.58</v>
      </c>
      <c r="P32"/>
    </row>
    <row r="33" spans="1:16">
      <c r="B33" s="1538">
        <v>1470</v>
      </c>
      <c r="C33" s="1526">
        <v>36494.660000000003</v>
      </c>
      <c r="D33" s="1526">
        <v>36494.639999999999</v>
      </c>
      <c r="E33" s="1526">
        <v>36494.61</v>
      </c>
      <c r="F33" s="1526">
        <v>36720.379999999997</v>
      </c>
      <c r="G33" s="1526">
        <v>36720.370000000003</v>
      </c>
      <c r="H33" s="1526">
        <v>36720.33</v>
      </c>
      <c r="I33" s="1526">
        <v>36720.32</v>
      </c>
      <c r="J33" s="1526">
        <v>36720.300000000003</v>
      </c>
      <c r="K33" s="1526">
        <v>36720.269999999997</v>
      </c>
      <c r="L33" s="1526">
        <v>36720.25</v>
      </c>
      <c r="M33" s="1526">
        <v>36720.239999999998</v>
      </c>
      <c r="N33" s="1526">
        <v>36720.21</v>
      </c>
      <c r="O33" s="1526">
        <v>36720.199999999997</v>
      </c>
      <c r="P33"/>
    </row>
    <row r="34" spans="1:16">
      <c r="B34" s="1538">
        <v>1475</v>
      </c>
      <c r="C34" s="1526">
        <v>23308.28</v>
      </c>
      <c r="D34" s="1526">
        <v>23308.28</v>
      </c>
      <c r="E34" s="1526">
        <v>23308.28</v>
      </c>
      <c r="F34" s="1526">
        <v>23308.28</v>
      </c>
      <c r="G34" s="1526">
        <v>23308.28</v>
      </c>
      <c r="H34" s="1526">
        <v>23308.28</v>
      </c>
      <c r="I34" s="1526">
        <v>23308.28</v>
      </c>
      <c r="J34" s="1526">
        <v>23308.28</v>
      </c>
      <c r="K34" s="1526">
        <v>23308.28</v>
      </c>
      <c r="L34" s="1526">
        <v>23508.28</v>
      </c>
      <c r="M34" s="1526">
        <v>23508.28</v>
      </c>
      <c r="N34" s="1526">
        <v>23508.28</v>
      </c>
      <c r="O34" s="1526">
        <v>23508.28</v>
      </c>
      <c r="P34"/>
    </row>
    <row r="35" spans="1:16">
      <c r="B35" s="1538">
        <v>1480</v>
      </c>
      <c r="C35" s="1526">
        <v>1716.3</v>
      </c>
      <c r="D35" s="1526">
        <v>1716.3</v>
      </c>
      <c r="E35" s="1526">
        <v>3117.16</v>
      </c>
      <c r="F35" s="1526">
        <v>2869.64</v>
      </c>
      <c r="G35" s="1526">
        <v>2869.64</v>
      </c>
      <c r="H35" s="1526">
        <v>2869.64</v>
      </c>
      <c r="I35" s="1526">
        <v>2869.64</v>
      </c>
      <c r="J35" s="1526">
        <v>2869.64</v>
      </c>
      <c r="K35" s="1526">
        <v>2869.64</v>
      </c>
      <c r="L35" s="1526">
        <v>2869.64</v>
      </c>
      <c r="M35" s="1526">
        <v>2869.64</v>
      </c>
      <c r="N35" s="1526">
        <v>2869.64</v>
      </c>
      <c r="O35" s="1526">
        <v>2869.64</v>
      </c>
      <c r="P35"/>
    </row>
    <row r="36" spans="1:16">
      <c r="B36" s="1538">
        <v>1485</v>
      </c>
      <c r="C36" s="1526">
        <v>550.03</v>
      </c>
      <c r="D36" s="1526">
        <v>550.03</v>
      </c>
      <c r="E36" s="1526">
        <v>550.03</v>
      </c>
      <c r="F36" s="1526">
        <v>550.03</v>
      </c>
      <c r="G36" s="1526">
        <v>550.03</v>
      </c>
      <c r="H36" s="1526">
        <v>550.03</v>
      </c>
      <c r="I36" s="1526">
        <v>550.03</v>
      </c>
      <c r="J36" s="1526">
        <v>550.03</v>
      </c>
      <c r="K36" s="1526">
        <v>550.03</v>
      </c>
      <c r="L36" s="1526">
        <v>550.03</v>
      </c>
      <c r="M36" s="1526">
        <v>550.03</v>
      </c>
      <c r="N36" s="1526">
        <v>550.03</v>
      </c>
      <c r="O36" s="1526">
        <v>550.03</v>
      </c>
      <c r="P36"/>
    </row>
    <row r="37" spans="1:16">
      <c r="B37" s="1538">
        <v>1490</v>
      </c>
      <c r="C37" s="1526">
        <v>1369.21</v>
      </c>
      <c r="D37" s="1526">
        <v>1369.21</v>
      </c>
      <c r="E37" s="1526">
        <v>1369.21</v>
      </c>
      <c r="F37" s="1526">
        <v>1369.21</v>
      </c>
      <c r="G37" s="1526">
        <v>1369.21</v>
      </c>
      <c r="H37" s="1526">
        <v>1369.21</v>
      </c>
      <c r="I37" s="1526">
        <v>1369.21</v>
      </c>
      <c r="J37" s="1526">
        <v>1369.21</v>
      </c>
      <c r="K37" s="1526">
        <v>1369.21</v>
      </c>
      <c r="L37" s="1526">
        <v>1369.21</v>
      </c>
      <c r="M37" s="1526">
        <v>1369.21</v>
      </c>
      <c r="N37" s="1526">
        <v>1369.21</v>
      </c>
      <c r="O37" s="1526">
        <v>1369.21</v>
      </c>
      <c r="P37"/>
    </row>
    <row r="38" spans="1:16">
      <c r="B38" s="1538">
        <v>1495</v>
      </c>
      <c r="C38" s="1526">
        <v>48532</v>
      </c>
      <c r="D38" s="1526">
        <v>48532</v>
      </c>
      <c r="E38" s="1526">
        <v>48532</v>
      </c>
      <c r="F38" s="1526">
        <v>48532</v>
      </c>
      <c r="G38" s="1526">
        <v>48532</v>
      </c>
      <c r="H38" s="1526">
        <v>48532</v>
      </c>
      <c r="I38" s="1526">
        <v>48532</v>
      </c>
      <c r="J38" s="1526">
        <v>48532</v>
      </c>
      <c r="K38" s="1526">
        <v>48532</v>
      </c>
      <c r="L38" s="1526">
        <v>48532</v>
      </c>
      <c r="M38" s="1526">
        <v>48532</v>
      </c>
      <c r="N38" s="1526">
        <v>48532</v>
      </c>
      <c r="O38" s="1526">
        <v>48532</v>
      </c>
      <c r="P38"/>
    </row>
    <row r="39" spans="1:16">
      <c r="B39" s="1538">
        <v>1540</v>
      </c>
      <c r="C39" s="1526">
        <v>8873.93</v>
      </c>
      <c r="D39" s="1526">
        <v>9478.58</v>
      </c>
      <c r="E39" s="1526">
        <v>9478.58</v>
      </c>
      <c r="F39" s="1526">
        <v>9478.58</v>
      </c>
      <c r="G39" s="1526">
        <v>9659.89</v>
      </c>
      <c r="H39" s="1526">
        <v>9659.89</v>
      </c>
      <c r="I39" s="1526">
        <v>9861.34</v>
      </c>
      <c r="J39" s="1526">
        <v>9861.34</v>
      </c>
      <c r="K39" s="1526">
        <v>9861.34</v>
      </c>
      <c r="L39" s="1526">
        <v>9861.34</v>
      </c>
      <c r="M39" s="1526">
        <v>9861.34</v>
      </c>
      <c r="N39" s="1526">
        <v>9861.34</v>
      </c>
      <c r="O39" s="1526">
        <v>9861.34</v>
      </c>
      <c r="P39"/>
    </row>
    <row r="40" spans="1:16">
      <c r="B40" s="1538">
        <v>1555</v>
      </c>
      <c r="C40" s="1526">
        <v>152091.85</v>
      </c>
      <c r="D40" s="1526">
        <v>151972.64000000001</v>
      </c>
      <c r="E40" s="1526">
        <v>151738.21</v>
      </c>
      <c r="F40" s="1526">
        <v>161379.59</v>
      </c>
      <c r="G40" s="1526">
        <v>159793.66</v>
      </c>
      <c r="H40" s="1526">
        <v>159546.72</v>
      </c>
      <c r="I40" s="1526">
        <v>159842.43</v>
      </c>
      <c r="J40" s="1526">
        <v>155418.75</v>
      </c>
      <c r="K40" s="1526">
        <v>154904.70000000001</v>
      </c>
      <c r="L40" s="1526">
        <v>156782.95000000001</v>
      </c>
      <c r="M40" s="1526">
        <v>156710.44</v>
      </c>
      <c r="N40" s="1526">
        <v>156501.63</v>
      </c>
      <c r="O40" s="1526">
        <v>156433.26</v>
      </c>
      <c r="P40"/>
    </row>
    <row r="41" spans="1:16">
      <c r="B41" s="1538">
        <v>1575</v>
      </c>
      <c r="C41" s="1526">
        <v>-191</v>
      </c>
      <c r="D41" s="1526">
        <v>-191</v>
      </c>
      <c r="E41" s="1526">
        <v>-191</v>
      </c>
      <c r="F41" s="1526">
        <v>-191</v>
      </c>
      <c r="G41" s="1526">
        <v>-191</v>
      </c>
      <c r="H41" s="1526">
        <v>-191</v>
      </c>
      <c r="I41" s="1526">
        <v>-191</v>
      </c>
      <c r="J41" s="1526">
        <v>-191</v>
      </c>
      <c r="K41" s="1526">
        <v>-191</v>
      </c>
      <c r="L41" s="1526">
        <v>-191</v>
      </c>
      <c r="M41" s="1526">
        <v>-191</v>
      </c>
      <c r="N41" s="1526">
        <v>-191</v>
      </c>
      <c r="O41" s="1526">
        <v>-191</v>
      </c>
      <c r="P41"/>
    </row>
    <row r="42" spans="1:16">
      <c r="B42" s="1538">
        <v>1580</v>
      </c>
      <c r="C42" s="1526">
        <v>14588.19</v>
      </c>
      <c r="D42" s="1526">
        <v>14580.88</v>
      </c>
      <c r="E42" s="1526">
        <v>14443.09</v>
      </c>
      <c r="F42" s="1526">
        <v>14415.89</v>
      </c>
      <c r="G42" s="1526">
        <v>14452.84</v>
      </c>
      <c r="H42" s="1526">
        <v>14434.32</v>
      </c>
      <c r="I42" s="1526">
        <v>14435.17</v>
      </c>
      <c r="J42" s="1526">
        <v>14420.92</v>
      </c>
      <c r="K42" s="1526">
        <v>14400.28</v>
      </c>
      <c r="L42" s="1526">
        <v>14275.42</v>
      </c>
      <c r="M42" s="1526">
        <v>14271.76</v>
      </c>
      <c r="N42" s="1526">
        <v>14252.97</v>
      </c>
      <c r="O42" s="1526">
        <v>14240.29</v>
      </c>
      <c r="P42"/>
    </row>
    <row r="43" spans="1:16">
      <c r="B43" s="1538">
        <v>1585</v>
      </c>
      <c r="C43" s="1526">
        <v>64041.77</v>
      </c>
      <c r="D43" s="1526">
        <v>63726.86</v>
      </c>
      <c r="E43" s="1526">
        <v>63503.67</v>
      </c>
      <c r="F43" s="1526">
        <v>63875.360000000001</v>
      </c>
      <c r="G43" s="1526">
        <v>64274.84</v>
      </c>
      <c r="H43" s="1526">
        <v>64319.8</v>
      </c>
      <c r="I43" s="1526">
        <v>66068.710000000006</v>
      </c>
      <c r="J43" s="1526">
        <v>66910.45</v>
      </c>
      <c r="K43" s="1526">
        <v>68325.08</v>
      </c>
      <c r="L43" s="1526">
        <v>68294.59</v>
      </c>
      <c r="M43" s="1526">
        <v>68292.91</v>
      </c>
      <c r="N43" s="1526">
        <v>68248.78</v>
      </c>
      <c r="O43" s="1526">
        <v>68976.55</v>
      </c>
      <c r="P43"/>
    </row>
    <row r="44" spans="1:16">
      <c r="B44" s="1538">
        <v>1590</v>
      </c>
      <c r="C44" s="1526">
        <v>310828.56</v>
      </c>
      <c r="D44" s="1526">
        <v>310680.28000000003</v>
      </c>
      <c r="E44" s="1526">
        <v>307762.78000000003</v>
      </c>
      <c r="F44" s="1526">
        <v>307310.75</v>
      </c>
      <c r="G44" s="1526">
        <v>308176.98</v>
      </c>
      <c r="H44" s="1526">
        <v>307844.53000000003</v>
      </c>
      <c r="I44" s="1526">
        <v>307888.64000000001</v>
      </c>
      <c r="J44" s="1526">
        <v>307581.15999999997</v>
      </c>
      <c r="K44" s="1526">
        <v>307234.57</v>
      </c>
      <c r="L44" s="1526">
        <v>304639.57</v>
      </c>
      <c r="M44" s="1526">
        <v>304566.77</v>
      </c>
      <c r="N44" s="1526">
        <v>304169.92</v>
      </c>
      <c r="O44" s="1526">
        <v>303889.07</v>
      </c>
      <c r="P44"/>
    </row>
    <row r="45" spans="1:16">
      <c r="B45" s="1538">
        <v>1595</v>
      </c>
      <c r="C45" s="1526">
        <v>7944.06</v>
      </c>
      <c r="D45" s="1526">
        <v>7939.95</v>
      </c>
      <c r="E45" s="1526">
        <v>7868.05</v>
      </c>
      <c r="F45" s="1526">
        <v>7852.46</v>
      </c>
      <c r="G45" s="1526">
        <v>7871.24</v>
      </c>
      <c r="H45" s="1526">
        <v>7861.05</v>
      </c>
      <c r="I45" s="1526">
        <v>7861.18</v>
      </c>
      <c r="J45" s="1526">
        <v>7851.34</v>
      </c>
      <c r="K45" s="1526">
        <v>7840.1</v>
      </c>
      <c r="L45" s="1526">
        <v>7775.16</v>
      </c>
      <c r="M45" s="1526">
        <v>7773.07</v>
      </c>
      <c r="N45" s="1526">
        <v>7762.75</v>
      </c>
      <c r="O45" s="1526">
        <v>7756.03</v>
      </c>
      <c r="P45"/>
    </row>
    <row r="46" spans="1:16">
      <c r="A46" t="s">
        <v>2286</v>
      </c>
      <c r="B46" s="1538"/>
      <c r="C46" s="1526"/>
      <c r="D46" s="1526"/>
      <c r="E46" s="1526"/>
      <c r="F46" s="1526"/>
      <c r="G46" s="1526"/>
      <c r="H46" s="1526"/>
      <c r="I46" s="1526"/>
      <c r="J46" s="1526"/>
      <c r="K46" s="1526"/>
      <c r="L46" s="1526"/>
      <c r="M46" s="1526"/>
      <c r="N46" s="1526"/>
      <c r="O46" s="1526"/>
      <c r="P46"/>
    </row>
    <row r="47" spans="1:16">
      <c r="B47" s="1538">
        <v>1705</v>
      </c>
      <c r="C47" s="1526">
        <v>5678.6100000000006</v>
      </c>
      <c r="D47" s="1526">
        <v>7129.7700000000013</v>
      </c>
      <c r="E47" s="1526">
        <v>7533.7700000000013</v>
      </c>
      <c r="F47" s="1526">
        <v>7776.17</v>
      </c>
      <c r="G47" s="1526">
        <v>10318.180000000002</v>
      </c>
      <c r="H47" s="1526">
        <v>11244.850000000002</v>
      </c>
      <c r="I47" s="1526">
        <v>12100.36</v>
      </c>
      <c r="J47" s="1526">
        <v>12221.230000000001</v>
      </c>
      <c r="K47" s="1526">
        <v>12221.230000000001</v>
      </c>
      <c r="L47" s="1526">
        <v>14245.150000000001</v>
      </c>
      <c r="M47" s="1526">
        <v>15028.6</v>
      </c>
      <c r="N47" s="1526">
        <v>15291.12</v>
      </c>
      <c r="O47" s="1526">
        <v>16252.770000000002</v>
      </c>
      <c r="P47"/>
    </row>
    <row r="48" spans="1:16">
      <c r="B48" s="1538">
        <v>1706</v>
      </c>
      <c r="C48" s="1526">
        <v>6113.7199999999993</v>
      </c>
      <c r="D48" s="1526">
        <v>8787.85</v>
      </c>
      <c r="E48" s="1526">
        <v>11950.930000000002</v>
      </c>
      <c r="F48" s="1526">
        <v>15608.66</v>
      </c>
      <c r="G48" s="1526">
        <v>19285.519999999997</v>
      </c>
      <c r="H48" s="1526">
        <v>21511.149999999998</v>
      </c>
      <c r="I48" s="1526">
        <v>25669.309999999998</v>
      </c>
      <c r="J48" s="1526">
        <v>25669.309999999998</v>
      </c>
      <c r="K48" s="1526">
        <v>25669.309999999998</v>
      </c>
      <c r="L48" s="1526">
        <v>25684.539999999997</v>
      </c>
      <c r="M48" s="1526">
        <v>25968.17</v>
      </c>
      <c r="N48" s="1526">
        <v>26254.829999999998</v>
      </c>
      <c r="O48" s="1526">
        <v>26706.399999999998</v>
      </c>
      <c r="P48"/>
    </row>
    <row r="49" spans="1:16">
      <c r="B49" s="1538">
        <v>1707</v>
      </c>
      <c r="C49" s="1526">
        <v>64227.45</v>
      </c>
      <c r="D49" s="1526">
        <v>64227.45</v>
      </c>
      <c r="E49" s="1526">
        <v>66771.81</v>
      </c>
      <c r="F49" s="1526">
        <v>66771.81</v>
      </c>
      <c r="G49" s="1526">
        <v>66771.81</v>
      </c>
      <c r="H49" s="1526">
        <v>67071.81</v>
      </c>
      <c r="I49" s="1526">
        <v>67071.81</v>
      </c>
      <c r="J49" s="1526">
        <v>67071.81</v>
      </c>
      <c r="K49" s="1526">
        <v>67071.81</v>
      </c>
      <c r="L49" s="1526">
        <v>67071.81</v>
      </c>
      <c r="M49" s="1526">
        <v>101956.31</v>
      </c>
      <c r="N49" s="1526">
        <v>102095.7</v>
      </c>
      <c r="O49" s="1526">
        <v>143970.20000000001</v>
      </c>
      <c r="P49"/>
    </row>
    <row r="50" spans="1:16">
      <c r="B50" s="1538">
        <v>1708</v>
      </c>
      <c r="C50" s="1526">
        <v>68612.739999999991</v>
      </c>
      <c r="D50" s="1526">
        <v>68612.739999999991</v>
      </c>
      <c r="E50" s="1526">
        <v>68612.739999999991</v>
      </c>
      <c r="F50" s="1526">
        <v>68612.740000000005</v>
      </c>
      <c r="G50" s="1526">
        <v>68612.739999999991</v>
      </c>
      <c r="H50" s="1526">
        <v>68612.739999999991</v>
      </c>
      <c r="I50" s="1526">
        <v>68612.739999999991</v>
      </c>
      <c r="J50" s="1526">
        <v>68612.739999999991</v>
      </c>
      <c r="K50" s="1526">
        <v>68612.739999999991</v>
      </c>
      <c r="L50" s="1526">
        <v>68612.739999999991</v>
      </c>
      <c r="M50" s="1526">
        <v>68612.739999999991</v>
      </c>
      <c r="N50" s="1526">
        <v>68612.739999999991</v>
      </c>
      <c r="O50" s="1526">
        <v>68612.739999999991</v>
      </c>
      <c r="P50"/>
    </row>
    <row r="51" spans="1:16">
      <c r="B51" s="1538">
        <v>1709</v>
      </c>
      <c r="C51" s="1526">
        <v>39186.959999999999</v>
      </c>
      <c r="D51" s="1526">
        <v>39186.959999999999</v>
      </c>
      <c r="E51" s="1526">
        <v>39186.959999999999</v>
      </c>
      <c r="F51" s="1526">
        <v>39186.959999999999</v>
      </c>
      <c r="G51" s="1526">
        <v>39186.959999999999</v>
      </c>
      <c r="H51" s="1526">
        <v>39186.959999999999</v>
      </c>
      <c r="I51" s="1526">
        <v>39186.959999999999</v>
      </c>
      <c r="J51" s="1526">
        <v>39186.959999999999</v>
      </c>
      <c r="K51" s="1526">
        <v>39186.959999999999</v>
      </c>
      <c r="L51" s="1526">
        <v>39186.959999999999</v>
      </c>
      <c r="M51" s="1526">
        <v>39186.959999999999</v>
      </c>
      <c r="N51" s="1526">
        <v>39186.959999999999</v>
      </c>
      <c r="O51" s="1526">
        <v>39186.959999999999</v>
      </c>
      <c r="P51"/>
    </row>
    <row r="52" spans="1:16">
      <c r="B52" s="1538">
        <v>1710</v>
      </c>
      <c r="C52" s="1526">
        <v>2263.8000000000002</v>
      </c>
      <c r="D52" s="1526">
        <v>2263.8000000000002</v>
      </c>
      <c r="E52" s="1526">
        <v>2263.8000000000002</v>
      </c>
      <c r="F52" s="1526">
        <v>2263.8000000000002</v>
      </c>
      <c r="G52" s="1526">
        <v>2263.8000000000002</v>
      </c>
      <c r="H52" s="1526">
        <v>2263.8000000000002</v>
      </c>
      <c r="I52" s="1526">
        <v>2263.8000000000002</v>
      </c>
      <c r="J52" s="1526">
        <v>2263.8000000000002</v>
      </c>
      <c r="K52" s="1526">
        <v>2263.8000000000002</v>
      </c>
      <c r="L52" s="1526">
        <v>2263.8000000000002</v>
      </c>
      <c r="M52" s="1526">
        <v>2263.8000000000002</v>
      </c>
      <c r="N52" s="1526">
        <v>2263.8000000000002</v>
      </c>
      <c r="O52" s="1526">
        <v>2263.8000000000002</v>
      </c>
      <c r="P52"/>
    </row>
    <row r="53" spans="1:16">
      <c r="B53" s="1538">
        <v>1713</v>
      </c>
      <c r="C53" s="1526">
        <v>226613.09</v>
      </c>
      <c r="D53" s="1526">
        <v>226613.09</v>
      </c>
      <c r="E53" s="1526">
        <v>226613.09</v>
      </c>
      <c r="F53" s="1526">
        <v>226613.09</v>
      </c>
      <c r="G53" s="1526">
        <v>226613.09</v>
      </c>
      <c r="H53" s="1526">
        <v>226613.09</v>
      </c>
      <c r="I53" s="1526">
        <v>226613.09</v>
      </c>
      <c r="J53" s="1526">
        <v>226613.09</v>
      </c>
      <c r="K53" s="1526">
        <v>226613.09</v>
      </c>
      <c r="L53" s="1526">
        <v>226613.09</v>
      </c>
      <c r="M53" s="1526">
        <v>226613.09</v>
      </c>
      <c r="N53" s="1526">
        <v>226613.09</v>
      </c>
      <c r="O53" s="1526">
        <v>226613.09</v>
      </c>
      <c r="P53"/>
    </row>
    <row r="54" spans="1:16">
      <c r="B54" s="1538">
        <v>1717</v>
      </c>
      <c r="C54" s="1526">
        <v>30264.87</v>
      </c>
      <c r="D54" s="1526">
        <v>286202.32</v>
      </c>
      <c r="E54" s="1526">
        <v>348230.32</v>
      </c>
      <c r="F54" s="1526">
        <v>413721.86</v>
      </c>
      <c r="G54" s="1526">
        <v>413721.86</v>
      </c>
      <c r="H54" s="1526">
        <v>219641.06</v>
      </c>
      <c r="I54" s="1526">
        <v>475600.55</v>
      </c>
      <c r="J54" s="1526">
        <v>511990.55</v>
      </c>
      <c r="K54" s="1526">
        <v>511990.55</v>
      </c>
      <c r="L54" s="1526">
        <v>256090.55</v>
      </c>
      <c r="M54" s="1526">
        <v>256090.55</v>
      </c>
      <c r="N54" s="1526">
        <v>256090.55</v>
      </c>
      <c r="O54" s="1526">
        <v>256090.55</v>
      </c>
      <c r="P54"/>
    </row>
    <row r="55" spans="1:16">
      <c r="B55" s="1538">
        <v>1739</v>
      </c>
      <c r="C55" s="1526">
        <v>-343291.63999999996</v>
      </c>
      <c r="D55" s="1526">
        <v>-343291.63999999996</v>
      </c>
      <c r="E55" s="1526">
        <v>-343291.63999999996</v>
      </c>
      <c r="F55" s="1526">
        <v>-343291.64</v>
      </c>
      <c r="G55" s="1526">
        <v>-343291.63999999996</v>
      </c>
      <c r="H55" s="1526">
        <v>-343291.63999999996</v>
      </c>
      <c r="I55" s="1526">
        <v>-917118.62000000011</v>
      </c>
      <c r="J55" s="1526">
        <v>-953629.49000000011</v>
      </c>
      <c r="K55" s="1526">
        <v>-953629.49000000011</v>
      </c>
      <c r="L55" s="1526">
        <v>-697729.49000000011</v>
      </c>
      <c r="M55" s="1526">
        <v>-697729.49000000011</v>
      </c>
      <c r="N55" s="1526">
        <v>-697729.49000000011</v>
      </c>
      <c r="O55" s="1526">
        <v>-697729.49000000011</v>
      </c>
      <c r="P55"/>
    </row>
    <row r="56" spans="1:16">
      <c r="B56" s="1538">
        <v>1745</v>
      </c>
      <c r="C56" s="1526">
        <v>15917.97</v>
      </c>
      <c r="D56" s="1526">
        <v>15917.94</v>
      </c>
      <c r="E56" s="1526">
        <v>15917.88</v>
      </c>
      <c r="F56" s="1526">
        <v>15943.06</v>
      </c>
      <c r="G56" s="1526">
        <v>15943.01</v>
      </c>
      <c r="H56" s="1526">
        <v>15896.64</v>
      </c>
      <c r="I56" s="1526">
        <v>15896.62</v>
      </c>
      <c r="J56" s="1526">
        <v>15896.61</v>
      </c>
      <c r="K56" s="1526">
        <v>15896.59</v>
      </c>
      <c r="L56" s="1526">
        <v>15896.57</v>
      </c>
      <c r="M56" s="1526">
        <v>15896.57</v>
      </c>
      <c r="N56" s="1526">
        <v>15896.54</v>
      </c>
      <c r="O56" s="1526">
        <v>15896.53</v>
      </c>
      <c r="P56"/>
    </row>
    <row r="57" spans="1:16">
      <c r="B57" s="1538">
        <v>1775</v>
      </c>
      <c r="C57" s="1526">
        <v>67.84</v>
      </c>
      <c r="D57" s="1526">
        <v>67.84</v>
      </c>
      <c r="E57" s="1526">
        <v>67.84</v>
      </c>
      <c r="F57" s="1526">
        <v>67.84</v>
      </c>
      <c r="G57" s="1526">
        <v>67.84</v>
      </c>
      <c r="H57" s="1526">
        <v>67.84</v>
      </c>
      <c r="I57" s="1526">
        <v>67.84</v>
      </c>
      <c r="J57" s="1526">
        <v>67.84</v>
      </c>
      <c r="K57" s="1526">
        <v>67.84</v>
      </c>
      <c r="L57" s="1526">
        <v>67.84</v>
      </c>
      <c r="M57" s="1526">
        <v>67.84</v>
      </c>
      <c r="N57" s="1526">
        <v>67.84</v>
      </c>
      <c r="O57" s="1526">
        <v>67.84</v>
      </c>
      <c r="P57"/>
    </row>
    <row r="58" spans="1:16">
      <c r="B58" s="1538">
        <v>1776</v>
      </c>
      <c r="C58" s="1526">
        <v>111.72</v>
      </c>
      <c r="D58" s="1526">
        <v>111.72</v>
      </c>
      <c r="E58" s="1526">
        <v>111.72</v>
      </c>
      <c r="F58" s="1526">
        <v>111.72</v>
      </c>
      <c r="G58" s="1526">
        <v>111.72</v>
      </c>
      <c r="H58" s="1526">
        <v>111.72</v>
      </c>
      <c r="I58" s="1526">
        <v>111.72</v>
      </c>
      <c r="J58" s="1526">
        <v>111.72</v>
      </c>
      <c r="K58" s="1526">
        <v>111.72</v>
      </c>
      <c r="L58" s="1526">
        <v>111.72</v>
      </c>
      <c r="M58" s="1526">
        <v>111.72</v>
      </c>
      <c r="N58" s="1526">
        <v>111.72</v>
      </c>
      <c r="O58" s="1526">
        <v>111.72</v>
      </c>
      <c r="P58"/>
    </row>
    <row r="59" spans="1:16">
      <c r="B59" s="1656">
        <v>1781</v>
      </c>
      <c r="C59" s="1526">
        <v>7395.15</v>
      </c>
      <c r="D59" s="1526">
        <v>7395.15</v>
      </c>
      <c r="E59" s="1526">
        <v>7395.15</v>
      </c>
      <c r="F59" s="1526">
        <v>7395.15</v>
      </c>
      <c r="G59" s="1526">
        <v>7395.15</v>
      </c>
      <c r="H59" s="1526">
        <v>7395.15</v>
      </c>
      <c r="I59" s="1526">
        <v>7395.15</v>
      </c>
      <c r="J59" s="1526">
        <v>7395.15</v>
      </c>
      <c r="K59" s="1526">
        <v>7395.15</v>
      </c>
      <c r="L59" s="1526">
        <v>7395.15</v>
      </c>
      <c r="M59" s="1526">
        <v>7395.15</v>
      </c>
      <c r="N59" s="1526">
        <v>7395.15</v>
      </c>
      <c r="O59" s="1526">
        <v>7395.15</v>
      </c>
      <c r="P59"/>
    </row>
    <row r="60" spans="1:16">
      <c r="B60" s="1538">
        <v>1799</v>
      </c>
      <c r="C60" s="1526">
        <v>-7574.71</v>
      </c>
      <c r="D60" s="1526">
        <v>-7574.71</v>
      </c>
      <c r="E60" s="1526">
        <v>-7574.71</v>
      </c>
      <c r="F60" s="1526">
        <v>-7574.71</v>
      </c>
      <c r="G60" s="1526">
        <v>-7574.71</v>
      </c>
      <c r="H60" s="1526">
        <v>-7574.71</v>
      </c>
      <c r="I60" s="1526">
        <v>-7574.71</v>
      </c>
      <c r="J60" s="1526">
        <v>-7574.71</v>
      </c>
      <c r="K60" s="1526">
        <v>-7574.71</v>
      </c>
      <c r="L60" s="1526">
        <v>-7574.71</v>
      </c>
      <c r="M60" s="1526">
        <v>-7574.71</v>
      </c>
      <c r="N60" s="1526">
        <v>-7574.71</v>
      </c>
      <c r="O60" s="1526">
        <v>-7574.71</v>
      </c>
      <c r="P60"/>
    </row>
    <row r="61" spans="1:16">
      <c r="B61" s="1538"/>
      <c r="C61" s="1526"/>
      <c r="D61" s="1526"/>
      <c r="E61" s="1526"/>
      <c r="F61" s="1526"/>
      <c r="G61" s="1526"/>
      <c r="H61" s="1526"/>
      <c r="I61" s="1526"/>
      <c r="J61" s="1526"/>
      <c r="K61" s="1526"/>
      <c r="L61" s="1526"/>
      <c r="M61" s="1526"/>
      <c r="N61" s="1526"/>
      <c r="O61" s="1526"/>
      <c r="P61"/>
    </row>
    <row r="62" spans="1:16" ht="15">
      <c r="A62" s="1548" t="s">
        <v>2214</v>
      </c>
      <c r="B62" s="1538">
        <v>1840</v>
      </c>
      <c r="C62" s="1526">
        <v>-18.489999999999998</v>
      </c>
      <c r="D62" s="1526">
        <v>-18.690000000000001</v>
      </c>
      <c r="E62" s="1526">
        <v>-18.88</v>
      </c>
      <c r="F62" s="1526">
        <v>-19.02</v>
      </c>
      <c r="G62" s="1526">
        <v>-19.22</v>
      </c>
      <c r="H62" s="1526">
        <v>-19.41</v>
      </c>
      <c r="I62" s="1526">
        <v>-19.61</v>
      </c>
      <c r="J62" s="1526">
        <v>-19.809999999999999</v>
      </c>
      <c r="K62" s="1526">
        <v>-20</v>
      </c>
      <c r="L62" s="1526">
        <v>-20.2</v>
      </c>
      <c r="M62" s="1526">
        <v>-20.399999999999999</v>
      </c>
      <c r="N62" s="1526">
        <v>-20.59</v>
      </c>
      <c r="O62" s="1526">
        <v>-20.79</v>
      </c>
      <c r="P62"/>
    </row>
    <row r="63" spans="1:16">
      <c r="B63" s="1538">
        <v>1970</v>
      </c>
      <c r="C63" s="1526">
        <v>-36841.06</v>
      </c>
      <c r="D63" s="1526">
        <v>-36966.92</v>
      </c>
      <c r="E63" s="1526">
        <v>-36897.589999999997</v>
      </c>
      <c r="F63" s="1526">
        <v>-36944.660000000003</v>
      </c>
      <c r="G63" s="1526">
        <v>-37131.129999999997</v>
      </c>
      <c r="H63" s="1526">
        <v>-37227.519999999997</v>
      </c>
      <c r="I63" s="1526">
        <v>-37364.019999999997</v>
      </c>
      <c r="J63" s="1526">
        <v>-37477.74</v>
      </c>
      <c r="K63" s="1526">
        <v>-37572.61</v>
      </c>
      <c r="L63" s="1526">
        <v>-37527.599999999999</v>
      </c>
      <c r="M63" s="1526">
        <v>-37662.25</v>
      </c>
      <c r="N63" s="1526">
        <v>-37757.99</v>
      </c>
      <c r="O63" s="1526">
        <v>-37881.11</v>
      </c>
      <c r="P63"/>
    </row>
    <row r="64" spans="1:16">
      <c r="B64" s="1538">
        <v>1975</v>
      </c>
      <c r="C64" s="1526">
        <v>-25158.47</v>
      </c>
      <c r="D64" s="1526">
        <v>-25233.83</v>
      </c>
      <c r="E64" s="1526">
        <v>-25153.919999999998</v>
      </c>
      <c r="F64" s="1526">
        <v>-25179.919999999998</v>
      </c>
      <c r="G64" s="1526">
        <v>-25304.89</v>
      </c>
      <c r="H64" s="1526">
        <v>-25360.91</v>
      </c>
      <c r="I64" s="1526">
        <v>-25446.01</v>
      </c>
      <c r="J64" s="1526">
        <v>-25511.200000000001</v>
      </c>
      <c r="K64" s="1526">
        <v>-25565.63</v>
      </c>
      <c r="L64" s="1526">
        <v>-25504.15</v>
      </c>
      <c r="M64" s="1526">
        <v>-25586.27</v>
      </c>
      <c r="N64" s="1526">
        <v>-25641.55</v>
      </c>
      <c r="O64" s="1526">
        <v>-25714.16</v>
      </c>
      <c r="P64"/>
    </row>
    <row r="65" spans="2:16">
      <c r="B65" s="1538">
        <v>1985</v>
      </c>
      <c r="C65" s="1526">
        <v>-12575.51</v>
      </c>
      <c r="D65" s="1526">
        <v>-12624.88</v>
      </c>
      <c r="E65" s="1526">
        <v>-12663.19</v>
      </c>
      <c r="F65" s="1526">
        <v>-12674.64</v>
      </c>
      <c r="G65" s="1526">
        <v>-12724.17</v>
      </c>
      <c r="H65" s="1526">
        <v>-12763.95</v>
      </c>
      <c r="I65" s="1526">
        <v>-12813.47</v>
      </c>
      <c r="J65" s="1526">
        <v>-12866.01</v>
      </c>
      <c r="K65" s="1526">
        <v>-12906.73</v>
      </c>
      <c r="L65" s="1526">
        <v>-12952.41</v>
      </c>
      <c r="M65" s="1526">
        <v>-13005.37</v>
      </c>
      <c r="N65" s="1526">
        <v>-13044.99</v>
      </c>
      <c r="O65" s="1526">
        <v>-13098.35</v>
      </c>
      <c r="P65"/>
    </row>
    <row r="66" spans="2:16">
      <c r="B66" s="1538">
        <v>2000</v>
      </c>
      <c r="C66" s="1526">
        <v>-2135.73</v>
      </c>
      <c r="D66" s="1526">
        <v>-2171.42</v>
      </c>
      <c r="E66" s="1526">
        <v>-2185.85</v>
      </c>
      <c r="F66" s="1526">
        <v>-2218.36</v>
      </c>
      <c r="G66" s="1526">
        <v>-2261.0500000000002</v>
      </c>
      <c r="H66" s="1526">
        <v>-2294.54</v>
      </c>
      <c r="I66" s="1526">
        <v>-2331.17</v>
      </c>
      <c r="J66" s="1526">
        <v>-2364.31</v>
      </c>
      <c r="K66" s="1526">
        <v>-2397.17</v>
      </c>
      <c r="L66" s="1526">
        <v>-2410.7800000000002</v>
      </c>
      <c r="M66" s="1526">
        <v>-2446.1</v>
      </c>
      <c r="N66" s="1526">
        <v>-2478.77</v>
      </c>
      <c r="O66" s="1526">
        <v>-2512.2800000000002</v>
      </c>
      <c r="P66"/>
    </row>
    <row r="67" spans="2:16">
      <c r="B67" s="1538">
        <v>2030</v>
      </c>
      <c r="C67" s="1526">
        <v>41162.269999999997</v>
      </c>
      <c r="D67" s="1526">
        <v>41162.269999999997</v>
      </c>
      <c r="E67" s="1526">
        <v>41162.269999999997</v>
      </c>
      <c r="F67" s="1526">
        <v>41162.269999999997</v>
      </c>
      <c r="G67" s="1526">
        <v>41158.35</v>
      </c>
      <c r="H67" s="1526">
        <v>41154.43</v>
      </c>
      <c r="I67" s="1526">
        <v>41150.51</v>
      </c>
      <c r="J67" s="1526">
        <v>41146.589999999997</v>
      </c>
      <c r="K67" s="1526">
        <v>41142.67</v>
      </c>
      <c r="L67" s="1526">
        <v>41138.75</v>
      </c>
      <c r="M67" s="1526">
        <v>41134.83</v>
      </c>
      <c r="N67" s="1526">
        <v>41130.910000000003</v>
      </c>
      <c r="O67" s="1526">
        <v>41126.99</v>
      </c>
      <c r="P67"/>
    </row>
    <row r="68" spans="2:16">
      <c r="B68" s="1538">
        <v>2055</v>
      </c>
      <c r="C68" s="1526">
        <v>-62723.519999999997</v>
      </c>
      <c r="D68" s="1526">
        <v>-63707.22</v>
      </c>
      <c r="E68" s="1526">
        <v>-64696.76</v>
      </c>
      <c r="F68" s="1526">
        <v>-65686.3</v>
      </c>
      <c r="G68" s="1526">
        <v>-66719.45</v>
      </c>
      <c r="H68" s="1526">
        <v>-62832.29</v>
      </c>
      <c r="I68" s="1526">
        <v>-3073.86</v>
      </c>
      <c r="J68" s="1526">
        <v>-5923.16</v>
      </c>
      <c r="K68" s="1526">
        <v>-8772.4599999999991</v>
      </c>
      <c r="L68" s="1526">
        <v>-10768.76</v>
      </c>
      <c r="M68" s="1526">
        <v>-12765.06</v>
      </c>
      <c r="N68" s="1526">
        <v>-14761.36</v>
      </c>
      <c r="O68" s="1526">
        <v>-16757.66</v>
      </c>
      <c r="P68"/>
    </row>
    <row r="69" spans="2:16">
      <c r="B69" s="1538">
        <v>2060</v>
      </c>
      <c r="C69" s="1526">
        <v>-2938.13</v>
      </c>
      <c r="D69" s="1526">
        <v>-3298.33</v>
      </c>
      <c r="E69" s="1526">
        <v>-3658.53</v>
      </c>
      <c r="F69" s="1526">
        <v>-4018.73</v>
      </c>
      <c r="G69" s="1526">
        <v>-4379.87</v>
      </c>
      <c r="H69" s="1526">
        <v>-4741.01</v>
      </c>
      <c r="I69" s="1526">
        <v>-4611.54</v>
      </c>
      <c r="J69" s="1526">
        <v>-5023.3500000000004</v>
      </c>
      <c r="K69" s="1526">
        <v>-5437.8</v>
      </c>
      <c r="L69" s="1526">
        <v>-4621.7700000000004</v>
      </c>
      <c r="M69" s="1526">
        <v>-5057.6099999999997</v>
      </c>
      <c r="N69" s="1526">
        <v>-5495.62</v>
      </c>
      <c r="O69" s="1526">
        <v>-5933.63</v>
      </c>
      <c r="P69"/>
    </row>
    <row r="70" spans="2:16">
      <c r="B70" s="1538">
        <v>2070</v>
      </c>
      <c r="C70" s="1526">
        <v>-20.12</v>
      </c>
      <c r="D70" s="1526">
        <v>-20.62</v>
      </c>
      <c r="E70" s="1526">
        <v>-21.12</v>
      </c>
      <c r="F70" s="1526">
        <v>-21.62</v>
      </c>
      <c r="G70" s="1526">
        <v>-22.12</v>
      </c>
      <c r="H70" s="1526">
        <v>-22.62</v>
      </c>
      <c r="I70" s="1526">
        <v>-23.12</v>
      </c>
      <c r="J70" s="1526">
        <v>-23.62</v>
      </c>
      <c r="K70" s="1526">
        <v>-24.12</v>
      </c>
      <c r="L70" s="1526">
        <v>-24.62</v>
      </c>
      <c r="M70" s="1526">
        <v>-25.12</v>
      </c>
      <c r="N70" s="1526">
        <v>-25.62</v>
      </c>
      <c r="O70" s="1526">
        <v>-26.12</v>
      </c>
      <c r="P70"/>
    </row>
    <row r="71" spans="2:16">
      <c r="B71" s="1538">
        <v>2075</v>
      </c>
      <c r="C71" s="1526">
        <v>-1579995.37</v>
      </c>
      <c r="D71" s="1526">
        <v>-1586241.02</v>
      </c>
      <c r="E71" s="1526">
        <v>-1592487.09</v>
      </c>
      <c r="F71" s="1526">
        <v>-1598733.16</v>
      </c>
      <c r="G71" s="1526">
        <v>-1604979.23</v>
      </c>
      <c r="H71" s="1526">
        <v>-1611225.83</v>
      </c>
      <c r="I71" s="1526">
        <v>-1617472.43</v>
      </c>
      <c r="J71" s="1526">
        <v>-1623719.03</v>
      </c>
      <c r="K71" s="1526">
        <v>-1629965.63</v>
      </c>
      <c r="L71" s="1526">
        <v>-1636212.23</v>
      </c>
      <c r="M71" s="1526">
        <v>-1642458.83</v>
      </c>
      <c r="N71" s="1526">
        <v>-1648707.06</v>
      </c>
      <c r="O71" s="1526">
        <v>-1654957</v>
      </c>
      <c r="P71"/>
    </row>
    <row r="72" spans="2:16">
      <c r="B72" s="1538">
        <v>2090</v>
      </c>
      <c r="C72" s="1526">
        <v>-77.069999999999993</v>
      </c>
      <c r="D72" s="1526">
        <v>-78.52</v>
      </c>
      <c r="E72" s="1526">
        <v>-79.97</v>
      </c>
      <c r="F72" s="1526">
        <v>-81.42</v>
      </c>
      <c r="G72" s="1526">
        <v>-82.87</v>
      </c>
      <c r="H72" s="1526">
        <v>-84.32</v>
      </c>
      <c r="I72" s="1526">
        <v>-85.77</v>
      </c>
      <c r="J72" s="1526">
        <v>-87.22</v>
      </c>
      <c r="K72" s="1526">
        <v>-89.18</v>
      </c>
      <c r="L72" s="1526">
        <v>-91.14</v>
      </c>
      <c r="M72" s="1526">
        <v>-93.43</v>
      </c>
      <c r="N72" s="1526">
        <v>-97.4</v>
      </c>
      <c r="O72" s="1526">
        <v>-101.37</v>
      </c>
      <c r="P72"/>
    </row>
    <row r="73" spans="2:16">
      <c r="B73" s="1538">
        <v>2105</v>
      </c>
      <c r="C73" s="1526">
        <v>-158184.42000000001</v>
      </c>
      <c r="D73" s="1526">
        <v>-158862.96</v>
      </c>
      <c r="E73" s="1526">
        <v>-159541.5</v>
      </c>
      <c r="F73" s="1526">
        <v>-160220.26</v>
      </c>
      <c r="G73" s="1526">
        <v>-160899.01999999999</v>
      </c>
      <c r="H73" s="1526">
        <v>-161577.99</v>
      </c>
      <c r="I73" s="1526">
        <v>-162256.95999999999</v>
      </c>
      <c r="J73" s="1526">
        <v>-162935.93</v>
      </c>
      <c r="K73" s="1526">
        <v>-163616.15</v>
      </c>
      <c r="L73" s="1526">
        <v>-164296.37</v>
      </c>
      <c r="M73" s="1526">
        <v>-164976.84</v>
      </c>
      <c r="N73" s="1526">
        <v>-165668.42000000001</v>
      </c>
      <c r="O73" s="1526">
        <v>-166360</v>
      </c>
      <c r="P73"/>
    </row>
    <row r="74" spans="2:16">
      <c r="B74" s="1538">
        <v>2110</v>
      </c>
      <c r="C74" s="1526">
        <v>-625844.66</v>
      </c>
      <c r="D74" s="1526">
        <v>-630234.63</v>
      </c>
      <c r="E74" s="1526">
        <v>-634624.6</v>
      </c>
      <c r="F74" s="1526">
        <v>-639014.87</v>
      </c>
      <c r="G74" s="1526">
        <v>-643405.14</v>
      </c>
      <c r="H74" s="1526">
        <v>-647795.65</v>
      </c>
      <c r="I74" s="1526">
        <v>-652186.31999999995</v>
      </c>
      <c r="J74" s="1526">
        <v>-656577.43999999994</v>
      </c>
      <c r="K74" s="1526">
        <v>-660970.01</v>
      </c>
      <c r="L74" s="1526">
        <v>-665372.49</v>
      </c>
      <c r="M74" s="1526">
        <v>-667242.72</v>
      </c>
      <c r="N74" s="1526">
        <v>-671650.52</v>
      </c>
      <c r="O74" s="1526">
        <v>-674148.28</v>
      </c>
      <c r="P74"/>
    </row>
    <row r="75" spans="2:16">
      <c r="B75" s="1538">
        <v>2113</v>
      </c>
      <c r="C75" s="1526">
        <v>-84828.68</v>
      </c>
      <c r="D75" s="1526">
        <v>-85173.81</v>
      </c>
      <c r="E75" s="1526">
        <v>-84022.76</v>
      </c>
      <c r="F75" s="1526">
        <v>-83740.56</v>
      </c>
      <c r="G75" s="1526">
        <v>-84098.14</v>
      </c>
      <c r="H75" s="1526">
        <v>-84455.72</v>
      </c>
      <c r="I75" s="1526">
        <v>-84813.3</v>
      </c>
      <c r="J75" s="1526">
        <v>-85170.880000000005</v>
      </c>
      <c r="K75" s="1526">
        <v>-85528.46</v>
      </c>
      <c r="L75" s="1526">
        <v>-85886.04</v>
      </c>
      <c r="M75" s="1526">
        <v>-86243.62</v>
      </c>
      <c r="N75" s="1526">
        <v>-86601.2</v>
      </c>
      <c r="O75" s="1526">
        <v>-86958.78</v>
      </c>
      <c r="P75"/>
    </row>
    <row r="76" spans="2:16">
      <c r="B76" s="1538">
        <v>2120</v>
      </c>
      <c r="C76" s="1526">
        <v>-9706.82</v>
      </c>
      <c r="D76" s="1526">
        <v>-9871.31</v>
      </c>
      <c r="E76" s="1526">
        <v>-10035.799999999999</v>
      </c>
      <c r="F76" s="1526">
        <v>-10200.290000000001</v>
      </c>
      <c r="G76" s="1526">
        <v>-10364.780000000001</v>
      </c>
      <c r="H76" s="1526">
        <v>-10529.27</v>
      </c>
      <c r="I76" s="1526">
        <v>-10693.76</v>
      </c>
      <c r="J76" s="1526">
        <v>-10858.25</v>
      </c>
      <c r="K76" s="1526">
        <v>-11022.74</v>
      </c>
      <c r="L76" s="1526">
        <v>-11187.23</v>
      </c>
      <c r="M76" s="1526">
        <v>-11351.72</v>
      </c>
      <c r="N76" s="1526">
        <v>-11516.21</v>
      </c>
      <c r="O76" s="1526">
        <v>-11685.18</v>
      </c>
      <c r="P76"/>
    </row>
    <row r="77" spans="2:16">
      <c r="B77" s="1538">
        <v>2125</v>
      </c>
      <c r="C77" s="1526">
        <v>-161.09</v>
      </c>
      <c r="D77" s="1526">
        <v>4174.8999999999996</v>
      </c>
      <c r="E77" s="1526">
        <v>4111.91</v>
      </c>
      <c r="F77" s="1526">
        <v>4048.92</v>
      </c>
      <c r="G77" s="1526">
        <v>3985.93</v>
      </c>
      <c r="H77" s="1526">
        <v>3922.94</v>
      </c>
      <c r="I77" s="1526">
        <v>3859.95</v>
      </c>
      <c r="J77" s="1526">
        <v>3796.96</v>
      </c>
      <c r="K77" s="1526">
        <v>3733.97</v>
      </c>
      <c r="L77" s="1526">
        <v>3670.98</v>
      </c>
      <c r="M77" s="1526">
        <v>4896.76</v>
      </c>
      <c r="N77" s="1526">
        <v>4801.5</v>
      </c>
      <c r="O77" s="1526">
        <v>4706.24</v>
      </c>
      <c r="P77"/>
    </row>
    <row r="78" spans="2:16">
      <c r="B78" s="1538">
        <v>2140</v>
      </c>
      <c r="C78" s="1526">
        <v>22604.36</v>
      </c>
      <c r="D78" s="1526">
        <v>21479.22</v>
      </c>
      <c r="E78" s="1526">
        <v>20553.61</v>
      </c>
      <c r="F78" s="1526">
        <v>19417.189999999999</v>
      </c>
      <c r="G78" s="1526">
        <v>18230.22</v>
      </c>
      <c r="H78" s="1526">
        <v>26169.58</v>
      </c>
      <c r="I78" s="1526">
        <v>25024.12</v>
      </c>
      <c r="J78" s="1526">
        <v>23878.66</v>
      </c>
      <c r="K78" s="1526">
        <v>22733.200000000001</v>
      </c>
      <c r="L78" s="1526">
        <v>21587.74</v>
      </c>
      <c r="M78" s="1526">
        <v>20442.28</v>
      </c>
      <c r="N78" s="1526">
        <v>19296.82</v>
      </c>
      <c r="O78" s="1526">
        <v>18150.11</v>
      </c>
      <c r="P78"/>
    </row>
    <row r="79" spans="2:16">
      <c r="B79" s="1656">
        <v>2155</v>
      </c>
      <c r="C79" s="1526">
        <v>-40768.36</v>
      </c>
      <c r="D79" s="1526">
        <v>-40773.129999999997</v>
      </c>
      <c r="E79" s="1526">
        <v>-40777.9</v>
      </c>
      <c r="F79" s="1526">
        <v>-40782.67</v>
      </c>
      <c r="G79" s="1526">
        <v>-40977.94</v>
      </c>
      <c r="H79" s="1526">
        <v>-41173.21</v>
      </c>
      <c r="I79" s="1526">
        <v>-41368.480000000003</v>
      </c>
      <c r="J79" s="1526">
        <v>-41563.75</v>
      </c>
      <c r="K79" s="1526">
        <v>-41759.019999999997</v>
      </c>
      <c r="L79" s="1526">
        <v>-41954.29</v>
      </c>
      <c r="M79" s="1526">
        <v>-42149.56</v>
      </c>
      <c r="N79" s="1526">
        <v>-42344.83</v>
      </c>
      <c r="O79" s="1526">
        <v>-42540.1</v>
      </c>
      <c r="P79"/>
    </row>
    <row r="80" spans="2:16">
      <c r="B80" s="1538">
        <v>2160</v>
      </c>
      <c r="C80" s="1526">
        <v>-929054.12</v>
      </c>
      <c r="D80" s="1526">
        <v>-931433.36</v>
      </c>
      <c r="E80" s="1526">
        <v>-935022.07</v>
      </c>
      <c r="F80" s="1526">
        <v>-935839.89</v>
      </c>
      <c r="G80" s="1526">
        <v>-935712.83</v>
      </c>
      <c r="H80" s="1526">
        <v>-939702.5</v>
      </c>
      <c r="I80" s="1526">
        <v>-944165.05</v>
      </c>
      <c r="J80" s="1526">
        <v>-943342.75</v>
      </c>
      <c r="K80" s="1526">
        <v>-947611.15</v>
      </c>
      <c r="L80" s="1526">
        <v>-947644.69</v>
      </c>
      <c r="M80" s="1526">
        <v>-952152.73</v>
      </c>
      <c r="N80" s="1526">
        <v>-956184.05</v>
      </c>
      <c r="O80" s="1526">
        <v>-959889.39</v>
      </c>
      <c r="P80"/>
    </row>
    <row r="81" spans="2:16">
      <c r="B81" s="1656">
        <v>2165</v>
      </c>
      <c r="C81" s="1526">
        <v>-567.80999999999995</v>
      </c>
      <c r="D81" s="1526">
        <v>-578.67999999999995</v>
      </c>
      <c r="E81" s="1526">
        <v>-589.54999999999995</v>
      </c>
      <c r="F81" s="1526">
        <v>-600.41999999999996</v>
      </c>
      <c r="G81" s="1526">
        <v>-611.29</v>
      </c>
      <c r="H81" s="1526">
        <v>-622.16</v>
      </c>
      <c r="I81" s="1526">
        <v>-633.03</v>
      </c>
      <c r="J81" s="1526">
        <v>-643.9</v>
      </c>
      <c r="K81" s="1526">
        <v>-654.77</v>
      </c>
      <c r="L81" s="1526">
        <v>-665.64</v>
      </c>
      <c r="M81" s="1526">
        <v>-676.51</v>
      </c>
      <c r="N81" s="1526">
        <v>-687.38</v>
      </c>
      <c r="O81" s="1526">
        <v>-698.25</v>
      </c>
      <c r="P81"/>
    </row>
    <row r="82" spans="2:16">
      <c r="B82" s="1538">
        <v>2170</v>
      </c>
      <c r="C82" s="1526">
        <v>31480.2</v>
      </c>
      <c r="D82" s="1526">
        <v>33410.629999999997</v>
      </c>
      <c r="E82" s="1526">
        <v>33254.120000000003</v>
      </c>
      <c r="F82" s="1526">
        <v>36895.65</v>
      </c>
      <c r="G82" s="1526">
        <v>36731.620000000003</v>
      </c>
      <c r="H82" s="1526">
        <v>36567.589999999997</v>
      </c>
      <c r="I82" s="1526">
        <v>36403.56</v>
      </c>
      <c r="J82" s="1526">
        <v>36239.51</v>
      </c>
      <c r="K82" s="1526">
        <v>38179.769999999997</v>
      </c>
      <c r="L82" s="1526">
        <v>38020.730000000003</v>
      </c>
      <c r="M82" s="1526">
        <v>37860.879999999997</v>
      </c>
      <c r="N82" s="1526">
        <v>37700.879999999997</v>
      </c>
      <c r="O82" s="1526">
        <v>37540.879999999997</v>
      </c>
      <c r="P82"/>
    </row>
    <row r="83" spans="2:16">
      <c r="B83" s="1538">
        <v>2180</v>
      </c>
      <c r="C83" s="1526">
        <v>481.46</v>
      </c>
      <c r="D83" s="1526">
        <v>480.84</v>
      </c>
      <c r="E83" s="1526">
        <v>480.22</v>
      </c>
      <c r="F83" s="1526">
        <v>479.6</v>
      </c>
      <c r="G83" s="1526">
        <v>478.98</v>
      </c>
      <c r="H83" s="1526">
        <v>478.36</v>
      </c>
      <c r="I83" s="1526">
        <v>477.74</v>
      </c>
      <c r="J83" s="1526">
        <v>477.12</v>
      </c>
      <c r="K83" s="1526">
        <v>476.5</v>
      </c>
      <c r="L83" s="1526">
        <v>475.88</v>
      </c>
      <c r="M83" s="1526">
        <v>475.26</v>
      </c>
      <c r="N83" s="1526">
        <v>474.64</v>
      </c>
      <c r="O83" s="1526">
        <v>474.02</v>
      </c>
      <c r="P83"/>
    </row>
    <row r="84" spans="2:16">
      <c r="B84" s="1538">
        <v>2190</v>
      </c>
      <c r="C84" s="1526">
        <v>3767.36</v>
      </c>
      <c r="D84" s="1526">
        <v>3760.74</v>
      </c>
      <c r="E84" s="1526">
        <v>3754.12</v>
      </c>
      <c r="F84" s="1526">
        <v>3747.5</v>
      </c>
      <c r="G84" s="1526">
        <v>3740.88</v>
      </c>
      <c r="H84" s="1526">
        <v>3734.26</v>
      </c>
      <c r="I84" s="1526">
        <v>3727.64</v>
      </c>
      <c r="J84" s="1526">
        <v>3721.02</v>
      </c>
      <c r="K84" s="1526">
        <v>3714.4</v>
      </c>
      <c r="L84" s="1526">
        <v>3707.78</v>
      </c>
      <c r="M84" s="1526">
        <v>3701.16</v>
      </c>
      <c r="N84" s="1526">
        <v>3694.54</v>
      </c>
      <c r="O84" s="1526">
        <v>3687.92</v>
      </c>
      <c r="P84"/>
    </row>
    <row r="85" spans="2:16">
      <c r="B85" s="1538">
        <v>2195</v>
      </c>
      <c r="C85" s="1526">
        <v>-2182.61</v>
      </c>
      <c r="D85" s="1526">
        <v>-2222.96</v>
      </c>
      <c r="E85" s="1526">
        <v>-2263.31</v>
      </c>
      <c r="F85" s="1526">
        <v>-2303.66</v>
      </c>
      <c r="G85" s="1526">
        <v>-2344.0100000000002</v>
      </c>
      <c r="H85" s="1526">
        <v>-2384.36</v>
      </c>
      <c r="I85" s="1526">
        <v>-2424.71</v>
      </c>
      <c r="J85" s="1526">
        <v>-2465.06</v>
      </c>
      <c r="K85" s="1526">
        <v>-2505.41</v>
      </c>
      <c r="L85" s="1526">
        <v>-2545.7600000000002</v>
      </c>
      <c r="M85" s="1526">
        <v>-2586.11</v>
      </c>
      <c r="N85" s="1526">
        <v>-2626.46</v>
      </c>
      <c r="O85" s="1526">
        <v>-2666.81</v>
      </c>
      <c r="P85"/>
    </row>
    <row r="86" spans="2:16">
      <c r="B86" s="1538">
        <v>2200</v>
      </c>
      <c r="C86" s="1526">
        <v>-1386.64</v>
      </c>
      <c r="D86" s="1526">
        <v>-1415.94</v>
      </c>
      <c r="E86" s="1526">
        <v>-1445.24</v>
      </c>
      <c r="F86" s="1526">
        <v>-1474.54</v>
      </c>
      <c r="G86" s="1526">
        <v>-1503.84</v>
      </c>
      <c r="H86" s="1526">
        <v>-1533.14</v>
      </c>
      <c r="I86" s="1526">
        <v>-1562.44</v>
      </c>
      <c r="J86" s="1526">
        <v>-1591.93</v>
      </c>
      <c r="K86" s="1526">
        <v>-1621.42</v>
      </c>
      <c r="L86" s="1526">
        <v>-1650.91</v>
      </c>
      <c r="M86" s="1526">
        <v>-1680.4</v>
      </c>
      <c r="N86" s="1526">
        <v>-1709.89</v>
      </c>
      <c r="O86" s="1526">
        <v>-1739.38</v>
      </c>
      <c r="P86"/>
    </row>
    <row r="87" spans="2:16">
      <c r="B87" s="1538">
        <v>2215</v>
      </c>
      <c r="C87" s="1526">
        <v>-6341.29</v>
      </c>
      <c r="D87" s="1526">
        <v>-6392</v>
      </c>
      <c r="E87" s="1526">
        <v>-6442.71</v>
      </c>
      <c r="F87" s="1526">
        <v>-6493.42</v>
      </c>
      <c r="G87" s="1526">
        <v>-6544.13</v>
      </c>
      <c r="H87" s="1526">
        <v>-6594.84</v>
      </c>
      <c r="I87" s="1526">
        <v>-6645.55</v>
      </c>
      <c r="J87" s="1526">
        <v>-6696.26</v>
      </c>
      <c r="K87" s="1526">
        <v>-6746.97</v>
      </c>
      <c r="L87" s="1526">
        <v>-6797.68</v>
      </c>
      <c r="M87" s="1526">
        <v>-6848.39</v>
      </c>
      <c r="N87" s="1526">
        <v>-6991.91</v>
      </c>
      <c r="O87" s="1526">
        <v>-7135.43</v>
      </c>
      <c r="P87"/>
    </row>
    <row r="88" spans="2:16">
      <c r="B88" s="1538">
        <v>2220</v>
      </c>
      <c r="C88" s="1526">
        <v>-3275.29</v>
      </c>
      <c r="D88" s="1526">
        <v>-3291.24</v>
      </c>
      <c r="E88" s="1526">
        <v>-3307.19</v>
      </c>
      <c r="F88" s="1526">
        <v>-3323.14</v>
      </c>
      <c r="G88" s="1526">
        <v>-3339.09</v>
      </c>
      <c r="H88" s="1526">
        <v>-3355.04</v>
      </c>
      <c r="I88" s="1526">
        <v>-3370.99</v>
      </c>
      <c r="J88" s="1526">
        <v>-3386.94</v>
      </c>
      <c r="K88" s="1526">
        <v>-3402.89</v>
      </c>
      <c r="L88" s="1526">
        <v>-3418.84</v>
      </c>
      <c r="M88" s="1526">
        <v>-3434.79</v>
      </c>
      <c r="N88" s="1526">
        <v>-3450.74</v>
      </c>
      <c r="O88" s="1526">
        <v>-3466.69</v>
      </c>
      <c r="P88"/>
    </row>
    <row r="89" spans="2:16">
      <c r="B89" s="1538">
        <v>2230</v>
      </c>
      <c r="C89" s="1526">
        <v>-30415.56</v>
      </c>
      <c r="D89" s="1526">
        <v>-30605.63</v>
      </c>
      <c r="E89" s="1526">
        <v>-30795.68</v>
      </c>
      <c r="F89" s="1526">
        <v>-30986.9</v>
      </c>
      <c r="G89" s="1526">
        <v>-31178.14</v>
      </c>
      <c r="H89" s="1526">
        <v>-31369.37</v>
      </c>
      <c r="I89" s="1526">
        <v>-31560.62</v>
      </c>
      <c r="J89" s="1526">
        <v>-31751.86</v>
      </c>
      <c r="K89" s="1526">
        <v>-31943.1</v>
      </c>
      <c r="L89" s="1526">
        <v>-32134.34</v>
      </c>
      <c r="M89" s="1526">
        <v>-32325.58</v>
      </c>
      <c r="N89" s="1526">
        <v>-32516.82</v>
      </c>
      <c r="O89" s="1526">
        <v>-32708.06</v>
      </c>
      <c r="P89"/>
    </row>
    <row r="90" spans="2:16">
      <c r="B90" s="1538">
        <v>2235</v>
      </c>
      <c r="C90" s="1526">
        <v>-12575.17</v>
      </c>
      <c r="D90" s="1526">
        <v>-12704.66</v>
      </c>
      <c r="E90" s="1526">
        <v>-12834.15</v>
      </c>
      <c r="F90" s="1526">
        <v>-12963.64</v>
      </c>
      <c r="G90" s="1526">
        <v>-13093.13</v>
      </c>
      <c r="H90" s="1526">
        <v>-13222.62</v>
      </c>
      <c r="I90" s="1526">
        <v>-13352.11</v>
      </c>
      <c r="J90" s="1526">
        <v>-13481.6</v>
      </c>
      <c r="K90" s="1526">
        <v>-13611.09</v>
      </c>
      <c r="L90" s="1526">
        <v>-13741.69</v>
      </c>
      <c r="M90" s="1526">
        <v>-13872.29</v>
      </c>
      <c r="N90" s="1526">
        <v>-14002.89</v>
      </c>
      <c r="O90" s="1526">
        <v>-14133.49</v>
      </c>
      <c r="P90"/>
    </row>
    <row r="91" spans="2:16">
      <c r="B91" s="1538">
        <v>2240</v>
      </c>
      <c r="C91" s="1526">
        <v>-1595.22</v>
      </c>
      <c r="D91" s="1526">
        <v>-1607.14</v>
      </c>
      <c r="E91" s="1526">
        <v>1025.33</v>
      </c>
      <c r="F91" s="1526">
        <v>1251.2</v>
      </c>
      <c r="G91" s="1526">
        <v>1231.27</v>
      </c>
      <c r="H91" s="1526">
        <v>1211.3399999999999</v>
      </c>
      <c r="I91" s="1526">
        <v>1191.4100000000001</v>
      </c>
      <c r="J91" s="1526">
        <v>1171.48</v>
      </c>
      <c r="K91" s="1526">
        <v>1151.55</v>
      </c>
      <c r="L91" s="1526">
        <v>1131.6199999999999</v>
      </c>
      <c r="M91" s="1526">
        <v>1111.69</v>
      </c>
      <c r="N91" s="1526">
        <v>1091.76</v>
      </c>
      <c r="O91" s="1526">
        <v>1071.83</v>
      </c>
      <c r="P91"/>
    </row>
    <row r="92" spans="2:16">
      <c r="B92" s="1538">
        <v>2245</v>
      </c>
      <c r="C92" s="1526">
        <v>-654.16999999999996</v>
      </c>
      <c r="D92" s="1526">
        <v>-654.16999999999996</v>
      </c>
      <c r="E92" s="1526">
        <v>-654.16999999999996</v>
      </c>
      <c r="F92" s="1526">
        <v>-654.16999999999996</v>
      </c>
      <c r="G92" s="1526">
        <v>-658.75</v>
      </c>
      <c r="H92" s="1526">
        <v>-663.33</v>
      </c>
      <c r="I92" s="1526">
        <v>-667.91</v>
      </c>
      <c r="J92" s="1526">
        <v>-672.49</v>
      </c>
      <c r="K92" s="1526">
        <v>-677.07</v>
      </c>
      <c r="L92" s="1526">
        <v>-681.65</v>
      </c>
      <c r="M92" s="1526">
        <v>-686.23</v>
      </c>
      <c r="N92" s="1526">
        <v>-690.81</v>
      </c>
      <c r="O92" s="1526">
        <v>-695.39</v>
      </c>
      <c r="P92"/>
    </row>
    <row r="93" spans="2:16">
      <c r="B93" s="1538">
        <v>2250</v>
      </c>
      <c r="C93" s="1526">
        <v>-170.68</v>
      </c>
      <c r="D93" s="1526">
        <v>-178.29</v>
      </c>
      <c r="E93" s="1526">
        <v>-185.9</v>
      </c>
      <c r="F93" s="1526">
        <v>-193.51</v>
      </c>
      <c r="G93" s="1526">
        <v>-201.12</v>
      </c>
      <c r="H93" s="1526">
        <v>-208.73</v>
      </c>
      <c r="I93" s="1526">
        <v>-216.34</v>
      </c>
      <c r="J93" s="1526">
        <v>-223.95</v>
      </c>
      <c r="K93" s="1526">
        <v>-231.56</v>
      </c>
      <c r="L93" s="1526">
        <v>-239.17</v>
      </c>
      <c r="M93" s="1526">
        <v>-246.78</v>
      </c>
      <c r="N93" s="1526">
        <v>-254.39</v>
      </c>
      <c r="O93" s="1526">
        <v>-262</v>
      </c>
      <c r="P93"/>
    </row>
    <row r="94" spans="2:16">
      <c r="B94" s="1656">
        <v>2255</v>
      </c>
      <c r="C94" s="1526">
        <v>1378.7</v>
      </c>
      <c r="D94" s="1526">
        <v>1378.7</v>
      </c>
      <c r="E94" s="1526">
        <v>1378.7</v>
      </c>
      <c r="F94" s="1526">
        <v>1378.7</v>
      </c>
      <c r="G94" s="1526">
        <v>1378.7</v>
      </c>
      <c r="H94" s="1526">
        <v>1378.7</v>
      </c>
      <c r="I94" s="1526">
        <v>1378.7</v>
      </c>
      <c r="J94" s="1526">
        <v>1378.7</v>
      </c>
      <c r="K94" s="1526">
        <v>1378.7</v>
      </c>
      <c r="L94" s="1526">
        <v>1378.7</v>
      </c>
      <c r="M94" s="1526">
        <v>1378.7</v>
      </c>
      <c r="N94" s="1526">
        <v>1378.7</v>
      </c>
      <c r="O94" s="1526">
        <v>1378.7</v>
      </c>
      <c r="P94"/>
    </row>
    <row r="95" spans="2:16">
      <c r="B95" s="1538">
        <v>2285</v>
      </c>
      <c r="C95" s="1526">
        <v>-804.03</v>
      </c>
      <c r="D95" s="1526">
        <v>-822.44</v>
      </c>
      <c r="E95" s="1526">
        <v>-840.85</v>
      </c>
      <c r="F95" s="1526">
        <v>-859.26</v>
      </c>
      <c r="G95" s="1526">
        <v>-878.02</v>
      </c>
      <c r="H95" s="1526">
        <v>-896.78</v>
      </c>
      <c r="I95" s="1526">
        <v>-915.93</v>
      </c>
      <c r="J95" s="1526">
        <v>-935.08</v>
      </c>
      <c r="K95" s="1526">
        <v>-954.23</v>
      </c>
      <c r="L95" s="1526">
        <v>-973.38</v>
      </c>
      <c r="M95" s="1526">
        <v>-992.53</v>
      </c>
      <c r="N95" s="1526">
        <v>-1011.68</v>
      </c>
      <c r="O95" s="1526">
        <v>-1030.83</v>
      </c>
      <c r="P95"/>
    </row>
    <row r="96" spans="2:16">
      <c r="B96" s="1538">
        <v>2300</v>
      </c>
      <c r="C96" s="1526">
        <v>-122304.84</v>
      </c>
      <c r="D96" s="1526">
        <v>-123876.87</v>
      </c>
      <c r="E96" s="1526">
        <v>-124537.96</v>
      </c>
      <c r="F96" s="1526">
        <v>-129844.48</v>
      </c>
      <c r="G96" s="1526">
        <v>-129315.44</v>
      </c>
      <c r="H96" s="1526">
        <v>-130164.48</v>
      </c>
      <c r="I96" s="1526">
        <v>-131106.56</v>
      </c>
      <c r="J96" s="1526">
        <v>-117821.51</v>
      </c>
      <c r="K96" s="1526">
        <v>-118708.26</v>
      </c>
      <c r="L96" s="1526">
        <v>-119757.57</v>
      </c>
      <c r="M96" s="1526">
        <v>-120925.9</v>
      </c>
      <c r="N96" s="1526">
        <v>-121859.65</v>
      </c>
      <c r="O96" s="1526">
        <v>-123096.91</v>
      </c>
      <c r="P96"/>
    </row>
    <row r="97" spans="1:16">
      <c r="B97" s="1538">
        <v>2315</v>
      </c>
      <c r="C97" s="1526">
        <v>31.8</v>
      </c>
      <c r="D97" s="1526">
        <v>34.979999999999997</v>
      </c>
      <c r="E97" s="1526">
        <v>38.159999999999997</v>
      </c>
      <c r="F97" s="1526">
        <v>41.34</v>
      </c>
      <c r="G97" s="1526">
        <v>54.17</v>
      </c>
      <c r="H97" s="1526">
        <v>57.36</v>
      </c>
      <c r="I97" s="1526">
        <v>60.54</v>
      </c>
      <c r="J97" s="1526">
        <v>63.72</v>
      </c>
      <c r="K97" s="1526">
        <v>66.91</v>
      </c>
      <c r="L97" s="1526">
        <v>70.09</v>
      </c>
      <c r="M97" s="1526">
        <v>73.27</v>
      </c>
      <c r="N97" s="1526">
        <v>76.459999999999994</v>
      </c>
      <c r="O97" s="1526">
        <v>79.64</v>
      </c>
      <c r="P97"/>
    </row>
    <row r="98" spans="1:16">
      <c r="B98" s="1538">
        <v>2320</v>
      </c>
      <c r="C98" s="1526">
        <v>-14567.72</v>
      </c>
      <c r="D98" s="1526">
        <v>-14561.79</v>
      </c>
      <c r="E98" s="1526">
        <v>-14425.55</v>
      </c>
      <c r="F98" s="1526">
        <v>-14399.72</v>
      </c>
      <c r="G98" s="1526">
        <v>-14437.99</v>
      </c>
      <c r="H98" s="1526">
        <v>-14420.84</v>
      </c>
      <c r="I98" s="1526">
        <v>-14423.04</v>
      </c>
      <c r="J98" s="1526">
        <v>-14405.87</v>
      </c>
      <c r="K98" s="1526">
        <v>-14386.67</v>
      </c>
      <c r="L98" s="1526">
        <v>-14263.36</v>
      </c>
      <c r="M98" s="1526">
        <v>-14261.11</v>
      </c>
      <c r="N98" s="1526">
        <v>-14243.73</v>
      </c>
      <c r="O98" s="1526">
        <v>-14232.47</v>
      </c>
      <c r="P98"/>
    </row>
    <row r="99" spans="1:16">
      <c r="B99" s="1538">
        <v>2325</v>
      </c>
      <c r="C99" s="1526">
        <v>-47268.82</v>
      </c>
      <c r="D99" s="1526">
        <v>-47779.78</v>
      </c>
      <c r="E99" s="1526">
        <v>-48074.35</v>
      </c>
      <c r="F99" s="1526">
        <v>-48536.480000000003</v>
      </c>
      <c r="G99" s="1526">
        <v>-49136.81</v>
      </c>
      <c r="H99" s="1526">
        <v>-49663.33</v>
      </c>
      <c r="I99" s="1526">
        <v>-50290.93</v>
      </c>
      <c r="J99" s="1526">
        <v>-50899.09</v>
      </c>
      <c r="K99" s="1526">
        <v>-51526.93</v>
      </c>
      <c r="L99" s="1526">
        <v>-51940.56</v>
      </c>
      <c r="M99" s="1526">
        <v>-52623.69</v>
      </c>
      <c r="N99" s="1526">
        <v>-53252.74</v>
      </c>
      <c r="O99" s="1526">
        <v>-53937.74</v>
      </c>
      <c r="P99"/>
    </row>
    <row r="100" spans="1:16">
      <c r="B100" s="1538">
        <v>2330</v>
      </c>
      <c r="C100" s="1526">
        <v>-252348.51</v>
      </c>
      <c r="D100" s="1526">
        <v>-255435.86</v>
      </c>
      <c r="E100" s="1526">
        <v>-256050.83</v>
      </c>
      <c r="F100" s="1526">
        <v>-258779.87</v>
      </c>
      <c r="G100" s="1526">
        <v>-263160.90000000002</v>
      </c>
      <c r="H100" s="1526">
        <v>-266045.52</v>
      </c>
      <c r="I100" s="1526">
        <v>-269009.09000000003</v>
      </c>
      <c r="J100" s="1526">
        <v>-271889.96000000002</v>
      </c>
      <c r="K100" s="1526">
        <v>-274801.07</v>
      </c>
      <c r="L100" s="1526">
        <v>-275485.74</v>
      </c>
      <c r="M100" s="1526">
        <v>-278642.68</v>
      </c>
      <c r="N100" s="1526">
        <v>-281498.21000000002</v>
      </c>
      <c r="O100" s="1526">
        <v>-284270.92</v>
      </c>
      <c r="P100"/>
    </row>
    <row r="101" spans="1:16" ht="15">
      <c r="A101" s="1549"/>
      <c r="B101" s="1538">
        <v>2335</v>
      </c>
      <c r="C101" s="1526">
        <v>-7944.06</v>
      </c>
      <c r="D101" s="1526">
        <v>-7939.95</v>
      </c>
      <c r="E101" s="1526">
        <v>-7868.05</v>
      </c>
      <c r="F101" s="1526">
        <v>-7852.46</v>
      </c>
      <c r="G101" s="1526">
        <v>-7871.24</v>
      </c>
      <c r="H101" s="1526">
        <v>-7861.05</v>
      </c>
      <c r="I101" s="1526">
        <v>-7861.18</v>
      </c>
      <c r="J101" s="1526">
        <v>-7851.34</v>
      </c>
      <c r="K101" s="1526">
        <v>-7840.1</v>
      </c>
      <c r="L101" s="1526">
        <v>-7775.16</v>
      </c>
      <c r="M101" s="1526">
        <v>-7773.07</v>
      </c>
      <c r="N101" s="1526">
        <v>-7762.75</v>
      </c>
      <c r="O101" s="1526">
        <v>-7756.03</v>
      </c>
      <c r="P101"/>
    </row>
    <row r="102" spans="1:16" ht="15">
      <c r="A102" s="1549"/>
      <c r="B102" s="1538"/>
      <c r="C102" s="1526"/>
      <c r="D102" s="1526"/>
      <c r="E102" s="1526"/>
      <c r="F102" s="1526"/>
      <c r="G102" s="1526"/>
      <c r="H102" s="1526"/>
      <c r="I102" s="1526"/>
      <c r="J102" s="1526"/>
      <c r="K102" s="1526"/>
      <c r="L102" s="1526"/>
      <c r="M102" s="1526"/>
      <c r="N102" s="1526"/>
      <c r="O102" s="1526"/>
      <c r="P102"/>
    </row>
    <row r="103" spans="1:16" ht="15">
      <c r="A103" s="1549" t="s">
        <v>2215</v>
      </c>
      <c r="B103" s="1538">
        <v>2620</v>
      </c>
      <c r="C103" s="1526">
        <v>45879.72</v>
      </c>
      <c r="D103" s="1526">
        <v>45879.72</v>
      </c>
      <c r="E103" s="1526">
        <v>45879.72</v>
      </c>
      <c r="F103" s="1526">
        <v>45879.72</v>
      </c>
      <c r="G103" s="1526">
        <v>45879.72</v>
      </c>
      <c r="H103" s="1526">
        <v>45879.72</v>
      </c>
      <c r="I103" s="1526">
        <v>45879.72</v>
      </c>
      <c r="J103" s="1526">
        <v>45879.72</v>
      </c>
      <c r="K103" s="1526">
        <v>45879.72</v>
      </c>
      <c r="L103" s="1526">
        <v>45879.72</v>
      </c>
      <c r="M103" s="1526">
        <v>45879.72</v>
      </c>
      <c r="N103" s="1526">
        <v>45879.72</v>
      </c>
      <c r="O103" s="1526">
        <v>45879.72</v>
      </c>
      <c r="P103"/>
    </row>
    <row r="104" spans="1:16">
      <c r="B104" s="1538">
        <v>2675</v>
      </c>
      <c r="C104" s="1526">
        <v>25391.29</v>
      </c>
      <c r="D104" s="1526">
        <v>12862.86</v>
      </c>
      <c r="E104" s="1526">
        <v>12205.4</v>
      </c>
      <c r="F104" s="1526">
        <v>9497.0400000000009</v>
      </c>
      <c r="G104" s="1526">
        <v>21425.39</v>
      </c>
      <c r="H104" s="1526">
        <v>8063.86</v>
      </c>
      <c r="I104" s="1526">
        <v>13173.16</v>
      </c>
      <c r="J104" s="1526">
        <v>1291.82</v>
      </c>
      <c r="K104" s="1526">
        <v>15849.59</v>
      </c>
      <c r="L104" s="1526">
        <v>535.65</v>
      </c>
      <c r="M104" s="1526">
        <v>15837.3</v>
      </c>
      <c r="N104" s="1526">
        <v>508.28</v>
      </c>
      <c r="O104" s="1526">
        <v>13613.2</v>
      </c>
      <c r="P104"/>
    </row>
    <row r="105" spans="1:16">
      <c r="B105" s="1538">
        <v>2680</v>
      </c>
      <c r="C105" s="1526">
        <v>229392.06</v>
      </c>
      <c r="D105" s="1526">
        <v>217669.75</v>
      </c>
      <c r="E105" s="1526">
        <v>267514.32</v>
      </c>
      <c r="F105" s="1526">
        <v>283009.63</v>
      </c>
      <c r="G105" s="1526">
        <v>265922.46000000002</v>
      </c>
      <c r="H105" s="1526">
        <v>347426.73</v>
      </c>
      <c r="I105" s="1526">
        <v>283498.38</v>
      </c>
      <c r="J105" s="1526">
        <v>277237.43</v>
      </c>
      <c r="K105" s="1526">
        <v>308591.42</v>
      </c>
      <c r="L105" s="1526">
        <v>402074.93</v>
      </c>
      <c r="M105" s="1526">
        <v>350185.19</v>
      </c>
      <c r="N105" s="1526">
        <v>439068.65</v>
      </c>
      <c r="O105" s="1526">
        <v>381913.18</v>
      </c>
      <c r="P105"/>
    </row>
    <row r="106" spans="1:16">
      <c r="B106" s="1538">
        <v>2685</v>
      </c>
      <c r="C106" s="1526">
        <v>6836.18</v>
      </c>
      <c r="D106" s="1526">
        <v>6836.18</v>
      </c>
      <c r="E106" s="1526">
        <v>6836.18</v>
      </c>
      <c r="F106" s="1526">
        <v>6836.18</v>
      </c>
      <c r="G106" s="1526">
        <v>6836.18</v>
      </c>
      <c r="H106" s="1526">
        <v>6836.18</v>
      </c>
      <c r="I106" s="1526">
        <v>6836.18</v>
      </c>
      <c r="J106" s="1526">
        <v>0</v>
      </c>
      <c r="K106" s="1526">
        <v>0</v>
      </c>
      <c r="L106" s="1526">
        <v>0</v>
      </c>
      <c r="M106" s="1526">
        <v>0</v>
      </c>
      <c r="N106" s="1526">
        <v>0</v>
      </c>
      <c r="O106" s="1526">
        <v>0</v>
      </c>
      <c r="P106"/>
    </row>
    <row r="107" spans="1:16">
      <c r="B107" s="1538">
        <v>2690</v>
      </c>
      <c r="C107" s="1526">
        <v>-63</v>
      </c>
      <c r="D107" s="1526">
        <v>-32</v>
      </c>
      <c r="E107" s="1526">
        <v>-50</v>
      </c>
      <c r="F107" s="1526">
        <v>-75</v>
      </c>
      <c r="G107" s="1526">
        <v>-1193</v>
      </c>
      <c r="H107" s="1526">
        <v>-1577</v>
      </c>
      <c r="I107" s="1526">
        <v>-384</v>
      </c>
      <c r="J107" s="1526">
        <v>-254</v>
      </c>
      <c r="K107" s="1526">
        <v>-901</v>
      </c>
      <c r="L107" s="1526">
        <v>-863</v>
      </c>
      <c r="M107" s="1526">
        <v>-686</v>
      </c>
      <c r="N107" s="1526">
        <v>-432</v>
      </c>
      <c r="O107" s="1526">
        <v>-34</v>
      </c>
      <c r="P107"/>
    </row>
    <row r="108" spans="1:16">
      <c r="B108" s="1538">
        <v>2710</v>
      </c>
      <c r="C108" s="1526">
        <v>1838443.95</v>
      </c>
      <c r="D108" s="1526">
        <v>1858529.27</v>
      </c>
      <c r="E108" s="1526">
        <v>1864271.13</v>
      </c>
      <c r="F108" s="1526">
        <v>1794587.1</v>
      </c>
      <c r="G108" s="1526">
        <v>1856995.02</v>
      </c>
      <c r="H108" s="1526">
        <v>1787109.15</v>
      </c>
      <c r="I108" s="1526">
        <v>1878900.43</v>
      </c>
      <c r="J108" s="1526">
        <v>1832393.71</v>
      </c>
      <c r="K108" s="1526">
        <v>1859720</v>
      </c>
      <c r="L108" s="1526">
        <v>1802759.35</v>
      </c>
      <c r="M108" s="1526">
        <v>1891741.56</v>
      </c>
      <c r="N108" s="1526">
        <v>1837238.69</v>
      </c>
      <c r="O108" s="1526">
        <v>1871199.94</v>
      </c>
      <c r="P108"/>
    </row>
    <row r="109" spans="1:16">
      <c r="B109" s="1538">
        <v>2755</v>
      </c>
      <c r="C109" s="1526">
        <v>33974</v>
      </c>
      <c r="D109" s="1526">
        <v>33974</v>
      </c>
      <c r="E109" s="1526">
        <v>33974</v>
      </c>
      <c r="F109" s="1526">
        <v>33974</v>
      </c>
      <c r="G109" s="1526">
        <v>33974</v>
      </c>
      <c r="H109" s="1526">
        <v>33974</v>
      </c>
      <c r="I109" s="1526">
        <v>33974</v>
      </c>
      <c r="J109" s="1526">
        <v>33974</v>
      </c>
      <c r="K109" s="1526">
        <v>33974</v>
      </c>
      <c r="L109" s="1526">
        <v>33974</v>
      </c>
      <c r="M109" s="1526">
        <v>33974</v>
      </c>
      <c r="N109" s="1526">
        <v>33974</v>
      </c>
      <c r="O109" s="1526">
        <v>32691</v>
      </c>
      <c r="P109"/>
    </row>
    <row r="110" spans="1:16">
      <c r="B110" s="1538">
        <v>2775</v>
      </c>
      <c r="C110" s="1526">
        <v>60</v>
      </c>
      <c r="D110" s="1526">
        <v>60</v>
      </c>
      <c r="E110" s="1526">
        <v>60</v>
      </c>
      <c r="F110" s="1526">
        <v>60</v>
      </c>
      <c r="G110" s="1526">
        <v>60</v>
      </c>
      <c r="H110" s="1526">
        <v>60</v>
      </c>
      <c r="I110" s="1526">
        <v>60</v>
      </c>
      <c r="J110" s="1526">
        <v>60</v>
      </c>
      <c r="K110" s="1526">
        <v>60</v>
      </c>
      <c r="L110" s="1526">
        <v>60</v>
      </c>
      <c r="M110" s="1526">
        <v>60</v>
      </c>
      <c r="N110" s="1526">
        <v>60</v>
      </c>
      <c r="O110" s="1526">
        <v>60</v>
      </c>
      <c r="P110"/>
    </row>
    <row r="111" spans="1:16">
      <c r="B111" s="1538">
        <v>2906</v>
      </c>
      <c r="C111" s="1526">
        <v>39157.81</v>
      </c>
      <c r="D111" s="1526">
        <v>39157.81</v>
      </c>
      <c r="E111" s="1526">
        <v>39157.81</v>
      </c>
      <c r="F111" s="1526">
        <v>39157.81</v>
      </c>
      <c r="G111" s="1526">
        <v>39157.81</v>
      </c>
      <c r="H111" s="1526">
        <v>39157.81</v>
      </c>
      <c r="I111" s="1526">
        <v>39157.81</v>
      </c>
      <c r="J111" s="1526">
        <v>39157.81</v>
      </c>
      <c r="K111" s="1526">
        <v>39157.81</v>
      </c>
      <c r="L111" s="1526">
        <v>39157.81</v>
      </c>
      <c r="M111" s="1526">
        <v>39157.81</v>
      </c>
      <c r="N111" s="1526">
        <v>39157.81</v>
      </c>
      <c r="O111" s="1526">
        <v>39157.81</v>
      </c>
      <c r="P111"/>
    </row>
    <row r="112" spans="1:16">
      <c r="B112" s="1538">
        <v>2907</v>
      </c>
      <c r="C112" s="1526">
        <v>24420.5</v>
      </c>
      <c r="D112" s="1526">
        <v>24420.5</v>
      </c>
      <c r="E112" s="1526">
        <v>24420.5</v>
      </c>
      <c r="F112" s="1526">
        <v>24420.5</v>
      </c>
      <c r="G112" s="1526">
        <v>24420.5</v>
      </c>
      <c r="H112" s="1526">
        <v>24420.5</v>
      </c>
      <c r="I112" s="1526">
        <v>24420.5</v>
      </c>
      <c r="J112" s="1526">
        <v>24420.5</v>
      </c>
      <c r="K112" s="1526">
        <v>24420.5</v>
      </c>
      <c r="L112" s="1526">
        <v>24420.5</v>
      </c>
      <c r="M112" s="1526">
        <v>24420.5</v>
      </c>
      <c r="N112" s="1526">
        <v>24420.5</v>
      </c>
      <c r="O112" s="1526">
        <v>24420.5</v>
      </c>
      <c r="P112"/>
    </row>
    <row r="113" spans="1:16">
      <c r="B113" s="1538">
        <v>2908</v>
      </c>
      <c r="C113" s="1526">
        <v>1663.49</v>
      </c>
      <c r="D113" s="1526">
        <v>1663.49</v>
      </c>
      <c r="E113" s="1526">
        <v>1663.49</v>
      </c>
      <c r="F113" s="1526">
        <v>1663.49</v>
      </c>
      <c r="G113" s="1526">
        <v>1663.49</v>
      </c>
      <c r="H113" s="1526">
        <v>1663.49</v>
      </c>
      <c r="I113" s="1526">
        <v>1663.49</v>
      </c>
      <c r="J113" s="1526">
        <v>1663.49</v>
      </c>
      <c r="K113" s="1526">
        <v>1663.49</v>
      </c>
      <c r="L113" s="1526">
        <v>1663.49</v>
      </c>
      <c r="M113" s="1526">
        <v>1663.49</v>
      </c>
      <c r="N113" s="1526">
        <v>1663.49</v>
      </c>
      <c r="O113" s="1526">
        <v>1663.49</v>
      </c>
      <c r="P113"/>
    </row>
    <row r="114" spans="1:16">
      <c r="B114" s="1538">
        <v>2909</v>
      </c>
      <c r="C114" s="1526">
        <v>125.24</v>
      </c>
      <c r="D114" s="1526">
        <v>125.24</v>
      </c>
      <c r="E114" s="1526">
        <v>125.24</v>
      </c>
      <c r="F114" s="1526">
        <v>125.24</v>
      </c>
      <c r="G114" s="1526">
        <v>125.24</v>
      </c>
      <c r="H114" s="1526">
        <v>125.24</v>
      </c>
      <c r="I114" s="1526">
        <v>125.24</v>
      </c>
      <c r="J114" s="1526">
        <v>125.24</v>
      </c>
      <c r="K114" s="1526">
        <v>125.24</v>
      </c>
      <c r="L114" s="1526">
        <v>125.24</v>
      </c>
      <c r="M114" s="1526">
        <v>125.24</v>
      </c>
      <c r="N114" s="1526">
        <v>125.24</v>
      </c>
      <c r="O114" s="1526">
        <v>125.24</v>
      </c>
      <c r="P114"/>
    </row>
    <row r="115" spans="1:16">
      <c r="B115" s="1538">
        <v>2910</v>
      </c>
      <c r="C115" s="1526">
        <v>28113.48</v>
      </c>
      <c r="D115" s="1526">
        <v>28113.48</v>
      </c>
      <c r="E115" s="1526">
        <v>28113.48</v>
      </c>
      <c r="F115" s="1526">
        <v>28113.48</v>
      </c>
      <c r="G115" s="1526">
        <v>28113.48</v>
      </c>
      <c r="H115" s="1526">
        <v>28113.48</v>
      </c>
      <c r="I115" s="1526">
        <v>28113.48</v>
      </c>
      <c r="J115" s="1526">
        <v>28113.48</v>
      </c>
      <c r="K115" s="1526">
        <v>28113.48</v>
      </c>
      <c r="L115" s="1526">
        <v>28113.48</v>
      </c>
      <c r="M115" s="1526">
        <v>28113.48</v>
      </c>
      <c r="N115" s="1526">
        <v>28113.48</v>
      </c>
      <c r="O115" s="1526">
        <v>28113.48</v>
      </c>
      <c r="P115"/>
    </row>
    <row r="116" spans="1:16">
      <c r="B116" s="1538">
        <v>2914</v>
      </c>
      <c r="C116" s="1526">
        <v>-93480.52</v>
      </c>
      <c r="D116" s="1526">
        <v>-93480.52</v>
      </c>
      <c r="E116" s="1526">
        <v>-93480.52</v>
      </c>
      <c r="F116" s="1526">
        <v>-93480.52</v>
      </c>
      <c r="G116" s="1526">
        <v>-93480.52</v>
      </c>
      <c r="H116" s="1526">
        <v>-93480.52</v>
      </c>
      <c r="I116" s="1526">
        <v>-93480.52</v>
      </c>
      <c r="J116" s="1526">
        <v>-93480.52</v>
      </c>
      <c r="K116" s="1526">
        <v>-93480.52</v>
      </c>
      <c r="L116" s="1526">
        <v>-93480.52</v>
      </c>
      <c r="M116" s="1526">
        <v>-93480.52</v>
      </c>
      <c r="N116" s="1526">
        <v>-93480.52</v>
      </c>
      <c r="O116" s="1526">
        <v>-93480.52</v>
      </c>
      <c r="P116"/>
    </row>
    <row r="117" spans="1:16">
      <c r="B117" s="1538">
        <v>2915</v>
      </c>
      <c r="C117" s="1526">
        <v>82038.259999999995</v>
      </c>
      <c r="D117" s="1526">
        <v>82036.02</v>
      </c>
      <c r="E117" s="1526">
        <v>82031.91</v>
      </c>
      <c r="F117" s="1526">
        <v>82021.58</v>
      </c>
      <c r="G117" s="1526">
        <v>82019.240000000005</v>
      </c>
      <c r="H117" s="1526">
        <v>82015.05</v>
      </c>
      <c r="I117" s="1526">
        <v>82012.899999999994</v>
      </c>
      <c r="J117" s="1526">
        <v>82011.490000000005</v>
      </c>
      <c r="K117" s="1526">
        <v>82007.600000000006</v>
      </c>
      <c r="L117" s="1526">
        <v>82005.2</v>
      </c>
      <c r="M117" s="1526">
        <v>82003.88</v>
      </c>
      <c r="N117" s="1526">
        <v>81999.839999999997</v>
      </c>
      <c r="O117" s="1526">
        <v>81998.679999999993</v>
      </c>
      <c r="P117"/>
    </row>
    <row r="118" spans="1:16">
      <c r="B118" s="1538">
        <v>2920</v>
      </c>
      <c r="C118" s="1526">
        <v>102328.6</v>
      </c>
      <c r="D118" s="1526">
        <v>102328.6</v>
      </c>
      <c r="E118" s="1526">
        <v>102328.6</v>
      </c>
      <c r="F118" s="1526">
        <v>102328.6</v>
      </c>
      <c r="G118" s="1526">
        <v>102328.6</v>
      </c>
      <c r="H118" s="1526">
        <v>102328.6</v>
      </c>
      <c r="I118" s="1526">
        <v>102328.6</v>
      </c>
      <c r="J118" s="1526">
        <v>102328.6</v>
      </c>
      <c r="K118" s="1526">
        <v>102328.6</v>
      </c>
      <c r="L118" s="1526">
        <v>102328.6</v>
      </c>
      <c r="M118" s="1526">
        <v>102328.6</v>
      </c>
      <c r="N118" s="1526">
        <v>102328.6</v>
      </c>
      <c r="O118" s="1526">
        <v>102328.6</v>
      </c>
      <c r="P118"/>
    </row>
    <row r="119" spans="1:16">
      <c r="B119" s="1538">
        <v>2930</v>
      </c>
      <c r="C119" s="1526">
        <v>-177421.86</v>
      </c>
      <c r="D119" s="1526">
        <v>-177419.62</v>
      </c>
      <c r="E119" s="1526">
        <v>-177415.51</v>
      </c>
      <c r="F119" s="1526">
        <v>-177405.18</v>
      </c>
      <c r="G119" s="1526">
        <v>-177402.84</v>
      </c>
      <c r="H119" s="1526">
        <v>-177398.65</v>
      </c>
      <c r="I119" s="1526">
        <v>-177396.5</v>
      </c>
      <c r="J119" s="1526">
        <v>-177395.09</v>
      </c>
      <c r="K119" s="1526">
        <v>-177391.2</v>
      </c>
      <c r="L119" s="1526">
        <v>-177388.79999999999</v>
      </c>
      <c r="M119" s="1526">
        <v>-177387.48</v>
      </c>
      <c r="N119" s="1526">
        <v>-177383.44</v>
      </c>
      <c r="O119" s="1526">
        <v>-177382.28</v>
      </c>
      <c r="P119"/>
    </row>
    <row r="120" spans="1:16">
      <c r="B120" s="1656">
        <v>2985</v>
      </c>
      <c r="C120" s="1526">
        <v>10523.9</v>
      </c>
      <c r="D120" s="1526">
        <v>10523.9</v>
      </c>
      <c r="E120" s="1526">
        <v>10523.9</v>
      </c>
      <c r="F120" s="1526">
        <v>10523.9</v>
      </c>
      <c r="G120" s="1526">
        <v>10523.9</v>
      </c>
      <c r="H120" s="1526">
        <v>10523.9</v>
      </c>
      <c r="I120" s="1526">
        <v>10523.9</v>
      </c>
      <c r="J120" s="1526">
        <v>10523.9</v>
      </c>
      <c r="K120" s="1526">
        <v>10523.9</v>
      </c>
      <c r="L120" s="1526">
        <v>10523.9</v>
      </c>
      <c r="M120" s="1526">
        <v>10523.9</v>
      </c>
      <c r="N120" s="1526">
        <v>10523.9</v>
      </c>
      <c r="O120" s="1526">
        <v>10523.9</v>
      </c>
      <c r="P120"/>
    </row>
    <row r="121" spans="1:16">
      <c r="B121" s="1538">
        <v>3040</v>
      </c>
      <c r="C121" s="1526">
        <v>25968.34</v>
      </c>
      <c r="D121" s="1526">
        <v>25968.34</v>
      </c>
      <c r="E121" s="1526">
        <v>25968.34</v>
      </c>
      <c r="F121" s="1526">
        <v>25968.34</v>
      </c>
      <c r="G121" s="1526">
        <v>25968.34</v>
      </c>
      <c r="H121" s="1526">
        <v>25968.34</v>
      </c>
      <c r="I121" s="1526">
        <v>25968.34</v>
      </c>
      <c r="J121" s="1526">
        <v>25968.34</v>
      </c>
      <c r="K121" s="1526">
        <v>25968.34</v>
      </c>
      <c r="L121" s="1526">
        <v>58371.86</v>
      </c>
      <c r="M121" s="1526">
        <v>58371.86</v>
      </c>
      <c r="N121" s="1526">
        <v>58371.86</v>
      </c>
      <c r="O121" s="1526">
        <v>58371.86</v>
      </c>
      <c r="P121"/>
    </row>
    <row r="122" spans="1:16">
      <c r="B122" s="1656">
        <v>3130</v>
      </c>
      <c r="C122" s="1526">
        <v>-4735.76</v>
      </c>
      <c r="D122" s="1526">
        <v>-4735.76</v>
      </c>
      <c r="E122" s="1526">
        <v>-4735.76</v>
      </c>
      <c r="F122" s="1526">
        <v>-4735.76</v>
      </c>
      <c r="G122" s="1526">
        <v>-4735.76</v>
      </c>
      <c r="H122" s="1526">
        <v>-4735.76</v>
      </c>
      <c r="I122" s="1526">
        <v>-4735.76</v>
      </c>
      <c r="J122" s="1526">
        <v>-4735.76</v>
      </c>
      <c r="K122" s="1526">
        <v>-4735.76</v>
      </c>
      <c r="L122" s="1526">
        <v>-4735.76</v>
      </c>
      <c r="M122" s="1526">
        <v>-4735.76</v>
      </c>
      <c r="N122" s="1526">
        <v>-4735.76</v>
      </c>
      <c r="O122" s="1526">
        <v>-4735.76</v>
      </c>
      <c r="P122"/>
    </row>
    <row r="123" spans="1:16">
      <c r="B123" s="1656">
        <v>3140</v>
      </c>
      <c r="C123" s="1526">
        <v>-4565.6400000000003</v>
      </c>
      <c r="D123" s="1526">
        <v>-4740.28</v>
      </c>
      <c r="E123" s="1526">
        <v>-4914.93</v>
      </c>
      <c r="F123" s="1526">
        <v>-5089.57</v>
      </c>
      <c r="G123" s="1526">
        <v>-5264.21</v>
      </c>
      <c r="H123" s="1526">
        <v>-5438.85</v>
      </c>
      <c r="I123" s="1526">
        <v>-5613.5</v>
      </c>
      <c r="J123" s="1526">
        <v>-5788.14</v>
      </c>
      <c r="K123" s="1526">
        <v>-5788.14</v>
      </c>
      <c r="L123" s="1526">
        <v>-5788.14</v>
      </c>
      <c r="M123" s="1526">
        <v>-5788.14</v>
      </c>
      <c r="N123" s="1526">
        <v>-5788.14</v>
      </c>
      <c r="O123" s="1526">
        <v>-5788.14</v>
      </c>
      <c r="P123"/>
    </row>
    <row r="124" spans="1:16">
      <c r="B124" s="1538">
        <v>3195</v>
      </c>
      <c r="C124" s="1526">
        <v>-25968.34</v>
      </c>
      <c r="D124" s="1526">
        <v>-25968.34</v>
      </c>
      <c r="E124" s="1526">
        <v>-25968.34</v>
      </c>
      <c r="F124" s="1526">
        <v>-25968.34</v>
      </c>
      <c r="G124" s="1526">
        <v>-25968.34</v>
      </c>
      <c r="H124" s="1526">
        <v>-25968.34</v>
      </c>
      <c r="I124" s="1526">
        <v>-25968.34</v>
      </c>
      <c r="J124" s="1526">
        <v>-25968.34</v>
      </c>
      <c r="K124" s="1526">
        <v>-25968.34</v>
      </c>
      <c r="L124" s="1526">
        <v>-27601.83</v>
      </c>
      <c r="M124" s="1526">
        <v>-28146.33</v>
      </c>
      <c r="N124" s="1526">
        <v>-28690.83</v>
      </c>
      <c r="O124" s="1526">
        <v>-29235.33</v>
      </c>
      <c r="P124"/>
    </row>
    <row r="125" spans="1:16">
      <c r="B125" s="1538"/>
      <c r="C125" s="1526"/>
      <c r="D125" s="1526"/>
      <c r="E125" s="1526"/>
      <c r="F125" s="1526"/>
      <c r="G125" s="1526"/>
      <c r="H125" s="1526"/>
      <c r="I125" s="1526"/>
      <c r="J125" s="1526"/>
      <c r="K125" s="1526"/>
      <c r="L125" s="1526"/>
      <c r="M125" s="1526"/>
      <c r="N125" s="1526"/>
      <c r="O125" s="1526"/>
      <c r="P125"/>
    </row>
    <row r="126" spans="1:16" ht="15">
      <c r="A126" s="1548" t="s">
        <v>2241</v>
      </c>
      <c r="B126" s="1538">
        <v>3500</v>
      </c>
      <c r="C126" s="1526">
        <v>-55439.19</v>
      </c>
      <c r="D126" s="1526">
        <v>-55439.19</v>
      </c>
      <c r="E126" s="1526">
        <v>-55439.19</v>
      </c>
      <c r="F126" s="1526">
        <v>-55439.19</v>
      </c>
      <c r="G126" s="1526">
        <v>-55439.19</v>
      </c>
      <c r="H126" s="1526">
        <v>-55439.19</v>
      </c>
      <c r="I126" s="1526">
        <v>-55439.19</v>
      </c>
      <c r="J126" s="1526">
        <v>-55439.19</v>
      </c>
      <c r="K126" s="1526">
        <v>-55439.19</v>
      </c>
      <c r="L126" s="1526">
        <v>-55439.19</v>
      </c>
      <c r="M126" s="1526">
        <v>-55439.19</v>
      </c>
      <c r="N126" s="1526">
        <v>-55439.19</v>
      </c>
      <c r="O126" s="1526">
        <v>-55439.19</v>
      </c>
      <c r="P126"/>
    </row>
    <row r="127" spans="1:16">
      <c r="A127" s="1606"/>
      <c r="B127" s="1538">
        <v>3520</v>
      </c>
      <c r="C127" s="1526">
        <v>-1595267.88</v>
      </c>
      <c r="D127" s="1526">
        <v>-1595267.88</v>
      </c>
      <c r="E127" s="1526">
        <v>-1595267.88</v>
      </c>
      <c r="F127" s="1526">
        <v>-1595267.88</v>
      </c>
      <c r="G127" s="1526">
        <v>-1595267.88</v>
      </c>
      <c r="H127" s="1526">
        <v>-1595267.88</v>
      </c>
      <c r="I127" s="1526">
        <v>-1595267.88</v>
      </c>
      <c r="J127" s="1526">
        <v>-1595267.88</v>
      </c>
      <c r="K127" s="1526">
        <v>-1595267.88</v>
      </c>
      <c r="L127" s="1526">
        <v>-1595267.88</v>
      </c>
      <c r="M127" s="1526">
        <v>-1595267.88</v>
      </c>
      <c r="N127" s="1526">
        <v>-1595267.88</v>
      </c>
      <c r="O127" s="1526">
        <v>-1595267.88</v>
      </c>
      <c r="P127"/>
    </row>
    <row r="128" spans="1:16">
      <c r="A128" s="1606"/>
      <c r="B128" s="1538">
        <v>3550</v>
      </c>
      <c r="C128" s="1526">
        <v>-93599.6</v>
      </c>
      <c r="D128" s="1526">
        <v>-93599.6</v>
      </c>
      <c r="E128" s="1526">
        <v>-93599.6</v>
      </c>
      <c r="F128" s="1526">
        <v>-93599.6</v>
      </c>
      <c r="G128" s="1526">
        <v>-93599.6</v>
      </c>
      <c r="H128" s="1526">
        <v>-93599.6</v>
      </c>
      <c r="I128" s="1526">
        <v>-93599.6</v>
      </c>
      <c r="J128" s="1526">
        <v>-93599.6</v>
      </c>
      <c r="K128" s="1526">
        <v>-93599.6</v>
      </c>
      <c r="L128" s="1526">
        <v>-93599.6</v>
      </c>
      <c r="M128" s="1526">
        <v>-93599.6</v>
      </c>
      <c r="N128" s="1526">
        <v>-93599.6</v>
      </c>
      <c r="O128" s="1526">
        <v>-93599.6</v>
      </c>
      <c r="P128"/>
    </row>
    <row r="129" spans="1:16">
      <c r="A129" s="1606"/>
      <c r="B129" s="1538">
        <v>3555</v>
      </c>
      <c r="C129" s="1526">
        <v>-535385.25</v>
      </c>
      <c r="D129" s="1526">
        <v>-535385.25</v>
      </c>
      <c r="E129" s="1526">
        <v>-535385.25</v>
      </c>
      <c r="F129" s="1526">
        <v>-535385.25</v>
      </c>
      <c r="G129" s="1526">
        <v>-535385.25</v>
      </c>
      <c r="H129" s="1526">
        <v>-535385.25</v>
      </c>
      <c r="I129" s="1526">
        <v>-535385.25</v>
      </c>
      <c r="J129" s="1526">
        <v>-535385.25</v>
      </c>
      <c r="K129" s="1526">
        <v>-535385.25</v>
      </c>
      <c r="L129" s="1526">
        <v>-535385.25</v>
      </c>
      <c r="M129" s="1526">
        <v>-535385.25</v>
      </c>
      <c r="N129" s="1526">
        <v>-535385.25</v>
      </c>
      <c r="O129" s="1526">
        <v>-535385.25</v>
      </c>
      <c r="P129"/>
    </row>
    <row r="130" spans="1:16">
      <c r="A130" s="1606"/>
      <c r="B130" s="1538">
        <v>3557</v>
      </c>
      <c r="C130" s="1526">
        <v>-23459.64</v>
      </c>
      <c r="D130" s="1526">
        <v>-23459.64</v>
      </c>
      <c r="E130" s="1526">
        <v>-23459.64</v>
      </c>
      <c r="F130" s="1526">
        <v>-23459.64</v>
      </c>
      <c r="G130" s="1526">
        <v>-23459.64</v>
      </c>
      <c r="H130" s="1526">
        <v>-23459.64</v>
      </c>
      <c r="I130" s="1526">
        <v>-23459.64</v>
      </c>
      <c r="J130" s="1526">
        <v>-23459.64</v>
      </c>
      <c r="K130" s="1526">
        <v>-23459.64</v>
      </c>
      <c r="L130" s="1526">
        <v>-23459.64</v>
      </c>
      <c r="M130" s="1526">
        <v>-23459.64</v>
      </c>
      <c r="N130" s="1526">
        <v>-23459.64</v>
      </c>
      <c r="O130" s="1526">
        <v>-23459.64</v>
      </c>
      <c r="P130"/>
    </row>
    <row r="131" spans="1:16">
      <c r="A131" s="1606"/>
      <c r="B131" s="1538">
        <v>3565</v>
      </c>
      <c r="C131" s="1526">
        <v>-41114.47</v>
      </c>
      <c r="D131" s="1526">
        <v>-41114.47</v>
      </c>
      <c r="E131" s="1526">
        <v>-41114.47</v>
      </c>
      <c r="F131" s="1526">
        <v>-41114.47</v>
      </c>
      <c r="G131" s="1526">
        <v>-41114.47</v>
      </c>
      <c r="H131" s="1526">
        <v>-41114.47</v>
      </c>
      <c r="I131" s="1526">
        <v>-41114.47</v>
      </c>
      <c r="J131" s="1526">
        <v>-41114.47</v>
      </c>
      <c r="K131" s="1526">
        <v>-41114.47</v>
      </c>
      <c r="L131" s="1526">
        <v>-41114.47</v>
      </c>
      <c r="M131" s="1526">
        <v>-41114.47</v>
      </c>
      <c r="N131" s="1526">
        <v>-41114.47</v>
      </c>
      <c r="O131" s="1526">
        <v>-41114.47</v>
      </c>
      <c r="P131"/>
    </row>
    <row r="132" spans="1:16">
      <c r="A132" s="1606"/>
      <c r="B132" s="1656">
        <v>3600</v>
      </c>
      <c r="C132" s="1526">
        <v>-13813.34</v>
      </c>
      <c r="D132" s="1526">
        <v>-13813.34</v>
      </c>
      <c r="E132" s="1526">
        <v>-13813.34</v>
      </c>
      <c r="F132" s="1526">
        <v>-13813.34</v>
      </c>
      <c r="G132" s="1526">
        <v>-13813.34</v>
      </c>
      <c r="H132" s="1526">
        <v>-13813.34</v>
      </c>
      <c r="I132" s="1526">
        <v>-13813.34</v>
      </c>
      <c r="J132" s="1526">
        <v>-13813.34</v>
      </c>
      <c r="K132" s="1526">
        <v>-13813.34</v>
      </c>
      <c r="L132" s="1526">
        <v>-13813.34</v>
      </c>
      <c r="M132" s="1526">
        <v>-13813.34</v>
      </c>
      <c r="N132" s="1526">
        <v>-13813.34</v>
      </c>
      <c r="O132" s="1526">
        <v>-13813.34</v>
      </c>
      <c r="P132"/>
    </row>
    <row r="133" spans="1:16">
      <c r="A133" s="1606"/>
      <c r="B133" s="1538">
        <v>3605</v>
      </c>
      <c r="C133" s="1526">
        <v>-248257.14</v>
      </c>
      <c r="D133" s="1526">
        <v>-248257.14</v>
      </c>
      <c r="E133" s="1526">
        <v>-248257.14</v>
      </c>
      <c r="F133" s="1526">
        <v>-248257.14</v>
      </c>
      <c r="G133" s="1526">
        <v>-248257.14</v>
      </c>
      <c r="H133" s="1526">
        <v>-248257.14</v>
      </c>
      <c r="I133" s="1526">
        <v>-248257.14</v>
      </c>
      <c r="J133" s="1526">
        <v>-248257.14</v>
      </c>
      <c r="K133" s="1526">
        <v>-248257.14</v>
      </c>
      <c r="L133" s="1526">
        <v>-248257.14</v>
      </c>
      <c r="M133" s="1526">
        <v>-248257.14</v>
      </c>
      <c r="N133" s="1526">
        <v>-248257.14</v>
      </c>
      <c r="O133" s="1526">
        <v>-248257.14</v>
      </c>
      <c r="P133"/>
    </row>
    <row r="134" spans="1:16">
      <c r="A134" s="1606"/>
      <c r="B134" s="1538">
        <v>3705</v>
      </c>
      <c r="C134" s="1526">
        <v>-419944.93</v>
      </c>
      <c r="D134" s="1526">
        <v>-419944.93</v>
      </c>
      <c r="E134" s="1526">
        <v>-419944.93</v>
      </c>
      <c r="F134" s="1526">
        <v>-419944.93</v>
      </c>
      <c r="G134" s="1526">
        <v>-419944.93</v>
      </c>
      <c r="H134" s="1526">
        <v>-419986.93</v>
      </c>
      <c r="I134" s="1526">
        <v>-419986.93</v>
      </c>
      <c r="J134" s="1526">
        <v>-419986.93</v>
      </c>
      <c r="K134" s="1526">
        <v>-419986.93</v>
      </c>
      <c r="L134" s="1526">
        <v>-419986.93</v>
      </c>
      <c r="M134" s="1526">
        <v>-419986.93</v>
      </c>
      <c r="N134" s="1526">
        <v>-419965.93</v>
      </c>
      <c r="O134" s="1526">
        <v>-419965.93</v>
      </c>
      <c r="P134"/>
    </row>
    <row r="135" spans="1:16">
      <c r="A135" s="1606"/>
      <c r="B135" s="1538">
        <v>3715</v>
      </c>
      <c r="C135" s="1526">
        <v>-62788.31</v>
      </c>
      <c r="D135" s="1526">
        <v>-62788.31</v>
      </c>
      <c r="E135" s="1526">
        <v>-126544.31</v>
      </c>
      <c r="F135" s="1526">
        <v>-126544.31</v>
      </c>
      <c r="G135" s="1526">
        <v>-126544.31</v>
      </c>
      <c r="H135" s="1526">
        <v>-126544.31</v>
      </c>
      <c r="I135" s="1526">
        <v>-126544.31</v>
      </c>
      <c r="J135" s="1526">
        <v>-126544.31</v>
      </c>
      <c r="K135" s="1526">
        <v>-126544.31</v>
      </c>
      <c r="L135" s="1526">
        <v>-126544.31</v>
      </c>
      <c r="M135" s="1526">
        <v>-126544.31</v>
      </c>
      <c r="N135" s="1526">
        <v>-126544.31</v>
      </c>
      <c r="O135" s="1526">
        <v>-126544.31</v>
      </c>
      <c r="P135"/>
    </row>
    <row r="136" spans="1:16">
      <c r="A136" s="1606"/>
      <c r="B136" s="1538">
        <v>3720</v>
      </c>
      <c r="C136" s="1526">
        <v>-1646.48</v>
      </c>
      <c r="D136" s="1526">
        <v>-1646.48</v>
      </c>
      <c r="E136" s="1526">
        <v>-1646.48</v>
      </c>
      <c r="F136" s="1526">
        <v>-1646.48</v>
      </c>
      <c r="G136" s="1526">
        <v>-1646.48</v>
      </c>
      <c r="H136" s="1526">
        <v>-1646.48</v>
      </c>
      <c r="I136" s="1526">
        <v>-1646.48</v>
      </c>
      <c r="J136" s="1526">
        <v>-1646.48</v>
      </c>
      <c r="K136" s="1526">
        <v>-1646.48</v>
      </c>
      <c r="L136" s="1526">
        <v>-1646.48</v>
      </c>
      <c r="M136" s="1526">
        <v>-1646.48</v>
      </c>
      <c r="N136" s="1526">
        <v>-1646.48</v>
      </c>
      <c r="O136" s="1526">
        <v>-1646.48</v>
      </c>
      <c r="P136"/>
    </row>
    <row r="137" spans="1:16">
      <c r="A137" s="1606"/>
      <c r="B137" s="1538"/>
      <c r="C137" s="1526"/>
      <c r="D137" s="1526"/>
      <c r="E137" s="1526"/>
      <c r="F137" s="1526"/>
      <c r="G137" s="1526"/>
      <c r="H137" s="1526"/>
      <c r="I137" s="1526"/>
      <c r="J137" s="1526"/>
      <c r="K137" s="1526"/>
      <c r="L137" s="1526"/>
      <c r="M137" s="1526"/>
      <c r="N137" s="1526"/>
      <c r="O137" s="1526"/>
      <c r="P137"/>
    </row>
    <row r="138" spans="1:16" ht="15">
      <c r="A138" s="1548" t="s">
        <v>2216</v>
      </c>
      <c r="B138" s="1538">
        <v>4030</v>
      </c>
      <c r="C138" s="1526">
        <v>-11134</v>
      </c>
      <c r="D138" s="1526">
        <v>-11134</v>
      </c>
      <c r="E138" s="1526">
        <v>-11134</v>
      </c>
      <c r="F138" s="1526">
        <v>-11134</v>
      </c>
      <c r="G138" s="1526">
        <v>-11134</v>
      </c>
      <c r="H138" s="1526">
        <v>-11134</v>
      </c>
      <c r="I138" s="1526">
        <v>-11134</v>
      </c>
      <c r="J138" s="1526">
        <v>-11134</v>
      </c>
      <c r="K138" s="1526">
        <v>-11134</v>
      </c>
      <c r="L138" s="1526">
        <v>-11134</v>
      </c>
      <c r="M138" s="1526">
        <v>-11134</v>
      </c>
      <c r="N138" s="1526">
        <v>-11134</v>
      </c>
      <c r="O138" s="1526">
        <v>-11134</v>
      </c>
      <c r="P138"/>
    </row>
    <row r="139" spans="1:16">
      <c r="B139" s="1538">
        <v>4050</v>
      </c>
      <c r="C139" s="1526">
        <v>25570.6</v>
      </c>
      <c r="D139" s="1526">
        <v>25755.4</v>
      </c>
      <c r="E139" s="1526">
        <v>25940.2</v>
      </c>
      <c r="F139" s="1526">
        <v>26125</v>
      </c>
      <c r="G139" s="1526">
        <v>26309.8</v>
      </c>
      <c r="H139" s="1526">
        <v>26494.6</v>
      </c>
      <c r="I139" s="1526">
        <v>26679.4</v>
      </c>
      <c r="J139" s="1526">
        <v>26864.2</v>
      </c>
      <c r="K139" s="1526">
        <v>27049</v>
      </c>
      <c r="L139" s="1526">
        <v>27233.8</v>
      </c>
      <c r="M139" s="1526">
        <v>27418.6</v>
      </c>
      <c r="N139" s="1526">
        <v>27603.4</v>
      </c>
      <c r="O139" s="1526">
        <v>27788.2</v>
      </c>
      <c r="P139"/>
    </row>
    <row r="140" spans="1:16">
      <c r="B140" s="1538">
        <v>4070</v>
      </c>
      <c r="C140" s="1526">
        <v>1843044.2</v>
      </c>
      <c r="D140" s="1526">
        <v>1847209.39</v>
      </c>
      <c r="E140" s="1526">
        <v>1851374.58</v>
      </c>
      <c r="F140" s="1526">
        <v>1855539.77</v>
      </c>
      <c r="G140" s="1526">
        <v>1859704.96</v>
      </c>
      <c r="H140" s="1526">
        <v>1863870.15</v>
      </c>
      <c r="I140" s="1526">
        <v>1868035.34</v>
      </c>
      <c r="J140" s="1526">
        <v>1872200.53</v>
      </c>
      <c r="K140" s="1526">
        <v>1876365.72</v>
      </c>
      <c r="L140" s="1526">
        <v>1880530.91</v>
      </c>
      <c r="M140" s="1526">
        <v>1884696.1</v>
      </c>
      <c r="N140" s="1526">
        <v>1888861.29</v>
      </c>
      <c r="O140" s="1526">
        <v>1893026.48</v>
      </c>
      <c r="P140"/>
    </row>
    <row r="141" spans="1:16">
      <c r="B141" s="1538">
        <v>4100</v>
      </c>
      <c r="C141" s="1526">
        <v>23314.7</v>
      </c>
      <c r="D141" s="1526">
        <v>23574.7</v>
      </c>
      <c r="E141" s="1526">
        <v>23834.7</v>
      </c>
      <c r="F141" s="1526">
        <v>24094.7</v>
      </c>
      <c r="G141" s="1526">
        <v>24354.7</v>
      </c>
      <c r="H141" s="1526">
        <v>24614.7</v>
      </c>
      <c r="I141" s="1526">
        <v>24874.7</v>
      </c>
      <c r="J141" s="1526">
        <v>25134.7</v>
      </c>
      <c r="K141" s="1526">
        <v>25394.7</v>
      </c>
      <c r="L141" s="1526">
        <v>25654.7</v>
      </c>
      <c r="M141" s="1526">
        <v>25914.7</v>
      </c>
      <c r="N141" s="1526">
        <v>26174.7</v>
      </c>
      <c r="O141" s="1526">
        <v>26434.7</v>
      </c>
      <c r="P141"/>
    </row>
    <row r="142" spans="1:16">
      <c r="B142" s="1538">
        <v>4105</v>
      </c>
      <c r="C142" s="1526">
        <v>137712.72</v>
      </c>
      <c r="D142" s="1526">
        <v>138702.34</v>
      </c>
      <c r="E142" s="1526">
        <v>139691.96</v>
      </c>
      <c r="F142" s="1526">
        <v>140681.57999999999</v>
      </c>
      <c r="G142" s="1526">
        <v>141671.20000000001</v>
      </c>
      <c r="H142" s="1526">
        <v>142660.82</v>
      </c>
      <c r="I142" s="1526">
        <v>143650.44</v>
      </c>
      <c r="J142" s="1526">
        <v>144640.06</v>
      </c>
      <c r="K142" s="1526">
        <v>145629.68</v>
      </c>
      <c r="L142" s="1526">
        <v>146619.29999999999</v>
      </c>
      <c r="M142" s="1526">
        <v>147608.92000000001</v>
      </c>
      <c r="N142" s="1526">
        <v>148598.54</v>
      </c>
      <c r="O142" s="1526">
        <v>149588.16</v>
      </c>
      <c r="P142"/>
    </row>
    <row r="143" spans="1:16">
      <c r="B143" s="1538">
        <v>4107</v>
      </c>
      <c r="C143" s="1526">
        <v>6902.72</v>
      </c>
      <c r="D143" s="1526">
        <v>6946.08</v>
      </c>
      <c r="E143" s="1526">
        <v>6989.44</v>
      </c>
      <c r="F143" s="1526">
        <v>7032.8</v>
      </c>
      <c r="G143" s="1526">
        <v>7076.16</v>
      </c>
      <c r="H143" s="1526">
        <v>7119.52</v>
      </c>
      <c r="I143" s="1526">
        <v>7162.88</v>
      </c>
      <c r="J143" s="1526">
        <v>7206.24</v>
      </c>
      <c r="K143" s="1526">
        <v>7249.6</v>
      </c>
      <c r="L143" s="1526">
        <v>7292.96</v>
      </c>
      <c r="M143" s="1526">
        <v>7336.32</v>
      </c>
      <c r="N143" s="1526">
        <v>7379.68</v>
      </c>
      <c r="O143" s="1526">
        <v>7423.04</v>
      </c>
      <c r="P143"/>
    </row>
    <row r="144" spans="1:16">
      <c r="B144" s="1538">
        <v>4115</v>
      </c>
      <c r="C144" s="1526">
        <v>13324.07</v>
      </c>
      <c r="D144" s="1526">
        <v>13438.28</v>
      </c>
      <c r="E144" s="1526">
        <v>13552.49</v>
      </c>
      <c r="F144" s="1526">
        <v>13666.7</v>
      </c>
      <c r="G144" s="1526">
        <v>13780.91</v>
      </c>
      <c r="H144" s="1526">
        <v>13895.12</v>
      </c>
      <c r="I144" s="1526">
        <v>14009.33</v>
      </c>
      <c r="J144" s="1526">
        <v>14123.54</v>
      </c>
      <c r="K144" s="1526">
        <v>14237.75</v>
      </c>
      <c r="L144" s="1526">
        <v>14351.96</v>
      </c>
      <c r="M144" s="1526">
        <v>14466.17</v>
      </c>
      <c r="N144" s="1526">
        <v>14580.38</v>
      </c>
      <c r="O144" s="1526">
        <v>14694.59</v>
      </c>
      <c r="P144"/>
    </row>
    <row r="145" spans="1:16">
      <c r="B145" s="1656">
        <v>4150</v>
      </c>
      <c r="C145" s="1526">
        <v>8092.11</v>
      </c>
      <c r="D145" s="1526">
        <v>8156.06</v>
      </c>
      <c r="E145" s="1526">
        <v>8220.01</v>
      </c>
      <c r="F145" s="1526">
        <v>8283.9599999999991</v>
      </c>
      <c r="G145" s="1526">
        <v>8347.91</v>
      </c>
      <c r="H145" s="1526">
        <v>8411.86</v>
      </c>
      <c r="I145" s="1526">
        <v>8475.81</v>
      </c>
      <c r="J145" s="1526">
        <v>8539.76</v>
      </c>
      <c r="K145" s="1526">
        <v>8603.7099999999991</v>
      </c>
      <c r="L145" s="1526">
        <v>8667.66</v>
      </c>
      <c r="M145" s="1526">
        <v>8731.61</v>
      </c>
      <c r="N145" s="1526">
        <v>8795.56</v>
      </c>
      <c r="O145" s="1526">
        <v>8859.51</v>
      </c>
      <c r="P145"/>
    </row>
    <row r="146" spans="1:16">
      <c r="B146" s="1538">
        <v>4155</v>
      </c>
      <c r="C146" s="1526">
        <v>138938.81</v>
      </c>
      <c r="D146" s="1526">
        <v>140088.15</v>
      </c>
      <c r="E146" s="1526">
        <v>141237.49</v>
      </c>
      <c r="F146" s="1526">
        <v>142386.82999999999</v>
      </c>
      <c r="G146" s="1526">
        <v>143536.17000000001</v>
      </c>
      <c r="H146" s="1526">
        <v>144685.51</v>
      </c>
      <c r="I146" s="1526">
        <v>145834.85</v>
      </c>
      <c r="J146" s="1526">
        <v>146984.19</v>
      </c>
      <c r="K146" s="1526">
        <v>148133.53</v>
      </c>
      <c r="L146" s="1526">
        <v>149282.87</v>
      </c>
      <c r="M146" s="1526">
        <v>150432.21</v>
      </c>
      <c r="N146" s="1526">
        <v>151581.54999999999</v>
      </c>
      <c r="O146" s="1526">
        <v>152730.89000000001</v>
      </c>
      <c r="P146"/>
    </row>
    <row r="147" spans="1:16">
      <c r="B147" s="1538">
        <v>4265</v>
      </c>
      <c r="C147" s="1526">
        <v>118976.43</v>
      </c>
      <c r="D147" s="1526">
        <v>119851.31</v>
      </c>
      <c r="E147" s="1526">
        <v>120726.19</v>
      </c>
      <c r="F147" s="1526">
        <v>121601.07</v>
      </c>
      <c r="G147" s="1526">
        <v>122475.95</v>
      </c>
      <c r="H147" s="1526">
        <v>123350.91</v>
      </c>
      <c r="I147" s="1526">
        <v>124225.87</v>
      </c>
      <c r="J147" s="1526">
        <v>125100.83</v>
      </c>
      <c r="K147" s="1526">
        <v>125975.79</v>
      </c>
      <c r="L147" s="1526">
        <v>126850.75</v>
      </c>
      <c r="M147" s="1526">
        <v>127725.71</v>
      </c>
      <c r="N147" s="1526">
        <v>128600.63</v>
      </c>
      <c r="O147" s="1526">
        <v>129475.55</v>
      </c>
      <c r="P147"/>
    </row>
    <row r="148" spans="1:16">
      <c r="B148" s="1538">
        <v>4275</v>
      </c>
      <c r="C148" s="1526">
        <v>5432.07</v>
      </c>
      <c r="D148" s="1526">
        <v>5562.88</v>
      </c>
      <c r="E148" s="1526">
        <v>5826.51</v>
      </c>
      <c r="F148" s="1526">
        <v>6090.14</v>
      </c>
      <c r="G148" s="1526">
        <v>6353.77</v>
      </c>
      <c r="H148" s="1526">
        <v>6617.4</v>
      </c>
      <c r="I148" s="1526">
        <v>6881.03</v>
      </c>
      <c r="J148" s="1526">
        <v>7144.66</v>
      </c>
      <c r="K148" s="1526">
        <v>7408.29</v>
      </c>
      <c r="L148" s="1526">
        <v>7671.92</v>
      </c>
      <c r="M148" s="1526">
        <v>7935.55</v>
      </c>
      <c r="N148" s="1526">
        <v>8199.18</v>
      </c>
      <c r="O148" s="1526">
        <v>8462.81</v>
      </c>
      <c r="P148"/>
    </row>
    <row r="149" spans="1:16" ht="15">
      <c r="A149" s="1549"/>
      <c r="B149" s="1538">
        <v>4280</v>
      </c>
      <c r="C149" s="1526">
        <v>321.17</v>
      </c>
      <c r="D149" s="1526">
        <v>324.60000000000002</v>
      </c>
      <c r="E149" s="1526">
        <v>328.03</v>
      </c>
      <c r="F149" s="1526">
        <v>331.46</v>
      </c>
      <c r="G149" s="1526">
        <v>334.89</v>
      </c>
      <c r="H149" s="1526">
        <v>338.32</v>
      </c>
      <c r="I149" s="1526">
        <v>341.75</v>
      </c>
      <c r="J149" s="1526">
        <v>345.18</v>
      </c>
      <c r="K149" s="1526">
        <v>348.61</v>
      </c>
      <c r="L149" s="1526">
        <v>352.04</v>
      </c>
      <c r="M149" s="1526">
        <v>355.47</v>
      </c>
      <c r="N149" s="1526">
        <v>358.9</v>
      </c>
      <c r="O149" s="1526">
        <v>362.33</v>
      </c>
      <c r="P149"/>
    </row>
    <row r="150" spans="1:16" ht="15">
      <c r="A150" s="1549"/>
      <c r="B150" s="1538"/>
      <c r="C150" s="1526"/>
      <c r="D150" s="1526"/>
      <c r="E150" s="1526"/>
      <c r="F150" s="1526"/>
      <c r="G150" s="1526"/>
      <c r="H150" s="1526"/>
      <c r="I150" s="1526"/>
      <c r="J150" s="1526"/>
      <c r="K150" s="1526"/>
      <c r="L150" s="1526"/>
      <c r="M150" s="1526"/>
      <c r="N150" s="1526"/>
      <c r="O150" s="1526"/>
      <c r="P150"/>
    </row>
    <row r="151" spans="1:16" ht="15">
      <c r="A151" s="1549" t="s">
        <v>2217</v>
      </c>
      <c r="B151" s="1656">
        <v>4367</v>
      </c>
      <c r="C151" s="1526"/>
      <c r="D151" s="1526"/>
      <c r="E151" s="1526"/>
      <c r="F151" s="1526"/>
      <c r="G151" s="1526"/>
      <c r="H151" s="1526"/>
      <c r="I151" s="1526"/>
      <c r="J151" s="1526"/>
      <c r="K151" s="1526"/>
      <c r="L151" s="1526"/>
      <c r="M151" s="1526"/>
      <c r="N151" s="1526"/>
      <c r="O151" s="1526">
        <v>-3018.16</v>
      </c>
      <c r="P151"/>
    </row>
    <row r="152" spans="1:16">
      <c r="B152" s="1538">
        <v>4369</v>
      </c>
      <c r="C152" s="1526">
        <v>60354</v>
      </c>
      <c r="D152" s="1526">
        <v>60354</v>
      </c>
      <c r="E152" s="1526">
        <v>60354</v>
      </c>
      <c r="F152" s="1526">
        <v>60354</v>
      </c>
      <c r="G152" s="1526">
        <v>60354</v>
      </c>
      <c r="H152" s="1526">
        <v>60354</v>
      </c>
      <c r="I152" s="1526">
        <v>60354</v>
      </c>
      <c r="J152" s="1526">
        <v>60354</v>
      </c>
      <c r="K152" s="1526">
        <v>60354</v>
      </c>
      <c r="L152" s="1526">
        <v>60354</v>
      </c>
      <c r="M152" s="1526">
        <v>60354</v>
      </c>
      <c r="N152" s="1526">
        <v>60354</v>
      </c>
      <c r="O152" s="1526">
        <v>60354</v>
      </c>
      <c r="P152"/>
    </row>
    <row r="153" spans="1:16">
      <c r="B153" s="1538">
        <v>4371</v>
      </c>
      <c r="C153" s="1526">
        <v>127326.48</v>
      </c>
      <c r="D153" s="1526">
        <v>127326.48</v>
      </c>
      <c r="E153" s="1526">
        <v>127326.48</v>
      </c>
      <c r="F153" s="1526">
        <v>127326.48</v>
      </c>
      <c r="G153" s="1526">
        <v>127326.48</v>
      </c>
      <c r="H153" s="1526">
        <v>127326.48</v>
      </c>
      <c r="I153" s="1526">
        <v>127326.48</v>
      </c>
      <c r="J153" s="1526">
        <v>127326.48</v>
      </c>
      <c r="K153" s="1526">
        <v>127326.48</v>
      </c>
      <c r="L153" s="1526">
        <v>127326.48</v>
      </c>
      <c r="M153" s="1526">
        <v>127326.48</v>
      </c>
      <c r="N153" s="1526">
        <v>127326.48</v>
      </c>
      <c r="O153" s="1526">
        <v>127326.48</v>
      </c>
      <c r="P153"/>
    </row>
    <row r="154" spans="1:16">
      <c r="B154" s="1538">
        <v>4375</v>
      </c>
      <c r="C154" s="1526">
        <v>426.77</v>
      </c>
      <c r="D154" s="1526">
        <v>426.77</v>
      </c>
      <c r="E154" s="1526">
        <v>426.77</v>
      </c>
      <c r="F154" s="1526">
        <v>426.77</v>
      </c>
      <c r="G154" s="1526">
        <v>426.77</v>
      </c>
      <c r="H154" s="1526">
        <v>426.77</v>
      </c>
      <c r="I154" s="1526">
        <v>426.77</v>
      </c>
      <c r="J154" s="1526">
        <v>426.77</v>
      </c>
      <c r="K154" s="1526">
        <v>426.77</v>
      </c>
      <c r="L154" s="1526">
        <v>426.77</v>
      </c>
      <c r="M154" s="1526">
        <v>426.77</v>
      </c>
      <c r="N154" s="1526">
        <v>426.77</v>
      </c>
      <c r="O154" s="1526">
        <v>426.77</v>
      </c>
      <c r="P154"/>
    </row>
    <row r="155" spans="1:16">
      <c r="B155" s="1538">
        <v>4377</v>
      </c>
      <c r="C155" s="1526">
        <v>-2556.4699999999998</v>
      </c>
      <c r="D155" s="1526">
        <v>-2556.4699999999998</v>
      </c>
      <c r="E155" s="1526">
        <v>-2556.4699999999998</v>
      </c>
      <c r="F155" s="1526">
        <v>-2556.4699999999998</v>
      </c>
      <c r="G155" s="1526">
        <v>-2556.4699999999998</v>
      </c>
      <c r="H155" s="1526">
        <v>-2556.4699999999998</v>
      </c>
      <c r="I155" s="1526">
        <v>-2556.4699999999998</v>
      </c>
      <c r="J155" s="1526">
        <v>-2556.4699999999998</v>
      </c>
      <c r="K155" s="1526">
        <v>-2556.4699999999998</v>
      </c>
      <c r="L155" s="1526">
        <v>-2556.4699999999998</v>
      </c>
      <c r="M155" s="1526">
        <v>-2556.4699999999998</v>
      </c>
      <c r="N155" s="1526">
        <v>-2556.4699999999998</v>
      </c>
      <c r="O155" s="1526">
        <v>-11745.05</v>
      </c>
      <c r="P155"/>
    </row>
    <row r="156" spans="1:16">
      <c r="B156" s="1538">
        <v>4383</v>
      </c>
      <c r="C156" s="1526">
        <v>-3931.39</v>
      </c>
      <c r="D156" s="1526">
        <v>-3931.39</v>
      </c>
      <c r="E156" s="1526">
        <v>-3931.39</v>
      </c>
      <c r="F156" s="1526">
        <v>-3931.39</v>
      </c>
      <c r="G156" s="1526">
        <v>-3931.39</v>
      </c>
      <c r="H156" s="1526">
        <v>-3931.39</v>
      </c>
      <c r="I156" s="1526">
        <v>-3931.39</v>
      </c>
      <c r="J156" s="1526">
        <v>-3931.39</v>
      </c>
      <c r="K156" s="1526">
        <v>-3931.39</v>
      </c>
      <c r="L156" s="1526">
        <v>-3931.39</v>
      </c>
      <c r="M156" s="1526">
        <v>-3931.39</v>
      </c>
      <c r="N156" s="1526">
        <v>-3931.39</v>
      </c>
      <c r="O156" s="1526">
        <v>-3919.78</v>
      </c>
      <c r="P156"/>
    </row>
    <row r="157" spans="1:16">
      <c r="B157" s="1538">
        <v>4385</v>
      </c>
      <c r="C157" s="1526">
        <v>923</v>
      </c>
      <c r="D157" s="1526">
        <v>923</v>
      </c>
      <c r="E157" s="1526">
        <v>923</v>
      </c>
      <c r="F157" s="1526">
        <v>923</v>
      </c>
      <c r="G157" s="1526">
        <v>923</v>
      </c>
      <c r="H157" s="1526">
        <v>923</v>
      </c>
      <c r="I157" s="1526">
        <v>923</v>
      </c>
      <c r="J157" s="1526">
        <v>923</v>
      </c>
      <c r="K157" s="1526">
        <v>923</v>
      </c>
      <c r="L157" s="1526">
        <v>923</v>
      </c>
      <c r="M157" s="1526">
        <v>923</v>
      </c>
      <c r="N157" s="1526">
        <v>923</v>
      </c>
      <c r="O157" s="1526">
        <v>913.45</v>
      </c>
      <c r="P157"/>
    </row>
    <row r="158" spans="1:16">
      <c r="B158" s="1538">
        <v>4387</v>
      </c>
      <c r="C158" s="1526">
        <v>-131594.54</v>
      </c>
      <c r="D158" s="1526">
        <v>-131594.54</v>
      </c>
      <c r="E158" s="1526">
        <v>-131533.93</v>
      </c>
      <c r="F158" s="1526">
        <v>-131524.13</v>
      </c>
      <c r="G158" s="1526">
        <v>-131540.24</v>
      </c>
      <c r="H158" s="1526">
        <v>-131533.09</v>
      </c>
      <c r="I158" s="1526">
        <v>-131533.81</v>
      </c>
      <c r="J158" s="1526">
        <v>-131526.14000000001</v>
      </c>
      <c r="K158" s="1526">
        <v>-131518.03</v>
      </c>
      <c r="L158" s="1526">
        <v>-131465.37</v>
      </c>
      <c r="M158" s="1526">
        <v>-131464.04</v>
      </c>
      <c r="N158" s="1526">
        <v>-131456.73000000001</v>
      </c>
      <c r="O158" s="1526">
        <v>-216314.99</v>
      </c>
      <c r="P158"/>
    </row>
    <row r="159" spans="1:16">
      <c r="B159" s="1538">
        <v>4389</v>
      </c>
      <c r="C159" s="1526">
        <v>-121436.74</v>
      </c>
      <c r="D159" s="1526">
        <v>-121436.77</v>
      </c>
      <c r="E159" s="1526">
        <v>-121437.38</v>
      </c>
      <c r="F159" s="1526">
        <v>-121437.48</v>
      </c>
      <c r="G159" s="1526">
        <v>-121437.31</v>
      </c>
      <c r="H159" s="1526">
        <v>-121437.38</v>
      </c>
      <c r="I159" s="1526">
        <v>-121437.38</v>
      </c>
      <c r="J159" s="1526">
        <v>-121437.46</v>
      </c>
      <c r="K159" s="1526">
        <v>-121437.54</v>
      </c>
      <c r="L159" s="1526">
        <v>-121438.09</v>
      </c>
      <c r="M159" s="1526">
        <v>-121438.11</v>
      </c>
      <c r="N159" s="1526">
        <v>-121438.19</v>
      </c>
      <c r="O159" s="1526">
        <v>-122029.39</v>
      </c>
      <c r="P159"/>
    </row>
    <row r="160" spans="1:16">
      <c r="B160" s="1538">
        <v>4417</v>
      </c>
      <c r="C160" s="1526">
        <v>-7769.47</v>
      </c>
      <c r="D160" s="1526">
        <v>-7769.47</v>
      </c>
      <c r="E160" s="1526">
        <v>-7769.49</v>
      </c>
      <c r="F160" s="1526">
        <v>-7769.5</v>
      </c>
      <c r="G160" s="1526">
        <v>-7769.49</v>
      </c>
      <c r="H160" s="1526">
        <v>-7769.49</v>
      </c>
      <c r="I160" s="1526">
        <v>-7769.49</v>
      </c>
      <c r="J160" s="1526">
        <v>-7769.5</v>
      </c>
      <c r="K160" s="1526">
        <v>-7769.5</v>
      </c>
      <c r="L160" s="1526">
        <v>-7769.52</v>
      </c>
      <c r="M160" s="1526">
        <v>-7769.52</v>
      </c>
      <c r="N160" s="1526">
        <v>-7769.53</v>
      </c>
      <c r="O160" s="1526">
        <v>-7803.28</v>
      </c>
      <c r="P160"/>
    </row>
    <row r="161" spans="2:16">
      <c r="B161" s="1663">
        <v>4419</v>
      </c>
      <c r="C161" s="1526">
        <v>10327</v>
      </c>
      <c r="D161" s="1526">
        <v>10327</v>
      </c>
      <c r="E161" s="1526">
        <v>10327</v>
      </c>
      <c r="F161" s="1526">
        <v>10327</v>
      </c>
      <c r="G161" s="1526">
        <v>10327</v>
      </c>
      <c r="H161" s="1526">
        <v>10327</v>
      </c>
      <c r="I161" s="1526">
        <v>10327</v>
      </c>
      <c r="J161" s="1526">
        <v>10327</v>
      </c>
      <c r="K161" s="1526">
        <v>10327</v>
      </c>
      <c r="L161" s="1526">
        <v>10327</v>
      </c>
      <c r="M161" s="1526">
        <v>10327</v>
      </c>
      <c r="N161" s="1526">
        <v>10327</v>
      </c>
      <c r="O161" s="1526">
        <v>10327</v>
      </c>
      <c r="P161"/>
    </row>
    <row r="162" spans="2:16">
      <c r="B162" s="1538">
        <v>4421</v>
      </c>
      <c r="C162" s="1526">
        <v>21795.34</v>
      </c>
      <c r="D162" s="1526">
        <v>21795.34</v>
      </c>
      <c r="E162" s="1526">
        <v>21795.34</v>
      </c>
      <c r="F162" s="1526">
        <v>21795.34</v>
      </c>
      <c r="G162" s="1526">
        <v>21795.34</v>
      </c>
      <c r="H162" s="1526">
        <v>21795.34</v>
      </c>
      <c r="I162" s="1526">
        <v>21795.34</v>
      </c>
      <c r="J162" s="1526">
        <v>21795.34</v>
      </c>
      <c r="K162" s="1526">
        <v>21795.34</v>
      </c>
      <c r="L162" s="1526">
        <v>21795.34</v>
      </c>
      <c r="M162" s="1526">
        <v>21795.34</v>
      </c>
      <c r="N162" s="1526">
        <v>21795.34</v>
      </c>
      <c r="O162" s="1526">
        <v>21795.34</v>
      </c>
      <c r="P162"/>
    </row>
    <row r="163" spans="2:16">
      <c r="B163" s="1538">
        <v>4425</v>
      </c>
      <c r="C163" s="1526">
        <v>70.88</v>
      </c>
      <c r="D163" s="1526">
        <v>70.88</v>
      </c>
      <c r="E163" s="1526">
        <v>70.88</v>
      </c>
      <c r="F163" s="1526">
        <v>70.88</v>
      </c>
      <c r="G163" s="1526">
        <v>70.88</v>
      </c>
      <c r="H163" s="1526">
        <v>70.88</v>
      </c>
      <c r="I163" s="1526">
        <v>70.88</v>
      </c>
      <c r="J163" s="1526">
        <v>70.88</v>
      </c>
      <c r="K163" s="1526">
        <v>70.88</v>
      </c>
      <c r="L163" s="1526">
        <v>70.88</v>
      </c>
      <c r="M163" s="1526">
        <v>70.88</v>
      </c>
      <c r="N163" s="1526">
        <v>70.88</v>
      </c>
      <c r="O163" s="1526">
        <v>70.88</v>
      </c>
      <c r="P163"/>
    </row>
    <row r="164" spans="2:16">
      <c r="B164" s="1538">
        <v>4427</v>
      </c>
      <c r="C164" s="1526">
        <v>-439.06</v>
      </c>
      <c r="D164" s="1526">
        <v>-439.06</v>
      </c>
      <c r="E164" s="1526">
        <v>-439.06</v>
      </c>
      <c r="F164" s="1526">
        <v>-439.06</v>
      </c>
      <c r="G164" s="1526">
        <v>-439.06</v>
      </c>
      <c r="H164" s="1526">
        <v>-439.06</v>
      </c>
      <c r="I164" s="1526">
        <v>-439.06</v>
      </c>
      <c r="J164" s="1526">
        <v>-439.06</v>
      </c>
      <c r="K164" s="1526">
        <v>-439.06</v>
      </c>
      <c r="L164" s="1526">
        <v>-439.06</v>
      </c>
      <c r="M164" s="1526">
        <v>-439.06</v>
      </c>
      <c r="N164" s="1526">
        <v>-439.06</v>
      </c>
      <c r="O164" s="1526">
        <v>-2100</v>
      </c>
      <c r="P164"/>
    </row>
    <row r="165" spans="2:16">
      <c r="B165" s="1538">
        <v>4433</v>
      </c>
      <c r="C165" s="1526">
        <v>1213.17</v>
      </c>
      <c r="D165" s="1526">
        <v>1213.17</v>
      </c>
      <c r="E165" s="1526">
        <v>1213.17</v>
      </c>
      <c r="F165" s="1526">
        <v>1213.17</v>
      </c>
      <c r="G165" s="1526">
        <v>1213.17</v>
      </c>
      <c r="H165" s="1526">
        <v>1213.17</v>
      </c>
      <c r="I165" s="1526">
        <v>1213.17</v>
      </c>
      <c r="J165" s="1526">
        <v>1213.17</v>
      </c>
      <c r="K165" s="1526">
        <v>1213.17</v>
      </c>
      <c r="L165" s="1526">
        <v>1213.17</v>
      </c>
      <c r="M165" s="1526">
        <v>1213.17</v>
      </c>
      <c r="N165" s="1526">
        <v>1213.17</v>
      </c>
      <c r="O165" s="1526">
        <v>1215.27</v>
      </c>
      <c r="P165"/>
    </row>
    <row r="166" spans="2:16">
      <c r="B166" s="1538">
        <v>4435</v>
      </c>
      <c r="C166" s="1526">
        <v>158</v>
      </c>
      <c r="D166" s="1526">
        <v>158</v>
      </c>
      <c r="E166" s="1526">
        <v>158</v>
      </c>
      <c r="F166" s="1526">
        <v>158</v>
      </c>
      <c r="G166" s="1526">
        <v>158</v>
      </c>
      <c r="H166" s="1526">
        <v>158</v>
      </c>
      <c r="I166" s="1526">
        <v>158</v>
      </c>
      <c r="J166" s="1526">
        <v>158</v>
      </c>
      <c r="K166" s="1526">
        <v>158</v>
      </c>
      <c r="L166" s="1526">
        <v>158</v>
      </c>
      <c r="M166" s="1526">
        <v>158</v>
      </c>
      <c r="N166" s="1526">
        <v>158</v>
      </c>
      <c r="O166" s="1526">
        <v>156.27000000000001</v>
      </c>
      <c r="P166"/>
    </row>
    <row r="167" spans="2:16">
      <c r="B167" s="1538">
        <v>4437</v>
      </c>
      <c r="C167" s="1526">
        <v>27616.880000000001</v>
      </c>
      <c r="D167" s="1526">
        <v>27616.959999999999</v>
      </c>
      <c r="E167" s="1526">
        <v>27618.47</v>
      </c>
      <c r="F167" s="1526">
        <v>27618.73</v>
      </c>
      <c r="G167" s="1526">
        <v>27618.31</v>
      </c>
      <c r="H167" s="1526">
        <v>27618.5</v>
      </c>
      <c r="I167" s="1526">
        <v>27618.48</v>
      </c>
      <c r="J167" s="1526">
        <v>27618.68</v>
      </c>
      <c r="K167" s="1526">
        <v>27618.89</v>
      </c>
      <c r="L167" s="1526">
        <v>27620.27</v>
      </c>
      <c r="M167" s="1526">
        <v>27620.31</v>
      </c>
      <c r="N167" s="1526">
        <v>27620.5</v>
      </c>
      <c r="O167" s="1526">
        <v>21224.03</v>
      </c>
      <c r="P167"/>
    </row>
    <row r="168" spans="2:16">
      <c r="B168" s="1663">
        <v>4439</v>
      </c>
      <c r="C168" s="1526">
        <v>-4875</v>
      </c>
      <c r="D168" s="1526">
        <v>-4875</v>
      </c>
      <c r="E168" s="1526">
        <v>-4875</v>
      </c>
      <c r="F168" s="1526">
        <v>-4875</v>
      </c>
      <c r="G168" s="1526">
        <v>-4875</v>
      </c>
      <c r="H168" s="1526">
        <v>-4875</v>
      </c>
      <c r="I168" s="1526">
        <v>-4875</v>
      </c>
      <c r="J168" s="1526">
        <v>-4875</v>
      </c>
      <c r="K168" s="1526">
        <v>-4875</v>
      </c>
      <c r="L168" s="1526">
        <v>-4875</v>
      </c>
      <c r="M168" s="1526">
        <v>-4875</v>
      </c>
      <c r="N168" s="1526">
        <v>-4875</v>
      </c>
      <c r="O168" s="1526">
        <v>-14552.35</v>
      </c>
      <c r="P168"/>
    </row>
    <row r="169" spans="2:16">
      <c r="B169" s="1538">
        <v>4515</v>
      </c>
      <c r="C169" s="1526">
        <v>-10830.95</v>
      </c>
      <c r="D169" s="1526">
        <v>-13562.67</v>
      </c>
      <c r="E169" s="1526">
        <v>-3153.65</v>
      </c>
      <c r="F169" s="1526">
        <v>-11197.5</v>
      </c>
      <c r="G169" s="1526">
        <v>-206.53</v>
      </c>
      <c r="H169" s="1526">
        <v>-4025</v>
      </c>
      <c r="I169" s="1526">
        <v>-14571.78</v>
      </c>
      <c r="J169" s="1526">
        <v>-7248.44</v>
      </c>
      <c r="K169" s="1526">
        <v>-14697.26</v>
      </c>
      <c r="L169" s="1526">
        <v>-30091.23</v>
      </c>
      <c r="M169" s="1526">
        <v>-8312.85</v>
      </c>
      <c r="N169" s="1526">
        <v>-5347.5</v>
      </c>
      <c r="O169" s="1526">
        <v>-13170.57</v>
      </c>
      <c r="P169"/>
    </row>
    <row r="170" spans="2:16">
      <c r="B170" s="1538">
        <v>4525</v>
      </c>
      <c r="C170" s="1526">
        <v>-41470.86</v>
      </c>
      <c r="D170" s="1526">
        <v>-9850.98</v>
      </c>
      <c r="E170" s="1526">
        <v>-11556.79</v>
      </c>
      <c r="F170" s="1526">
        <v>-5930.8</v>
      </c>
      <c r="G170" s="1526">
        <v>-9517.61</v>
      </c>
      <c r="H170" s="1526">
        <v>-7866.07</v>
      </c>
      <c r="I170" s="1526">
        <v>-21644.7</v>
      </c>
      <c r="J170" s="1526">
        <v>-10854.83</v>
      </c>
      <c r="K170" s="1526">
        <v>-10845.47</v>
      </c>
      <c r="L170" s="1526">
        <v>-6515.41</v>
      </c>
      <c r="M170" s="1526">
        <v>-7102.26</v>
      </c>
      <c r="N170" s="1526">
        <v>-7921.78</v>
      </c>
      <c r="O170" s="1526">
        <v>-50777.01</v>
      </c>
      <c r="P170"/>
    </row>
    <row r="171" spans="2:16">
      <c r="B171" s="1538">
        <v>4527</v>
      </c>
      <c r="C171" s="1526">
        <v>-7202.79</v>
      </c>
      <c r="D171" s="1526">
        <v>-261934.96</v>
      </c>
      <c r="E171" s="1526">
        <v>-274244.52</v>
      </c>
      <c r="F171" s="1526">
        <v>-272468.94</v>
      </c>
      <c r="G171" s="1526">
        <v>-290390.06</v>
      </c>
      <c r="H171" s="1526">
        <v>-14487.92</v>
      </c>
      <c r="I171" s="1526">
        <v>-259143.63</v>
      </c>
      <c r="J171" s="1526">
        <v>-280764.75</v>
      </c>
      <c r="K171" s="1526">
        <v>-297921.67</v>
      </c>
      <c r="L171" s="1526">
        <v>-15133.8</v>
      </c>
      <c r="M171" s="1526">
        <v>-46854.55</v>
      </c>
      <c r="N171" s="1526">
        <v>-57141.31</v>
      </c>
      <c r="O171" s="1526">
        <v>-45965.36</v>
      </c>
      <c r="P171"/>
    </row>
    <row r="172" spans="2:16">
      <c r="B172" s="1538">
        <v>4535</v>
      </c>
      <c r="C172" s="1526">
        <v>178082.21</v>
      </c>
      <c r="D172" s="1526">
        <v>178082.21</v>
      </c>
      <c r="E172" s="1526">
        <v>178082.21</v>
      </c>
      <c r="F172" s="1526">
        <v>178082.21</v>
      </c>
      <c r="G172" s="1526">
        <v>178082.21</v>
      </c>
      <c r="H172" s="1526">
        <v>178082.21</v>
      </c>
      <c r="I172" s="1526">
        <v>178082.21</v>
      </c>
      <c r="J172" s="1526">
        <v>178082.21</v>
      </c>
      <c r="K172" s="1526">
        <v>178082.21</v>
      </c>
      <c r="L172" s="1526">
        <v>178082.21</v>
      </c>
      <c r="M172" s="1526">
        <v>178082.21</v>
      </c>
      <c r="N172" s="1526">
        <v>178082.21</v>
      </c>
      <c r="O172" s="1526">
        <v>178082.21</v>
      </c>
      <c r="P172"/>
    </row>
    <row r="173" spans="2:16">
      <c r="B173" s="1538">
        <v>4545</v>
      </c>
      <c r="C173" s="1526">
        <v>8721.8799999999992</v>
      </c>
      <c r="D173" s="1526">
        <v>8721.8799999999992</v>
      </c>
      <c r="E173" s="1526">
        <v>8721.8799999999992</v>
      </c>
      <c r="F173" s="1526">
        <v>8721.8799999999992</v>
      </c>
      <c r="G173" s="1526">
        <v>8721.8799999999992</v>
      </c>
      <c r="H173" s="1526">
        <v>8721.8799999999992</v>
      </c>
      <c r="I173" s="1526">
        <v>8721.8799999999992</v>
      </c>
      <c r="J173" s="1526">
        <v>14358.06</v>
      </c>
      <c r="K173" s="1526">
        <v>15558.06</v>
      </c>
      <c r="L173" s="1526">
        <v>15558.06</v>
      </c>
      <c r="M173" s="1526">
        <v>0</v>
      </c>
      <c r="N173" s="1526">
        <v>0</v>
      </c>
      <c r="O173" s="1526">
        <v>0</v>
      </c>
      <c r="P173"/>
    </row>
    <row r="174" spans="2:16">
      <c r="B174" s="1538">
        <v>4565</v>
      </c>
      <c r="C174" s="1526">
        <v>-477238.98</v>
      </c>
      <c r="D174" s="1526">
        <v>-477238.98</v>
      </c>
      <c r="E174" s="1526">
        <v>-477238.98</v>
      </c>
      <c r="F174" s="1526">
        <v>-477238.98</v>
      </c>
      <c r="G174" s="1526">
        <v>-477238.98</v>
      </c>
      <c r="H174" s="1526">
        <v>-477238.98</v>
      </c>
      <c r="I174" s="1526">
        <v>-477238.98</v>
      </c>
      <c r="J174" s="1526">
        <v>-477238.98</v>
      </c>
      <c r="K174" s="1526">
        <v>-477238.98</v>
      </c>
      <c r="L174" s="1526">
        <v>-477238.98</v>
      </c>
      <c r="M174" s="1526">
        <v>-477238.98</v>
      </c>
      <c r="N174" s="1526">
        <v>-477238.98</v>
      </c>
      <c r="O174" s="1526">
        <v>-477238.98</v>
      </c>
      <c r="P174"/>
    </row>
    <row r="175" spans="2:16">
      <c r="B175" s="1538">
        <v>4612</v>
      </c>
      <c r="C175" s="1526">
        <v>0</v>
      </c>
      <c r="D175" s="1526">
        <v>35628.769999999997</v>
      </c>
      <c r="E175" s="1526">
        <v>28161.5</v>
      </c>
      <c r="F175" s="1526">
        <v>15394.57</v>
      </c>
      <c r="G175" s="1526">
        <v>12259.18</v>
      </c>
      <c r="H175" s="1526">
        <v>-358.13</v>
      </c>
      <c r="I175" s="1526">
        <v>-8314.3799999999992</v>
      </c>
      <c r="J175" s="1526">
        <v>27578.3</v>
      </c>
      <c r="K175" s="1526">
        <v>19622.13</v>
      </c>
      <c r="L175" s="1526">
        <v>11665.56</v>
      </c>
      <c r="M175" s="1526">
        <v>3710.46</v>
      </c>
      <c r="N175" s="1526">
        <v>5574.84</v>
      </c>
      <c r="O175" s="1526">
        <v>0</v>
      </c>
      <c r="P175"/>
    </row>
    <row r="176" spans="2:16">
      <c r="B176" s="1538">
        <v>4614</v>
      </c>
      <c r="C176" s="1526">
        <v>-36177.4</v>
      </c>
      <c r="D176" s="1526">
        <v>-36177.4</v>
      </c>
      <c r="E176" s="1526">
        <v>-36177.4</v>
      </c>
      <c r="F176" s="1526">
        <v>-36177.4</v>
      </c>
      <c r="G176" s="1526">
        <v>-36177.4</v>
      </c>
      <c r="H176" s="1526">
        <v>-36177.4</v>
      </c>
      <c r="I176" s="1526">
        <v>-36177.4</v>
      </c>
      <c r="J176" s="1526">
        <v>-36177.4</v>
      </c>
      <c r="K176" s="1526">
        <v>-36177.4</v>
      </c>
      <c r="L176" s="1526">
        <v>-36177.4</v>
      </c>
      <c r="M176" s="1526">
        <v>-36177.4</v>
      </c>
      <c r="N176" s="1526">
        <v>-36177.4</v>
      </c>
      <c r="O176" s="1526">
        <v>-41353</v>
      </c>
      <c r="P176"/>
    </row>
    <row r="177" spans="1:16">
      <c r="B177" s="1538">
        <v>4628</v>
      </c>
      <c r="C177" s="1526">
        <v>-927.97</v>
      </c>
      <c r="D177" s="1526">
        <v>-927.53</v>
      </c>
      <c r="E177" s="1526">
        <v>-918.17</v>
      </c>
      <c r="F177" s="1526">
        <v>-916.59</v>
      </c>
      <c r="G177" s="1526">
        <v>-919.19</v>
      </c>
      <c r="H177" s="1526">
        <v>-918.03</v>
      </c>
      <c r="I177" s="1526">
        <v>-918.15</v>
      </c>
      <c r="J177" s="1526">
        <v>-916.91</v>
      </c>
      <c r="K177" s="1526">
        <v>-915.6</v>
      </c>
      <c r="L177" s="1526">
        <v>-907.09</v>
      </c>
      <c r="M177" s="1526">
        <v>-906.87</v>
      </c>
      <c r="N177" s="1526">
        <v>-905.69</v>
      </c>
      <c r="O177" s="1526">
        <v>-944.85</v>
      </c>
      <c r="P177"/>
    </row>
    <row r="178" spans="1:16">
      <c r="B178" s="1538">
        <v>4634</v>
      </c>
      <c r="C178" s="1526">
        <v>-9.68</v>
      </c>
      <c r="D178" s="1526">
        <v>-9.68</v>
      </c>
      <c r="E178" s="1526">
        <v>-9.68</v>
      </c>
      <c r="F178" s="1526">
        <v>-9.68</v>
      </c>
      <c r="G178" s="1526">
        <v>-9.68</v>
      </c>
      <c r="H178" s="1526">
        <v>-9.68</v>
      </c>
      <c r="I178" s="1526">
        <v>-9.68</v>
      </c>
      <c r="J178" s="1526">
        <v>-9.68</v>
      </c>
      <c r="K178" s="1526">
        <v>-9.68</v>
      </c>
      <c r="L178" s="1526">
        <v>-9.68</v>
      </c>
      <c r="M178" s="1526">
        <v>-9.68</v>
      </c>
      <c r="N178" s="1526">
        <v>-9.68</v>
      </c>
      <c r="O178" s="1526">
        <v>-9.68</v>
      </c>
      <c r="P178"/>
    </row>
    <row r="179" spans="1:16">
      <c r="B179" s="1538">
        <v>4635</v>
      </c>
      <c r="C179" s="1526">
        <v>-145.1</v>
      </c>
      <c r="D179" s="1526">
        <v>-1.38</v>
      </c>
      <c r="E179" s="1526">
        <v>-10.19</v>
      </c>
      <c r="F179" s="1526">
        <v>-10.73</v>
      </c>
      <c r="G179" s="1526">
        <v>-19.79</v>
      </c>
      <c r="H179" s="1526">
        <v>-40.28</v>
      </c>
      <c r="I179" s="1526">
        <v>-53.88</v>
      </c>
      <c r="J179" s="1526">
        <v>-65.55</v>
      </c>
      <c r="K179" s="1526">
        <v>-70.77</v>
      </c>
      <c r="L179" s="1526">
        <v>-76.180000000000007</v>
      </c>
      <c r="M179" s="1526">
        <v>-98.49</v>
      </c>
      <c r="N179" s="1526">
        <v>-105.99</v>
      </c>
      <c r="O179" s="1526">
        <v>-114.95</v>
      </c>
      <c r="P179"/>
    </row>
    <row r="180" spans="1:16">
      <c r="B180" s="1538">
        <v>4659</v>
      </c>
      <c r="C180" s="1526">
        <v>-75556</v>
      </c>
      <c r="D180" s="1526">
        <v>-75556</v>
      </c>
      <c r="E180" s="1526">
        <v>-75556</v>
      </c>
      <c r="F180" s="1526">
        <v>-75556</v>
      </c>
      <c r="G180" s="1526">
        <v>-75556</v>
      </c>
      <c r="H180" s="1526">
        <v>-75556</v>
      </c>
      <c r="I180" s="1526">
        <v>-75556</v>
      </c>
      <c r="J180" s="1526">
        <v>-75556</v>
      </c>
      <c r="K180" s="1526">
        <v>-75556</v>
      </c>
      <c r="L180" s="1526">
        <v>-75556</v>
      </c>
      <c r="M180" s="1526">
        <v>-75556</v>
      </c>
      <c r="N180" s="1526">
        <v>-75556</v>
      </c>
      <c r="O180" s="1526">
        <v>-75556</v>
      </c>
      <c r="P180"/>
    </row>
    <row r="181" spans="1:16">
      <c r="B181" s="1538">
        <v>4661</v>
      </c>
      <c r="C181" s="1526">
        <v>12807.31</v>
      </c>
      <c r="D181" s="1526">
        <v>12807.31</v>
      </c>
      <c r="E181" s="1526">
        <v>12806.41</v>
      </c>
      <c r="F181" s="1526">
        <v>12815.28</v>
      </c>
      <c r="G181" s="1526">
        <v>12815.54</v>
      </c>
      <c r="H181" s="1526">
        <v>12815.43</v>
      </c>
      <c r="I181" s="1526">
        <v>12815.44</v>
      </c>
      <c r="J181" s="1526">
        <v>12815.31</v>
      </c>
      <c r="K181" s="1526">
        <v>12815.18</v>
      </c>
      <c r="L181" s="1526">
        <v>14114.31</v>
      </c>
      <c r="M181" s="1526">
        <v>14114.29</v>
      </c>
      <c r="N181" s="1526">
        <v>14114.17</v>
      </c>
      <c r="O181" s="1526">
        <v>9633.2900000000009</v>
      </c>
      <c r="P181"/>
    </row>
    <row r="182" spans="1:16">
      <c r="B182" s="1538">
        <v>4685</v>
      </c>
      <c r="C182" s="1526"/>
      <c r="D182" s="1526"/>
      <c r="E182" s="1526"/>
      <c r="F182" s="1526"/>
      <c r="G182" s="1526"/>
      <c r="H182" s="1526"/>
      <c r="I182" s="1526"/>
      <c r="J182" s="1526"/>
      <c r="K182" s="1526"/>
      <c r="L182" s="1526"/>
      <c r="M182" s="1526"/>
      <c r="N182" s="1526"/>
      <c r="O182" s="1526">
        <v>-0.5</v>
      </c>
      <c r="P182"/>
    </row>
    <row r="183" spans="1:16">
      <c r="B183" s="1538">
        <v>4760</v>
      </c>
      <c r="C183" s="1526">
        <v>-500</v>
      </c>
      <c r="D183" s="1526">
        <v>-500</v>
      </c>
      <c r="E183" s="1526">
        <v>-500</v>
      </c>
      <c r="F183" s="1526">
        <v>-500</v>
      </c>
      <c r="G183" s="1526">
        <v>-500</v>
      </c>
      <c r="H183" s="1526">
        <v>-500</v>
      </c>
      <c r="I183" s="1526">
        <v>-500</v>
      </c>
      <c r="J183" s="1526">
        <v>-500</v>
      </c>
      <c r="K183" s="1526">
        <v>-500</v>
      </c>
      <c r="L183" s="1526">
        <v>-500</v>
      </c>
      <c r="M183" s="1526">
        <v>-500</v>
      </c>
      <c r="N183" s="1526">
        <v>-500</v>
      </c>
      <c r="O183" s="1526">
        <v>-500</v>
      </c>
      <c r="P183"/>
    </row>
    <row r="184" spans="1:16">
      <c r="B184" s="1538">
        <v>4780</v>
      </c>
      <c r="C184" s="1526">
        <v>-831818</v>
      </c>
      <c r="D184" s="1526">
        <v>-831818</v>
      </c>
      <c r="E184" s="1526">
        <v>-831818</v>
      </c>
      <c r="F184" s="1526">
        <v>-831818</v>
      </c>
      <c r="G184" s="1526">
        <v>-831818</v>
      </c>
      <c r="H184" s="1526">
        <v>-831818</v>
      </c>
      <c r="I184" s="1526">
        <v>-831818</v>
      </c>
      <c r="J184" s="1526">
        <v>-831818</v>
      </c>
      <c r="K184" s="1526">
        <v>-831818</v>
      </c>
      <c r="L184" s="1526">
        <v>-831818</v>
      </c>
      <c r="M184" s="1526">
        <v>-831818</v>
      </c>
      <c r="N184" s="1526">
        <v>-831818</v>
      </c>
      <c r="O184" s="1526">
        <v>-831818</v>
      </c>
      <c r="P184"/>
    </row>
    <row r="185" spans="1:16" ht="15">
      <c r="A185" s="1549"/>
      <c r="B185" s="1538">
        <v>4785</v>
      </c>
      <c r="C185" s="1526">
        <v>-4078483.01</v>
      </c>
      <c r="D185" s="1526">
        <v>-4078483.01</v>
      </c>
      <c r="E185" s="1526">
        <v>-4078483.01</v>
      </c>
      <c r="F185" s="1526">
        <v>-4078483.01</v>
      </c>
      <c r="G185" s="1526">
        <v>-4078483.01</v>
      </c>
      <c r="H185" s="1526">
        <v>-4078483.01</v>
      </c>
      <c r="I185" s="1526">
        <v>-4078483.01</v>
      </c>
      <c r="J185" s="1526">
        <v>-4078483.01</v>
      </c>
      <c r="K185" s="1526">
        <v>-4078483.01</v>
      </c>
      <c r="L185" s="1526">
        <v>-4078483.01</v>
      </c>
      <c r="M185" s="1526">
        <v>-4078483.01</v>
      </c>
      <c r="N185" s="1526">
        <v>-4078483.01</v>
      </c>
      <c r="O185" s="1526">
        <v>-4078483.01</v>
      </c>
      <c r="P185"/>
    </row>
    <row r="186" spans="1:16" ht="15">
      <c r="A186" s="1572"/>
      <c r="B186" s="1538">
        <v>4998</v>
      </c>
      <c r="C186" s="1526">
        <v>180006.89</v>
      </c>
      <c r="D186" s="1526">
        <v>-89945.56</v>
      </c>
      <c r="E186" s="1526">
        <v>-89945.56</v>
      </c>
      <c r="F186" s="1526">
        <v>-89945.56</v>
      </c>
      <c r="G186" s="1526">
        <v>-89945.56</v>
      </c>
      <c r="H186" s="1526">
        <v>-89945.56</v>
      </c>
      <c r="I186" s="1526">
        <v>-89945.56</v>
      </c>
      <c r="J186" s="1526">
        <v>-89945.56</v>
      </c>
      <c r="K186" s="1526">
        <v>-89945.56</v>
      </c>
      <c r="L186" s="1526">
        <v>-89945.56</v>
      </c>
      <c r="M186" s="1526">
        <v>-89945.56</v>
      </c>
      <c r="N186" s="1526">
        <v>-89945.56</v>
      </c>
      <c r="O186" s="1526">
        <v>-89945.56</v>
      </c>
      <c r="P186"/>
    </row>
    <row r="187" spans="1:16" ht="15">
      <c r="A187" s="1572"/>
      <c r="B187" s="1538"/>
      <c r="C187" s="1526"/>
      <c r="D187" s="1526"/>
      <c r="E187" s="1526"/>
      <c r="F187" s="1526"/>
      <c r="G187" s="1526"/>
      <c r="H187" s="1526"/>
      <c r="I187" s="1526"/>
      <c r="J187" s="1526"/>
      <c r="K187" s="1526"/>
      <c r="L187" s="1526"/>
      <c r="M187" s="1526"/>
      <c r="N187" s="1526"/>
      <c r="O187" s="1526"/>
      <c r="P187"/>
    </row>
    <row r="188" spans="1:16" ht="15">
      <c r="A188" s="1549" t="s">
        <v>2218</v>
      </c>
      <c r="B188" s="1538">
        <v>5100</v>
      </c>
      <c r="C188" s="1526">
        <v>-1701915.33</v>
      </c>
      <c r="D188" s="1526">
        <v>-169856.58</v>
      </c>
      <c r="E188" s="1526">
        <v>-278964.89</v>
      </c>
      <c r="F188" s="1526">
        <v>-408961.74</v>
      </c>
      <c r="G188" s="1526">
        <v>-574813.69999999995</v>
      </c>
      <c r="H188" s="1526">
        <v>-654218.16</v>
      </c>
      <c r="I188" s="1526">
        <v>-866717.32</v>
      </c>
      <c r="J188" s="1526">
        <v>-1034318.55</v>
      </c>
      <c r="K188" s="1526">
        <v>-1149805.01</v>
      </c>
      <c r="L188" s="1526">
        <v>-1217525.22</v>
      </c>
      <c r="M188" s="1526">
        <v>-1414595.41</v>
      </c>
      <c r="N188" s="1526">
        <v>-1486852.28</v>
      </c>
      <c r="O188" s="1526">
        <v>-1692197.19</v>
      </c>
      <c r="P188"/>
    </row>
    <row r="189" spans="1:16" ht="15">
      <c r="A189" s="1572" t="s">
        <v>2240</v>
      </c>
      <c r="B189" s="1538">
        <v>5105</v>
      </c>
      <c r="C189" s="1526">
        <v>-116378.9</v>
      </c>
      <c r="D189" s="1526">
        <v>11722.31</v>
      </c>
      <c r="E189" s="1526">
        <v>-38122.26</v>
      </c>
      <c r="F189" s="1526">
        <v>-53617.57</v>
      </c>
      <c r="G189" s="1526">
        <v>-36530.400000000001</v>
      </c>
      <c r="H189" s="1526">
        <v>-118034.67</v>
      </c>
      <c r="I189" s="1526">
        <v>-54106.32</v>
      </c>
      <c r="J189" s="1526">
        <v>-47845.37</v>
      </c>
      <c r="K189" s="1526">
        <v>-79199.360000000001</v>
      </c>
      <c r="L189" s="1526">
        <v>-172682.87</v>
      </c>
      <c r="M189" s="1526">
        <v>-120793.13</v>
      </c>
      <c r="N189" s="1526">
        <v>-209676.59</v>
      </c>
      <c r="O189" s="1526">
        <v>-152521.12</v>
      </c>
      <c r="P189"/>
    </row>
    <row r="190" spans="1:16">
      <c r="B190" s="1538">
        <v>5125</v>
      </c>
      <c r="C190" s="1526">
        <v>-380.04</v>
      </c>
      <c r="D190" s="1526"/>
      <c r="E190" s="1526"/>
      <c r="F190" s="1526">
        <v>-63.43</v>
      </c>
      <c r="G190" s="1526">
        <v>-126.86</v>
      </c>
      <c r="H190" s="1526">
        <v>-126.86</v>
      </c>
      <c r="I190" s="1526">
        <v>-190.29</v>
      </c>
      <c r="J190" s="1526">
        <v>-190.29</v>
      </c>
      <c r="K190" s="1526">
        <v>-253.72</v>
      </c>
      <c r="L190" s="1526">
        <v>-253.72</v>
      </c>
      <c r="M190" s="1526">
        <v>-317.14999999999998</v>
      </c>
      <c r="N190" s="1526">
        <v>-317.14999999999998</v>
      </c>
      <c r="O190" s="1526">
        <v>-380.58</v>
      </c>
      <c r="P190"/>
    </row>
    <row r="191" spans="1:16">
      <c r="B191" s="1538">
        <v>5140</v>
      </c>
      <c r="C191" s="1526">
        <v>-1492.56</v>
      </c>
      <c r="D191" s="1526"/>
      <c r="E191" s="1526"/>
      <c r="F191" s="1526"/>
      <c r="G191" s="1526"/>
      <c r="H191" s="1526"/>
      <c r="I191" s="1526"/>
      <c r="J191" s="1526"/>
      <c r="K191" s="1526"/>
      <c r="L191" s="1526"/>
      <c r="M191" s="1526"/>
      <c r="N191" s="1526"/>
      <c r="O191" s="1526"/>
      <c r="P191"/>
    </row>
    <row r="192" spans="1:16">
      <c r="B192" s="1538">
        <v>5155</v>
      </c>
      <c r="C192" s="1526">
        <v>-124476.86</v>
      </c>
      <c r="D192" s="1526">
        <v>-3432.36</v>
      </c>
      <c r="E192" s="1526">
        <v>-3432.36</v>
      </c>
      <c r="F192" s="1526">
        <v>-18088.12</v>
      </c>
      <c r="G192" s="1526">
        <v>-29953.040000000001</v>
      </c>
      <c r="H192" s="1526">
        <v>-29953.040000000001</v>
      </c>
      <c r="I192" s="1526">
        <v>-42462.59</v>
      </c>
      <c r="J192" s="1526">
        <v>-42462.59</v>
      </c>
      <c r="K192" s="1526">
        <v>-57211.11</v>
      </c>
      <c r="L192" s="1526">
        <v>-57160.08</v>
      </c>
      <c r="M192" s="1526">
        <v>-72652.479999999996</v>
      </c>
      <c r="N192" s="1526">
        <v>-72652.479999999996</v>
      </c>
      <c r="O192" s="1526">
        <v>-86202.25</v>
      </c>
      <c r="P192"/>
    </row>
    <row r="193" spans="2:16">
      <c r="B193" s="1538">
        <v>5270</v>
      </c>
      <c r="C193" s="1526">
        <v>-4.13</v>
      </c>
      <c r="D193" s="1526">
        <v>-3.51</v>
      </c>
      <c r="E193" s="1526">
        <v>-1353.51</v>
      </c>
      <c r="F193" s="1526">
        <v>-1653.51</v>
      </c>
      <c r="G193" s="1526">
        <v>-1653.51</v>
      </c>
      <c r="H193" s="1526">
        <v>-1653.51</v>
      </c>
      <c r="I193" s="1526">
        <v>-1653.51</v>
      </c>
      <c r="J193" s="1526">
        <v>-1653.51</v>
      </c>
      <c r="K193" s="1526">
        <v>-1653.51</v>
      </c>
      <c r="L193" s="1526">
        <v>-1653.51</v>
      </c>
      <c r="M193" s="1526">
        <v>-2103.5100000000002</v>
      </c>
      <c r="N193" s="1526">
        <v>-2103.5100000000002</v>
      </c>
      <c r="O193" s="1526">
        <v>-2103.5100000000002</v>
      </c>
      <c r="P193"/>
    </row>
    <row r="194" spans="2:16">
      <c r="B194" s="1538">
        <v>5285</v>
      </c>
      <c r="C194" s="1526">
        <v>-84</v>
      </c>
      <c r="D194" s="1526">
        <v>-21</v>
      </c>
      <c r="E194" s="1526">
        <v>-21</v>
      </c>
      <c r="F194" s="1526">
        <v>-21</v>
      </c>
      <c r="G194" s="1526">
        <v>-21</v>
      </c>
      <c r="H194" s="1526">
        <v>-21</v>
      </c>
      <c r="I194" s="1526">
        <v>-21</v>
      </c>
      <c r="J194" s="1526">
        <v>-21</v>
      </c>
      <c r="K194" s="1526">
        <v>-21</v>
      </c>
      <c r="L194" s="1526">
        <v>-21</v>
      </c>
      <c r="M194" s="1526">
        <v>-21</v>
      </c>
      <c r="N194" s="1526">
        <v>-21</v>
      </c>
      <c r="O194" s="1526">
        <v>-21</v>
      </c>
      <c r="P194"/>
    </row>
    <row r="195" spans="2:16">
      <c r="B195" s="1538">
        <v>5470</v>
      </c>
      <c r="C195" s="1526">
        <v>156739.07999999999</v>
      </c>
      <c r="D195" s="1526">
        <v>12428.29</v>
      </c>
      <c r="E195" s="1526">
        <v>26119.41</v>
      </c>
      <c r="F195" s="1526">
        <v>40183.760000000002</v>
      </c>
      <c r="G195" s="1526">
        <v>53558.14</v>
      </c>
      <c r="H195" s="1526">
        <v>68616.58</v>
      </c>
      <c r="I195" s="1526">
        <v>81544.67</v>
      </c>
      <c r="J195" s="1526">
        <v>93919</v>
      </c>
      <c r="K195" s="1526">
        <v>108251.96</v>
      </c>
      <c r="L195" s="1526">
        <v>122218.17</v>
      </c>
      <c r="M195" s="1526">
        <v>135427.34</v>
      </c>
      <c r="N195" s="1526">
        <v>148248.69</v>
      </c>
      <c r="O195" s="1526">
        <v>161901.23000000001</v>
      </c>
      <c r="P195"/>
    </row>
    <row r="196" spans="2:16">
      <c r="B196" s="1538">
        <v>5480</v>
      </c>
      <c r="C196" s="1526">
        <v>40391.25</v>
      </c>
      <c r="D196" s="1526">
        <v>4355</v>
      </c>
      <c r="E196" s="1526">
        <v>7215</v>
      </c>
      <c r="F196" s="1526">
        <v>12285</v>
      </c>
      <c r="G196" s="1526">
        <v>14956.5</v>
      </c>
      <c r="H196" s="1526">
        <v>16640</v>
      </c>
      <c r="I196" s="1526">
        <v>20507.5</v>
      </c>
      <c r="J196" s="1526">
        <v>24401</v>
      </c>
      <c r="K196" s="1526">
        <v>29846</v>
      </c>
      <c r="L196" s="1526">
        <v>35158.5</v>
      </c>
      <c r="M196" s="1526">
        <v>38863.5</v>
      </c>
      <c r="N196" s="1526">
        <v>42828.5</v>
      </c>
      <c r="O196" s="1526">
        <v>46702.5</v>
      </c>
      <c r="P196"/>
    </row>
    <row r="197" spans="2:16">
      <c r="B197" s="1538">
        <v>5485</v>
      </c>
      <c r="C197" s="1526">
        <v>32322.94</v>
      </c>
      <c r="D197" s="1526">
        <v>402.44</v>
      </c>
      <c r="E197" s="1526">
        <v>402.44</v>
      </c>
      <c r="F197" s="1526">
        <v>646.4</v>
      </c>
      <c r="G197" s="1526">
        <v>875.31</v>
      </c>
      <c r="H197" s="1526">
        <v>875.31</v>
      </c>
      <c r="I197" s="1526">
        <v>10613.36</v>
      </c>
      <c r="J197" s="1526">
        <v>10862.67</v>
      </c>
      <c r="K197" s="1526">
        <v>19857.77</v>
      </c>
      <c r="L197" s="1526">
        <v>20024.810000000001</v>
      </c>
      <c r="M197" s="1526">
        <v>20024.810000000001</v>
      </c>
      <c r="N197" s="1526">
        <v>20024.810000000001</v>
      </c>
      <c r="O197" s="1526">
        <v>29146.52</v>
      </c>
      <c r="P197"/>
    </row>
    <row r="198" spans="2:16">
      <c r="B198" s="1538">
        <v>5490</v>
      </c>
      <c r="C198" s="1526">
        <v>82058.92</v>
      </c>
      <c r="D198" s="1526">
        <v>1411.25</v>
      </c>
      <c r="E198" s="1526">
        <v>24597.19</v>
      </c>
      <c r="F198" s="1526">
        <v>28102.07</v>
      </c>
      <c r="G198" s="1526">
        <v>30021.38</v>
      </c>
      <c r="H198" s="1526">
        <v>31258.19</v>
      </c>
      <c r="I198" s="1526">
        <v>53009.85</v>
      </c>
      <c r="J198" s="1526">
        <v>55607.22</v>
      </c>
      <c r="K198" s="1526">
        <v>68850.789999999994</v>
      </c>
      <c r="L198" s="1526">
        <v>71641.350000000006</v>
      </c>
      <c r="M198" s="1526">
        <v>72658.850000000006</v>
      </c>
      <c r="N198" s="1526">
        <v>82728.87</v>
      </c>
      <c r="O198" s="1526">
        <v>88454.07</v>
      </c>
      <c r="P198"/>
    </row>
    <row r="199" spans="2:16">
      <c r="B199" s="1538">
        <v>5495</v>
      </c>
      <c r="C199" s="1526">
        <v>9609.06</v>
      </c>
      <c r="D199" s="1526">
        <v>583.41</v>
      </c>
      <c r="E199" s="1526">
        <v>1614.45</v>
      </c>
      <c r="F199" s="1526">
        <v>2188.29</v>
      </c>
      <c r="G199" s="1526">
        <v>3215.73</v>
      </c>
      <c r="H199" s="1526">
        <v>3799.65</v>
      </c>
      <c r="I199" s="1526">
        <v>4835.01</v>
      </c>
      <c r="J199" s="1526">
        <v>5426.85</v>
      </c>
      <c r="K199" s="1526">
        <v>6457.89</v>
      </c>
      <c r="L199" s="1526">
        <v>7036.77</v>
      </c>
      <c r="M199" s="1526">
        <v>8071.41</v>
      </c>
      <c r="N199" s="1526">
        <v>8645.25</v>
      </c>
      <c r="O199" s="1526">
        <v>9670.5300000000007</v>
      </c>
      <c r="P199"/>
    </row>
    <row r="200" spans="2:16">
      <c r="B200" s="1538">
        <v>5505</v>
      </c>
      <c r="C200" s="1526">
        <v>330.36</v>
      </c>
      <c r="D200" s="1526">
        <v>12.63</v>
      </c>
      <c r="E200" s="1526">
        <v>2.15</v>
      </c>
      <c r="F200" s="1526">
        <v>30.17</v>
      </c>
      <c r="G200" s="1526">
        <v>54.86</v>
      </c>
      <c r="H200" s="1526">
        <v>72.010000000000005</v>
      </c>
      <c r="I200" s="1526">
        <v>87.62</v>
      </c>
      <c r="J200" s="1526">
        <v>101.26</v>
      </c>
      <c r="K200" s="1526">
        <v>115.93</v>
      </c>
      <c r="L200" s="1526">
        <v>127.14</v>
      </c>
      <c r="M200" s="1526">
        <v>143.99</v>
      </c>
      <c r="N200" s="1526">
        <v>159.63</v>
      </c>
      <c r="O200" s="1526">
        <v>173.36</v>
      </c>
      <c r="P200"/>
    </row>
    <row r="201" spans="2:16">
      <c r="B201" s="1538">
        <v>5510</v>
      </c>
      <c r="C201" s="1526">
        <v>713.96</v>
      </c>
      <c r="D201" s="1526"/>
      <c r="E201" s="1526"/>
      <c r="F201" s="1526"/>
      <c r="G201" s="1526"/>
      <c r="H201" s="1526"/>
      <c r="I201" s="1526"/>
      <c r="J201" s="1526"/>
      <c r="K201" s="1526"/>
      <c r="L201" s="1526"/>
      <c r="M201" s="1526"/>
      <c r="N201" s="1526"/>
      <c r="O201" s="1526"/>
      <c r="P201"/>
    </row>
    <row r="202" spans="2:16">
      <c r="B202" s="1538">
        <v>5515</v>
      </c>
      <c r="C202" s="1526">
        <v>-2807</v>
      </c>
      <c r="D202" s="1526">
        <v>-31</v>
      </c>
      <c r="E202" s="1526">
        <v>-13</v>
      </c>
      <c r="F202" s="1526">
        <v>12</v>
      </c>
      <c r="G202" s="1526">
        <v>1130</v>
      </c>
      <c r="H202" s="1526">
        <v>1514</v>
      </c>
      <c r="I202" s="1526">
        <v>321</v>
      </c>
      <c r="J202" s="1526">
        <v>191</v>
      </c>
      <c r="K202" s="1526">
        <v>838</v>
      </c>
      <c r="L202" s="1526">
        <v>800</v>
      </c>
      <c r="M202" s="1526">
        <v>623</v>
      </c>
      <c r="N202" s="1526">
        <v>369</v>
      </c>
      <c r="O202" s="1526">
        <v>-29</v>
      </c>
      <c r="P202"/>
    </row>
    <row r="203" spans="2:16">
      <c r="B203" s="1538">
        <v>5525</v>
      </c>
      <c r="C203" s="1526">
        <v>303.18</v>
      </c>
      <c r="D203" s="1526">
        <v>28.36</v>
      </c>
      <c r="E203" s="1526">
        <v>56.36</v>
      </c>
      <c r="F203" s="1526">
        <v>86.02</v>
      </c>
      <c r="G203" s="1526">
        <v>116.7</v>
      </c>
      <c r="H203" s="1526">
        <v>147.9</v>
      </c>
      <c r="I203" s="1526">
        <v>179.43</v>
      </c>
      <c r="J203" s="1526">
        <v>201.06</v>
      </c>
      <c r="K203" s="1526">
        <v>228.66</v>
      </c>
      <c r="L203" s="1526">
        <v>243.07</v>
      </c>
      <c r="M203" s="1526">
        <v>282.52</v>
      </c>
      <c r="N203" s="1526">
        <v>300.99</v>
      </c>
      <c r="O203" s="1526">
        <v>324.27999999999997</v>
      </c>
      <c r="P203"/>
    </row>
    <row r="204" spans="2:16">
      <c r="B204" s="1538">
        <v>5535</v>
      </c>
      <c r="C204" s="1526">
        <v>579.04</v>
      </c>
      <c r="D204" s="1526">
        <v>49.91</v>
      </c>
      <c r="E204" s="1526">
        <v>101.73</v>
      </c>
      <c r="F204" s="1526">
        <v>149.35</v>
      </c>
      <c r="G204" s="1526">
        <v>193.95</v>
      </c>
      <c r="H204" s="1526">
        <v>244.14</v>
      </c>
      <c r="I204" s="1526">
        <v>288.14</v>
      </c>
      <c r="J204" s="1526">
        <v>330.36</v>
      </c>
      <c r="K204" s="1526">
        <v>383.49</v>
      </c>
      <c r="L204" s="1526">
        <v>414.17</v>
      </c>
      <c r="M204" s="1526">
        <v>491.25</v>
      </c>
      <c r="N204" s="1526">
        <v>530.66999999999996</v>
      </c>
      <c r="O204" s="1526">
        <v>573.9</v>
      </c>
      <c r="P204"/>
    </row>
    <row r="205" spans="2:16">
      <c r="B205" s="1538">
        <v>5540</v>
      </c>
      <c r="C205" s="1526">
        <v>9083.6</v>
      </c>
      <c r="D205" s="1526">
        <v>1008.21</v>
      </c>
      <c r="E205" s="1526">
        <v>1653.57</v>
      </c>
      <c r="F205" s="1526">
        <v>2453.34</v>
      </c>
      <c r="G205" s="1526">
        <v>3277.82</v>
      </c>
      <c r="H205" s="1526">
        <v>3988.28</v>
      </c>
      <c r="I205" s="1526">
        <v>4879.53</v>
      </c>
      <c r="J205" s="1526">
        <v>5580.28</v>
      </c>
      <c r="K205" s="1526">
        <v>6529.46</v>
      </c>
      <c r="L205" s="1526">
        <v>7303.13</v>
      </c>
      <c r="M205" s="1526">
        <v>8046.59</v>
      </c>
      <c r="N205" s="1526">
        <v>8750.24</v>
      </c>
      <c r="O205" s="1526">
        <v>9622.24</v>
      </c>
      <c r="P205"/>
    </row>
    <row r="206" spans="2:16">
      <c r="B206" s="1538">
        <v>5545</v>
      </c>
      <c r="C206" s="1526">
        <v>66.569999999999993</v>
      </c>
      <c r="D206" s="1526">
        <v>10.36</v>
      </c>
      <c r="E206" s="1526">
        <v>10.36</v>
      </c>
      <c r="F206" s="1526">
        <v>10.36</v>
      </c>
      <c r="G206" s="1526">
        <v>60.44</v>
      </c>
      <c r="H206" s="1526">
        <v>83.69</v>
      </c>
      <c r="I206" s="1526">
        <v>105.03</v>
      </c>
      <c r="J206" s="1526">
        <v>129.88</v>
      </c>
      <c r="K206" s="1526">
        <v>155.58000000000001</v>
      </c>
      <c r="L206" s="1526">
        <v>177.02</v>
      </c>
      <c r="M206" s="1526">
        <v>199.15</v>
      </c>
      <c r="N206" s="1526">
        <v>224.33</v>
      </c>
      <c r="O206" s="1526">
        <v>224.33</v>
      </c>
      <c r="P206"/>
    </row>
    <row r="207" spans="2:16">
      <c r="B207" s="1538">
        <v>5625</v>
      </c>
      <c r="C207" s="1526">
        <v>11166.64</v>
      </c>
      <c r="D207" s="1526">
        <v>949.41</v>
      </c>
      <c r="E207" s="1526">
        <v>1889.24</v>
      </c>
      <c r="F207" s="1526">
        <v>2827.45</v>
      </c>
      <c r="G207" s="1526">
        <v>3778.45</v>
      </c>
      <c r="H207" s="1526">
        <v>4728.26</v>
      </c>
      <c r="I207" s="1526">
        <v>5678.19</v>
      </c>
      <c r="J207" s="1526">
        <v>6626.83</v>
      </c>
      <c r="K207" s="1526">
        <v>7830.95</v>
      </c>
      <c r="L207" s="1526">
        <v>8823.9500000000007</v>
      </c>
      <c r="M207" s="1526">
        <v>9798.5499999999993</v>
      </c>
      <c r="N207" s="1526">
        <v>10771.88</v>
      </c>
      <c r="O207" s="1526">
        <v>11744.31</v>
      </c>
      <c r="P207"/>
    </row>
    <row r="208" spans="2:16">
      <c r="B208" s="1538">
        <v>5630</v>
      </c>
      <c r="C208" s="1526">
        <v>7724.54</v>
      </c>
      <c r="D208" s="1526">
        <v>889.15</v>
      </c>
      <c r="E208" s="1526">
        <v>1550.9</v>
      </c>
      <c r="F208" s="1526">
        <v>2216.5</v>
      </c>
      <c r="G208" s="1526">
        <v>2894.79</v>
      </c>
      <c r="H208" s="1526">
        <v>3573.95</v>
      </c>
      <c r="I208" s="1526">
        <v>4245.87</v>
      </c>
      <c r="J208" s="1526">
        <v>4927.42</v>
      </c>
      <c r="K208" s="1526">
        <v>5605.78</v>
      </c>
      <c r="L208" s="1526">
        <v>6256.36</v>
      </c>
      <c r="M208" s="1526">
        <v>7046.29</v>
      </c>
      <c r="N208" s="1526">
        <v>7848.75</v>
      </c>
      <c r="O208" s="1526">
        <v>8630.4</v>
      </c>
      <c r="P208"/>
    </row>
    <row r="209" spans="2:16">
      <c r="B209" s="1538">
        <v>5635</v>
      </c>
      <c r="C209" s="1526">
        <v>1622.99</v>
      </c>
      <c r="D209" s="1526">
        <v>141.87</v>
      </c>
      <c r="E209" s="1526">
        <v>247.23</v>
      </c>
      <c r="F209" s="1526">
        <v>398.42</v>
      </c>
      <c r="G209" s="1526">
        <v>476.82</v>
      </c>
      <c r="H209" s="1526">
        <v>629.86</v>
      </c>
      <c r="I209" s="1526">
        <v>773.78</v>
      </c>
      <c r="J209" s="1526">
        <v>937.33</v>
      </c>
      <c r="K209" s="1526">
        <v>1104.3699999999999</v>
      </c>
      <c r="L209" s="1526">
        <v>1163.92</v>
      </c>
      <c r="M209" s="1526">
        <v>1284.1600000000001</v>
      </c>
      <c r="N209" s="1526">
        <v>1371.81</v>
      </c>
      <c r="O209" s="1526">
        <v>1479.21</v>
      </c>
      <c r="P209"/>
    </row>
    <row r="210" spans="2:16">
      <c r="B210" s="1538">
        <v>5645</v>
      </c>
      <c r="C210" s="1526">
        <v>-12246.81</v>
      </c>
      <c r="D210" s="1526">
        <v>-959.22</v>
      </c>
      <c r="E210" s="1526">
        <v>-1953.93</v>
      </c>
      <c r="F210" s="1526">
        <v>-3299.24</v>
      </c>
      <c r="G210" s="1526">
        <v>-4274.41</v>
      </c>
      <c r="H210" s="1526">
        <v>-5273.06</v>
      </c>
      <c r="I210" s="1526">
        <v>-6300.87</v>
      </c>
      <c r="J210" s="1526">
        <v>-7396.91</v>
      </c>
      <c r="K210" s="1526">
        <v>-8449.35</v>
      </c>
      <c r="L210" s="1526">
        <v>-9816.7800000000007</v>
      </c>
      <c r="M210" s="1526">
        <v>-10836.48</v>
      </c>
      <c r="N210" s="1526">
        <v>-11863.91</v>
      </c>
      <c r="O210" s="1526">
        <v>-12510.51</v>
      </c>
      <c r="P210"/>
    </row>
    <row r="211" spans="2:16">
      <c r="B211" s="1538">
        <v>5650</v>
      </c>
      <c r="C211" s="1526">
        <v>284.16000000000003</v>
      </c>
      <c r="D211" s="1526">
        <v>1.04</v>
      </c>
      <c r="E211" s="1526">
        <v>23.32</v>
      </c>
      <c r="F211" s="1526">
        <v>50.92</v>
      </c>
      <c r="G211" s="1526">
        <v>51.41</v>
      </c>
      <c r="H211" s="1526">
        <v>80.14</v>
      </c>
      <c r="I211" s="1526">
        <v>129.57</v>
      </c>
      <c r="J211" s="1526">
        <v>183.33</v>
      </c>
      <c r="K211" s="1526">
        <v>233.29</v>
      </c>
      <c r="L211" s="1526">
        <v>275.06</v>
      </c>
      <c r="M211" s="1526">
        <v>294.7</v>
      </c>
      <c r="N211" s="1526">
        <v>298.35000000000002</v>
      </c>
      <c r="O211" s="1526">
        <v>355.28</v>
      </c>
      <c r="P211"/>
    </row>
    <row r="212" spans="2:16">
      <c r="B212" s="1538">
        <v>5655</v>
      </c>
      <c r="C212" s="1526">
        <v>48895.63</v>
      </c>
      <c r="D212" s="1526">
        <v>7269.93</v>
      </c>
      <c r="E212" s="1526">
        <v>12314.33</v>
      </c>
      <c r="F212" s="1526">
        <v>16611.05</v>
      </c>
      <c r="G212" s="1526">
        <v>20226.43</v>
      </c>
      <c r="H212" s="1526">
        <v>24372.42</v>
      </c>
      <c r="I212" s="1526">
        <v>30464.11</v>
      </c>
      <c r="J212" s="1526">
        <v>34820.14</v>
      </c>
      <c r="K212" s="1526">
        <v>39821.97</v>
      </c>
      <c r="L212" s="1526">
        <v>43332.68</v>
      </c>
      <c r="M212" s="1526">
        <v>48274.45</v>
      </c>
      <c r="N212" s="1526">
        <v>53482.91</v>
      </c>
      <c r="O212" s="1526">
        <v>60106.61</v>
      </c>
      <c r="P212"/>
    </row>
    <row r="213" spans="2:16">
      <c r="B213" s="1538">
        <v>5660</v>
      </c>
      <c r="C213" s="1526">
        <v>454.01</v>
      </c>
      <c r="D213" s="1526">
        <v>2.85</v>
      </c>
      <c r="E213" s="1526">
        <v>24.31</v>
      </c>
      <c r="F213" s="1526">
        <v>71.36</v>
      </c>
      <c r="G213" s="1526">
        <v>96.67</v>
      </c>
      <c r="H213" s="1526">
        <v>111.37</v>
      </c>
      <c r="I213" s="1526">
        <v>162.63999999999999</v>
      </c>
      <c r="J213" s="1526">
        <v>174.01</v>
      </c>
      <c r="K213" s="1526">
        <v>201.68</v>
      </c>
      <c r="L213" s="1526">
        <v>209.58</v>
      </c>
      <c r="M213" s="1526">
        <v>233.78</v>
      </c>
      <c r="N213" s="1526">
        <v>265.47000000000003</v>
      </c>
      <c r="O213" s="1526">
        <v>330.57</v>
      </c>
      <c r="P213"/>
    </row>
    <row r="214" spans="2:16">
      <c r="B214" s="1538">
        <v>5665</v>
      </c>
      <c r="C214" s="1526">
        <v>3996.1</v>
      </c>
      <c r="D214" s="1526">
        <v>332.69</v>
      </c>
      <c r="E214" s="1526">
        <v>715.33</v>
      </c>
      <c r="F214" s="1526">
        <v>1121.1500000000001</v>
      </c>
      <c r="G214" s="1526">
        <v>1413.85</v>
      </c>
      <c r="H214" s="1526">
        <v>1821.18</v>
      </c>
      <c r="I214" s="1526">
        <v>2154.1</v>
      </c>
      <c r="J214" s="1526">
        <v>2480.34</v>
      </c>
      <c r="K214" s="1526">
        <v>2795.18</v>
      </c>
      <c r="L214" s="1526">
        <v>3169.84</v>
      </c>
      <c r="M214" s="1526">
        <v>3477.6</v>
      </c>
      <c r="N214" s="1526">
        <v>3777.29</v>
      </c>
      <c r="O214" s="1526">
        <v>4081.72</v>
      </c>
      <c r="P214"/>
    </row>
    <row r="215" spans="2:16">
      <c r="B215" s="1538">
        <v>5670</v>
      </c>
      <c r="C215" s="1526">
        <v>1913.17</v>
      </c>
      <c r="D215" s="1526">
        <v>164.42</v>
      </c>
      <c r="E215" s="1526">
        <v>329.74</v>
      </c>
      <c r="F215" s="1526">
        <v>495.68</v>
      </c>
      <c r="G215" s="1526">
        <v>661.6</v>
      </c>
      <c r="H215" s="1526">
        <v>716.61</v>
      </c>
      <c r="I215" s="1526">
        <v>995.74</v>
      </c>
      <c r="J215" s="1526">
        <v>1161.05</v>
      </c>
      <c r="K215" s="1526">
        <v>1327.59</v>
      </c>
      <c r="L215" s="1526">
        <v>1495.09</v>
      </c>
      <c r="M215" s="1526">
        <v>1662.88</v>
      </c>
      <c r="N215" s="1526">
        <v>1831</v>
      </c>
      <c r="O215" s="1526">
        <v>1995.14</v>
      </c>
      <c r="P215"/>
    </row>
    <row r="216" spans="2:16">
      <c r="B216" s="1538">
        <v>5675</v>
      </c>
      <c r="C216" s="1526">
        <v>-411.96</v>
      </c>
      <c r="D216" s="1526">
        <v>-34.39</v>
      </c>
      <c r="E216" s="1526">
        <v>-68.95</v>
      </c>
      <c r="F216" s="1526">
        <v>-111.74</v>
      </c>
      <c r="G216" s="1526">
        <v>-146.16999999999999</v>
      </c>
      <c r="H216" s="1526">
        <v>-179.24</v>
      </c>
      <c r="I216" s="1526">
        <v>-212.42</v>
      </c>
      <c r="J216" s="1526">
        <v>-243.2</v>
      </c>
      <c r="K216" s="1526">
        <v>-274.70999999999998</v>
      </c>
      <c r="L216" s="1526">
        <v>-316.64</v>
      </c>
      <c r="M216" s="1526">
        <v>-349.61</v>
      </c>
      <c r="N216" s="1526">
        <v>-382.34</v>
      </c>
      <c r="O216" s="1526">
        <v>-406.37</v>
      </c>
      <c r="P216"/>
    </row>
    <row r="217" spans="2:16">
      <c r="B217" s="1538">
        <v>5680</v>
      </c>
      <c r="C217" s="1526">
        <v>-217.9</v>
      </c>
      <c r="D217" s="1526">
        <v>-17.170000000000002</v>
      </c>
      <c r="E217" s="1526">
        <v>-34.22</v>
      </c>
      <c r="F217" s="1526">
        <v>-55.75</v>
      </c>
      <c r="G217" s="1526">
        <v>-73.41</v>
      </c>
      <c r="H217" s="1526">
        <v>-91.01</v>
      </c>
      <c r="I217" s="1526">
        <v>-108.71</v>
      </c>
      <c r="J217" s="1526">
        <v>-124.59</v>
      </c>
      <c r="K217" s="1526">
        <v>-141.22999999999999</v>
      </c>
      <c r="L217" s="1526">
        <v>-162.18</v>
      </c>
      <c r="M217" s="1526">
        <v>-178.91</v>
      </c>
      <c r="N217" s="1526">
        <v>-195.94</v>
      </c>
      <c r="O217" s="1526">
        <v>-208.66</v>
      </c>
      <c r="P217"/>
    </row>
    <row r="218" spans="2:16">
      <c r="B218" s="1538">
        <v>5690</v>
      </c>
      <c r="C218" s="1526">
        <v>0.51</v>
      </c>
      <c r="D218" s="1526"/>
      <c r="E218" s="1526"/>
      <c r="F218" s="1526">
        <v>7.31</v>
      </c>
      <c r="G218" s="1526">
        <v>7.31</v>
      </c>
      <c r="H218" s="1526">
        <v>7.31</v>
      </c>
      <c r="I218" s="1526">
        <v>7.31</v>
      </c>
      <c r="J218" s="1526">
        <v>7.31</v>
      </c>
      <c r="K218" s="1526">
        <v>7.31</v>
      </c>
      <c r="L218" s="1526">
        <v>7.31</v>
      </c>
      <c r="M218" s="1526">
        <v>7.31</v>
      </c>
      <c r="N218" s="1526">
        <v>7.31</v>
      </c>
      <c r="O218" s="1526">
        <v>7.31</v>
      </c>
      <c r="P218"/>
    </row>
    <row r="219" spans="2:16">
      <c r="B219" s="1538">
        <v>5705</v>
      </c>
      <c r="C219" s="1526">
        <v>28613.439999999999</v>
      </c>
      <c r="D219" s="1526">
        <v>2308.98</v>
      </c>
      <c r="E219" s="1526">
        <v>4328.0200000000004</v>
      </c>
      <c r="F219" s="1526">
        <v>6598.71</v>
      </c>
      <c r="G219" s="1526">
        <v>8912.35</v>
      </c>
      <c r="H219" s="1526">
        <v>11185.4</v>
      </c>
      <c r="I219" s="1526">
        <v>13463.96</v>
      </c>
      <c r="J219" s="1526">
        <v>15734.23</v>
      </c>
      <c r="K219" s="1526">
        <v>18002.5</v>
      </c>
      <c r="L219" s="1526">
        <v>20248.439999999999</v>
      </c>
      <c r="M219" s="1526">
        <v>22646.42</v>
      </c>
      <c r="N219" s="1526">
        <v>24986.35</v>
      </c>
      <c r="O219" s="1526">
        <v>27326.42</v>
      </c>
      <c r="P219"/>
    </row>
    <row r="220" spans="2:16">
      <c r="B220" s="1538">
        <v>5715</v>
      </c>
      <c r="C220" s="1526">
        <v>5162.5</v>
      </c>
      <c r="D220" s="1526">
        <v>75.75</v>
      </c>
      <c r="E220" s="1526">
        <v>212.82</v>
      </c>
      <c r="F220" s="1526">
        <v>287.77999999999997</v>
      </c>
      <c r="G220" s="1526">
        <v>571.17999999999995</v>
      </c>
      <c r="H220" s="1526">
        <v>903.31</v>
      </c>
      <c r="I220" s="1526">
        <v>1556.14</v>
      </c>
      <c r="J220" s="1526">
        <v>2340.54</v>
      </c>
      <c r="K220" s="1526">
        <v>2518.77</v>
      </c>
      <c r="L220" s="1526">
        <v>3154.24</v>
      </c>
      <c r="M220" s="1526">
        <v>4316.75</v>
      </c>
      <c r="N220" s="1526">
        <v>6301.97</v>
      </c>
      <c r="O220" s="1526">
        <v>5979.64</v>
      </c>
      <c r="P220"/>
    </row>
    <row r="221" spans="2:16">
      <c r="B221" s="1538">
        <v>5735</v>
      </c>
      <c r="C221" s="1526">
        <v>9240.18</v>
      </c>
      <c r="D221" s="1526">
        <v>529.96</v>
      </c>
      <c r="E221" s="1526">
        <v>1085.3399999999999</v>
      </c>
      <c r="F221" s="1526">
        <v>2139.52</v>
      </c>
      <c r="G221" s="1526">
        <v>3040.53</v>
      </c>
      <c r="H221" s="1526">
        <v>3919.78</v>
      </c>
      <c r="I221" s="1526">
        <v>4783.12</v>
      </c>
      <c r="J221" s="1526">
        <v>5540.8</v>
      </c>
      <c r="K221" s="1526">
        <v>6479.53</v>
      </c>
      <c r="L221" s="1526">
        <v>7389.64</v>
      </c>
      <c r="M221" s="1526">
        <v>8158.42</v>
      </c>
      <c r="N221" s="1526">
        <v>9004.89</v>
      </c>
      <c r="O221" s="1526">
        <v>9914.16</v>
      </c>
      <c r="P221"/>
    </row>
    <row r="222" spans="2:16">
      <c r="B222" s="1538">
        <v>5740</v>
      </c>
      <c r="C222" s="1526">
        <v>4.1500000000000004</v>
      </c>
      <c r="D222" s="1526"/>
      <c r="E222" s="1526"/>
      <c r="F222" s="1526"/>
      <c r="G222" s="1526"/>
      <c r="H222" s="1526"/>
      <c r="I222" s="1526"/>
      <c r="J222" s="1526"/>
      <c r="K222" s="1526"/>
      <c r="L222" s="1526"/>
      <c r="M222" s="1526"/>
      <c r="N222" s="1526">
        <v>2.33</v>
      </c>
      <c r="O222" s="1526">
        <v>-1.3</v>
      </c>
      <c r="P222"/>
    </row>
    <row r="223" spans="2:16">
      <c r="B223" s="1538">
        <v>5745</v>
      </c>
      <c r="C223" s="1526">
        <v>-0.02</v>
      </c>
      <c r="D223" s="1526"/>
      <c r="E223" s="1526"/>
      <c r="F223" s="1526"/>
      <c r="G223" s="1526"/>
      <c r="H223" s="1526"/>
      <c r="I223" s="1526"/>
      <c r="J223" s="1526"/>
      <c r="K223" s="1526"/>
      <c r="L223" s="1526"/>
      <c r="M223" s="1526"/>
      <c r="N223" s="1526"/>
      <c r="O223" s="1526"/>
      <c r="P223"/>
    </row>
    <row r="224" spans="2:16">
      <c r="B224" s="1538">
        <v>5750</v>
      </c>
      <c r="C224" s="1526">
        <v>1475.81</v>
      </c>
      <c r="D224" s="1526">
        <v>118.97</v>
      </c>
      <c r="E224" s="1526">
        <v>242.81</v>
      </c>
      <c r="F224" s="1526">
        <v>361.04</v>
      </c>
      <c r="G224" s="1526">
        <v>472.93</v>
      </c>
      <c r="H224" s="1526">
        <v>614.09</v>
      </c>
      <c r="I224" s="1526">
        <v>744.73</v>
      </c>
      <c r="J224" s="1526">
        <v>884.24</v>
      </c>
      <c r="K224" s="1526">
        <v>1031.2</v>
      </c>
      <c r="L224" s="1526">
        <v>1190.54</v>
      </c>
      <c r="M224" s="1526">
        <v>1724.76</v>
      </c>
      <c r="N224" s="1526">
        <v>1973.76</v>
      </c>
      <c r="O224" s="1526">
        <v>2094.27</v>
      </c>
      <c r="P224"/>
    </row>
    <row r="225" spans="2:16">
      <c r="B225" s="1538">
        <v>5785</v>
      </c>
      <c r="C225" s="1526">
        <v>715.85</v>
      </c>
      <c r="D225" s="1526"/>
      <c r="E225" s="1526"/>
      <c r="F225" s="1526"/>
      <c r="G225" s="1526"/>
      <c r="H225" s="1526"/>
      <c r="I225" s="1526"/>
      <c r="J225" s="1526"/>
      <c r="K225" s="1526"/>
      <c r="L225" s="1526"/>
      <c r="M225" s="1526"/>
      <c r="N225" s="1526"/>
      <c r="O225" s="1526"/>
      <c r="P225"/>
    </row>
    <row r="226" spans="2:16">
      <c r="B226" s="1538">
        <v>5790</v>
      </c>
      <c r="C226" s="1526">
        <v>1303.3599999999999</v>
      </c>
      <c r="D226" s="1526">
        <v>81.22</v>
      </c>
      <c r="E226" s="1526">
        <v>147.05000000000001</v>
      </c>
      <c r="F226" s="1526">
        <v>259.38</v>
      </c>
      <c r="G226" s="1526">
        <v>353.43</v>
      </c>
      <c r="H226" s="1526">
        <v>449.81</v>
      </c>
      <c r="I226" s="1526">
        <v>538.21</v>
      </c>
      <c r="J226" s="1526">
        <v>638.07000000000005</v>
      </c>
      <c r="K226" s="1526">
        <v>741.55</v>
      </c>
      <c r="L226" s="1526">
        <v>842.07</v>
      </c>
      <c r="M226" s="1526">
        <v>941.66</v>
      </c>
      <c r="N226" s="1526">
        <v>1038.18</v>
      </c>
      <c r="O226" s="1526">
        <v>1133.17</v>
      </c>
      <c r="P226"/>
    </row>
    <row r="227" spans="2:16">
      <c r="B227" s="1538">
        <v>5795</v>
      </c>
      <c r="C227" s="1526">
        <v>7.0000000000000007E-2</v>
      </c>
      <c r="D227" s="1526"/>
      <c r="E227" s="1526"/>
      <c r="F227" s="1526"/>
      <c r="G227" s="1526"/>
      <c r="H227" s="1526">
        <v>6.14</v>
      </c>
      <c r="I227" s="1526">
        <v>6.14</v>
      </c>
      <c r="J227" s="1526">
        <v>6.14</v>
      </c>
      <c r="K227" s="1526">
        <v>6.14</v>
      </c>
      <c r="L227" s="1526">
        <v>6.14</v>
      </c>
      <c r="M227" s="1526">
        <v>6.14</v>
      </c>
      <c r="N227" s="1526">
        <v>6.14</v>
      </c>
      <c r="O227" s="1526">
        <v>24.78</v>
      </c>
      <c r="P227"/>
    </row>
    <row r="228" spans="2:16">
      <c r="B228" s="1538">
        <v>5800</v>
      </c>
      <c r="C228" s="1526"/>
      <c r="D228" s="1526"/>
      <c r="E228" s="1526"/>
      <c r="F228" s="1526">
        <v>1.6</v>
      </c>
      <c r="G228" s="1526">
        <v>1.6</v>
      </c>
      <c r="H228" s="1526">
        <v>1.6</v>
      </c>
      <c r="I228" s="1526">
        <v>1.6</v>
      </c>
      <c r="J228" s="1526">
        <v>1.6</v>
      </c>
      <c r="K228" s="1526">
        <v>1.6</v>
      </c>
      <c r="L228" s="1526">
        <v>1.6</v>
      </c>
      <c r="M228" s="1526">
        <v>1.6</v>
      </c>
      <c r="N228" s="1526">
        <v>1.6</v>
      </c>
      <c r="O228" s="1526">
        <v>1.6</v>
      </c>
      <c r="P228"/>
    </row>
    <row r="229" spans="2:16">
      <c r="B229" s="1538">
        <v>5805</v>
      </c>
      <c r="C229" s="1526">
        <v>32.5</v>
      </c>
      <c r="D229" s="1526">
        <v>25</v>
      </c>
      <c r="E229" s="1526">
        <v>5650</v>
      </c>
      <c r="F229" s="1526">
        <v>5650</v>
      </c>
      <c r="G229" s="1526">
        <v>5895.32</v>
      </c>
      <c r="H229" s="1526">
        <v>5895.32</v>
      </c>
      <c r="I229" s="1526">
        <v>5895.32</v>
      </c>
      <c r="J229" s="1526">
        <v>5896.47</v>
      </c>
      <c r="K229" s="1526">
        <v>5896.47</v>
      </c>
      <c r="L229" s="1526">
        <v>5896.47</v>
      </c>
      <c r="M229" s="1526">
        <v>5896.47</v>
      </c>
      <c r="N229" s="1526">
        <v>5898.22</v>
      </c>
      <c r="O229" s="1526">
        <v>5901.67</v>
      </c>
      <c r="P229"/>
    </row>
    <row r="230" spans="2:16">
      <c r="B230" s="1538">
        <v>5810</v>
      </c>
      <c r="C230" s="1526">
        <v>1493.69</v>
      </c>
      <c r="D230" s="1526">
        <v>363</v>
      </c>
      <c r="E230" s="1526">
        <v>437.73</v>
      </c>
      <c r="F230" s="1526">
        <v>1357.13</v>
      </c>
      <c r="G230" s="1526">
        <v>2004.74</v>
      </c>
      <c r="H230" s="1526">
        <v>2392.4699999999998</v>
      </c>
      <c r="I230" s="1526">
        <v>2394.34</v>
      </c>
      <c r="J230" s="1526">
        <v>2413.02</v>
      </c>
      <c r="K230" s="1526">
        <v>2150.39</v>
      </c>
      <c r="L230" s="1526">
        <v>2218.64</v>
      </c>
      <c r="M230" s="1526">
        <v>2220.9499999999998</v>
      </c>
      <c r="N230" s="1526">
        <v>2234.41</v>
      </c>
      <c r="O230" s="1526">
        <v>2416.1</v>
      </c>
      <c r="P230"/>
    </row>
    <row r="231" spans="2:16">
      <c r="B231" s="1538">
        <v>5815</v>
      </c>
      <c r="C231" s="1526">
        <v>1835.44</v>
      </c>
      <c r="D231" s="1526"/>
      <c r="E231" s="1526"/>
      <c r="F231" s="1526"/>
      <c r="G231" s="1526"/>
      <c r="H231" s="1526"/>
      <c r="I231" s="1526"/>
      <c r="J231" s="1526"/>
      <c r="K231" s="1526"/>
      <c r="L231" s="1526"/>
      <c r="M231" s="1526"/>
      <c r="N231" s="1526"/>
      <c r="O231" s="1526"/>
      <c r="P231"/>
    </row>
    <row r="232" spans="2:16">
      <c r="B232" s="1538">
        <v>5820</v>
      </c>
      <c r="C232" s="1526">
        <v>344.42</v>
      </c>
      <c r="D232" s="1526"/>
      <c r="E232" s="1526"/>
      <c r="F232" s="1526">
        <v>13.63</v>
      </c>
      <c r="G232" s="1526">
        <v>38.159999999999997</v>
      </c>
      <c r="H232" s="1526">
        <v>67.45</v>
      </c>
      <c r="I232" s="1526">
        <v>136.74</v>
      </c>
      <c r="J232" s="1526">
        <v>297.26</v>
      </c>
      <c r="K232" s="1526">
        <v>278.66000000000003</v>
      </c>
      <c r="L232" s="1526">
        <v>307.20999999999998</v>
      </c>
      <c r="M232" s="1526">
        <v>332.29</v>
      </c>
      <c r="N232" s="1526">
        <v>338.71</v>
      </c>
      <c r="O232" s="1526">
        <v>333.63</v>
      </c>
      <c r="P232"/>
    </row>
    <row r="233" spans="2:16">
      <c r="B233" s="1538">
        <v>5825</v>
      </c>
      <c r="C233" s="1526">
        <v>2391.89</v>
      </c>
      <c r="D233" s="1526">
        <v>28.44</v>
      </c>
      <c r="E233" s="1526">
        <v>42.3</v>
      </c>
      <c r="F233" s="1526">
        <v>49.35</v>
      </c>
      <c r="G233" s="1526">
        <v>108.09</v>
      </c>
      <c r="H233" s="1526">
        <v>109.43</v>
      </c>
      <c r="I233" s="1526">
        <v>115.93</v>
      </c>
      <c r="J233" s="1526">
        <v>49.39</v>
      </c>
      <c r="K233" s="1526">
        <v>64.069999999999993</v>
      </c>
      <c r="L233" s="1526">
        <v>84.83</v>
      </c>
      <c r="M233" s="1526">
        <v>91.89</v>
      </c>
      <c r="N233" s="1526">
        <v>116.47</v>
      </c>
      <c r="O233" s="1526">
        <v>76.34</v>
      </c>
      <c r="P233"/>
    </row>
    <row r="234" spans="2:16">
      <c r="B234" s="1538">
        <v>5855</v>
      </c>
      <c r="C234" s="1526">
        <v>313.68</v>
      </c>
      <c r="D234" s="1526"/>
      <c r="E234" s="1526">
        <v>51.62</v>
      </c>
      <c r="F234" s="1526">
        <v>65.75</v>
      </c>
      <c r="G234" s="1526">
        <v>105.76</v>
      </c>
      <c r="H234" s="1526">
        <v>105.76</v>
      </c>
      <c r="I234" s="1526">
        <v>143.72</v>
      </c>
      <c r="J234" s="1526">
        <v>169.74</v>
      </c>
      <c r="K234" s="1526">
        <v>169.74</v>
      </c>
      <c r="L234" s="1526">
        <v>195.48</v>
      </c>
      <c r="M234" s="1526">
        <v>248.46</v>
      </c>
      <c r="N234" s="1526">
        <v>275.42</v>
      </c>
      <c r="O234" s="1526">
        <v>306.19</v>
      </c>
      <c r="P234"/>
    </row>
    <row r="235" spans="2:16">
      <c r="B235" s="1538">
        <v>5860</v>
      </c>
      <c r="C235" s="1526">
        <v>2364.46</v>
      </c>
      <c r="D235" s="1526">
        <v>16.3</v>
      </c>
      <c r="E235" s="1526">
        <v>426.4</v>
      </c>
      <c r="F235" s="1526">
        <v>434.3</v>
      </c>
      <c r="G235" s="1526">
        <v>689.74</v>
      </c>
      <c r="H235" s="1526">
        <v>863.49</v>
      </c>
      <c r="I235" s="1526">
        <v>1372.47</v>
      </c>
      <c r="J235" s="1526">
        <v>1911.86</v>
      </c>
      <c r="K235" s="1526">
        <v>1928.52</v>
      </c>
      <c r="L235" s="1526">
        <v>2187.04</v>
      </c>
      <c r="M235" s="1526">
        <v>2264.92</v>
      </c>
      <c r="N235" s="1526">
        <v>2774.42</v>
      </c>
      <c r="O235" s="1526">
        <v>2975.93</v>
      </c>
      <c r="P235"/>
    </row>
    <row r="236" spans="2:16">
      <c r="B236" s="1538">
        <v>5865</v>
      </c>
      <c r="C236" s="1526">
        <v>129.04</v>
      </c>
      <c r="D236" s="1526"/>
      <c r="E236" s="1526">
        <v>8.51</v>
      </c>
      <c r="F236" s="1526">
        <v>12.1</v>
      </c>
      <c r="G236" s="1526">
        <v>25.47</v>
      </c>
      <c r="H236" s="1526">
        <v>30.52</v>
      </c>
      <c r="I236" s="1526">
        <v>33.630000000000003</v>
      </c>
      <c r="J236" s="1526">
        <v>38.28</v>
      </c>
      <c r="K236" s="1526">
        <v>45.71</v>
      </c>
      <c r="L236" s="1526">
        <v>61.41</v>
      </c>
      <c r="M236" s="1526">
        <v>76.77</v>
      </c>
      <c r="N236" s="1526">
        <v>92.91</v>
      </c>
      <c r="O236" s="1526">
        <v>96.77</v>
      </c>
      <c r="P236"/>
    </row>
    <row r="237" spans="2:16">
      <c r="B237" s="1538">
        <v>5870</v>
      </c>
      <c r="C237" s="1526">
        <v>820.19</v>
      </c>
      <c r="D237" s="1526">
        <v>98.13</v>
      </c>
      <c r="E237" s="1526">
        <v>128.13</v>
      </c>
      <c r="F237" s="1526">
        <v>128.13</v>
      </c>
      <c r="G237" s="1526">
        <v>128.13</v>
      </c>
      <c r="H237" s="1526">
        <v>130.25</v>
      </c>
      <c r="I237" s="1526">
        <v>132.97999999999999</v>
      </c>
      <c r="J237" s="1526">
        <v>132.97999999999999</v>
      </c>
      <c r="K237" s="1526">
        <v>132.97999999999999</v>
      </c>
      <c r="L237" s="1526">
        <v>132.97999999999999</v>
      </c>
      <c r="M237" s="1526">
        <v>134.86000000000001</v>
      </c>
      <c r="N237" s="1526">
        <v>141.19999999999999</v>
      </c>
      <c r="O237" s="1526">
        <v>733.89</v>
      </c>
      <c r="P237"/>
    </row>
    <row r="238" spans="2:16">
      <c r="B238" s="1538">
        <v>5875</v>
      </c>
      <c r="C238" s="1526">
        <v>484.94</v>
      </c>
      <c r="D238" s="1526">
        <v>33.770000000000003</v>
      </c>
      <c r="E238" s="1526">
        <v>47.68</v>
      </c>
      <c r="F238" s="1526">
        <v>53.45</v>
      </c>
      <c r="G238" s="1526">
        <v>83.8</v>
      </c>
      <c r="H238" s="1526">
        <v>153.02000000000001</v>
      </c>
      <c r="I238" s="1526">
        <v>203.47</v>
      </c>
      <c r="J238" s="1526">
        <v>242.43</v>
      </c>
      <c r="K238" s="1526">
        <v>247.05</v>
      </c>
      <c r="L238" s="1526">
        <v>288.58999999999997</v>
      </c>
      <c r="M238" s="1526">
        <v>328.61</v>
      </c>
      <c r="N238" s="1526">
        <v>357.1</v>
      </c>
      <c r="O238" s="1526">
        <v>396.97</v>
      </c>
      <c r="P238"/>
    </row>
    <row r="239" spans="2:16">
      <c r="B239" s="1538">
        <v>5880</v>
      </c>
      <c r="C239" s="1526">
        <v>2018.43</v>
      </c>
      <c r="D239" s="1526">
        <v>15.47</v>
      </c>
      <c r="E239" s="1526">
        <v>168.36</v>
      </c>
      <c r="F239" s="1526">
        <v>195.2</v>
      </c>
      <c r="G239" s="1526">
        <v>350.07</v>
      </c>
      <c r="H239" s="1526">
        <v>673.88</v>
      </c>
      <c r="I239" s="1526">
        <v>960.83</v>
      </c>
      <c r="J239" s="1526">
        <v>1164.3399999999999</v>
      </c>
      <c r="K239" s="1526">
        <v>1511.6</v>
      </c>
      <c r="L239" s="1526">
        <v>1520.79</v>
      </c>
      <c r="M239" s="1526">
        <v>1886.85</v>
      </c>
      <c r="N239" s="1526">
        <v>1986.29</v>
      </c>
      <c r="O239" s="1526">
        <v>2020.43</v>
      </c>
      <c r="P239"/>
    </row>
    <row r="240" spans="2:16">
      <c r="B240" s="1538">
        <v>5885</v>
      </c>
      <c r="C240" s="1526">
        <v>167.2</v>
      </c>
      <c r="D240" s="1526">
        <v>0.42</v>
      </c>
      <c r="E240" s="1526">
        <v>7.08</v>
      </c>
      <c r="F240" s="1526">
        <v>86.89</v>
      </c>
      <c r="G240" s="1526">
        <v>86.89</v>
      </c>
      <c r="H240" s="1526">
        <v>88.93</v>
      </c>
      <c r="I240" s="1526">
        <v>91.03</v>
      </c>
      <c r="J240" s="1526">
        <v>150.27000000000001</v>
      </c>
      <c r="K240" s="1526">
        <v>205.84</v>
      </c>
      <c r="L240" s="1526">
        <v>217.69</v>
      </c>
      <c r="M240" s="1526">
        <v>217.69</v>
      </c>
      <c r="N240" s="1526">
        <v>235.63</v>
      </c>
      <c r="O240" s="1526">
        <v>235.63</v>
      </c>
      <c r="P240"/>
    </row>
    <row r="241" spans="2:16">
      <c r="B241" s="1538">
        <v>5890</v>
      </c>
      <c r="C241" s="1526">
        <v>63.75</v>
      </c>
      <c r="D241" s="1526">
        <v>23.02</v>
      </c>
      <c r="E241" s="1526">
        <v>26.64</v>
      </c>
      <c r="F241" s="1526">
        <v>30.24</v>
      </c>
      <c r="G241" s="1526">
        <v>33.840000000000003</v>
      </c>
      <c r="H241" s="1526">
        <v>37.44</v>
      </c>
      <c r="I241" s="1526">
        <v>41.03</v>
      </c>
      <c r="J241" s="1526">
        <v>45</v>
      </c>
      <c r="K241" s="1526">
        <v>48.59</v>
      </c>
      <c r="L241" s="1526">
        <v>52.17</v>
      </c>
      <c r="M241" s="1526">
        <v>55.75</v>
      </c>
      <c r="N241" s="1526">
        <v>59.33</v>
      </c>
      <c r="O241" s="1526">
        <v>62.9</v>
      </c>
      <c r="P241"/>
    </row>
    <row r="242" spans="2:16">
      <c r="B242" s="1538">
        <v>5895</v>
      </c>
      <c r="C242" s="1526">
        <v>835.03</v>
      </c>
      <c r="D242" s="1526">
        <v>15.04</v>
      </c>
      <c r="E242" s="1526">
        <v>33.450000000000003</v>
      </c>
      <c r="F242" s="1526">
        <v>87.01</v>
      </c>
      <c r="G242" s="1526">
        <v>107.4</v>
      </c>
      <c r="H242" s="1526">
        <v>162.52000000000001</v>
      </c>
      <c r="I242" s="1526">
        <v>187.2</v>
      </c>
      <c r="J242" s="1526">
        <v>245.69</v>
      </c>
      <c r="K242" s="1526">
        <v>259.83</v>
      </c>
      <c r="L242" s="1526">
        <v>275.75</v>
      </c>
      <c r="M242" s="1526">
        <v>339.36</v>
      </c>
      <c r="N242" s="1526">
        <v>353.82</v>
      </c>
      <c r="O242" s="1526">
        <v>408.25</v>
      </c>
      <c r="P242"/>
    </row>
    <row r="243" spans="2:16">
      <c r="B243" s="1538">
        <v>5900</v>
      </c>
      <c r="C243" s="1526">
        <v>465.88</v>
      </c>
      <c r="D243" s="1526">
        <v>26.43</v>
      </c>
      <c r="E243" s="1526">
        <v>33.4</v>
      </c>
      <c r="F243" s="1526">
        <v>95.83</v>
      </c>
      <c r="G243" s="1526">
        <v>104.54</v>
      </c>
      <c r="H243" s="1526">
        <v>141.18</v>
      </c>
      <c r="I243" s="1526">
        <v>150.35</v>
      </c>
      <c r="J243" s="1526">
        <v>-107.12</v>
      </c>
      <c r="K243" s="1526">
        <v>-90.83</v>
      </c>
      <c r="L243" s="1526">
        <v>-71.12</v>
      </c>
      <c r="M243" s="1526">
        <v>-41.99</v>
      </c>
      <c r="N243" s="1526">
        <v>261.89999999999998</v>
      </c>
      <c r="O243" s="1526">
        <v>330.19</v>
      </c>
      <c r="P243"/>
    </row>
    <row r="244" spans="2:16">
      <c r="B244" s="1538">
        <v>5930</v>
      </c>
      <c r="C244" s="1526">
        <v>976.26</v>
      </c>
      <c r="D244" s="1526">
        <v>88.25</v>
      </c>
      <c r="E244" s="1526">
        <v>170.92</v>
      </c>
      <c r="F244" s="1526">
        <v>251.66</v>
      </c>
      <c r="G244" s="1526">
        <v>334.26</v>
      </c>
      <c r="H244" s="1526">
        <v>407.92</v>
      </c>
      <c r="I244" s="1526">
        <v>491.74</v>
      </c>
      <c r="J244" s="1526">
        <v>578.24</v>
      </c>
      <c r="K244" s="1526">
        <v>669.37</v>
      </c>
      <c r="L244" s="1526">
        <v>756.51</v>
      </c>
      <c r="M244" s="1526">
        <v>831.93</v>
      </c>
      <c r="N244" s="1526">
        <v>903.55</v>
      </c>
      <c r="O244" s="1526">
        <v>975.18</v>
      </c>
      <c r="P244"/>
    </row>
    <row r="245" spans="2:16">
      <c r="B245" s="1538">
        <v>5935</v>
      </c>
      <c r="C245" s="1526">
        <v>95.92</v>
      </c>
      <c r="D245" s="1526">
        <v>26.96</v>
      </c>
      <c r="E245" s="1526">
        <v>40.57</v>
      </c>
      <c r="F245" s="1526">
        <v>52.69</v>
      </c>
      <c r="G245" s="1526">
        <v>59.12</v>
      </c>
      <c r="H245" s="1526">
        <v>62.76</v>
      </c>
      <c r="I245" s="1526">
        <v>65.510000000000005</v>
      </c>
      <c r="J245" s="1526">
        <v>66.64</v>
      </c>
      <c r="K245" s="1526">
        <v>67.819999999999993</v>
      </c>
      <c r="L245" s="1526">
        <v>67.819999999999993</v>
      </c>
      <c r="M245" s="1526">
        <v>70.239999999999995</v>
      </c>
      <c r="N245" s="1526">
        <v>70.239999999999995</v>
      </c>
      <c r="O245" s="1526">
        <v>74.98</v>
      </c>
      <c r="P245"/>
    </row>
    <row r="246" spans="2:16">
      <c r="B246" s="1538">
        <v>5940</v>
      </c>
      <c r="C246" s="1526">
        <v>12.24</v>
      </c>
      <c r="D246" s="1526"/>
      <c r="E246" s="1526">
        <v>4.3</v>
      </c>
      <c r="F246" s="1526">
        <v>4.3</v>
      </c>
      <c r="G246" s="1526">
        <v>4.3</v>
      </c>
      <c r="H246" s="1526">
        <v>10.16</v>
      </c>
      <c r="I246" s="1526">
        <v>10.16</v>
      </c>
      <c r="J246" s="1526">
        <v>10.16</v>
      </c>
      <c r="K246" s="1526">
        <v>15.59</v>
      </c>
      <c r="L246" s="1526">
        <v>15.59</v>
      </c>
      <c r="M246" s="1526">
        <v>15.59</v>
      </c>
      <c r="N246" s="1526">
        <v>20.14</v>
      </c>
      <c r="O246" s="1526">
        <v>19.71</v>
      </c>
      <c r="P246"/>
    </row>
    <row r="247" spans="2:16">
      <c r="B247" s="1538">
        <v>5945</v>
      </c>
      <c r="C247" s="1526">
        <v>14166.96</v>
      </c>
      <c r="D247" s="1526">
        <v>1171.67</v>
      </c>
      <c r="E247" s="1526">
        <v>2444.5500000000002</v>
      </c>
      <c r="F247" s="1526">
        <v>3782.14</v>
      </c>
      <c r="G247" s="1526">
        <v>5109.3500000000004</v>
      </c>
      <c r="H247" s="1526">
        <v>6416.31</v>
      </c>
      <c r="I247" s="1526">
        <v>7728.52</v>
      </c>
      <c r="J247" s="1526">
        <v>9044.24</v>
      </c>
      <c r="K247" s="1526">
        <v>10281.15</v>
      </c>
      <c r="L247" s="1526">
        <v>11481.65</v>
      </c>
      <c r="M247" s="1526">
        <v>12741.32</v>
      </c>
      <c r="N247" s="1526">
        <v>13933.64</v>
      </c>
      <c r="O247" s="1526">
        <v>15160.83</v>
      </c>
      <c r="P247"/>
    </row>
    <row r="248" spans="2:16">
      <c r="B248" s="1538">
        <v>5950</v>
      </c>
      <c r="C248" s="1526">
        <v>10139.18</v>
      </c>
      <c r="D248" s="1526">
        <v>944.65</v>
      </c>
      <c r="E248" s="1526">
        <v>1864.65</v>
      </c>
      <c r="F248" s="1526">
        <v>2751.45</v>
      </c>
      <c r="G248" s="1526">
        <v>3637.33</v>
      </c>
      <c r="H248" s="1526">
        <v>4518.2299999999996</v>
      </c>
      <c r="I248" s="1526">
        <v>5410.28</v>
      </c>
      <c r="J248" s="1526">
        <v>6348.28</v>
      </c>
      <c r="K248" s="1526">
        <v>7336.89</v>
      </c>
      <c r="L248" s="1526">
        <v>8359.1</v>
      </c>
      <c r="M248" s="1526">
        <v>9397.15</v>
      </c>
      <c r="N248" s="1526">
        <v>10410.780000000001</v>
      </c>
      <c r="O248" s="1526">
        <v>12419.56</v>
      </c>
      <c r="P248"/>
    </row>
    <row r="249" spans="2:16">
      <c r="B249" s="1538">
        <v>5955</v>
      </c>
      <c r="C249" s="1526">
        <v>892.98</v>
      </c>
      <c r="D249" s="1526">
        <v>21.01</v>
      </c>
      <c r="E249" s="1526">
        <v>50.38</v>
      </c>
      <c r="F249" s="1526">
        <v>71.28</v>
      </c>
      <c r="G249" s="1526">
        <v>92.16</v>
      </c>
      <c r="H249" s="1526">
        <v>113.01</v>
      </c>
      <c r="I249" s="1526">
        <v>249.38</v>
      </c>
      <c r="J249" s="1526">
        <v>340.2</v>
      </c>
      <c r="K249" s="1526">
        <v>369.3</v>
      </c>
      <c r="L249" s="1526">
        <v>390.07</v>
      </c>
      <c r="M249" s="1526">
        <v>552.14</v>
      </c>
      <c r="N249" s="1526">
        <v>572.87</v>
      </c>
      <c r="O249" s="1526">
        <v>675.69</v>
      </c>
      <c r="P249"/>
    </row>
    <row r="250" spans="2:16">
      <c r="B250" s="1538">
        <v>5960</v>
      </c>
      <c r="C250" s="1526">
        <v>2758.89</v>
      </c>
      <c r="D250" s="1526">
        <v>70.650000000000006</v>
      </c>
      <c r="E250" s="1526">
        <v>75.22</v>
      </c>
      <c r="F250" s="1526">
        <v>728.65</v>
      </c>
      <c r="G250" s="1526">
        <v>995.97</v>
      </c>
      <c r="H250" s="1526">
        <v>995.97</v>
      </c>
      <c r="I250" s="1526">
        <v>1213.4100000000001</v>
      </c>
      <c r="J250" s="1526">
        <v>1475.96</v>
      </c>
      <c r="K250" s="1526">
        <v>1693.4</v>
      </c>
      <c r="L250" s="1526">
        <v>1693.4</v>
      </c>
      <c r="M250" s="1526">
        <v>2173.09</v>
      </c>
      <c r="N250" s="1526">
        <v>2392.67</v>
      </c>
      <c r="O250" s="1526">
        <v>2392.67</v>
      </c>
      <c r="P250"/>
    </row>
    <row r="251" spans="2:16">
      <c r="B251" s="1538">
        <v>5965</v>
      </c>
      <c r="C251" s="1526">
        <v>1182.8499999999999</v>
      </c>
      <c r="D251" s="1526">
        <v>41</v>
      </c>
      <c r="E251" s="1526">
        <v>104.51</v>
      </c>
      <c r="F251" s="1526">
        <v>195.71</v>
      </c>
      <c r="G251" s="1526">
        <v>740.03</v>
      </c>
      <c r="H251" s="1526">
        <v>850.11</v>
      </c>
      <c r="I251" s="1526">
        <v>972.15</v>
      </c>
      <c r="J251" s="1526">
        <v>1019.18</v>
      </c>
      <c r="K251" s="1526">
        <v>1144.01</v>
      </c>
      <c r="L251" s="1526">
        <v>1256.04</v>
      </c>
      <c r="M251" s="1526">
        <v>1347.88</v>
      </c>
      <c r="N251" s="1526">
        <v>1493.21</v>
      </c>
      <c r="O251" s="1526">
        <v>1595.17</v>
      </c>
      <c r="P251"/>
    </row>
    <row r="252" spans="2:16">
      <c r="B252" s="1538">
        <v>5970</v>
      </c>
      <c r="C252" s="1526">
        <v>1157.98</v>
      </c>
      <c r="D252" s="1526">
        <v>51.2</v>
      </c>
      <c r="E252" s="1526">
        <v>102.06</v>
      </c>
      <c r="F252" s="1526">
        <v>152.79</v>
      </c>
      <c r="G252" s="1526">
        <v>203.59</v>
      </c>
      <c r="H252" s="1526">
        <v>254.32</v>
      </c>
      <c r="I252" s="1526">
        <v>305.02999999999997</v>
      </c>
      <c r="J252" s="1526">
        <v>355.69</v>
      </c>
      <c r="K252" s="1526">
        <v>406.28</v>
      </c>
      <c r="L252" s="1526">
        <v>456.57</v>
      </c>
      <c r="M252" s="1526">
        <v>506.84</v>
      </c>
      <c r="N252" s="1526">
        <v>587.14</v>
      </c>
      <c r="O252" s="1526">
        <v>637.29999999999995</v>
      </c>
      <c r="P252"/>
    </row>
    <row r="253" spans="2:16">
      <c r="B253" s="1538">
        <v>5975</v>
      </c>
      <c r="C253" s="1526">
        <v>176.48</v>
      </c>
      <c r="D253" s="1526"/>
      <c r="E253" s="1526">
        <v>15.51</v>
      </c>
      <c r="F253" s="1526">
        <v>2.08</v>
      </c>
      <c r="G253" s="1526">
        <v>2.08</v>
      </c>
      <c r="H253" s="1526">
        <v>34.97</v>
      </c>
      <c r="I253" s="1526">
        <v>34.97</v>
      </c>
      <c r="J253" s="1526">
        <v>56.2</v>
      </c>
      <c r="K253" s="1526">
        <v>74.94</v>
      </c>
      <c r="L253" s="1526">
        <v>74.94</v>
      </c>
      <c r="M253" s="1526">
        <v>74.94</v>
      </c>
      <c r="N253" s="1526">
        <v>166.5</v>
      </c>
      <c r="O253" s="1526">
        <v>166.5</v>
      </c>
      <c r="P253"/>
    </row>
    <row r="254" spans="2:16">
      <c r="B254" s="1538">
        <v>5980</v>
      </c>
      <c r="C254" s="1526">
        <v>1.98</v>
      </c>
      <c r="D254" s="1526"/>
      <c r="E254" s="1526"/>
      <c r="F254" s="1526">
        <v>0.67</v>
      </c>
      <c r="G254" s="1526">
        <v>0.67</v>
      </c>
      <c r="H254" s="1526">
        <v>0.67</v>
      </c>
      <c r="I254" s="1526">
        <v>1.33</v>
      </c>
      <c r="J254" s="1526">
        <v>1.33</v>
      </c>
      <c r="K254" s="1526">
        <v>1.33</v>
      </c>
      <c r="L254" s="1526">
        <v>1.86</v>
      </c>
      <c r="M254" s="1526">
        <v>1.86</v>
      </c>
      <c r="N254" s="1526">
        <v>1.86</v>
      </c>
      <c r="O254" s="1526">
        <v>-96.94</v>
      </c>
      <c r="P254"/>
    </row>
    <row r="255" spans="2:16">
      <c r="B255" s="1538">
        <v>6010</v>
      </c>
      <c r="C255" s="1526">
        <v>5480.22</v>
      </c>
      <c r="D255" s="1526">
        <v>274.2</v>
      </c>
      <c r="E255" s="1526">
        <v>559.29</v>
      </c>
      <c r="F255" s="1526">
        <v>832.6</v>
      </c>
      <c r="G255" s="1526">
        <v>1104.33</v>
      </c>
      <c r="H255" s="1526">
        <v>1375.72</v>
      </c>
      <c r="I255" s="1526">
        <v>1647.15</v>
      </c>
      <c r="J255" s="1526">
        <v>2040.95</v>
      </c>
      <c r="K255" s="1526">
        <v>2434.19</v>
      </c>
      <c r="L255" s="1526">
        <v>2823.77</v>
      </c>
      <c r="M255" s="1526">
        <v>3213.26</v>
      </c>
      <c r="N255" s="1526">
        <v>3747.29</v>
      </c>
      <c r="O255" s="1526">
        <v>4320.78</v>
      </c>
      <c r="P255"/>
    </row>
    <row r="256" spans="2:16">
      <c r="B256" s="1538">
        <v>6015</v>
      </c>
      <c r="C256" s="1526">
        <v>30.84</v>
      </c>
      <c r="D256" s="1526">
        <v>2.0299999999999998</v>
      </c>
      <c r="E256" s="1526">
        <v>2.25</v>
      </c>
      <c r="F256" s="1526">
        <v>3.87</v>
      </c>
      <c r="G256" s="1526">
        <v>3.87</v>
      </c>
      <c r="H256" s="1526">
        <v>4.18</v>
      </c>
      <c r="I256" s="1526">
        <v>4.18</v>
      </c>
      <c r="J256" s="1526">
        <v>4.49</v>
      </c>
      <c r="K256" s="1526">
        <v>4.49</v>
      </c>
      <c r="L256" s="1526">
        <v>4.79</v>
      </c>
      <c r="M256" s="1526">
        <v>4.79</v>
      </c>
      <c r="N256" s="1526">
        <v>19.329999999999998</v>
      </c>
      <c r="O256" s="1526">
        <v>19.329999999999998</v>
      </c>
      <c r="P256"/>
    </row>
    <row r="257" spans="2:16">
      <c r="B257" s="1538">
        <v>6020</v>
      </c>
      <c r="C257" s="1526">
        <v>8914.27</v>
      </c>
      <c r="D257" s="1526"/>
      <c r="E257" s="1526"/>
      <c r="F257" s="1526"/>
      <c r="G257" s="1526"/>
      <c r="H257" s="1526"/>
      <c r="I257" s="1526"/>
      <c r="J257" s="1526"/>
      <c r="K257" s="1526">
        <v>151.56</v>
      </c>
      <c r="L257" s="1526">
        <v>0.14000000000000001</v>
      </c>
      <c r="M257" s="1526">
        <v>0.14000000000000001</v>
      </c>
      <c r="N257" s="1526">
        <v>2380.34</v>
      </c>
      <c r="O257" s="1526">
        <v>6805.98</v>
      </c>
      <c r="P257"/>
    </row>
    <row r="258" spans="2:16">
      <c r="B258" s="1538">
        <v>6025</v>
      </c>
      <c r="C258" s="1526">
        <v>388.09</v>
      </c>
      <c r="D258" s="1526"/>
      <c r="E258" s="1526">
        <v>7.44</v>
      </c>
      <c r="F258" s="1526">
        <v>7.44</v>
      </c>
      <c r="G258" s="1526">
        <v>7.44</v>
      </c>
      <c r="H258" s="1526">
        <v>7.44</v>
      </c>
      <c r="I258" s="1526">
        <v>7.44</v>
      </c>
      <c r="J258" s="1526">
        <v>7.44</v>
      </c>
      <c r="K258" s="1526">
        <v>-303.45999999999998</v>
      </c>
      <c r="L258" s="1526">
        <v>-303.45999999999998</v>
      </c>
      <c r="M258" s="1526">
        <v>-276.75</v>
      </c>
      <c r="N258" s="1526">
        <v>-276.75</v>
      </c>
      <c r="O258" s="1526">
        <v>-107.84</v>
      </c>
      <c r="P258"/>
    </row>
    <row r="259" spans="2:16">
      <c r="B259" s="1538">
        <v>6035</v>
      </c>
      <c r="C259" s="1526">
        <v>1143.3</v>
      </c>
      <c r="D259" s="1526">
        <v>145.77000000000001</v>
      </c>
      <c r="E259" s="1526">
        <v>230.12</v>
      </c>
      <c r="F259" s="1526">
        <v>316.16000000000003</v>
      </c>
      <c r="G259" s="1526">
        <v>425.5</v>
      </c>
      <c r="H259" s="1526">
        <v>513.85</v>
      </c>
      <c r="I259" s="1526">
        <v>616.65</v>
      </c>
      <c r="J259" s="1526">
        <v>725.68</v>
      </c>
      <c r="K259" s="1526">
        <v>813.2</v>
      </c>
      <c r="L259" s="1526">
        <v>897.64</v>
      </c>
      <c r="M259" s="1526">
        <v>993.57</v>
      </c>
      <c r="N259" s="1526">
        <v>1083.29</v>
      </c>
      <c r="O259" s="1526">
        <v>1179.1500000000001</v>
      </c>
      <c r="P259"/>
    </row>
    <row r="260" spans="2:16">
      <c r="B260" s="1538">
        <v>6040</v>
      </c>
      <c r="C260" s="1526">
        <v>11570.49</v>
      </c>
      <c r="D260" s="1526">
        <v>395.26</v>
      </c>
      <c r="E260" s="1526">
        <v>786.53</v>
      </c>
      <c r="F260" s="1526">
        <v>1223.4000000000001</v>
      </c>
      <c r="G260" s="1526">
        <v>1615.11</v>
      </c>
      <c r="H260" s="1526">
        <v>2006.32</v>
      </c>
      <c r="I260" s="1526">
        <v>2397.58</v>
      </c>
      <c r="J260" s="1526">
        <v>2788.31</v>
      </c>
      <c r="K260" s="1526">
        <v>3178.49</v>
      </c>
      <c r="L260" s="1526">
        <v>3565.04</v>
      </c>
      <c r="M260" s="1526">
        <v>3951.5</v>
      </c>
      <c r="N260" s="1526">
        <v>4337.45</v>
      </c>
      <c r="O260" s="1526">
        <v>4686.25</v>
      </c>
      <c r="P260"/>
    </row>
    <row r="261" spans="2:16">
      <c r="B261" s="1538">
        <v>6045</v>
      </c>
      <c r="C261" s="1526">
        <v>229.38</v>
      </c>
      <c r="D261" s="1526"/>
      <c r="E261" s="1526"/>
      <c r="F261" s="1526">
        <v>1.69</v>
      </c>
      <c r="G261" s="1526">
        <v>1.69</v>
      </c>
      <c r="H261" s="1526">
        <v>1.69</v>
      </c>
      <c r="I261" s="1526">
        <v>1.69</v>
      </c>
      <c r="J261" s="1526">
        <v>1.69</v>
      </c>
      <c r="K261" s="1526">
        <v>1.69</v>
      </c>
      <c r="L261" s="1526">
        <v>18.41</v>
      </c>
      <c r="M261" s="1526">
        <v>93.28</v>
      </c>
      <c r="N261" s="1526">
        <v>124.2</v>
      </c>
      <c r="O261" s="1526">
        <v>192.44</v>
      </c>
      <c r="P261"/>
    </row>
    <row r="262" spans="2:16">
      <c r="B262" s="1538">
        <v>6050</v>
      </c>
      <c r="C262" s="1526">
        <v>5512.12</v>
      </c>
      <c r="D262" s="1526">
        <v>-772.94</v>
      </c>
      <c r="E262" s="1526">
        <v>-351.96</v>
      </c>
      <c r="F262" s="1526">
        <v>128.28</v>
      </c>
      <c r="G262" s="1526">
        <v>599.96</v>
      </c>
      <c r="H262" s="1526">
        <v>924.53</v>
      </c>
      <c r="I262" s="1526">
        <v>1245.53</v>
      </c>
      <c r="J262" s="1526">
        <v>1975.11</v>
      </c>
      <c r="K262" s="1526">
        <v>2492.0100000000002</v>
      </c>
      <c r="L262" s="1526">
        <v>2769.15</v>
      </c>
      <c r="M262" s="1526">
        <v>3146.95</v>
      </c>
      <c r="N262" s="1526">
        <v>3457.26</v>
      </c>
      <c r="O262" s="1526">
        <v>10073.91</v>
      </c>
      <c r="P262"/>
    </row>
    <row r="263" spans="2:16">
      <c r="B263" s="1538">
        <v>6070</v>
      </c>
      <c r="C263" s="1526">
        <v>31734.31</v>
      </c>
      <c r="D263" s="1526">
        <v>-288.60000000000002</v>
      </c>
      <c r="E263" s="1526">
        <v>-294.11</v>
      </c>
      <c r="F263" s="1526">
        <v>-276.83999999999997</v>
      </c>
      <c r="G263" s="1526">
        <v>-276.83999999999997</v>
      </c>
      <c r="H263" s="1526">
        <v>-226.19</v>
      </c>
      <c r="I263" s="1526">
        <v>-173.7</v>
      </c>
      <c r="J263" s="1526">
        <v>-83.99</v>
      </c>
      <c r="K263" s="1526">
        <v>-67.150000000000006</v>
      </c>
      <c r="L263" s="1526">
        <v>-67.150000000000006</v>
      </c>
      <c r="M263" s="1526">
        <v>601.87</v>
      </c>
      <c r="N263" s="1526">
        <v>751.97</v>
      </c>
      <c r="O263" s="1526">
        <v>927.84</v>
      </c>
      <c r="P263"/>
    </row>
    <row r="264" spans="2:16">
      <c r="B264" s="1538">
        <v>6090</v>
      </c>
      <c r="C264" s="1526">
        <v>245.73</v>
      </c>
      <c r="D264" s="1526">
        <v>21.16</v>
      </c>
      <c r="E264" s="1526">
        <v>42.1</v>
      </c>
      <c r="F264" s="1526">
        <v>63.63</v>
      </c>
      <c r="G264" s="1526">
        <v>85.23</v>
      </c>
      <c r="H264" s="1526">
        <v>107.56</v>
      </c>
      <c r="I264" s="1526">
        <v>129.88999999999999</v>
      </c>
      <c r="J264" s="1526">
        <v>152.88999999999999</v>
      </c>
      <c r="K264" s="1526">
        <v>175.86</v>
      </c>
      <c r="L264" s="1526">
        <v>198.62</v>
      </c>
      <c r="M264" s="1526">
        <v>221.37</v>
      </c>
      <c r="N264" s="1526">
        <v>244.09</v>
      </c>
      <c r="O264" s="1526">
        <v>289.49</v>
      </c>
      <c r="P264"/>
    </row>
    <row r="265" spans="2:16">
      <c r="B265" s="1538">
        <v>6110</v>
      </c>
      <c r="C265" s="1526">
        <v>12565.85</v>
      </c>
      <c r="D265" s="1526">
        <v>1042.2</v>
      </c>
      <c r="E265" s="1526">
        <v>1990.45</v>
      </c>
      <c r="F265" s="1526">
        <v>3156.59</v>
      </c>
      <c r="G265" s="1526">
        <v>4448.3500000000004</v>
      </c>
      <c r="H265" s="1526">
        <v>5521.53</v>
      </c>
      <c r="I265" s="1526">
        <v>6608.78</v>
      </c>
      <c r="J265" s="1526">
        <v>7706.71</v>
      </c>
      <c r="K265" s="1526">
        <v>8754.1299999999992</v>
      </c>
      <c r="L265" s="1526">
        <v>9831.24</v>
      </c>
      <c r="M265" s="1526">
        <v>10921.4</v>
      </c>
      <c r="N265" s="1526">
        <v>11863.37</v>
      </c>
      <c r="O265" s="1526">
        <v>12964.36</v>
      </c>
      <c r="P265"/>
    </row>
    <row r="266" spans="2:16">
      <c r="B266" s="1538">
        <v>6115</v>
      </c>
      <c r="C266" s="1526">
        <v>1899.01</v>
      </c>
      <c r="D266" s="1526">
        <v>193.49</v>
      </c>
      <c r="E266" s="1526">
        <v>334.16</v>
      </c>
      <c r="F266" s="1526">
        <v>516.55999999999995</v>
      </c>
      <c r="G266" s="1526">
        <v>754.75</v>
      </c>
      <c r="H266" s="1526">
        <v>913.89</v>
      </c>
      <c r="I266" s="1526">
        <v>1077.45</v>
      </c>
      <c r="J266" s="1526">
        <v>1257.1300000000001</v>
      </c>
      <c r="K266" s="1526">
        <v>1455.17</v>
      </c>
      <c r="L266" s="1526">
        <v>1657.61</v>
      </c>
      <c r="M266" s="1526">
        <v>1863.5</v>
      </c>
      <c r="N266" s="1526">
        <v>2065.92</v>
      </c>
      <c r="O266" s="1526">
        <v>2293.16</v>
      </c>
      <c r="P266"/>
    </row>
    <row r="267" spans="2:16">
      <c r="B267" s="1538">
        <v>6120</v>
      </c>
      <c r="C267" s="1526">
        <v>13290.82</v>
      </c>
      <c r="D267" s="1526">
        <v>842.15</v>
      </c>
      <c r="E267" s="1526">
        <v>1701.78</v>
      </c>
      <c r="F267" s="1526">
        <v>2528.5300000000002</v>
      </c>
      <c r="G267" s="1526">
        <v>3388.76</v>
      </c>
      <c r="H267" s="1526">
        <v>4234.03</v>
      </c>
      <c r="I267" s="1526">
        <v>5080.5600000000004</v>
      </c>
      <c r="J267" s="1526">
        <v>6164.77</v>
      </c>
      <c r="K267" s="1526">
        <v>6814.5</v>
      </c>
      <c r="L267" s="1526">
        <v>7639.93</v>
      </c>
      <c r="M267" s="1526">
        <v>8483.34</v>
      </c>
      <c r="N267" s="1526">
        <v>10538.07</v>
      </c>
      <c r="O267" s="1526">
        <v>10610.31</v>
      </c>
      <c r="P267"/>
    </row>
    <row r="268" spans="2:16">
      <c r="B268" s="1538">
        <v>6125</v>
      </c>
      <c r="C268" s="1526">
        <v>1861.51</v>
      </c>
      <c r="D268" s="1526">
        <v>164.16</v>
      </c>
      <c r="E268" s="1526">
        <v>328.99</v>
      </c>
      <c r="F268" s="1526">
        <v>494.86</v>
      </c>
      <c r="G268" s="1526">
        <v>662.5</v>
      </c>
      <c r="H268" s="1526">
        <v>835.25</v>
      </c>
      <c r="I268" s="1526">
        <v>1007.58</v>
      </c>
      <c r="J268" s="1526">
        <v>1179.67</v>
      </c>
      <c r="K268" s="1526">
        <v>1350.19</v>
      </c>
      <c r="L268" s="1526">
        <v>1519.57</v>
      </c>
      <c r="M268" s="1526">
        <v>1694</v>
      </c>
      <c r="N268" s="1526">
        <v>1864.42</v>
      </c>
      <c r="O268" s="1526">
        <v>2034.25</v>
      </c>
      <c r="P268"/>
    </row>
    <row r="269" spans="2:16">
      <c r="B269" s="1538">
        <v>6130</v>
      </c>
      <c r="C269" s="1526">
        <v>4598.4399999999996</v>
      </c>
      <c r="D269" s="1526">
        <v>390.74</v>
      </c>
      <c r="E269" s="1526">
        <v>762.17</v>
      </c>
      <c r="F269" s="1526">
        <v>1117.24</v>
      </c>
      <c r="G269" s="1526">
        <v>1501.39</v>
      </c>
      <c r="H269" s="1526">
        <v>1882.93</v>
      </c>
      <c r="I269" s="1526">
        <v>2266.64</v>
      </c>
      <c r="J269" s="1526">
        <v>2658.59</v>
      </c>
      <c r="K269" s="1526">
        <v>3069.97</v>
      </c>
      <c r="L269" s="1526">
        <v>3498.11</v>
      </c>
      <c r="M269" s="1526">
        <v>3909.81</v>
      </c>
      <c r="N269" s="1526">
        <v>4325.3900000000003</v>
      </c>
      <c r="O269" s="1526">
        <v>4743.16</v>
      </c>
      <c r="P269"/>
    </row>
    <row r="270" spans="2:16">
      <c r="B270" s="1538">
        <v>6135</v>
      </c>
      <c r="C270" s="1526">
        <v>25300.67</v>
      </c>
      <c r="D270" s="1526">
        <v>2359.3200000000002</v>
      </c>
      <c r="E270" s="1526">
        <v>4623.17</v>
      </c>
      <c r="F270" s="1526">
        <v>7064.33</v>
      </c>
      <c r="G270" s="1526">
        <v>9294.48</v>
      </c>
      <c r="H270" s="1526">
        <v>11817.48</v>
      </c>
      <c r="I270" s="1526">
        <v>14987.42</v>
      </c>
      <c r="J270" s="1526">
        <v>18213.849999999999</v>
      </c>
      <c r="K270" s="1526">
        <v>22059.4</v>
      </c>
      <c r="L270" s="1526">
        <v>25359.02</v>
      </c>
      <c r="M270" s="1526">
        <v>28545.75</v>
      </c>
      <c r="N270" s="1526">
        <v>32105.94</v>
      </c>
      <c r="O270" s="1526">
        <v>36562.14</v>
      </c>
      <c r="P270"/>
    </row>
    <row r="271" spans="2:16">
      <c r="B271" s="1538">
        <v>6140</v>
      </c>
      <c r="C271" s="1526">
        <v>5757.05</v>
      </c>
      <c r="D271" s="1526">
        <v>223.44</v>
      </c>
      <c r="E271" s="1526">
        <v>515.17999999999995</v>
      </c>
      <c r="F271" s="1526">
        <v>842.75</v>
      </c>
      <c r="G271" s="1526">
        <v>1192.02</v>
      </c>
      <c r="H271" s="1526">
        <v>1490.75</v>
      </c>
      <c r="I271" s="1526">
        <v>1817.18</v>
      </c>
      <c r="J271" s="1526">
        <v>2138.6999999999998</v>
      </c>
      <c r="K271" s="1526">
        <v>2465.77</v>
      </c>
      <c r="L271" s="1526">
        <v>2801.94</v>
      </c>
      <c r="M271" s="1526">
        <v>3125.89</v>
      </c>
      <c r="N271" s="1526">
        <v>3452.45</v>
      </c>
      <c r="O271" s="1526">
        <v>3775.68</v>
      </c>
      <c r="P271"/>
    </row>
    <row r="272" spans="2:16">
      <c r="B272" s="1538">
        <v>6145</v>
      </c>
      <c r="C272" s="1526">
        <v>12867.98</v>
      </c>
      <c r="D272" s="1526">
        <v>1078.81</v>
      </c>
      <c r="E272" s="1526">
        <v>2070.91</v>
      </c>
      <c r="F272" s="1526">
        <v>3082.63</v>
      </c>
      <c r="G272" s="1526">
        <v>4144.95</v>
      </c>
      <c r="H272" s="1526">
        <v>5188.51</v>
      </c>
      <c r="I272" s="1526">
        <v>6294.05</v>
      </c>
      <c r="J272" s="1526">
        <v>7411.75</v>
      </c>
      <c r="K272" s="1526">
        <v>8452.4</v>
      </c>
      <c r="L272" s="1526">
        <v>9509.33</v>
      </c>
      <c r="M272" s="1526">
        <v>10554.84</v>
      </c>
      <c r="N272" s="1526">
        <v>11604.48</v>
      </c>
      <c r="O272" s="1526">
        <v>12727.64</v>
      </c>
      <c r="P272"/>
    </row>
    <row r="273" spans="2:16">
      <c r="B273" s="1538">
        <v>6146</v>
      </c>
      <c r="C273" s="1526">
        <v>5721.68</v>
      </c>
      <c r="D273" s="1526">
        <v>452.31</v>
      </c>
      <c r="E273" s="1526">
        <v>873.86</v>
      </c>
      <c r="F273" s="1526">
        <v>1315.94</v>
      </c>
      <c r="G273" s="1526">
        <v>1853.47</v>
      </c>
      <c r="H273" s="1526">
        <v>2295.0300000000002</v>
      </c>
      <c r="I273" s="1526">
        <v>2749.19</v>
      </c>
      <c r="J273" s="1526">
        <v>3165.56</v>
      </c>
      <c r="K273" s="1526">
        <v>3573.27</v>
      </c>
      <c r="L273" s="1526">
        <v>4052.58</v>
      </c>
      <c r="M273" s="1526">
        <v>4472.75</v>
      </c>
      <c r="N273" s="1526">
        <v>4899.32</v>
      </c>
      <c r="O273" s="1526">
        <v>5356.85</v>
      </c>
      <c r="P273"/>
    </row>
    <row r="274" spans="2:16">
      <c r="B274" s="1538">
        <v>6150</v>
      </c>
      <c r="C274" s="1526">
        <v>176563.01</v>
      </c>
      <c r="D274" s="1526">
        <v>16250.25</v>
      </c>
      <c r="E274" s="1526">
        <v>27980.400000000001</v>
      </c>
      <c r="F274" s="1526">
        <v>41762.730000000003</v>
      </c>
      <c r="G274" s="1526">
        <v>58289.55</v>
      </c>
      <c r="H274" s="1526">
        <v>73020.929999999993</v>
      </c>
      <c r="I274" s="1526">
        <v>87264.89</v>
      </c>
      <c r="J274" s="1526">
        <v>100263.72</v>
      </c>
      <c r="K274" s="1526">
        <v>114700.94</v>
      </c>
      <c r="L274" s="1526">
        <v>128297.1</v>
      </c>
      <c r="M274" s="1526">
        <v>141449.9</v>
      </c>
      <c r="N274" s="1526">
        <v>153947.81</v>
      </c>
      <c r="O274" s="1526">
        <v>168742.2</v>
      </c>
      <c r="P274"/>
    </row>
    <row r="275" spans="2:16">
      <c r="B275" s="1538">
        <v>6155</v>
      </c>
      <c r="C275" s="1526">
        <v>3559.58</v>
      </c>
      <c r="D275" s="1526">
        <v>255.19</v>
      </c>
      <c r="E275" s="1526">
        <v>514.86</v>
      </c>
      <c r="F275" s="1526">
        <v>820.02</v>
      </c>
      <c r="G275" s="1526">
        <v>1135.56</v>
      </c>
      <c r="H275" s="1526">
        <v>1436.31</v>
      </c>
      <c r="I275" s="1526">
        <v>1766.55</v>
      </c>
      <c r="J275" s="1526">
        <v>2095.04</v>
      </c>
      <c r="K275" s="1526">
        <v>2395.2800000000002</v>
      </c>
      <c r="L275" s="1526">
        <v>2709.75</v>
      </c>
      <c r="M275" s="1526">
        <v>2999.61</v>
      </c>
      <c r="N275" s="1526">
        <v>3276.98</v>
      </c>
      <c r="O275" s="1526">
        <v>3564.56</v>
      </c>
      <c r="P275"/>
    </row>
    <row r="276" spans="2:16">
      <c r="B276" s="1538">
        <v>6165</v>
      </c>
      <c r="C276" s="1526">
        <v>-16663.060000000001</v>
      </c>
      <c r="D276" s="1526">
        <v>-3808.25</v>
      </c>
      <c r="E276" s="1526">
        <v>-5220.72</v>
      </c>
      <c r="F276" s="1526">
        <v>-5896.07</v>
      </c>
      <c r="G276" s="1526">
        <v>-9316.16</v>
      </c>
      <c r="H276" s="1526">
        <v>-10767.29</v>
      </c>
      <c r="I276" s="1526">
        <v>-12065.65</v>
      </c>
      <c r="J276" s="1526">
        <v>-13084.79</v>
      </c>
      <c r="K276" s="1526">
        <v>-14776.78</v>
      </c>
      <c r="L276" s="1526">
        <v>-17074.25</v>
      </c>
      <c r="M276" s="1526">
        <v>-18033.169999999998</v>
      </c>
      <c r="N276" s="1526">
        <v>-19811.43</v>
      </c>
      <c r="O276" s="1526">
        <v>-21990.28</v>
      </c>
      <c r="P276"/>
    </row>
    <row r="277" spans="2:16">
      <c r="B277" s="1538">
        <v>6185</v>
      </c>
      <c r="C277" s="1526">
        <v>707.99</v>
      </c>
      <c r="D277" s="1526">
        <v>5.14</v>
      </c>
      <c r="E277" s="1526">
        <v>63.55</v>
      </c>
      <c r="F277" s="1526">
        <v>204.34</v>
      </c>
      <c r="G277" s="1526">
        <v>169.99</v>
      </c>
      <c r="H277" s="1526">
        <v>177.46</v>
      </c>
      <c r="I277" s="1526">
        <v>212.4</v>
      </c>
      <c r="J277" s="1526">
        <v>299.20999999999998</v>
      </c>
      <c r="K277" s="1526">
        <v>363.67</v>
      </c>
      <c r="L277" s="1526">
        <v>711.05</v>
      </c>
      <c r="M277" s="1526">
        <v>745.74</v>
      </c>
      <c r="N277" s="1526">
        <v>881.8</v>
      </c>
      <c r="O277" s="1526">
        <v>901.98</v>
      </c>
      <c r="P277"/>
    </row>
    <row r="278" spans="2:16">
      <c r="B278" s="1538">
        <v>6190</v>
      </c>
      <c r="C278" s="1526">
        <v>558.77</v>
      </c>
      <c r="D278" s="1526">
        <v>6.91</v>
      </c>
      <c r="E278" s="1526">
        <v>30</v>
      </c>
      <c r="F278" s="1526">
        <v>78.22</v>
      </c>
      <c r="G278" s="1526">
        <v>87.89</v>
      </c>
      <c r="H278" s="1526">
        <v>128.38</v>
      </c>
      <c r="I278" s="1526">
        <v>147.6</v>
      </c>
      <c r="J278" s="1526">
        <v>220.01</v>
      </c>
      <c r="K278" s="1526">
        <v>227.33</v>
      </c>
      <c r="L278" s="1526">
        <v>305.69</v>
      </c>
      <c r="M278" s="1526">
        <v>430.2</v>
      </c>
      <c r="N278" s="1526">
        <v>475.01</v>
      </c>
      <c r="O278" s="1526">
        <v>505</v>
      </c>
      <c r="P278"/>
    </row>
    <row r="279" spans="2:16">
      <c r="B279" s="1538">
        <v>6195</v>
      </c>
      <c r="C279" s="1526">
        <v>134.44</v>
      </c>
      <c r="D279" s="1526">
        <v>0.35</v>
      </c>
      <c r="E279" s="1526">
        <v>5.67</v>
      </c>
      <c r="F279" s="1526">
        <v>10.25</v>
      </c>
      <c r="G279" s="1526">
        <v>18.55</v>
      </c>
      <c r="H279" s="1526">
        <v>21.81</v>
      </c>
      <c r="I279" s="1526">
        <v>25.36</v>
      </c>
      <c r="J279" s="1526">
        <v>93.95</v>
      </c>
      <c r="K279" s="1526">
        <v>97.14</v>
      </c>
      <c r="L279" s="1526">
        <v>418.79</v>
      </c>
      <c r="M279" s="1526">
        <v>429.57</v>
      </c>
      <c r="N279" s="1526">
        <v>441.86</v>
      </c>
      <c r="O279" s="1526">
        <v>452.64</v>
      </c>
      <c r="P279"/>
    </row>
    <row r="280" spans="2:16">
      <c r="B280" s="1538">
        <v>6200</v>
      </c>
      <c r="C280" s="1526">
        <v>987.51</v>
      </c>
      <c r="D280" s="1526">
        <v>6.83</v>
      </c>
      <c r="E280" s="1526">
        <v>26.59</v>
      </c>
      <c r="F280" s="1526">
        <v>252.88</v>
      </c>
      <c r="G280" s="1526">
        <v>256.42</v>
      </c>
      <c r="H280" s="1526">
        <v>307.75</v>
      </c>
      <c r="I280" s="1526">
        <v>330.04</v>
      </c>
      <c r="J280" s="1526">
        <v>372.99</v>
      </c>
      <c r="K280" s="1526">
        <v>378.45</v>
      </c>
      <c r="L280" s="1526">
        <v>781.19</v>
      </c>
      <c r="M280" s="1526">
        <v>854.25</v>
      </c>
      <c r="N280" s="1526">
        <v>971.42</v>
      </c>
      <c r="O280" s="1526">
        <v>993.61</v>
      </c>
      <c r="P280"/>
    </row>
    <row r="281" spans="2:16">
      <c r="B281" s="1538">
        <v>6205</v>
      </c>
      <c r="C281" s="1526">
        <v>30.72</v>
      </c>
      <c r="D281" s="1526"/>
      <c r="E281" s="1526">
        <v>1.1399999999999999</v>
      </c>
      <c r="F281" s="1526">
        <v>1.1399999999999999</v>
      </c>
      <c r="G281" s="1526">
        <v>9.94</v>
      </c>
      <c r="H281" s="1526">
        <v>10.55</v>
      </c>
      <c r="I281" s="1526">
        <v>12.75</v>
      </c>
      <c r="J281" s="1526">
        <v>13.63</v>
      </c>
      <c r="K281" s="1526">
        <v>17.18</v>
      </c>
      <c r="L281" s="1526">
        <v>17.57</v>
      </c>
      <c r="M281" s="1526">
        <v>17.57</v>
      </c>
      <c r="N281" s="1526">
        <v>32.450000000000003</v>
      </c>
      <c r="O281" s="1526">
        <v>32.450000000000003</v>
      </c>
      <c r="P281"/>
    </row>
    <row r="282" spans="2:16">
      <c r="B282" s="1538">
        <v>6207</v>
      </c>
      <c r="C282" s="1526">
        <v>560.5</v>
      </c>
      <c r="D282" s="1526">
        <v>54.81</v>
      </c>
      <c r="E282" s="1526">
        <v>160.54</v>
      </c>
      <c r="F282" s="1526">
        <v>224.87</v>
      </c>
      <c r="G282" s="1526">
        <v>566.79</v>
      </c>
      <c r="H282" s="1526">
        <v>320.61</v>
      </c>
      <c r="I282" s="1526">
        <v>326.62</v>
      </c>
      <c r="J282" s="1526">
        <v>437.13</v>
      </c>
      <c r="K282" s="1526">
        <v>489.93</v>
      </c>
      <c r="L282" s="1526">
        <v>532.53</v>
      </c>
      <c r="M282" s="1526">
        <v>586.64</v>
      </c>
      <c r="N282" s="1526">
        <v>698.78</v>
      </c>
      <c r="O282" s="1526">
        <v>739.03</v>
      </c>
      <c r="P282"/>
    </row>
    <row r="283" spans="2:16">
      <c r="B283" s="1538">
        <v>6215</v>
      </c>
      <c r="C283" s="1526">
        <v>12931.42</v>
      </c>
      <c r="D283" s="1526">
        <v>638.82000000000005</v>
      </c>
      <c r="E283" s="1526">
        <v>1267.33</v>
      </c>
      <c r="F283" s="1526">
        <v>2040.15</v>
      </c>
      <c r="G283" s="1526">
        <v>2798.43</v>
      </c>
      <c r="H283" s="1526">
        <v>3595.53</v>
      </c>
      <c r="I283" s="1526">
        <v>4475.82</v>
      </c>
      <c r="J283" s="1526">
        <v>5333.87</v>
      </c>
      <c r="K283" s="1526">
        <v>6140.33</v>
      </c>
      <c r="L283" s="1526">
        <v>6819.06</v>
      </c>
      <c r="M283" s="1526">
        <v>7531.87</v>
      </c>
      <c r="N283" s="1526">
        <v>8177.36</v>
      </c>
      <c r="O283" s="1526">
        <v>8799.4500000000007</v>
      </c>
      <c r="P283"/>
    </row>
    <row r="284" spans="2:16">
      <c r="B284" s="1538">
        <v>6220</v>
      </c>
      <c r="C284" s="1526">
        <v>5211.93</v>
      </c>
      <c r="D284" s="1526">
        <v>262.06</v>
      </c>
      <c r="E284" s="1526">
        <v>613.74</v>
      </c>
      <c r="F284" s="1526">
        <v>831.68</v>
      </c>
      <c r="G284" s="1526">
        <v>1394.12</v>
      </c>
      <c r="H284" s="1526">
        <v>1793.18</v>
      </c>
      <c r="I284" s="1526">
        <v>2115.9</v>
      </c>
      <c r="J284" s="1526">
        <v>2535.56</v>
      </c>
      <c r="K284" s="1526">
        <v>2847.95</v>
      </c>
      <c r="L284" s="1526">
        <v>3250.49</v>
      </c>
      <c r="M284" s="1526">
        <v>3542.91</v>
      </c>
      <c r="N284" s="1526">
        <v>3927.11</v>
      </c>
      <c r="O284" s="1526">
        <v>4239.08</v>
      </c>
      <c r="P284"/>
    </row>
    <row r="285" spans="2:16">
      <c r="B285" s="1538">
        <v>6225</v>
      </c>
      <c r="C285" s="1526">
        <v>437.32</v>
      </c>
      <c r="D285" s="1526"/>
      <c r="E285" s="1526"/>
      <c r="F285" s="1526"/>
      <c r="G285" s="1526"/>
      <c r="H285" s="1526">
        <v>212.04</v>
      </c>
      <c r="I285" s="1526">
        <v>210.53</v>
      </c>
      <c r="J285" s="1526">
        <v>210.53</v>
      </c>
      <c r="K285" s="1526">
        <v>210.53</v>
      </c>
      <c r="L285" s="1526">
        <v>210.53</v>
      </c>
      <c r="M285" s="1526">
        <v>210.53</v>
      </c>
      <c r="N285" s="1526">
        <v>333.27</v>
      </c>
      <c r="O285" s="1526">
        <v>333.42</v>
      </c>
      <c r="P285"/>
    </row>
    <row r="286" spans="2:16">
      <c r="B286" s="1538">
        <v>6230</v>
      </c>
      <c r="C286" s="1526">
        <v>478.47</v>
      </c>
      <c r="D286" s="1526">
        <v>69.3</v>
      </c>
      <c r="E286" s="1526">
        <v>138.69999999999999</v>
      </c>
      <c r="F286" s="1526">
        <v>207.88</v>
      </c>
      <c r="G286" s="1526">
        <v>276.75</v>
      </c>
      <c r="H286" s="1526">
        <v>387.58</v>
      </c>
      <c r="I286" s="1526">
        <v>474.86</v>
      </c>
      <c r="J286" s="1526">
        <v>474.86</v>
      </c>
      <c r="K286" s="1526">
        <v>551.27</v>
      </c>
      <c r="L286" s="1526">
        <v>551.27</v>
      </c>
      <c r="M286" s="1526">
        <v>842.1</v>
      </c>
      <c r="N286" s="1526">
        <v>842.1</v>
      </c>
      <c r="O286" s="1526">
        <v>981.42</v>
      </c>
      <c r="P286"/>
    </row>
    <row r="287" spans="2:16">
      <c r="B287" s="1538">
        <v>6260</v>
      </c>
      <c r="C287" s="1526">
        <v>4882</v>
      </c>
      <c r="D287" s="1526">
        <v>875.86</v>
      </c>
      <c r="E287" s="1526">
        <v>875.86</v>
      </c>
      <c r="F287" s="1526">
        <v>1572.77</v>
      </c>
      <c r="G287" s="1526">
        <v>2702.97</v>
      </c>
      <c r="H287" s="1526">
        <v>2926</v>
      </c>
      <c r="I287" s="1526">
        <v>3385.36</v>
      </c>
      <c r="J287" s="1526">
        <v>3886.64</v>
      </c>
      <c r="K287" s="1526">
        <v>4673.43</v>
      </c>
      <c r="L287" s="1526">
        <v>5076.32</v>
      </c>
      <c r="M287" s="1526">
        <v>5243.31</v>
      </c>
      <c r="N287" s="1526">
        <v>5660.04</v>
      </c>
      <c r="O287" s="1526">
        <v>5796.99</v>
      </c>
      <c r="P287"/>
    </row>
    <row r="288" spans="2:16">
      <c r="B288" s="1538">
        <v>6265</v>
      </c>
      <c r="C288" s="1526"/>
      <c r="D288" s="1526"/>
      <c r="E288" s="1526">
        <v>47</v>
      </c>
      <c r="F288" s="1526">
        <v>47</v>
      </c>
      <c r="G288" s="1526">
        <v>47</v>
      </c>
      <c r="H288" s="1526">
        <v>47</v>
      </c>
      <c r="I288" s="1526">
        <v>47</v>
      </c>
      <c r="J288" s="1526">
        <v>47</v>
      </c>
      <c r="K288" s="1526">
        <v>47</v>
      </c>
      <c r="L288" s="1526">
        <v>47</v>
      </c>
      <c r="M288" s="1526">
        <v>47</v>
      </c>
      <c r="N288" s="1526">
        <v>47</v>
      </c>
      <c r="O288" s="1526">
        <v>47</v>
      </c>
      <c r="P288"/>
    </row>
    <row r="289" spans="1:16">
      <c r="B289" s="1538">
        <v>6270</v>
      </c>
      <c r="C289" s="1526">
        <v>24730.74</v>
      </c>
      <c r="D289" s="1526">
        <v>1123.4100000000001</v>
      </c>
      <c r="E289" s="1526">
        <v>4075.4</v>
      </c>
      <c r="F289" s="1526">
        <v>6212.9</v>
      </c>
      <c r="G289" s="1526">
        <v>10023.969999999999</v>
      </c>
      <c r="H289" s="1526">
        <v>10023.969999999999</v>
      </c>
      <c r="I289" s="1526">
        <v>11995.76</v>
      </c>
      <c r="J289" s="1526">
        <v>13442.28</v>
      </c>
      <c r="K289" s="1526">
        <v>14754.28</v>
      </c>
      <c r="L289" s="1526">
        <v>16298.28</v>
      </c>
      <c r="M289" s="1526">
        <v>17622.28</v>
      </c>
      <c r="N289" s="1526">
        <v>20944.28</v>
      </c>
      <c r="O289" s="1526">
        <v>24652.53</v>
      </c>
      <c r="P289"/>
    </row>
    <row r="290" spans="1:16">
      <c r="B290" s="1538">
        <v>6320</v>
      </c>
      <c r="C290" s="1526">
        <v>4333.63</v>
      </c>
      <c r="D290" s="1526">
        <v>664.72</v>
      </c>
      <c r="E290" s="1526">
        <v>1002.59</v>
      </c>
      <c r="F290" s="1526">
        <v>1078.83</v>
      </c>
      <c r="G290" s="1526">
        <v>1097.0899999999999</v>
      </c>
      <c r="H290" s="1526">
        <v>1376.16</v>
      </c>
      <c r="I290" s="1526">
        <v>1433.32</v>
      </c>
      <c r="J290" s="1526">
        <v>1793.13</v>
      </c>
      <c r="K290" s="1526">
        <v>2234.61</v>
      </c>
      <c r="L290" s="1526">
        <v>2245.4499999999998</v>
      </c>
      <c r="M290" s="1526">
        <v>4240.22</v>
      </c>
      <c r="N290" s="1526">
        <v>5058.18</v>
      </c>
      <c r="O290" s="1526">
        <v>5230.24</v>
      </c>
      <c r="P290"/>
    </row>
    <row r="291" spans="1:16">
      <c r="B291" s="1538">
        <v>6325</v>
      </c>
      <c r="C291" s="1526">
        <v>3761.17</v>
      </c>
      <c r="D291" s="1526">
        <v>440</v>
      </c>
      <c r="E291" s="1526">
        <v>440</v>
      </c>
      <c r="F291" s="1526">
        <v>866.18</v>
      </c>
      <c r="G291" s="1526">
        <v>1736.18</v>
      </c>
      <c r="H291" s="1526">
        <v>3001.18</v>
      </c>
      <c r="I291" s="1526">
        <v>3241.18</v>
      </c>
      <c r="J291" s="1526">
        <v>3578.68</v>
      </c>
      <c r="K291" s="1526">
        <v>4693.5600000000004</v>
      </c>
      <c r="L291" s="1526">
        <v>5136.26</v>
      </c>
      <c r="M291" s="1526">
        <v>5356.26</v>
      </c>
      <c r="N291" s="1526">
        <v>6203.76</v>
      </c>
      <c r="O291" s="1526">
        <v>7530.71</v>
      </c>
      <c r="P291"/>
    </row>
    <row r="292" spans="1:16">
      <c r="B292" s="1538">
        <v>6335</v>
      </c>
      <c r="C292" s="1526">
        <v>20535.3</v>
      </c>
      <c r="D292" s="1526">
        <v>4085.56</v>
      </c>
      <c r="E292" s="1526">
        <v>4085.56</v>
      </c>
      <c r="F292" s="1526">
        <v>8341.68</v>
      </c>
      <c r="G292" s="1526">
        <v>8256.08</v>
      </c>
      <c r="H292" s="1526">
        <v>10751.29</v>
      </c>
      <c r="I292" s="1526">
        <v>11539.41</v>
      </c>
      <c r="J292" s="1526">
        <v>13569.65</v>
      </c>
      <c r="K292" s="1526">
        <v>14875.52</v>
      </c>
      <c r="L292" s="1526">
        <v>17007.11</v>
      </c>
      <c r="M292" s="1526">
        <v>20621.990000000002</v>
      </c>
      <c r="N292" s="1526">
        <v>23409.63</v>
      </c>
      <c r="O292" s="1526">
        <v>24497.13</v>
      </c>
      <c r="P292"/>
    </row>
    <row r="293" spans="1:16">
      <c r="B293" s="1538">
        <v>6340</v>
      </c>
      <c r="C293" s="1526">
        <v>-202.85</v>
      </c>
      <c r="D293" s="1526"/>
      <c r="E293" s="1526"/>
      <c r="F293" s="1526"/>
      <c r="G293" s="1526"/>
      <c r="H293" s="1526"/>
      <c r="I293" s="1526"/>
      <c r="J293" s="1526"/>
      <c r="K293" s="1526"/>
      <c r="L293" s="1526"/>
      <c r="M293" s="1526"/>
      <c r="N293" s="1526"/>
      <c r="O293" s="1526">
        <v>10625</v>
      </c>
      <c r="P293"/>
    </row>
    <row r="294" spans="1:16">
      <c r="B294" s="1538">
        <v>6345</v>
      </c>
      <c r="C294" s="1526">
        <v>20094.7</v>
      </c>
      <c r="D294" s="1526">
        <v>465.78</v>
      </c>
      <c r="E294" s="1526">
        <v>2087.37</v>
      </c>
      <c r="F294" s="1526">
        <v>6138.76</v>
      </c>
      <c r="G294" s="1526">
        <v>6817.89</v>
      </c>
      <c r="H294" s="1526">
        <v>8551.32</v>
      </c>
      <c r="I294" s="1526">
        <v>9892.5400000000009</v>
      </c>
      <c r="J294" s="1526">
        <v>41838.07</v>
      </c>
      <c r="K294" s="1526">
        <v>45280.41</v>
      </c>
      <c r="L294" s="1526">
        <v>13451.41</v>
      </c>
      <c r="M294" s="1526">
        <v>17138.86</v>
      </c>
      <c r="N294" s="1526">
        <v>17318.04</v>
      </c>
      <c r="O294" s="1526">
        <v>19691.61</v>
      </c>
      <c r="P294"/>
    </row>
    <row r="295" spans="1:16">
      <c r="B295" s="1538">
        <v>6355</v>
      </c>
      <c r="C295" s="1526">
        <v>7318.4</v>
      </c>
      <c r="D295" s="1526">
        <v>174.64</v>
      </c>
      <c r="E295" s="1526">
        <v>349.29</v>
      </c>
      <c r="F295" s="1526">
        <v>523.92999999999995</v>
      </c>
      <c r="G295" s="1526">
        <v>698.57</v>
      </c>
      <c r="H295" s="1526">
        <v>873.21</v>
      </c>
      <c r="I295" s="1526">
        <v>1047.8599999999999</v>
      </c>
      <c r="J295" s="1526">
        <v>1222.5</v>
      </c>
      <c r="K295" s="1526">
        <v>1222.5</v>
      </c>
      <c r="L295" s="1526">
        <v>2855.99</v>
      </c>
      <c r="M295" s="1526">
        <v>3400.49</v>
      </c>
      <c r="N295" s="1526">
        <v>3944.99</v>
      </c>
      <c r="O295" s="1526">
        <v>4489.49</v>
      </c>
      <c r="P295"/>
    </row>
    <row r="296" spans="1:16">
      <c r="B296" s="1538">
        <v>6360</v>
      </c>
      <c r="C296" s="1526">
        <v>41.95</v>
      </c>
      <c r="D296" s="1526"/>
      <c r="E296" s="1526"/>
      <c r="F296" s="1526"/>
      <c r="G296" s="1526"/>
      <c r="H296" s="1526"/>
      <c r="I296" s="1526"/>
      <c r="J296" s="1526"/>
      <c r="K296" s="1526"/>
      <c r="L296" s="1526"/>
      <c r="M296" s="1526"/>
      <c r="N296" s="1526"/>
      <c r="O296" s="1526">
        <v>30.15</v>
      </c>
      <c r="P296"/>
    </row>
    <row r="297" spans="1:16">
      <c r="B297" s="1538">
        <v>6365</v>
      </c>
      <c r="C297" s="1526"/>
      <c r="D297" s="1526"/>
      <c r="E297" s="1526"/>
      <c r="F297" s="1526">
        <v>29.04</v>
      </c>
      <c r="G297" s="1526">
        <v>29.04</v>
      </c>
      <c r="H297" s="1526">
        <v>29.04</v>
      </c>
      <c r="I297" s="1526">
        <v>29.04</v>
      </c>
      <c r="J297" s="1526">
        <v>29.04</v>
      </c>
      <c r="K297" s="1526">
        <v>29.04</v>
      </c>
      <c r="L297" s="1526">
        <v>29.04</v>
      </c>
      <c r="M297" s="1526">
        <v>29.04</v>
      </c>
      <c r="N297" s="1526">
        <v>29.04</v>
      </c>
      <c r="O297" s="1526">
        <v>43.51</v>
      </c>
      <c r="P297"/>
    </row>
    <row r="298" spans="1:16">
      <c r="B298" s="1538">
        <v>6385</v>
      </c>
      <c r="C298" s="1526">
        <v>1452.7</v>
      </c>
      <c r="D298" s="1526"/>
      <c r="E298" s="1526"/>
      <c r="F298" s="1526">
        <v>3.72</v>
      </c>
      <c r="G298" s="1526">
        <v>20.010000000000002</v>
      </c>
      <c r="H298" s="1526">
        <v>317.66000000000003</v>
      </c>
      <c r="I298" s="1526">
        <v>28.24</v>
      </c>
      <c r="J298" s="1526">
        <v>408.75</v>
      </c>
      <c r="K298" s="1526">
        <v>408.75</v>
      </c>
      <c r="L298" s="1526">
        <v>533.44000000000005</v>
      </c>
      <c r="M298" s="1526">
        <v>533.44000000000005</v>
      </c>
      <c r="N298" s="1526">
        <v>533.44000000000005</v>
      </c>
      <c r="O298" s="1526">
        <v>729.73</v>
      </c>
      <c r="P298"/>
    </row>
    <row r="299" spans="1:16" ht="15">
      <c r="A299" s="1549"/>
      <c r="B299" s="1538">
        <v>6390</v>
      </c>
      <c r="C299" s="1526">
        <v>3061.72</v>
      </c>
      <c r="D299" s="1526">
        <v>7.65</v>
      </c>
      <c r="E299" s="1526">
        <v>14.01</v>
      </c>
      <c r="F299" s="1526">
        <v>27.59</v>
      </c>
      <c r="G299" s="1526">
        <v>36.950000000000003</v>
      </c>
      <c r="H299" s="1526">
        <v>51.08</v>
      </c>
      <c r="I299" s="1526">
        <v>1202.69</v>
      </c>
      <c r="J299" s="1526">
        <v>1425.11</v>
      </c>
      <c r="K299" s="1526">
        <v>1523.33</v>
      </c>
      <c r="L299" s="1526">
        <v>1528.87</v>
      </c>
      <c r="M299" s="1526">
        <v>1535.5</v>
      </c>
      <c r="N299" s="1526">
        <v>1545.56</v>
      </c>
      <c r="O299" s="1526">
        <v>1553.11</v>
      </c>
      <c r="P299"/>
    </row>
    <row r="300" spans="1:16">
      <c r="B300" s="1538">
        <v>6400</v>
      </c>
      <c r="C300" s="1526">
        <v>8870</v>
      </c>
      <c r="D300" s="1526"/>
      <c r="E300" s="1526"/>
      <c r="F300" s="1526">
        <v>1000</v>
      </c>
      <c r="G300" s="1526">
        <v>1000</v>
      </c>
      <c r="H300" s="1526">
        <v>1000</v>
      </c>
      <c r="I300" s="1526">
        <v>1000</v>
      </c>
      <c r="J300" s="1526">
        <v>1000</v>
      </c>
      <c r="K300" s="1526">
        <v>1000</v>
      </c>
      <c r="L300" s="1526">
        <v>1000</v>
      </c>
      <c r="M300" s="1526">
        <v>2530</v>
      </c>
      <c r="N300" s="1526">
        <v>2530</v>
      </c>
      <c r="O300" s="1526">
        <v>2530</v>
      </c>
      <c r="P300"/>
    </row>
    <row r="301" spans="1:16">
      <c r="B301" s="1538">
        <v>6410</v>
      </c>
      <c r="C301" s="1526">
        <v>162793</v>
      </c>
      <c r="D301" s="1526">
        <v>11231.21</v>
      </c>
      <c r="E301" s="1526">
        <v>22800.86</v>
      </c>
      <c r="F301" s="1526">
        <v>43200.86</v>
      </c>
      <c r="G301" s="1526">
        <v>58800.86</v>
      </c>
      <c r="H301" s="1526">
        <v>72000.86</v>
      </c>
      <c r="I301" s="1526">
        <v>82800.86</v>
      </c>
      <c r="J301" s="1526">
        <v>99600.86</v>
      </c>
      <c r="K301" s="1526">
        <v>112800.86</v>
      </c>
      <c r="L301" s="1526">
        <v>127200.86</v>
      </c>
      <c r="M301" s="1526">
        <v>140700.85999999999</v>
      </c>
      <c r="N301" s="1526">
        <v>149100.85999999999</v>
      </c>
      <c r="O301" s="1526">
        <v>169500.86</v>
      </c>
      <c r="P301"/>
    </row>
    <row r="302" spans="1:16" ht="15">
      <c r="A302" s="1549" t="s">
        <v>2219</v>
      </c>
      <c r="B302" s="1538">
        <v>6640</v>
      </c>
      <c r="C302" s="1526"/>
      <c r="D302" s="1526"/>
      <c r="E302" s="1526"/>
      <c r="F302" s="1526"/>
      <c r="G302" s="1526">
        <v>3.92</v>
      </c>
      <c r="H302" s="1526">
        <v>7.84</v>
      </c>
      <c r="I302" s="1526">
        <v>11.76</v>
      </c>
      <c r="J302" s="1526">
        <v>15.68</v>
      </c>
      <c r="K302" s="1526">
        <v>19.600000000000001</v>
      </c>
      <c r="L302" s="1526">
        <v>23.52</v>
      </c>
      <c r="M302" s="1526">
        <v>27.44</v>
      </c>
      <c r="N302" s="1526">
        <v>31.36</v>
      </c>
      <c r="O302" s="1526">
        <v>35.28</v>
      </c>
      <c r="P302"/>
    </row>
    <row r="303" spans="1:16">
      <c r="B303" s="1538">
        <v>6660</v>
      </c>
      <c r="C303" s="1526">
        <v>11846.57</v>
      </c>
      <c r="D303" s="1526">
        <v>983.7</v>
      </c>
      <c r="E303" s="1526">
        <v>1973.24</v>
      </c>
      <c r="F303" s="1526">
        <v>2962.78</v>
      </c>
      <c r="G303" s="1526">
        <v>3995.93</v>
      </c>
      <c r="H303" s="1526">
        <v>5029.3500000000004</v>
      </c>
      <c r="I303" s="1526">
        <v>6046.78</v>
      </c>
      <c r="J303" s="1526">
        <v>8896.08</v>
      </c>
      <c r="K303" s="1526">
        <v>11745.38</v>
      </c>
      <c r="L303" s="1526">
        <v>13741.68</v>
      </c>
      <c r="M303" s="1526">
        <v>15737.98</v>
      </c>
      <c r="N303" s="1526">
        <v>17734.28</v>
      </c>
      <c r="O303" s="1526">
        <v>19730.580000000002</v>
      </c>
      <c r="P303"/>
    </row>
    <row r="304" spans="1:16">
      <c r="B304" s="1538">
        <v>6665</v>
      </c>
      <c r="C304" s="1526">
        <v>3823.08</v>
      </c>
      <c r="D304" s="1526">
        <v>360.2</v>
      </c>
      <c r="E304" s="1526">
        <v>720.4</v>
      </c>
      <c r="F304" s="1526">
        <v>1080.5999999999999</v>
      </c>
      <c r="G304" s="1526">
        <v>1441.74</v>
      </c>
      <c r="H304" s="1526">
        <v>1802.88</v>
      </c>
      <c r="I304" s="1526">
        <v>2165.34</v>
      </c>
      <c r="J304" s="1526">
        <v>2577.15</v>
      </c>
      <c r="K304" s="1526">
        <v>2991.6</v>
      </c>
      <c r="L304" s="1526">
        <v>3423.42</v>
      </c>
      <c r="M304" s="1526">
        <v>3859.26</v>
      </c>
      <c r="N304" s="1526">
        <v>4297.2700000000004</v>
      </c>
      <c r="O304" s="1526">
        <v>4735.28</v>
      </c>
      <c r="P304"/>
    </row>
    <row r="305" spans="2:16">
      <c r="B305" s="1538">
        <v>6675</v>
      </c>
      <c r="C305" s="1526">
        <v>6</v>
      </c>
      <c r="D305" s="1526">
        <v>0.5</v>
      </c>
      <c r="E305" s="1526">
        <v>1</v>
      </c>
      <c r="F305" s="1526">
        <v>1.5</v>
      </c>
      <c r="G305" s="1526">
        <v>2</v>
      </c>
      <c r="H305" s="1526">
        <v>2.5</v>
      </c>
      <c r="I305" s="1526">
        <v>3</v>
      </c>
      <c r="J305" s="1526">
        <v>3.5</v>
      </c>
      <c r="K305" s="1526">
        <v>4</v>
      </c>
      <c r="L305" s="1526">
        <v>4.5</v>
      </c>
      <c r="M305" s="1526">
        <v>5</v>
      </c>
      <c r="N305" s="1526">
        <v>5.5</v>
      </c>
      <c r="O305" s="1526">
        <v>6</v>
      </c>
      <c r="P305"/>
    </row>
    <row r="306" spans="2:16">
      <c r="B306" s="1538">
        <v>6680</v>
      </c>
      <c r="C306" s="1526">
        <v>74987.039999999994</v>
      </c>
      <c r="D306" s="1526">
        <v>6245.65</v>
      </c>
      <c r="E306" s="1526">
        <v>12491.72</v>
      </c>
      <c r="F306" s="1526">
        <v>18737.79</v>
      </c>
      <c r="G306" s="1526">
        <v>24983.86</v>
      </c>
      <c r="H306" s="1526">
        <v>31230.46</v>
      </c>
      <c r="I306" s="1526">
        <v>37477.06</v>
      </c>
      <c r="J306" s="1526">
        <v>43723.66</v>
      </c>
      <c r="K306" s="1526">
        <v>49970.26</v>
      </c>
      <c r="L306" s="1526">
        <v>56216.86</v>
      </c>
      <c r="M306" s="1526">
        <v>62463.46</v>
      </c>
      <c r="N306" s="1526">
        <v>68711.69</v>
      </c>
      <c r="O306" s="1526">
        <v>74961.63</v>
      </c>
      <c r="P306"/>
    </row>
    <row r="307" spans="2:16">
      <c r="B307" s="1538">
        <v>6695</v>
      </c>
      <c r="C307" s="1526">
        <v>17.399999999999999</v>
      </c>
      <c r="D307" s="1526">
        <v>1.45</v>
      </c>
      <c r="E307" s="1526">
        <v>2.9</v>
      </c>
      <c r="F307" s="1526">
        <v>4.3499999999999996</v>
      </c>
      <c r="G307" s="1526">
        <v>5.8</v>
      </c>
      <c r="H307" s="1526">
        <v>7.25</v>
      </c>
      <c r="I307" s="1526">
        <v>8.6999999999999993</v>
      </c>
      <c r="J307" s="1526">
        <v>10.15</v>
      </c>
      <c r="K307" s="1526">
        <v>12.11</v>
      </c>
      <c r="L307" s="1526">
        <v>14.07</v>
      </c>
      <c r="M307" s="1526">
        <v>16.36</v>
      </c>
      <c r="N307" s="1526">
        <v>20.329999999999998</v>
      </c>
      <c r="O307" s="1526">
        <v>24.3</v>
      </c>
      <c r="P307"/>
    </row>
    <row r="308" spans="2:16">
      <c r="B308" s="1538">
        <v>6710</v>
      </c>
      <c r="C308" s="1526">
        <v>8557.86</v>
      </c>
      <c r="D308" s="1526">
        <v>678.54</v>
      </c>
      <c r="E308" s="1526">
        <v>1357.08</v>
      </c>
      <c r="F308" s="1526">
        <v>2035.84</v>
      </c>
      <c r="G308" s="1526">
        <v>2714.6</v>
      </c>
      <c r="H308" s="1526">
        <v>3393.57</v>
      </c>
      <c r="I308" s="1526">
        <v>4072.54</v>
      </c>
      <c r="J308" s="1526">
        <v>4751.51</v>
      </c>
      <c r="K308" s="1526">
        <v>5431.73</v>
      </c>
      <c r="L308" s="1526">
        <v>6111.95</v>
      </c>
      <c r="M308" s="1526">
        <v>6792.42</v>
      </c>
      <c r="N308" s="1526">
        <v>7484</v>
      </c>
      <c r="O308" s="1526">
        <v>8175.58</v>
      </c>
      <c r="P308"/>
    </row>
    <row r="309" spans="2:16">
      <c r="B309" s="1538">
        <v>6715</v>
      </c>
      <c r="C309" s="1526">
        <v>53527.51</v>
      </c>
      <c r="D309" s="1526">
        <v>4389.97</v>
      </c>
      <c r="E309" s="1526">
        <v>8779.94</v>
      </c>
      <c r="F309" s="1526">
        <v>13170.21</v>
      </c>
      <c r="G309" s="1526">
        <v>17560.48</v>
      </c>
      <c r="H309" s="1526">
        <v>21950.99</v>
      </c>
      <c r="I309" s="1526">
        <v>26341.66</v>
      </c>
      <c r="J309" s="1526">
        <v>30732.78</v>
      </c>
      <c r="K309" s="1526">
        <v>35125.35</v>
      </c>
      <c r="L309" s="1526">
        <v>39527.83</v>
      </c>
      <c r="M309" s="1526">
        <v>43939.55</v>
      </c>
      <c r="N309" s="1526">
        <v>48347.35</v>
      </c>
      <c r="O309" s="1526">
        <v>52762.79</v>
      </c>
      <c r="P309"/>
    </row>
    <row r="310" spans="2:16">
      <c r="B310" s="1538">
        <v>6717</v>
      </c>
      <c r="C310" s="1526">
        <v>4138.59</v>
      </c>
      <c r="D310" s="1526">
        <v>345.13</v>
      </c>
      <c r="E310" s="1526">
        <v>703.81</v>
      </c>
      <c r="F310" s="1526">
        <v>1063.17</v>
      </c>
      <c r="G310" s="1526">
        <v>1420.75</v>
      </c>
      <c r="H310" s="1526">
        <v>1778.33</v>
      </c>
      <c r="I310" s="1526">
        <v>2135.91</v>
      </c>
      <c r="J310" s="1526">
        <v>2493.4899999999998</v>
      </c>
      <c r="K310" s="1526">
        <v>2851.07</v>
      </c>
      <c r="L310" s="1526">
        <v>3208.65</v>
      </c>
      <c r="M310" s="1526">
        <v>3566.23</v>
      </c>
      <c r="N310" s="1526">
        <v>3923.81</v>
      </c>
      <c r="O310" s="1526">
        <v>4281.3900000000003</v>
      </c>
      <c r="P310"/>
    </row>
    <row r="311" spans="2:16">
      <c r="B311" s="1538">
        <v>6725</v>
      </c>
      <c r="C311" s="1526">
        <v>1972.73</v>
      </c>
      <c r="D311" s="1526">
        <v>164.49</v>
      </c>
      <c r="E311" s="1526">
        <v>328.98</v>
      </c>
      <c r="F311" s="1526">
        <v>493.47</v>
      </c>
      <c r="G311" s="1526">
        <v>657.96</v>
      </c>
      <c r="H311" s="1526">
        <v>822.45</v>
      </c>
      <c r="I311" s="1526">
        <v>986.94</v>
      </c>
      <c r="J311" s="1526">
        <v>1151.43</v>
      </c>
      <c r="K311" s="1526">
        <v>1315.92</v>
      </c>
      <c r="L311" s="1526">
        <v>1480.41</v>
      </c>
      <c r="M311" s="1526">
        <v>1644.9</v>
      </c>
      <c r="N311" s="1526">
        <v>1809.39</v>
      </c>
      <c r="O311" s="1526">
        <v>1978.36</v>
      </c>
      <c r="P311"/>
    </row>
    <row r="312" spans="2:16">
      <c r="B312" s="1538">
        <v>6730</v>
      </c>
      <c r="C312" s="1526">
        <v>205.8</v>
      </c>
      <c r="D312" s="1526">
        <v>137.55000000000001</v>
      </c>
      <c r="E312" s="1526">
        <v>200.54</v>
      </c>
      <c r="F312" s="1526">
        <v>263.52999999999997</v>
      </c>
      <c r="G312" s="1526">
        <v>326.52</v>
      </c>
      <c r="H312" s="1526">
        <v>389.51</v>
      </c>
      <c r="I312" s="1526">
        <v>452.5</v>
      </c>
      <c r="J312" s="1526">
        <v>515.49</v>
      </c>
      <c r="K312" s="1526">
        <v>578.48</v>
      </c>
      <c r="L312" s="1526">
        <v>641.47</v>
      </c>
      <c r="M312" s="1526">
        <v>759.12</v>
      </c>
      <c r="N312" s="1526">
        <v>854.38</v>
      </c>
      <c r="O312" s="1526">
        <v>949.64</v>
      </c>
      <c r="P312"/>
    </row>
    <row r="313" spans="2:16">
      <c r="B313" s="1538">
        <v>6745</v>
      </c>
      <c r="C313" s="1526">
        <v>13171.2</v>
      </c>
      <c r="D313" s="1526">
        <v>1125.1400000000001</v>
      </c>
      <c r="E313" s="1526">
        <v>2261.15</v>
      </c>
      <c r="F313" s="1526">
        <v>3397.57</v>
      </c>
      <c r="G313" s="1526">
        <v>4584.54</v>
      </c>
      <c r="H313" s="1526">
        <v>5771.89</v>
      </c>
      <c r="I313" s="1526">
        <v>6917.35</v>
      </c>
      <c r="J313" s="1526">
        <v>8062.81</v>
      </c>
      <c r="K313" s="1526">
        <v>9208.27</v>
      </c>
      <c r="L313" s="1526">
        <v>10353.73</v>
      </c>
      <c r="M313" s="1526">
        <v>11499.19</v>
      </c>
      <c r="N313" s="1526">
        <v>12644.65</v>
      </c>
      <c r="O313" s="1526">
        <v>13791.36</v>
      </c>
      <c r="P313"/>
    </row>
    <row r="314" spans="2:16">
      <c r="B314" s="1565">
        <v>6760</v>
      </c>
      <c r="C314" s="1526">
        <v>57.24</v>
      </c>
      <c r="D314" s="1526">
        <v>4.7699999999999996</v>
      </c>
      <c r="E314" s="1526">
        <v>9.5399999999999991</v>
      </c>
      <c r="F314" s="1526">
        <v>14.31</v>
      </c>
      <c r="G314" s="1526">
        <v>209.58</v>
      </c>
      <c r="H314" s="1526">
        <v>404.85</v>
      </c>
      <c r="I314" s="1526">
        <v>600.12</v>
      </c>
      <c r="J314" s="1526">
        <v>795.39</v>
      </c>
      <c r="K314" s="1526">
        <v>990.66</v>
      </c>
      <c r="L314" s="1526">
        <v>1185.93</v>
      </c>
      <c r="M314" s="1526">
        <v>1381.2</v>
      </c>
      <c r="N314" s="1526">
        <v>1576.47</v>
      </c>
      <c r="O314" s="1526">
        <v>1771.74</v>
      </c>
      <c r="P314"/>
    </row>
    <row r="315" spans="2:16">
      <c r="B315" s="1538">
        <v>6765</v>
      </c>
      <c r="C315" s="1526">
        <v>51860.36</v>
      </c>
      <c r="D315" s="1526">
        <v>4414.12</v>
      </c>
      <c r="E315" s="1526">
        <v>8829.3700000000008</v>
      </c>
      <c r="F315" s="1526">
        <v>13277.88</v>
      </c>
      <c r="G315" s="1526">
        <v>17738.13</v>
      </c>
      <c r="H315" s="1526">
        <v>22201.58</v>
      </c>
      <c r="I315" s="1526">
        <v>26664.13</v>
      </c>
      <c r="J315" s="1526">
        <v>31159.46</v>
      </c>
      <c r="K315" s="1526">
        <v>35651.31</v>
      </c>
      <c r="L315" s="1526">
        <v>40170.79</v>
      </c>
      <c r="M315" s="1526">
        <v>44678.83</v>
      </c>
      <c r="N315" s="1526">
        <v>49192.67</v>
      </c>
      <c r="O315" s="1526">
        <v>53717.57</v>
      </c>
      <c r="P315"/>
    </row>
    <row r="316" spans="2:16">
      <c r="B316" s="1565">
        <v>6770</v>
      </c>
      <c r="C316" s="1526">
        <v>130.44</v>
      </c>
      <c r="D316" s="1526">
        <v>10.87</v>
      </c>
      <c r="E316" s="1526">
        <v>21.74</v>
      </c>
      <c r="F316" s="1526">
        <v>32.61</v>
      </c>
      <c r="G316" s="1526">
        <v>43.48</v>
      </c>
      <c r="H316" s="1526">
        <v>54.35</v>
      </c>
      <c r="I316" s="1526">
        <v>65.22</v>
      </c>
      <c r="J316" s="1526">
        <v>76.09</v>
      </c>
      <c r="K316" s="1526">
        <v>86.96</v>
      </c>
      <c r="L316" s="1526">
        <v>97.83</v>
      </c>
      <c r="M316" s="1526">
        <v>108.7</v>
      </c>
      <c r="N316" s="1526">
        <v>119.57</v>
      </c>
      <c r="O316" s="1526">
        <v>130.44</v>
      </c>
      <c r="P316"/>
    </row>
    <row r="317" spans="2:16">
      <c r="B317" s="1538">
        <v>6775</v>
      </c>
      <c r="C317" s="1526">
        <v>1797.95</v>
      </c>
      <c r="D317" s="1526">
        <v>161.49</v>
      </c>
      <c r="E317" s="1526">
        <v>318</v>
      </c>
      <c r="F317" s="1526">
        <v>490.64</v>
      </c>
      <c r="G317" s="1526">
        <v>654.66999999999996</v>
      </c>
      <c r="H317" s="1526">
        <v>818.7</v>
      </c>
      <c r="I317" s="1526">
        <v>982.73</v>
      </c>
      <c r="J317" s="1526">
        <v>1146.78</v>
      </c>
      <c r="K317" s="1526">
        <v>1310.83</v>
      </c>
      <c r="L317" s="1526">
        <v>1469.87</v>
      </c>
      <c r="M317" s="1526">
        <v>1629.72</v>
      </c>
      <c r="N317" s="1526">
        <v>1789.72</v>
      </c>
      <c r="O317" s="1526">
        <v>1949.72</v>
      </c>
      <c r="P317"/>
    </row>
    <row r="318" spans="2:16">
      <c r="B318" s="1538">
        <v>6785</v>
      </c>
      <c r="C318" s="1526">
        <v>7.44</v>
      </c>
      <c r="D318" s="1526">
        <v>0.62</v>
      </c>
      <c r="E318" s="1526">
        <v>1.24</v>
      </c>
      <c r="F318" s="1526">
        <v>1.86</v>
      </c>
      <c r="G318" s="1526">
        <v>2.48</v>
      </c>
      <c r="H318" s="1526">
        <v>3.1</v>
      </c>
      <c r="I318" s="1526">
        <v>3.72</v>
      </c>
      <c r="J318" s="1526">
        <v>4.34</v>
      </c>
      <c r="K318" s="1526">
        <v>4.96</v>
      </c>
      <c r="L318" s="1526">
        <v>5.58</v>
      </c>
      <c r="M318" s="1526">
        <v>6.2</v>
      </c>
      <c r="N318" s="1526">
        <v>6.82</v>
      </c>
      <c r="O318" s="1526">
        <v>7.44</v>
      </c>
      <c r="P318"/>
    </row>
    <row r="319" spans="2:16">
      <c r="B319" s="1538">
        <v>6795</v>
      </c>
      <c r="C319" s="1526">
        <v>79.44</v>
      </c>
      <c r="D319" s="1526">
        <v>6.62</v>
      </c>
      <c r="E319" s="1526">
        <v>13.24</v>
      </c>
      <c r="F319" s="1526">
        <v>19.86</v>
      </c>
      <c r="G319" s="1526">
        <v>26.48</v>
      </c>
      <c r="H319" s="1526">
        <v>33.1</v>
      </c>
      <c r="I319" s="1526">
        <v>39.72</v>
      </c>
      <c r="J319" s="1526">
        <v>46.34</v>
      </c>
      <c r="K319" s="1526">
        <v>52.96</v>
      </c>
      <c r="L319" s="1526">
        <v>59.58</v>
      </c>
      <c r="M319" s="1526">
        <v>66.2</v>
      </c>
      <c r="N319" s="1526">
        <v>72.819999999999993</v>
      </c>
      <c r="O319" s="1526">
        <v>79.44</v>
      </c>
      <c r="P319"/>
    </row>
    <row r="320" spans="2:16">
      <c r="B320" s="1538">
        <v>6800</v>
      </c>
      <c r="C320" s="1526">
        <v>484.2</v>
      </c>
      <c r="D320" s="1526">
        <v>40.35</v>
      </c>
      <c r="E320" s="1526">
        <v>80.7</v>
      </c>
      <c r="F320" s="1526">
        <v>121.05</v>
      </c>
      <c r="G320" s="1526">
        <v>161.4</v>
      </c>
      <c r="H320" s="1526">
        <v>201.75</v>
      </c>
      <c r="I320" s="1526">
        <v>242.1</v>
      </c>
      <c r="J320" s="1526">
        <v>282.45</v>
      </c>
      <c r="K320" s="1526">
        <v>322.8</v>
      </c>
      <c r="L320" s="1526">
        <v>363.15</v>
      </c>
      <c r="M320" s="1526">
        <v>403.5</v>
      </c>
      <c r="N320" s="1526">
        <v>443.85</v>
      </c>
      <c r="O320" s="1526">
        <v>484.2</v>
      </c>
      <c r="P320"/>
    </row>
    <row r="321" spans="1:16">
      <c r="B321" s="1538">
        <v>6805</v>
      </c>
      <c r="C321" s="1526">
        <v>351.6</v>
      </c>
      <c r="D321" s="1526">
        <v>29.3</v>
      </c>
      <c r="E321" s="1526">
        <v>58.6</v>
      </c>
      <c r="F321" s="1526">
        <v>87.9</v>
      </c>
      <c r="G321" s="1526">
        <v>117.2</v>
      </c>
      <c r="H321" s="1526">
        <v>146.5</v>
      </c>
      <c r="I321" s="1526">
        <v>175.8</v>
      </c>
      <c r="J321" s="1526">
        <v>205.29</v>
      </c>
      <c r="K321" s="1526">
        <v>234.78</v>
      </c>
      <c r="L321" s="1526">
        <v>264.27</v>
      </c>
      <c r="M321" s="1526">
        <v>293.76</v>
      </c>
      <c r="N321" s="1526">
        <v>323.25</v>
      </c>
      <c r="O321" s="1526">
        <v>352.74</v>
      </c>
      <c r="P321"/>
    </row>
    <row r="322" spans="1:16">
      <c r="B322" s="1538">
        <v>6820</v>
      </c>
      <c r="C322" s="1526">
        <v>623.48</v>
      </c>
      <c r="D322" s="1526">
        <v>50.71</v>
      </c>
      <c r="E322" s="1526">
        <v>101.42</v>
      </c>
      <c r="F322" s="1526">
        <v>152.13</v>
      </c>
      <c r="G322" s="1526">
        <v>202.84</v>
      </c>
      <c r="H322" s="1526">
        <v>253.55</v>
      </c>
      <c r="I322" s="1526">
        <v>304.26</v>
      </c>
      <c r="J322" s="1526">
        <v>354.97</v>
      </c>
      <c r="K322" s="1526">
        <v>405.68</v>
      </c>
      <c r="L322" s="1526">
        <v>456.39</v>
      </c>
      <c r="M322" s="1526">
        <v>507.1</v>
      </c>
      <c r="N322" s="1526">
        <v>650.62</v>
      </c>
      <c r="O322" s="1526">
        <v>794.14</v>
      </c>
      <c r="P322"/>
    </row>
    <row r="323" spans="1:16">
      <c r="B323" s="1538">
        <v>6825</v>
      </c>
      <c r="C323" s="1526">
        <v>183.6</v>
      </c>
      <c r="D323" s="1526">
        <v>15.95</v>
      </c>
      <c r="E323" s="1526">
        <v>31.9</v>
      </c>
      <c r="F323" s="1526">
        <v>47.85</v>
      </c>
      <c r="G323" s="1526">
        <v>63.8</v>
      </c>
      <c r="H323" s="1526">
        <v>79.75</v>
      </c>
      <c r="I323" s="1526">
        <v>95.7</v>
      </c>
      <c r="J323" s="1526">
        <v>111.65</v>
      </c>
      <c r="K323" s="1526">
        <v>127.6</v>
      </c>
      <c r="L323" s="1526">
        <v>143.55000000000001</v>
      </c>
      <c r="M323" s="1526">
        <v>159.5</v>
      </c>
      <c r="N323" s="1526">
        <v>175.45</v>
      </c>
      <c r="O323" s="1526">
        <v>191.4</v>
      </c>
      <c r="P323"/>
    </row>
    <row r="324" spans="1:16">
      <c r="B324" s="1538">
        <v>6835</v>
      </c>
      <c r="C324" s="1526">
        <v>2269.7399999999998</v>
      </c>
      <c r="D324" s="1526">
        <v>190.19</v>
      </c>
      <c r="E324" s="1526">
        <v>380.38</v>
      </c>
      <c r="F324" s="1526">
        <v>571.75</v>
      </c>
      <c r="G324" s="1526">
        <v>763.12</v>
      </c>
      <c r="H324" s="1526">
        <v>954.49</v>
      </c>
      <c r="I324" s="1526">
        <v>1145.8599999999999</v>
      </c>
      <c r="J324" s="1526">
        <v>1337.23</v>
      </c>
      <c r="K324" s="1526">
        <v>1528.6</v>
      </c>
      <c r="L324" s="1526">
        <v>1719.97</v>
      </c>
      <c r="M324" s="1526">
        <v>1911.34</v>
      </c>
      <c r="N324" s="1526">
        <v>2102.71</v>
      </c>
      <c r="O324" s="1526">
        <v>2294.08</v>
      </c>
      <c r="P324"/>
    </row>
    <row r="325" spans="1:16">
      <c r="B325" s="1538">
        <v>6840</v>
      </c>
      <c r="C325" s="1526">
        <v>1549.1</v>
      </c>
      <c r="D325" s="1526">
        <v>129.49</v>
      </c>
      <c r="E325" s="1526">
        <v>258.98</v>
      </c>
      <c r="F325" s="1526">
        <v>388.47</v>
      </c>
      <c r="G325" s="1526">
        <v>517.96</v>
      </c>
      <c r="H325" s="1526">
        <v>647.45000000000005</v>
      </c>
      <c r="I325" s="1526">
        <v>776.94</v>
      </c>
      <c r="J325" s="1526">
        <v>906.43</v>
      </c>
      <c r="K325" s="1526">
        <v>1035.92</v>
      </c>
      <c r="L325" s="1526">
        <v>1166.52</v>
      </c>
      <c r="M325" s="1526">
        <v>1297.1199999999999</v>
      </c>
      <c r="N325" s="1526">
        <v>1427.72</v>
      </c>
      <c r="O325" s="1526">
        <v>1558.32</v>
      </c>
      <c r="P325"/>
    </row>
    <row r="326" spans="1:16">
      <c r="B326" s="1538">
        <v>6845</v>
      </c>
      <c r="C326" s="1526">
        <v>143.04</v>
      </c>
      <c r="D326" s="1526">
        <v>11.92</v>
      </c>
      <c r="E326" s="1526">
        <v>52.13</v>
      </c>
      <c r="F326" s="1526">
        <v>73.78</v>
      </c>
      <c r="G326" s="1526">
        <v>93.71</v>
      </c>
      <c r="H326" s="1526">
        <v>113.64</v>
      </c>
      <c r="I326" s="1526">
        <v>133.57</v>
      </c>
      <c r="J326" s="1526">
        <v>153.5</v>
      </c>
      <c r="K326" s="1526">
        <v>173.43</v>
      </c>
      <c r="L326" s="1526">
        <v>193.36</v>
      </c>
      <c r="M326" s="1526">
        <v>213.29</v>
      </c>
      <c r="N326" s="1526">
        <v>233.22</v>
      </c>
      <c r="O326" s="1526">
        <v>253.15</v>
      </c>
      <c r="P326"/>
    </row>
    <row r="327" spans="1:16">
      <c r="B327" s="1538">
        <v>6850</v>
      </c>
      <c r="C327" s="1526"/>
      <c r="D327" s="1526"/>
      <c r="E327" s="1526"/>
      <c r="F327" s="1526"/>
      <c r="G327" s="1526">
        <v>4.58</v>
      </c>
      <c r="H327" s="1526">
        <v>9.16</v>
      </c>
      <c r="I327" s="1526">
        <v>13.74</v>
      </c>
      <c r="J327" s="1526">
        <v>18.32</v>
      </c>
      <c r="K327" s="1526">
        <v>22.9</v>
      </c>
      <c r="L327" s="1526">
        <v>27.48</v>
      </c>
      <c r="M327" s="1526">
        <v>32.06</v>
      </c>
      <c r="N327" s="1526">
        <v>36.64</v>
      </c>
      <c r="O327" s="1526">
        <v>41.22</v>
      </c>
      <c r="P327"/>
    </row>
    <row r="328" spans="1:16">
      <c r="B328" s="1538">
        <v>6855</v>
      </c>
      <c r="C328" s="1526">
        <v>91.32</v>
      </c>
      <c r="D328" s="1526">
        <v>7.61</v>
      </c>
      <c r="E328" s="1526">
        <v>15.22</v>
      </c>
      <c r="F328" s="1526">
        <v>22.83</v>
      </c>
      <c r="G328" s="1526">
        <v>30.44</v>
      </c>
      <c r="H328" s="1526">
        <v>38.049999999999997</v>
      </c>
      <c r="I328" s="1526">
        <v>45.66</v>
      </c>
      <c r="J328" s="1526">
        <v>53.27</v>
      </c>
      <c r="K328" s="1526">
        <v>60.88</v>
      </c>
      <c r="L328" s="1526">
        <v>68.489999999999995</v>
      </c>
      <c r="M328" s="1526">
        <v>76.099999999999994</v>
      </c>
      <c r="N328" s="1526">
        <v>83.71</v>
      </c>
      <c r="O328" s="1526">
        <v>91.32</v>
      </c>
      <c r="P328"/>
    </row>
    <row r="329" spans="1:16">
      <c r="A329" s="1628" t="s">
        <v>2245</v>
      </c>
      <c r="B329" s="1664">
        <v>6890</v>
      </c>
      <c r="C329" s="1526">
        <v>196.46</v>
      </c>
      <c r="D329" s="1526">
        <v>18.41</v>
      </c>
      <c r="E329" s="1526">
        <v>36.82</v>
      </c>
      <c r="F329" s="1526">
        <v>55.23</v>
      </c>
      <c r="G329" s="1526">
        <v>73.989999999999995</v>
      </c>
      <c r="H329" s="1526">
        <v>92.75</v>
      </c>
      <c r="I329" s="1526">
        <v>111.9</v>
      </c>
      <c r="J329" s="1526">
        <v>131.05000000000001</v>
      </c>
      <c r="K329" s="1526">
        <v>150.19999999999999</v>
      </c>
      <c r="L329" s="1526">
        <v>169.35</v>
      </c>
      <c r="M329" s="1526">
        <v>188.5</v>
      </c>
      <c r="N329" s="1526">
        <v>207.65</v>
      </c>
      <c r="O329" s="1526">
        <v>226.8</v>
      </c>
      <c r="P329"/>
    </row>
    <row r="330" spans="1:16">
      <c r="A330" s="1629" t="s">
        <v>2244</v>
      </c>
      <c r="B330" s="1665">
        <v>6905</v>
      </c>
      <c r="C330" s="1526">
        <v>10460.5</v>
      </c>
      <c r="D330" s="1526">
        <v>1672.97</v>
      </c>
      <c r="E330" s="1526">
        <v>2525.86</v>
      </c>
      <c r="F330" s="1526">
        <v>8307.7199999999993</v>
      </c>
      <c r="G330" s="1526">
        <v>9354.18</v>
      </c>
      <c r="H330" s="1526">
        <v>10404.56</v>
      </c>
      <c r="I330" s="1526">
        <v>11450.27</v>
      </c>
      <c r="J330" s="1526">
        <v>12585.7</v>
      </c>
      <c r="K330" s="1526">
        <v>13643.27</v>
      </c>
      <c r="L330" s="1526">
        <v>14799.14</v>
      </c>
      <c r="M330" s="1526">
        <v>16026.57</v>
      </c>
      <c r="N330" s="1526">
        <v>17142.79</v>
      </c>
      <c r="O330" s="1526">
        <v>18433.3</v>
      </c>
      <c r="P330"/>
    </row>
    <row r="331" spans="1:16">
      <c r="A331" s="1630" t="s">
        <v>2243</v>
      </c>
      <c r="B331" s="1665">
        <v>6920</v>
      </c>
      <c r="C331" s="1526">
        <v>45101.3</v>
      </c>
      <c r="D331" s="1526">
        <v>3747.66</v>
      </c>
      <c r="E331" s="1526">
        <v>7498.45</v>
      </c>
      <c r="F331" s="1526">
        <v>11265.54</v>
      </c>
      <c r="G331" s="1526">
        <v>15455.13</v>
      </c>
      <c r="H331" s="1526">
        <v>19265.11</v>
      </c>
      <c r="I331" s="1526">
        <v>22837.21</v>
      </c>
      <c r="J331" s="1526">
        <v>26735.3</v>
      </c>
      <c r="K331" s="1526">
        <v>30734.53</v>
      </c>
      <c r="L331" s="1526">
        <v>34655.410000000003</v>
      </c>
      <c r="M331" s="1526">
        <v>38577.82</v>
      </c>
      <c r="N331" s="1526">
        <v>42496.98</v>
      </c>
      <c r="O331" s="1526">
        <v>46250.86</v>
      </c>
      <c r="P331"/>
    </row>
    <row r="332" spans="1:16" ht="15">
      <c r="A332" s="1548" t="s">
        <v>2220</v>
      </c>
      <c r="B332" s="1538">
        <v>7225</v>
      </c>
      <c r="C332" s="1526">
        <v>-2217.6</v>
      </c>
      <c r="D332" s="1526">
        <v>-184.8</v>
      </c>
      <c r="E332" s="1526">
        <v>-369.6</v>
      </c>
      <c r="F332" s="1526">
        <v>-554.4</v>
      </c>
      <c r="G332" s="1526">
        <v>-739.2</v>
      </c>
      <c r="H332" s="1526">
        <v>-924</v>
      </c>
      <c r="I332" s="1526">
        <v>-1108.8</v>
      </c>
      <c r="J332" s="1526">
        <v>-1293.5999999999999</v>
      </c>
      <c r="K332" s="1526">
        <v>-1478.4</v>
      </c>
      <c r="L332" s="1526">
        <v>-1663.2</v>
      </c>
      <c r="M332" s="1526">
        <v>-1848</v>
      </c>
      <c r="N332" s="1526">
        <v>-2032.8</v>
      </c>
      <c r="O332" s="1526">
        <v>-2217.6</v>
      </c>
      <c r="P332"/>
    </row>
    <row r="333" spans="1:16">
      <c r="B333" s="1538">
        <v>7245</v>
      </c>
      <c r="C333" s="1526">
        <v>-49982.28</v>
      </c>
      <c r="D333" s="1526">
        <v>-4165.1899999999996</v>
      </c>
      <c r="E333" s="1526">
        <v>-8330.3799999999992</v>
      </c>
      <c r="F333" s="1526">
        <v>-12495.57</v>
      </c>
      <c r="G333" s="1526">
        <v>-16660.759999999998</v>
      </c>
      <c r="H333" s="1526">
        <v>-20825.95</v>
      </c>
      <c r="I333" s="1526">
        <v>-24991.14</v>
      </c>
      <c r="J333" s="1526">
        <v>-29156.33</v>
      </c>
      <c r="K333" s="1526">
        <v>-33321.519999999997</v>
      </c>
      <c r="L333" s="1526">
        <v>-37486.71</v>
      </c>
      <c r="M333" s="1526">
        <v>-41651.9</v>
      </c>
      <c r="N333" s="1526">
        <v>-45817.09</v>
      </c>
      <c r="O333" s="1526">
        <v>-49982.28</v>
      </c>
      <c r="P333"/>
    </row>
    <row r="334" spans="1:16">
      <c r="B334" s="1538">
        <v>7275</v>
      </c>
      <c r="C334" s="1526">
        <v>-3120</v>
      </c>
      <c r="D334" s="1526">
        <v>-260</v>
      </c>
      <c r="E334" s="1526">
        <v>-520</v>
      </c>
      <c r="F334" s="1526">
        <v>-780</v>
      </c>
      <c r="G334" s="1526">
        <v>-1040</v>
      </c>
      <c r="H334" s="1526">
        <v>-1300</v>
      </c>
      <c r="I334" s="1526">
        <v>-1560</v>
      </c>
      <c r="J334" s="1526">
        <v>-1820</v>
      </c>
      <c r="K334" s="1526">
        <v>-2080</v>
      </c>
      <c r="L334" s="1526">
        <v>-2340</v>
      </c>
      <c r="M334" s="1526">
        <v>-2600</v>
      </c>
      <c r="N334" s="1526">
        <v>-2860</v>
      </c>
      <c r="O334" s="1526">
        <v>-3120</v>
      </c>
      <c r="P334"/>
    </row>
    <row r="335" spans="1:16">
      <c r="B335" s="1538">
        <v>7280</v>
      </c>
      <c r="C335" s="1526">
        <v>-11875.44</v>
      </c>
      <c r="D335" s="1526">
        <v>-989.62</v>
      </c>
      <c r="E335" s="1526">
        <v>-1979.24</v>
      </c>
      <c r="F335" s="1526">
        <v>-2968.86</v>
      </c>
      <c r="G335" s="1526">
        <v>-3958.48</v>
      </c>
      <c r="H335" s="1526">
        <v>-4948.1000000000004</v>
      </c>
      <c r="I335" s="1526">
        <v>-5937.72</v>
      </c>
      <c r="J335" s="1526">
        <v>-6927.34</v>
      </c>
      <c r="K335" s="1526">
        <v>-7916.96</v>
      </c>
      <c r="L335" s="1526">
        <v>-8906.58</v>
      </c>
      <c r="M335" s="1526">
        <v>-9896.2000000000007</v>
      </c>
      <c r="N335" s="1526">
        <v>-10885.82</v>
      </c>
      <c r="O335" s="1526">
        <v>-11875.44</v>
      </c>
      <c r="P335"/>
    </row>
    <row r="336" spans="1:16">
      <c r="B336" s="1538">
        <v>7283</v>
      </c>
      <c r="C336" s="1526">
        <v>-520.32000000000005</v>
      </c>
      <c r="D336" s="1526">
        <v>-43.36</v>
      </c>
      <c r="E336" s="1526">
        <v>-86.72</v>
      </c>
      <c r="F336" s="1526">
        <v>-130.08000000000001</v>
      </c>
      <c r="G336" s="1526">
        <v>-173.44</v>
      </c>
      <c r="H336" s="1526">
        <v>-216.8</v>
      </c>
      <c r="I336" s="1526">
        <v>-260.16000000000003</v>
      </c>
      <c r="J336" s="1526">
        <v>-303.52</v>
      </c>
      <c r="K336" s="1526">
        <v>-346.88</v>
      </c>
      <c r="L336" s="1526">
        <v>-390.24</v>
      </c>
      <c r="M336" s="1526">
        <v>-433.6</v>
      </c>
      <c r="N336" s="1526">
        <v>-476.96</v>
      </c>
      <c r="O336" s="1526">
        <v>-520.32000000000005</v>
      </c>
      <c r="P336"/>
    </row>
    <row r="337" spans="1:16">
      <c r="B337" s="1538">
        <v>7290</v>
      </c>
      <c r="C337" s="1526">
        <v>-1370.52</v>
      </c>
      <c r="D337" s="1526">
        <v>-114.21</v>
      </c>
      <c r="E337" s="1526">
        <v>-228.42</v>
      </c>
      <c r="F337" s="1526">
        <v>-342.63</v>
      </c>
      <c r="G337" s="1526">
        <v>-456.84</v>
      </c>
      <c r="H337" s="1526">
        <v>-571.04999999999995</v>
      </c>
      <c r="I337" s="1526">
        <v>-685.26</v>
      </c>
      <c r="J337" s="1526">
        <v>-799.47</v>
      </c>
      <c r="K337" s="1526">
        <v>-913.68</v>
      </c>
      <c r="L337" s="1526">
        <v>-1027.8900000000001</v>
      </c>
      <c r="M337" s="1526">
        <v>-1142.0999999999999</v>
      </c>
      <c r="N337" s="1526">
        <v>-1256.31</v>
      </c>
      <c r="O337" s="1526">
        <v>-1370.52</v>
      </c>
      <c r="P337"/>
    </row>
    <row r="338" spans="1:16">
      <c r="B338" s="1565">
        <v>7325</v>
      </c>
      <c r="C338" s="1526">
        <v>-767.4</v>
      </c>
      <c r="D338" s="1526">
        <v>-63.95</v>
      </c>
      <c r="E338" s="1526">
        <v>-127.9</v>
      </c>
      <c r="F338" s="1526">
        <v>-191.85</v>
      </c>
      <c r="G338" s="1526">
        <v>-255.8</v>
      </c>
      <c r="H338" s="1526">
        <v>-319.75</v>
      </c>
      <c r="I338" s="1526">
        <v>-383.7</v>
      </c>
      <c r="J338" s="1526">
        <v>-447.65</v>
      </c>
      <c r="K338" s="1526">
        <v>-511.6</v>
      </c>
      <c r="L338" s="1526">
        <v>-575.54999999999995</v>
      </c>
      <c r="M338" s="1526">
        <v>-639.5</v>
      </c>
      <c r="N338" s="1526">
        <v>-703.45</v>
      </c>
      <c r="O338" s="1526">
        <v>-767.4</v>
      </c>
      <c r="P338"/>
    </row>
    <row r="339" spans="1:16">
      <c r="B339" s="1538">
        <v>7330</v>
      </c>
      <c r="C339" s="1526">
        <v>-13792.08</v>
      </c>
      <c r="D339" s="1526">
        <v>-1149.3399999999999</v>
      </c>
      <c r="E339" s="1526">
        <v>-2298.6799999999998</v>
      </c>
      <c r="F339" s="1526">
        <v>-3448.02</v>
      </c>
      <c r="G339" s="1526">
        <v>-4597.3599999999997</v>
      </c>
      <c r="H339" s="1526">
        <v>-5746.7</v>
      </c>
      <c r="I339" s="1526">
        <v>-6896.04</v>
      </c>
      <c r="J339" s="1526">
        <v>-8045.38</v>
      </c>
      <c r="K339" s="1526">
        <v>-9194.7199999999993</v>
      </c>
      <c r="L339" s="1526">
        <v>-10344.06</v>
      </c>
      <c r="M339" s="1526">
        <v>-11493.4</v>
      </c>
      <c r="N339" s="1526">
        <v>-12642.74</v>
      </c>
      <c r="O339" s="1526">
        <v>-13792.08</v>
      </c>
      <c r="P339"/>
    </row>
    <row r="340" spans="1:16">
      <c r="B340" s="1538">
        <v>7430</v>
      </c>
      <c r="C340" s="1526">
        <v>-10506.26</v>
      </c>
      <c r="D340" s="1526">
        <v>-874.88</v>
      </c>
      <c r="E340" s="1526">
        <v>-1749.76</v>
      </c>
      <c r="F340" s="1526">
        <v>-2624.64</v>
      </c>
      <c r="G340" s="1526">
        <v>-3499.52</v>
      </c>
      <c r="H340" s="1526">
        <v>-4374.4799999999996</v>
      </c>
      <c r="I340" s="1526">
        <v>-5249.44</v>
      </c>
      <c r="J340" s="1526">
        <v>-6124.4</v>
      </c>
      <c r="K340" s="1526">
        <v>-6999.36</v>
      </c>
      <c r="L340" s="1526">
        <v>-7874.32</v>
      </c>
      <c r="M340" s="1526">
        <v>-8749.2800000000007</v>
      </c>
      <c r="N340" s="1526">
        <v>-9624.2000000000007</v>
      </c>
      <c r="O340" s="1526">
        <v>-10499.12</v>
      </c>
      <c r="P340"/>
    </row>
    <row r="341" spans="1:16">
      <c r="B341" s="1538">
        <v>7440</v>
      </c>
      <c r="C341" s="1526">
        <v>-1569.72</v>
      </c>
      <c r="D341" s="1526">
        <v>-130.81</v>
      </c>
      <c r="E341" s="1526">
        <v>-394.44</v>
      </c>
      <c r="F341" s="1526">
        <v>-658.07</v>
      </c>
      <c r="G341" s="1526">
        <v>-921.7</v>
      </c>
      <c r="H341" s="1526">
        <v>-1185.33</v>
      </c>
      <c r="I341" s="1526">
        <v>-1448.96</v>
      </c>
      <c r="J341" s="1526">
        <v>-1712.59</v>
      </c>
      <c r="K341" s="1526">
        <v>-1976.22</v>
      </c>
      <c r="L341" s="1526">
        <v>-2239.85</v>
      </c>
      <c r="M341" s="1526">
        <v>-2503.48</v>
      </c>
      <c r="N341" s="1526">
        <v>-2767.11</v>
      </c>
      <c r="O341" s="1526">
        <v>-3030.74</v>
      </c>
      <c r="P341"/>
    </row>
    <row r="342" spans="1:16">
      <c r="B342" s="1538">
        <v>7445</v>
      </c>
      <c r="C342" s="1526">
        <v>-41.16</v>
      </c>
      <c r="D342" s="1526">
        <v>-3.43</v>
      </c>
      <c r="E342" s="1526">
        <v>-6.86</v>
      </c>
      <c r="F342" s="1526">
        <v>-10.29</v>
      </c>
      <c r="G342" s="1526">
        <v>-13.72</v>
      </c>
      <c r="H342" s="1526">
        <v>-17.149999999999999</v>
      </c>
      <c r="I342" s="1526">
        <v>-20.58</v>
      </c>
      <c r="J342" s="1526">
        <v>-24.01</v>
      </c>
      <c r="K342" s="1526">
        <v>-27.44</v>
      </c>
      <c r="L342" s="1526">
        <v>-30.87</v>
      </c>
      <c r="M342" s="1526">
        <v>-34.299999999999997</v>
      </c>
      <c r="N342" s="1526">
        <v>-37.729999999999997</v>
      </c>
      <c r="O342" s="1526">
        <v>-41.16</v>
      </c>
      <c r="P342"/>
    </row>
    <row r="343" spans="1:16" ht="15">
      <c r="A343" s="1549" t="s">
        <v>2221</v>
      </c>
      <c r="B343" s="1525">
        <v>7510</v>
      </c>
      <c r="C343" s="1526">
        <v>16261.78</v>
      </c>
      <c r="D343" s="1526">
        <v>1472.91</v>
      </c>
      <c r="E343" s="1526">
        <v>2990.06</v>
      </c>
      <c r="F343" s="1526">
        <v>4425.17</v>
      </c>
      <c r="G343" s="1526">
        <v>5958.61</v>
      </c>
      <c r="H343" s="1526">
        <v>7289.66</v>
      </c>
      <c r="I343" s="1526">
        <v>8682.99</v>
      </c>
      <c r="J343" s="1526">
        <v>10139.75</v>
      </c>
      <c r="K343" s="1526">
        <v>11500.32</v>
      </c>
      <c r="L343" s="1526">
        <v>12874.75</v>
      </c>
      <c r="M343" s="1526">
        <v>14250.67</v>
      </c>
      <c r="N343" s="1526">
        <v>15558.09</v>
      </c>
      <c r="O343" s="1526">
        <v>16986.79</v>
      </c>
      <c r="P343"/>
    </row>
    <row r="344" spans="1:16" ht="15">
      <c r="A344" s="1549"/>
      <c r="B344" s="1525">
        <v>7515</v>
      </c>
      <c r="C344" s="1526">
        <v>1.1000000000000001</v>
      </c>
      <c r="D344" s="1526">
        <v>304.63</v>
      </c>
      <c r="E344" s="1526">
        <v>351.83</v>
      </c>
      <c r="F344" s="1526">
        <v>368.91</v>
      </c>
      <c r="G344" s="1526">
        <v>371.69</v>
      </c>
      <c r="H344" s="1526">
        <v>373.9</v>
      </c>
      <c r="I344" s="1526">
        <v>376.75</v>
      </c>
      <c r="J344" s="1526">
        <v>381.04</v>
      </c>
      <c r="K344" s="1526">
        <v>383.47</v>
      </c>
      <c r="L344" s="1526">
        <v>384.56</v>
      </c>
      <c r="M344" s="1526">
        <v>387.7</v>
      </c>
      <c r="N344" s="1526">
        <v>389.95</v>
      </c>
      <c r="O344" s="1526">
        <v>391.58</v>
      </c>
      <c r="P344"/>
    </row>
    <row r="345" spans="1:16">
      <c r="B345" s="1525">
        <v>7520</v>
      </c>
      <c r="C345" s="1526">
        <v>1833.28</v>
      </c>
      <c r="D345" s="1526">
        <v>590.76</v>
      </c>
      <c r="E345" s="1526">
        <v>843.35</v>
      </c>
      <c r="F345" s="1526">
        <v>988.3</v>
      </c>
      <c r="G345" s="1526">
        <v>1029.42</v>
      </c>
      <c r="H345" s="1526">
        <v>1054.55</v>
      </c>
      <c r="I345" s="1526">
        <v>1082.3399999999999</v>
      </c>
      <c r="J345" s="1526">
        <v>804.91</v>
      </c>
      <c r="K345" s="1526">
        <v>828.5</v>
      </c>
      <c r="L345" s="1526">
        <v>843.6</v>
      </c>
      <c r="M345" s="1526">
        <v>865.31</v>
      </c>
      <c r="N345" s="1526">
        <v>881.39</v>
      </c>
      <c r="O345" s="1526">
        <v>675.86</v>
      </c>
      <c r="P345"/>
    </row>
    <row r="346" spans="1:16">
      <c r="B346" s="1525">
        <v>7535</v>
      </c>
      <c r="C346" s="1526">
        <v>167.41</v>
      </c>
      <c r="D346" s="1526"/>
      <c r="E346" s="1526">
        <v>0.09</v>
      </c>
      <c r="F346" s="1526">
        <v>0.09</v>
      </c>
      <c r="G346" s="1526">
        <v>7.47</v>
      </c>
      <c r="H346" s="1526">
        <v>175.2</v>
      </c>
      <c r="I346" s="1526">
        <v>245.5</v>
      </c>
      <c r="J346" s="1526">
        <v>245.5</v>
      </c>
      <c r="K346" s="1526">
        <v>245.68</v>
      </c>
      <c r="L346" s="1526">
        <v>245.68</v>
      </c>
      <c r="M346" s="1526">
        <v>245.68</v>
      </c>
      <c r="N346" s="1526">
        <v>246.98</v>
      </c>
      <c r="O346" s="1526">
        <v>257.35000000000002</v>
      </c>
      <c r="P346"/>
    </row>
    <row r="347" spans="1:16">
      <c r="B347" s="1525">
        <v>7540</v>
      </c>
      <c r="C347" s="1526">
        <v>80111.710000000006</v>
      </c>
      <c r="D347" s="1526">
        <v>43585.85</v>
      </c>
      <c r="E347" s="1526">
        <v>43585.85</v>
      </c>
      <c r="F347" s="1526">
        <v>43585.85</v>
      </c>
      <c r="G347" s="1526">
        <v>43585.85</v>
      </c>
      <c r="H347" s="1526">
        <v>43585.85</v>
      </c>
      <c r="I347" s="1526">
        <v>43585.85</v>
      </c>
      <c r="J347" s="1526">
        <v>87017.65</v>
      </c>
      <c r="K347" s="1526">
        <v>87017.65</v>
      </c>
      <c r="L347" s="1526">
        <v>87017.65</v>
      </c>
      <c r="M347" s="1526">
        <v>87017.65</v>
      </c>
      <c r="N347" s="1526">
        <v>87017.65</v>
      </c>
      <c r="O347" s="1526">
        <v>92193.25</v>
      </c>
      <c r="P347"/>
    </row>
    <row r="348" spans="1:16">
      <c r="B348" s="1525">
        <v>7545</v>
      </c>
      <c r="C348" s="1526">
        <v>9438.14</v>
      </c>
      <c r="D348" s="1526"/>
      <c r="E348" s="1526">
        <v>-4813.47</v>
      </c>
      <c r="F348" s="1526">
        <v>-4809.79</v>
      </c>
      <c r="G348" s="1526">
        <v>-4809.79</v>
      </c>
      <c r="H348" s="1526">
        <v>-4809.79</v>
      </c>
      <c r="I348" s="1526">
        <v>-4809.79</v>
      </c>
      <c r="J348" s="1526">
        <v>-4809.79</v>
      </c>
      <c r="K348" s="1526">
        <v>-4809.79</v>
      </c>
      <c r="L348" s="1526">
        <v>-4809.79</v>
      </c>
      <c r="M348" s="1526">
        <v>-4809.79</v>
      </c>
      <c r="N348" s="1526">
        <v>-135.12</v>
      </c>
      <c r="O348" s="1526">
        <v>-135.12</v>
      </c>
      <c r="P348"/>
    </row>
    <row r="349" spans="1:16">
      <c r="B349" s="1525">
        <v>7550</v>
      </c>
      <c r="C349" s="1526">
        <v>-4.9000000000000004</v>
      </c>
      <c r="D349" s="1526">
        <v>-35628.769999999997</v>
      </c>
      <c r="E349" s="1526">
        <v>-28160.52</v>
      </c>
      <c r="F349" s="1526">
        <v>-15394.11</v>
      </c>
      <c r="G349" s="1526">
        <v>-12258.13</v>
      </c>
      <c r="H349" s="1526">
        <v>359.02</v>
      </c>
      <c r="I349" s="1526">
        <v>8315.2800000000007</v>
      </c>
      <c r="J349" s="1526">
        <v>-27577.3</v>
      </c>
      <c r="K349" s="1526">
        <v>-19621.490000000002</v>
      </c>
      <c r="L349" s="1526">
        <v>-11666.38</v>
      </c>
      <c r="M349" s="1526">
        <v>-3711.3</v>
      </c>
      <c r="N349" s="1526">
        <v>-5575.63</v>
      </c>
      <c r="O349" s="1526">
        <v>-0.67</v>
      </c>
      <c r="P349"/>
    </row>
    <row r="350" spans="1:16">
      <c r="B350" s="1525">
        <v>7555</v>
      </c>
      <c r="C350" s="1526">
        <v>5950.78</v>
      </c>
      <c r="D350" s="1526"/>
      <c r="E350" s="1526">
        <v>487.92</v>
      </c>
      <c r="F350" s="1526">
        <v>487.92</v>
      </c>
      <c r="G350" s="1526">
        <v>487.92</v>
      </c>
      <c r="H350" s="1526">
        <v>487.92</v>
      </c>
      <c r="I350" s="1526">
        <v>487.92</v>
      </c>
      <c r="J350" s="1526">
        <v>905.63</v>
      </c>
      <c r="K350" s="1526">
        <v>905.63</v>
      </c>
      <c r="L350" s="1526">
        <v>905.63</v>
      </c>
      <c r="M350" s="1526">
        <v>905.63</v>
      </c>
      <c r="N350" s="1526">
        <v>6048.74</v>
      </c>
      <c r="O350" s="1526">
        <v>6088.74</v>
      </c>
      <c r="P350"/>
    </row>
    <row r="351" spans="1:16">
      <c r="B351" s="1525">
        <v>7595</v>
      </c>
      <c r="C351" s="1526">
        <v>140534.81</v>
      </c>
      <c r="D351" s="1526"/>
      <c r="E351" s="1526"/>
      <c r="F351" s="1526"/>
      <c r="G351" s="1526"/>
      <c r="H351" s="1526"/>
      <c r="I351" s="1526"/>
      <c r="J351" s="1526"/>
      <c r="K351" s="1526"/>
      <c r="L351" s="1526"/>
      <c r="M351" s="1526"/>
      <c r="N351" s="1526"/>
      <c r="O351" s="1526">
        <v>97659.28</v>
      </c>
      <c r="P351"/>
    </row>
    <row r="352" spans="1:16">
      <c r="B352" s="1525">
        <v>7600</v>
      </c>
      <c r="C352" s="1526">
        <v>15563.48</v>
      </c>
      <c r="D352" s="1526"/>
      <c r="E352" s="1526"/>
      <c r="F352" s="1526"/>
      <c r="G352" s="1526"/>
      <c r="H352" s="1526"/>
      <c r="I352" s="1526"/>
      <c r="J352" s="1526"/>
      <c r="K352" s="1526"/>
      <c r="L352" s="1526"/>
      <c r="M352" s="1526"/>
      <c r="N352" s="1526"/>
      <c r="O352" s="1526">
        <v>17768.27</v>
      </c>
      <c r="P352"/>
    </row>
    <row r="353" spans="2:16">
      <c r="B353" s="1525">
        <v>7610</v>
      </c>
      <c r="C353" s="1526">
        <v>19411.38</v>
      </c>
      <c r="D353" s="1526"/>
      <c r="E353" s="1526"/>
      <c r="F353" s="1526"/>
      <c r="G353" s="1526"/>
      <c r="H353" s="1526"/>
      <c r="I353" s="1526"/>
      <c r="J353" s="1526"/>
      <c r="K353" s="1526"/>
      <c r="L353" s="1526"/>
      <c r="M353" s="1526"/>
      <c r="N353" s="1526"/>
      <c r="O353" s="1526">
        <v>4470.43</v>
      </c>
      <c r="P353"/>
    </row>
    <row r="354" spans="2:16">
      <c r="B354" s="1525">
        <v>7660</v>
      </c>
      <c r="C354" s="1526">
        <v>799.6</v>
      </c>
      <c r="D354" s="1526"/>
      <c r="E354" s="1526"/>
      <c r="F354" s="1526"/>
      <c r="G354" s="1526"/>
      <c r="H354" s="1526"/>
      <c r="I354" s="1526"/>
      <c r="J354" s="1526"/>
      <c r="K354" s="1526"/>
      <c r="L354" s="1526"/>
      <c r="M354" s="1526"/>
      <c r="N354" s="1526"/>
      <c r="O354" s="1526"/>
      <c r="P354"/>
    </row>
    <row r="355" spans="2:16">
      <c r="B355" s="1525">
        <v>7710</v>
      </c>
      <c r="C355" s="1526">
        <v>113808.19</v>
      </c>
      <c r="D355" s="1526"/>
      <c r="E355" s="1526"/>
      <c r="F355" s="1526">
        <v>29162.31</v>
      </c>
      <c r="G355" s="1526">
        <v>29162.31</v>
      </c>
      <c r="H355" s="1526">
        <v>29162.31</v>
      </c>
      <c r="I355" s="1526">
        <v>58717.16</v>
      </c>
      <c r="J355" s="1526">
        <v>58717.16</v>
      </c>
      <c r="K355" s="1526">
        <v>58717.16</v>
      </c>
      <c r="L355" s="1526">
        <v>80476.34</v>
      </c>
      <c r="M355" s="1526">
        <v>80476.34</v>
      </c>
      <c r="N355" s="1526">
        <v>80476.34</v>
      </c>
      <c r="O355" s="1526">
        <v>111210.4</v>
      </c>
      <c r="P355"/>
    </row>
    <row r="356" spans="2:16">
      <c r="B356" s="1525">
        <v>7735</v>
      </c>
      <c r="C356" s="1526">
        <v>673.56999999999994</v>
      </c>
      <c r="D356" s="1526">
        <v>-11.830000000000005</v>
      </c>
      <c r="E356" s="1526">
        <v>52.35</v>
      </c>
      <c r="F356" s="1526">
        <v>91.740000000000009</v>
      </c>
      <c r="G356" s="1526">
        <v>145.18</v>
      </c>
      <c r="H356" s="1526">
        <v>183.42</v>
      </c>
      <c r="I356" s="1526">
        <v>470.13</v>
      </c>
      <c r="J356" s="1526">
        <v>498.63</v>
      </c>
      <c r="K356" s="1526">
        <v>536.32000000000005</v>
      </c>
      <c r="L356" s="1526">
        <v>572.95000000000005</v>
      </c>
      <c r="M356" s="1526">
        <v>622.78</v>
      </c>
      <c r="N356" s="1526">
        <v>655.44999999999993</v>
      </c>
      <c r="O356" s="1526">
        <v>789.69999999999993</v>
      </c>
      <c r="P356"/>
    </row>
    <row r="357" spans="2:16">
      <c r="B357" s="1525">
        <v>7750</v>
      </c>
      <c r="C357" s="1526">
        <v>-1167.6199999999999</v>
      </c>
      <c r="D357" s="1526">
        <v>-2674.13</v>
      </c>
      <c r="E357" s="1526">
        <v>-5837.21</v>
      </c>
      <c r="F357" s="1526">
        <v>-9494.9699999999993</v>
      </c>
      <c r="G357" s="1526">
        <v>-13181.56</v>
      </c>
      <c r="H357" s="1526">
        <v>-15417.04</v>
      </c>
      <c r="I357" s="1526">
        <v>-19592.78</v>
      </c>
      <c r="J357" s="1526">
        <v>-19614.79</v>
      </c>
      <c r="K357" s="1526">
        <v>-19639.7</v>
      </c>
      <c r="L357" s="1526">
        <v>-19685.919999999998</v>
      </c>
      <c r="M357" s="1526">
        <v>-20004.490000000002</v>
      </c>
      <c r="N357" s="1526">
        <v>-20326.62</v>
      </c>
      <c r="O357" s="1526">
        <v>-20818.25</v>
      </c>
      <c r="P357"/>
    </row>
    <row r="358" spans="2:16">
      <c r="B358" s="1525">
        <v>7765</v>
      </c>
      <c r="C358" s="1526">
        <v>-1174.01</v>
      </c>
      <c r="D358" s="1526"/>
      <c r="E358" s="1526"/>
      <c r="F358" s="1526"/>
      <c r="G358" s="1526">
        <v>-234.88</v>
      </c>
      <c r="H358" s="1526">
        <v>-234.88</v>
      </c>
      <c r="I358" s="1526">
        <v>-234.88</v>
      </c>
      <c r="J358" s="1526">
        <v>-234.88</v>
      </c>
      <c r="K358" s="1526">
        <v>-234.88</v>
      </c>
      <c r="L358" s="1526">
        <v>-234.88</v>
      </c>
      <c r="M358" s="1526">
        <v>-499.4</v>
      </c>
      <c r="N358" s="1526">
        <v>-499.4</v>
      </c>
      <c r="O358" s="1526">
        <v>-499.4</v>
      </c>
      <c r="P358"/>
    </row>
    <row r="359" spans="2:16" ht="15">
      <c r="B359" s="1624" t="s">
        <v>2101</v>
      </c>
      <c r="C359" s="1625">
        <v>-1.1891643225681037E-10</v>
      </c>
      <c r="D359" s="1625">
        <v>-1.5506884665228426E-9</v>
      </c>
      <c r="E359" s="1625">
        <v>2.167325874324888E-9</v>
      </c>
      <c r="F359" s="1625">
        <v>2.9831426218152046E-10</v>
      </c>
      <c r="G359" s="1625">
        <v>-1.9780372895183973E-9</v>
      </c>
      <c r="H359" s="1625">
        <v>-6.6108896135119721E-10</v>
      </c>
      <c r="I359" s="1625">
        <v>8.5721012510475703E-9</v>
      </c>
      <c r="J359" s="1625">
        <v>6.6803522713598795E-9</v>
      </c>
      <c r="K359" s="1625">
        <v>4.4539092414197512E-9</v>
      </c>
      <c r="L359" s="1625">
        <v>5.6326143749174662E-9</v>
      </c>
      <c r="M359" s="1625">
        <v>4.7708681449876167E-9</v>
      </c>
      <c r="N359" s="1625">
        <v>1.0637677405611612E-9</v>
      </c>
      <c r="O359" s="1625">
        <v>2.6608404368744232E-9</v>
      </c>
      <c r="P359"/>
    </row>
    <row r="360" spans="2:16">
      <c r="B360" s="1525" t="s">
        <v>2101</v>
      </c>
      <c r="C360" s="1526">
        <v>5.8282694226363674E-9</v>
      </c>
      <c r="D360" s="1526">
        <v>8.6787821373945917E-10</v>
      </c>
      <c r="E360" s="1526">
        <v>6.2611249518340628E-10</v>
      </c>
      <c r="F360" s="1526">
        <v>1.223667851074639E-9</v>
      </c>
      <c r="G360" s="1526">
        <v>-4.3380055103625637E-10</v>
      </c>
      <c r="H360" s="1526">
        <v>3.1299407510232413E-9</v>
      </c>
      <c r="I360" s="1526">
        <v>3.0265141504060011E-9</v>
      </c>
      <c r="J360" s="1526">
        <v>-2.6673774300434161E-9</v>
      </c>
      <c r="K360" s="1526">
        <v>2.8079512048861943E-9</v>
      </c>
      <c r="L360" s="1526">
        <v>3.6676510717370547E-9</v>
      </c>
      <c r="M360" s="1526">
        <v>-2.673772314665257E-9</v>
      </c>
      <c r="N360" s="1526">
        <v>1.5707257716712775E-9</v>
      </c>
      <c r="O360" s="1526">
        <v>-9.0977891886723228E-10</v>
      </c>
      <c r="P360"/>
    </row>
    <row r="361" spans="2:16">
      <c r="P361"/>
    </row>
    <row r="362" spans="2:16">
      <c r="P362"/>
    </row>
    <row r="363" spans="2:16">
      <c r="P363"/>
    </row>
    <row r="364" spans="2:16">
      <c r="P364"/>
    </row>
    <row r="365" spans="2:16">
      <c r="P365"/>
    </row>
    <row r="366" spans="2:16">
      <c r="P366"/>
    </row>
    <row r="367" spans="2:16">
      <c r="P367"/>
    </row>
    <row r="368" spans="2:16">
      <c r="P368"/>
    </row>
    <row r="369" spans="16:16">
      <c r="P369"/>
    </row>
    <row r="370" spans="16:16">
      <c r="P370"/>
    </row>
    <row r="371" spans="16:16">
      <c r="P371"/>
    </row>
    <row r="372" spans="16:16">
      <c r="P372"/>
    </row>
    <row r="373" spans="16:16">
      <c r="P373"/>
    </row>
    <row r="374" spans="16:16">
      <c r="P374"/>
    </row>
    <row r="375" spans="16:16">
      <c r="P375"/>
    </row>
    <row r="376" spans="16:16">
      <c r="P376"/>
    </row>
    <row r="377" spans="16:16">
      <c r="P377"/>
    </row>
    <row r="378" spans="16:16">
      <c r="P378"/>
    </row>
    <row r="379" spans="16:16">
      <c r="P379"/>
    </row>
    <row r="380" spans="16:16">
      <c r="P380"/>
    </row>
    <row r="381" spans="16:16">
      <c r="P381"/>
    </row>
    <row r="382" spans="16:16">
      <c r="P382"/>
    </row>
    <row r="383" spans="16:16">
      <c r="P383"/>
    </row>
    <row r="384" spans="16:16">
      <c r="P384"/>
    </row>
    <row r="385" spans="16:16">
      <c r="P385"/>
    </row>
    <row r="386" spans="16:16">
      <c r="P386"/>
    </row>
    <row r="387" spans="16:16">
      <c r="P387"/>
    </row>
    <row r="388" spans="16:16">
      <c r="P388"/>
    </row>
    <row r="389" spans="16:16">
      <c r="P389"/>
    </row>
    <row r="390" spans="16:16">
      <c r="P390"/>
    </row>
    <row r="391" spans="16:16">
      <c r="P391"/>
    </row>
    <row r="392" spans="16:16">
      <c r="P392"/>
    </row>
    <row r="393" spans="16:16">
      <c r="P393"/>
    </row>
    <row r="394" spans="16:16">
      <c r="P394"/>
    </row>
    <row r="395" spans="16:16">
      <c r="P395"/>
    </row>
  </sheetData>
  <pageMargins left="0.7" right="0.7" top="0.75" bottom="0.75" header="0.3" footer="0.3"/>
  <pageSetup orientation="portrait" horizontalDpi="1200" verticalDpi="1200"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dimension ref="A1:S177"/>
  <sheetViews>
    <sheetView workbookViewId="0"/>
  </sheetViews>
  <sheetFormatPr defaultRowHeight="12.75"/>
  <cols>
    <col min="1" max="1" width="30" customWidth="1"/>
    <col min="4" max="7" width="11.85546875" bestFit="1" customWidth="1"/>
    <col min="8" max="8" width="10.85546875" bestFit="1" customWidth="1"/>
    <col min="9" max="13" width="11.85546875" bestFit="1" customWidth="1"/>
    <col min="14" max="14" width="10.85546875" bestFit="1" customWidth="1"/>
    <col min="15" max="15" width="11.85546875" bestFit="1" customWidth="1"/>
    <col min="16" max="16" width="13.5703125" bestFit="1" customWidth="1"/>
    <col min="17" max="17" width="11.28515625" bestFit="1" customWidth="1"/>
  </cols>
  <sheetData>
    <row r="1" spans="1:17" ht="15">
      <c r="B1" s="1549" t="s">
        <v>2218</v>
      </c>
      <c r="D1" s="207">
        <v>42014</v>
      </c>
      <c r="E1" s="208">
        <v>42036</v>
      </c>
      <c r="F1" s="208">
        <v>42064</v>
      </c>
      <c r="G1" s="208">
        <v>42095</v>
      </c>
      <c r="H1" s="208">
        <v>42125</v>
      </c>
      <c r="I1" s="208">
        <v>42156</v>
      </c>
      <c r="J1" s="208">
        <v>42186</v>
      </c>
      <c r="K1" s="208">
        <v>42217</v>
      </c>
      <c r="L1" s="208">
        <v>42248</v>
      </c>
      <c r="M1" s="208">
        <v>42278</v>
      </c>
      <c r="N1" s="208">
        <v>42309</v>
      </c>
      <c r="O1" s="208">
        <v>42339</v>
      </c>
      <c r="P1" s="1571" t="s">
        <v>81</v>
      </c>
    </row>
    <row r="2" spans="1:17">
      <c r="A2" t="s">
        <v>2263</v>
      </c>
      <c r="B2" s="1538">
        <v>5100</v>
      </c>
      <c r="D2" s="1526">
        <f>+'Trial Blc'!D188</f>
        <v>-169856.58</v>
      </c>
      <c r="E2" s="1526">
        <f>+'Trial Blc'!E188-'Trial Blc'!D188</f>
        <v>-109108.31000000003</v>
      </c>
      <c r="F2" s="1526">
        <f>+'Trial Blc'!F188-'Trial Blc'!E188</f>
        <v>-129996.84999999998</v>
      </c>
      <c r="G2" s="1526">
        <f>+'Trial Blc'!G188-'Trial Blc'!F188</f>
        <v>-165851.95999999996</v>
      </c>
      <c r="H2" s="1526">
        <f>+'Trial Blc'!H188-'Trial Blc'!G188</f>
        <v>-79404.460000000079</v>
      </c>
      <c r="I2" s="1526">
        <f>+'Trial Blc'!I188-'Trial Blc'!H188</f>
        <v>-212499.15999999992</v>
      </c>
      <c r="J2" s="1526">
        <f>+'Trial Blc'!J188-'Trial Blc'!I188</f>
        <v>-167601.2300000001</v>
      </c>
      <c r="K2" s="1526">
        <f>+'Trial Blc'!K188-'Trial Blc'!J188</f>
        <v>-115486.45999999996</v>
      </c>
      <c r="L2" s="1526">
        <f>+'Trial Blc'!L188-'Trial Blc'!K188</f>
        <v>-67720.209999999963</v>
      </c>
      <c r="M2" s="1526">
        <f>+'Trial Blc'!M188-'Trial Blc'!L188</f>
        <v>-197070.18999999994</v>
      </c>
      <c r="N2" s="1526">
        <f>+'Trial Blc'!N188-'Trial Blc'!M188</f>
        <v>-72256.870000000112</v>
      </c>
      <c r="O2" s="1526">
        <f>+'Trial Blc'!O188-'Trial Blc'!N188</f>
        <v>-205344.90999999992</v>
      </c>
      <c r="P2" s="1526">
        <f>SUM(D2:O2)</f>
        <v>-1692197.19</v>
      </c>
      <c r="Q2" s="1526"/>
    </row>
    <row r="3" spans="1:17">
      <c r="B3" s="1538">
        <v>5105</v>
      </c>
      <c r="D3" s="1526">
        <f>+'Trial Blc'!D189</f>
        <v>11722.31</v>
      </c>
      <c r="E3" s="1526">
        <f>+'Trial Blc'!E189-'Trial Blc'!D189</f>
        <v>-49844.57</v>
      </c>
      <c r="F3" s="1526">
        <f>+'Trial Blc'!F189-'Trial Blc'!E189</f>
        <v>-15495.309999999998</v>
      </c>
      <c r="G3" s="1526">
        <f>+'Trial Blc'!G189-'Trial Blc'!F189</f>
        <v>17087.169999999998</v>
      </c>
      <c r="H3" s="1526">
        <f>+'Trial Blc'!H189-'Trial Blc'!G189</f>
        <v>-81504.26999999999</v>
      </c>
      <c r="I3" s="1526">
        <f>+'Trial Blc'!I189-'Trial Blc'!H189</f>
        <v>63928.35</v>
      </c>
      <c r="J3" s="1526">
        <f>+'Trial Blc'!J189-'Trial Blc'!I189</f>
        <v>6260.9499999999971</v>
      </c>
      <c r="K3" s="1526">
        <f>+'Trial Blc'!K189-'Trial Blc'!J189</f>
        <v>-31353.989999999998</v>
      </c>
      <c r="L3" s="1526">
        <f>+'Trial Blc'!L189-'Trial Blc'!K189</f>
        <v>-93483.51</v>
      </c>
      <c r="M3" s="1526">
        <f>+'Trial Blc'!M189-'Trial Blc'!L189</f>
        <v>51889.739999999991</v>
      </c>
      <c r="N3" s="1526">
        <f>+'Trial Blc'!N189-'Trial Blc'!M189</f>
        <v>-88883.459999999992</v>
      </c>
      <c r="O3" s="1526">
        <f>+'Trial Blc'!O189-'Trial Blc'!N189</f>
        <v>57155.47</v>
      </c>
      <c r="P3" s="1526">
        <f t="shared" ref="P3:P67" si="0">SUM(D3:O3)</f>
        <v>-152521.12</v>
      </c>
      <c r="Q3" s="1526"/>
    </row>
    <row r="4" spans="1:17">
      <c r="B4" s="1538">
        <v>5125</v>
      </c>
      <c r="D4" s="1526">
        <f>+'Trial Blc'!D190</f>
        <v>0</v>
      </c>
      <c r="E4" s="1526">
        <f>+'Trial Blc'!E190-'Trial Blc'!D190</f>
        <v>0</v>
      </c>
      <c r="F4" s="1526">
        <f>+'Trial Blc'!F190-'Trial Blc'!E190</f>
        <v>-63.43</v>
      </c>
      <c r="G4" s="1526">
        <f>+'Trial Blc'!G190-'Trial Blc'!F190</f>
        <v>-63.43</v>
      </c>
      <c r="H4" s="1526">
        <f>+'Trial Blc'!H190-'Trial Blc'!G190</f>
        <v>0</v>
      </c>
      <c r="I4" s="1526">
        <f>+'Trial Blc'!I190-'Trial Blc'!H190</f>
        <v>-63.429999999999993</v>
      </c>
      <c r="J4" s="1526">
        <f>+'Trial Blc'!J190-'Trial Blc'!I190</f>
        <v>0</v>
      </c>
      <c r="K4" s="1526">
        <f>+'Trial Blc'!K190-'Trial Blc'!J190</f>
        <v>-63.430000000000007</v>
      </c>
      <c r="L4" s="1526">
        <f>+'Trial Blc'!L190-'Trial Blc'!K190</f>
        <v>0</v>
      </c>
      <c r="M4" s="1526">
        <f>+'Trial Blc'!M190-'Trial Blc'!L190</f>
        <v>-63.429999999999978</v>
      </c>
      <c r="N4" s="1526">
        <f>+'Trial Blc'!N190-'Trial Blc'!M190</f>
        <v>0</v>
      </c>
      <c r="O4" s="1526">
        <f>+'Trial Blc'!O190-'Trial Blc'!N190</f>
        <v>-63.430000000000007</v>
      </c>
      <c r="P4" s="1526">
        <f t="shared" si="0"/>
        <v>-380.58</v>
      </c>
      <c r="Q4" s="1526"/>
    </row>
    <row r="5" spans="1:17">
      <c r="B5" s="1538">
        <v>5140</v>
      </c>
      <c r="D5" s="1526">
        <f>+'Trial Blc'!D191</f>
        <v>0</v>
      </c>
      <c r="E5" s="1526">
        <f>+'Trial Blc'!E191-'Trial Blc'!D191</f>
        <v>0</v>
      </c>
      <c r="F5" s="1526">
        <f>+'Trial Blc'!F191-'Trial Blc'!E191</f>
        <v>0</v>
      </c>
      <c r="G5" s="1526">
        <f>+'Trial Blc'!G191-'Trial Blc'!F191</f>
        <v>0</v>
      </c>
      <c r="H5" s="1526">
        <f>+'Trial Blc'!H191-'Trial Blc'!G191</f>
        <v>0</v>
      </c>
      <c r="I5" s="1526">
        <f>+'Trial Blc'!I191-'Trial Blc'!H191</f>
        <v>0</v>
      </c>
      <c r="J5" s="1526">
        <f>+'Trial Blc'!J191-'Trial Blc'!I191</f>
        <v>0</v>
      </c>
      <c r="K5" s="1526">
        <f>+'Trial Blc'!K191-'Trial Blc'!J191</f>
        <v>0</v>
      </c>
      <c r="L5" s="1526">
        <f>+'Trial Blc'!L191-'Trial Blc'!K191</f>
        <v>0</v>
      </c>
      <c r="M5" s="1526">
        <f>+'Trial Blc'!M191-'Trial Blc'!L191</f>
        <v>0</v>
      </c>
      <c r="N5" s="1526">
        <f>+'Trial Blc'!N191-'Trial Blc'!M191</f>
        <v>0</v>
      </c>
      <c r="O5" s="1526">
        <f>+'Trial Blc'!O191-'Trial Blc'!N191</f>
        <v>0</v>
      </c>
      <c r="P5" s="1526">
        <f t="shared" si="0"/>
        <v>0</v>
      </c>
      <c r="Q5" s="1526"/>
    </row>
    <row r="6" spans="1:17">
      <c r="B6" s="1538">
        <v>5155</v>
      </c>
      <c r="D6" s="1526">
        <f>+'Trial Blc'!D192</f>
        <v>-3432.36</v>
      </c>
      <c r="E6" s="1526">
        <f>+'Trial Blc'!E192-'Trial Blc'!D192</f>
        <v>0</v>
      </c>
      <c r="F6" s="1526">
        <f>+'Trial Blc'!F192-'Trial Blc'!E192</f>
        <v>-14655.759999999998</v>
      </c>
      <c r="G6" s="1526">
        <f>+'Trial Blc'!G192-'Trial Blc'!F192</f>
        <v>-11864.920000000002</v>
      </c>
      <c r="H6" s="1526">
        <f>+'Trial Blc'!H192-'Trial Blc'!G192</f>
        <v>0</v>
      </c>
      <c r="I6" s="1526">
        <f>+'Trial Blc'!I192-'Trial Blc'!H192</f>
        <v>-12509.549999999996</v>
      </c>
      <c r="J6" s="1526">
        <f>+'Trial Blc'!J192-'Trial Blc'!I192</f>
        <v>0</v>
      </c>
      <c r="K6" s="1526">
        <f>+'Trial Blc'!K192-'Trial Blc'!J192</f>
        <v>-14748.520000000004</v>
      </c>
      <c r="L6" s="1526">
        <f>+'Trial Blc'!L192-'Trial Blc'!K192</f>
        <v>51.029999999998836</v>
      </c>
      <c r="M6" s="1526">
        <f>+'Trial Blc'!M192-'Trial Blc'!L192</f>
        <v>-15492.399999999994</v>
      </c>
      <c r="N6" s="1526">
        <f>+'Trial Blc'!N192-'Trial Blc'!M192</f>
        <v>0</v>
      </c>
      <c r="O6" s="1526">
        <f>+'Trial Blc'!O192-'Trial Blc'!N192</f>
        <v>-13549.770000000004</v>
      </c>
      <c r="P6" s="1526">
        <f t="shared" si="0"/>
        <v>-86202.25</v>
      </c>
      <c r="Q6" s="1526"/>
    </row>
    <row r="7" spans="1:17">
      <c r="B7" s="1653">
        <v>5270</v>
      </c>
      <c r="D7" s="1526">
        <f>+'Trial Blc'!D193</f>
        <v>-3.51</v>
      </c>
      <c r="E7" s="1526">
        <f>+'Trial Blc'!E193-'Trial Blc'!D193</f>
        <v>-1350</v>
      </c>
      <c r="F7" s="1526">
        <f>+'Trial Blc'!F193-'Trial Blc'!E193</f>
        <v>-300</v>
      </c>
      <c r="G7" s="1526">
        <f>+'Trial Blc'!G193-'Trial Blc'!F193</f>
        <v>0</v>
      </c>
      <c r="H7" s="1526">
        <f>+'Trial Blc'!H193-'Trial Blc'!G193</f>
        <v>0</v>
      </c>
      <c r="I7" s="1526">
        <f>+'Trial Blc'!I193-'Trial Blc'!H193</f>
        <v>0</v>
      </c>
      <c r="J7" s="1526">
        <f>+'Trial Blc'!J193-'Trial Blc'!I193</f>
        <v>0</v>
      </c>
      <c r="K7" s="1526">
        <f>+'Trial Blc'!K193-'Trial Blc'!J193</f>
        <v>0</v>
      </c>
      <c r="L7" s="1526">
        <f>+'Trial Blc'!L193-'Trial Blc'!K193</f>
        <v>0</v>
      </c>
      <c r="M7" s="1526">
        <f>+'Trial Blc'!M193-'Trial Blc'!L193</f>
        <v>-450.00000000000023</v>
      </c>
      <c r="N7" s="1526">
        <f>+'Trial Blc'!N193-'Trial Blc'!M193</f>
        <v>0</v>
      </c>
      <c r="O7" s="1526">
        <f>+'Trial Blc'!O193-'Trial Blc'!N193</f>
        <v>0</v>
      </c>
      <c r="P7" s="1526">
        <f t="shared" si="0"/>
        <v>-2103.5100000000002</v>
      </c>
      <c r="Q7" s="1526"/>
    </row>
    <row r="8" spans="1:17">
      <c r="B8" s="1538">
        <v>5285</v>
      </c>
      <c r="D8" s="1526">
        <f>+'Trial Blc'!D194</f>
        <v>-21</v>
      </c>
      <c r="E8" s="1526">
        <f>+'Trial Blc'!E194-'Trial Blc'!D194</f>
        <v>0</v>
      </c>
      <c r="F8" s="1526">
        <f>+'Trial Blc'!F194-'Trial Blc'!E194</f>
        <v>0</v>
      </c>
      <c r="G8" s="1526">
        <f>+'Trial Blc'!G194-'Trial Blc'!F194</f>
        <v>0</v>
      </c>
      <c r="H8" s="1526">
        <f>+'Trial Blc'!H194-'Trial Blc'!G194</f>
        <v>0</v>
      </c>
      <c r="I8" s="1526">
        <f>+'Trial Blc'!I194-'Trial Blc'!H194</f>
        <v>0</v>
      </c>
      <c r="J8" s="1526">
        <f>+'Trial Blc'!J194-'Trial Blc'!I194</f>
        <v>0</v>
      </c>
      <c r="K8" s="1526">
        <f>+'Trial Blc'!K194-'Trial Blc'!J194</f>
        <v>0</v>
      </c>
      <c r="L8" s="1526">
        <f>+'Trial Blc'!L194-'Trial Blc'!K194</f>
        <v>0</v>
      </c>
      <c r="M8" s="1526">
        <f>+'Trial Blc'!M194-'Trial Blc'!L194</f>
        <v>0</v>
      </c>
      <c r="N8" s="1526">
        <f>+'Trial Blc'!N194-'Trial Blc'!M194</f>
        <v>0</v>
      </c>
      <c r="O8" s="1526">
        <f>+'Trial Blc'!O194-'Trial Blc'!N194</f>
        <v>0</v>
      </c>
      <c r="P8" s="1526">
        <f t="shared" si="0"/>
        <v>-21</v>
      </c>
    </row>
    <row r="9" spans="1:17">
      <c r="B9" s="1538"/>
      <c r="D9" s="1526"/>
      <c r="E9" s="1526"/>
      <c r="F9" s="1526"/>
      <c r="G9" s="1526"/>
      <c r="H9" s="1526"/>
      <c r="I9" s="1526"/>
      <c r="J9" s="1526"/>
      <c r="K9" s="1526"/>
      <c r="L9" s="1526"/>
      <c r="M9" s="1526"/>
      <c r="N9" s="1526"/>
      <c r="O9" s="1526"/>
      <c r="P9" s="1526"/>
    </row>
    <row r="10" spans="1:17" ht="15">
      <c r="A10" s="1549" t="s">
        <v>2261</v>
      </c>
      <c r="B10" s="1538">
        <v>5470</v>
      </c>
      <c r="D10" s="1526">
        <f>+'Trial Blc'!D195</f>
        <v>12428.29</v>
      </c>
      <c r="E10" s="1526">
        <f>+'Trial Blc'!E195-'Trial Blc'!D195</f>
        <v>13691.119999999999</v>
      </c>
      <c r="F10" s="1526">
        <f>+'Trial Blc'!F195-'Trial Blc'!E195</f>
        <v>14064.350000000002</v>
      </c>
      <c r="G10" s="1526">
        <f>+'Trial Blc'!G195-'Trial Blc'!F195</f>
        <v>13374.379999999997</v>
      </c>
      <c r="H10" s="1526">
        <f>+'Trial Blc'!H195-'Trial Blc'!G195</f>
        <v>15058.440000000002</v>
      </c>
      <c r="I10" s="1526">
        <f>+'Trial Blc'!I195-'Trial Blc'!H195</f>
        <v>12928.089999999997</v>
      </c>
      <c r="J10" s="1526">
        <f>+'Trial Blc'!J195-'Trial Blc'!I195</f>
        <v>12374.330000000002</v>
      </c>
      <c r="K10" s="1526">
        <f>+'Trial Blc'!K195-'Trial Blc'!J195</f>
        <v>14332.960000000006</v>
      </c>
      <c r="L10" s="1526">
        <f>+'Trial Blc'!L195-'Trial Blc'!K195</f>
        <v>13966.209999999992</v>
      </c>
      <c r="M10" s="1526">
        <f>+'Trial Blc'!M195-'Trial Blc'!L195</f>
        <v>13209.169999999998</v>
      </c>
      <c r="N10" s="1526">
        <f>+'Trial Blc'!N195-'Trial Blc'!M195</f>
        <v>12821.350000000006</v>
      </c>
      <c r="O10" s="1526">
        <f>+'Trial Blc'!O195-'Trial Blc'!N195</f>
        <v>13652.540000000008</v>
      </c>
      <c r="P10" s="1526">
        <f t="shared" si="0"/>
        <v>161901.23000000001</v>
      </c>
    </row>
    <row r="11" spans="1:17">
      <c r="A11" t="s">
        <v>2262</v>
      </c>
      <c r="B11" s="1538">
        <v>5480</v>
      </c>
      <c r="D11" s="1526">
        <f>+'Trial Blc'!D196</f>
        <v>4355</v>
      </c>
      <c r="E11" s="1526">
        <f>+'Trial Blc'!E196-'Trial Blc'!D196</f>
        <v>2860</v>
      </c>
      <c r="F11" s="1526">
        <f>+'Trial Blc'!F196-'Trial Blc'!E196</f>
        <v>5070</v>
      </c>
      <c r="G11" s="1526">
        <f>+'Trial Blc'!G196-'Trial Blc'!F196</f>
        <v>2671.5</v>
      </c>
      <c r="H11" s="1526">
        <f>+'Trial Blc'!H196-'Trial Blc'!G196</f>
        <v>1683.5</v>
      </c>
      <c r="I11" s="1526">
        <f>+'Trial Blc'!I196-'Trial Blc'!H196</f>
        <v>3867.5</v>
      </c>
      <c r="J11" s="1526">
        <f>+'Trial Blc'!J196-'Trial Blc'!I196</f>
        <v>3893.5</v>
      </c>
      <c r="K11" s="1526">
        <f>+'Trial Blc'!K196-'Trial Blc'!J196</f>
        <v>5445</v>
      </c>
      <c r="L11" s="1526">
        <f>+'Trial Blc'!L196-'Trial Blc'!K196</f>
        <v>5312.5</v>
      </c>
      <c r="M11" s="1526">
        <f>+'Trial Blc'!M196-'Trial Blc'!L196</f>
        <v>3705</v>
      </c>
      <c r="N11" s="1526">
        <f>+'Trial Blc'!N196-'Trial Blc'!M196</f>
        <v>3965</v>
      </c>
      <c r="O11" s="1526">
        <f>+'Trial Blc'!O196-'Trial Blc'!N196</f>
        <v>3874</v>
      </c>
      <c r="P11" s="1526">
        <f t="shared" si="0"/>
        <v>46702.5</v>
      </c>
      <c r="Q11" s="1526"/>
    </row>
    <row r="12" spans="1:17">
      <c r="B12" s="1538">
        <v>5485</v>
      </c>
      <c r="D12" s="1526">
        <f>+'Trial Blc'!D197</f>
        <v>402.44</v>
      </c>
      <c r="E12" s="1526">
        <f>+'Trial Blc'!E197-'Trial Blc'!D197</f>
        <v>0</v>
      </c>
      <c r="F12" s="1526">
        <f>+'Trial Blc'!F197-'Trial Blc'!E197</f>
        <v>243.95999999999998</v>
      </c>
      <c r="G12" s="1526">
        <f>+'Trial Blc'!G197-'Trial Blc'!F197</f>
        <v>228.90999999999997</v>
      </c>
      <c r="H12" s="1526">
        <f>+'Trial Blc'!H197-'Trial Blc'!G197</f>
        <v>0</v>
      </c>
      <c r="I12" s="1526">
        <f>+'Trial Blc'!I197-'Trial Blc'!H197</f>
        <v>9738.0500000000011</v>
      </c>
      <c r="J12" s="1526">
        <f>+'Trial Blc'!J197-'Trial Blc'!I197</f>
        <v>249.30999999999949</v>
      </c>
      <c r="K12" s="1526">
        <f>+'Trial Blc'!K197-'Trial Blc'!J197</f>
        <v>8995.1</v>
      </c>
      <c r="L12" s="1526">
        <f>+'Trial Blc'!L197-'Trial Blc'!K197</f>
        <v>167.04000000000087</v>
      </c>
      <c r="M12" s="1526">
        <f>+'Trial Blc'!M197-'Trial Blc'!L197</f>
        <v>0</v>
      </c>
      <c r="N12" s="1526">
        <f>+'Trial Blc'!N197-'Trial Blc'!M197</f>
        <v>0</v>
      </c>
      <c r="O12" s="1526">
        <f>+'Trial Blc'!O197-'Trial Blc'!N197</f>
        <v>9121.7099999999991</v>
      </c>
      <c r="P12" s="1526">
        <f t="shared" si="0"/>
        <v>29146.52</v>
      </c>
      <c r="Q12" s="1526"/>
    </row>
    <row r="13" spans="1:17">
      <c r="B13" s="1538">
        <v>5490</v>
      </c>
      <c r="D13" s="1526">
        <f>+'Trial Blc'!D198</f>
        <v>1411.25</v>
      </c>
      <c r="E13" s="1526">
        <f>+'Trial Blc'!E198-'Trial Blc'!D198</f>
        <v>23185.94</v>
      </c>
      <c r="F13" s="1526">
        <f>+'Trial Blc'!F198-'Trial Blc'!E198</f>
        <v>3504.880000000001</v>
      </c>
      <c r="G13" s="1526">
        <f>+'Trial Blc'!G198-'Trial Blc'!F198</f>
        <v>1919.3100000000013</v>
      </c>
      <c r="H13" s="1526">
        <f>+'Trial Blc'!H198-'Trial Blc'!G198</f>
        <v>1236.8099999999977</v>
      </c>
      <c r="I13" s="1526">
        <f>+'Trial Blc'!I198-'Trial Blc'!H198</f>
        <v>21751.66</v>
      </c>
      <c r="J13" s="1526">
        <f>+'Trial Blc'!J198-'Trial Blc'!I198</f>
        <v>2597.3700000000026</v>
      </c>
      <c r="K13" s="1526">
        <f>+'Trial Blc'!K198-'Trial Blc'!J198</f>
        <v>13243.569999999992</v>
      </c>
      <c r="L13" s="1526">
        <f>+'Trial Blc'!L198-'Trial Blc'!K198</f>
        <v>2790.5600000000122</v>
      </c>
      <c r="M13" s="1526">
        <f>+'Trial Blc'!M198-'Trial Blc'!L198</f>
        <v>1017.5</v>
      </c>
      <c r="N13" s="1526">
        <f>+'Trial Blc'!N198-'Trial Blc'!M198</f>
        <v>10070.01999999999</v>
      </c>
      <c r="O13" s="1526">
        <f>+'Trial Blc'!O198-'Trial Blc'!N198</f>
        <v>5725.2000000000116</v>
      </c>
      <c r="P13" s="1526">
        <f t="shared" si="0"/>
        <v>88454.07</v>
      </c>
      <c r="Q13" s="1526"/>
    </row>
    <row r="14" spans="1:17">
      <c r="B14" s="1538">
        <v>5495</v>
      </c>
      <c r="D14" s="1526">
        <f>+'Trial Blc'!D199</f>
        <v>583.41</v>
      </c>
      <c r="E14" s="1526">
        <f>+'Trial Blc'!E199-'Trial Blc'!D199</f>
        <v>1031.04</v>
      </c>
      <c r="F14" s="1526">
        <f>+'Trial Blc'!F199-'Trial Blc'!E199</f>
        <v>573.83999999999992</v>
      </c>
      <c r="G14" s="1526">
        <f>+'Trial Blc'!G199-'Trial Blc'!F199</f>
        <v>1027.44</v>
      </c>
      <c r="H14" s="1526">
        <f>+'Trial Blc'!H199-'Trial Blc'!G199</f>
        <v>583.92000000000007</v>
      </c>
      <c r="I14" s="1526">
        <f>+'Trial Blc'!I199-'Trial Blc'!H199</f>
        <v>1035.3600000000001</v>
      </c>
      <c r="J14" s="1526">
        <f>+'Trial Blc'!J199-'Trial Blc'!I199</f>
        <v>591.84000000000015</v>
      </c>
      <c r="K14" s="1526">
        <f>+'Trial Blc'!K199-'Trial Blc'!J199</f>
        <v>1031.04</v>
      </c>
      <c r="L14" s="1526">
        <f>+'Trial Blc'!L199-'Trial Blc'!K199</f>
        <v>578.88000000000011</v>
      </c>
      <c r="M14" s="1526">
        <f>+'Trial Blc'!M199-'Trial Blc'!L199</f>
        <v>1034.6399999999994</v>
      </c>
      <c r="N14" s="1526">
        <f>+'Trial Blc'!N199-'Trial Blc'!M199</f>
        <v>573.84000000000015</v>
      </c>
      <c r="O14" s="1526">
        <f>+'Trial Blc'!O199-'Trial Blc'!N199</f>
        <v>1025.2800000000007</v>
      </c>
      <c r="P14" s="1526">
        <f t="shared" si="0"/>
        <v>9670.5300000000007</v>
      </c>
      <c r="Q14" s="1526"/>
    </row>
    <row r="15" spans="1:17">
      <c r="B15" s="1538">
        <v>5505</v>
      </c>
      <c r="D15" s="1526">
        <f>+'Trial Blc'!D200</f>
        <v>12.63</v>
      </c>
      <c r="E15" s="1526">
        <f>+'Trial Blc'!E200-'Trial Blc'!D200</f>
        <v>-10.48</v>
      </c>
      <c r="F15" s="1526">
        <f>+'Trial Blc'!F200-'Trial Blc'!E200</f>
        <v>28.020000000000003</v>
      </c>
      <c r="G15" s="1526">
        <f>+'Trial Blc'!G200-'Trial Blc'!F200</f>
        <v>24.689999999999998</v>
      </c>
      <c r="H15" s="1526">
        <f>+'Trial Blc'!H200-'Trial Blc'!G200</f>
        <v>17.150000000000006</v>
      </c>
      <c r="I15" s="1526">
        <f>+'Trial Blc'!I200-'Trial Blc'!H200</f>
        <v>15.61</v>
      </c>
      <c r="J15" s="1526">
        <f>+'Trial Blc'!J200-'Trial Blc'!I200</f>
        <v>13.64</v>
      </c>
      <c r="K15" s="1526">
        <f>+'Trial Blc'!K200-'Trial Blc'!J200</f>
        <v>14.670000000000002</v>
      </c>
      <c r="L15" s="1526">
        <f>+'Trial Blc'!L200-'Trial Blc'!K200</f>
        <v>11.209999999999994</v>
      </c>
      <c r="M15" s="1526">
        <f>+'Trial Blc'!M200-'Trial Blc'!L200</f>
        <v>16.850000000000009</v>
      </c>
      <c r="N15" s="1526">
        <f>+'Trial Blc'!N200-'Trial Blc'!M200</f>
        <v>15.639999999999986</v>
      </c>
      <c r="O15" s="1526">
        <f>+'Trial Blc'!O200-'Trial Blc'!N200</f>
        <v>13.730000000000018</v>
      </c>
      <c r="P15" s="1526">
        <f t="shared" si="0"/>
        <v>173.36</v>
      </c>
      <c r="Q15" s="1526"/>
    </row>
    <row r="16" spans="1:17">
      <c r="B16" s="1538">
        <v>5510</v>
      </c>
      <c r="D16" s="1526">
        <f>+'Trial Blc'!D201</f>
        <v>0</v>
      </c>
      <c r="E16" s="1526">
        <f>+'Trial Blc'!E201-'Trial Blc'!D201</f>
        <v>0</v>
      </c>
      <c r="F16" s="1526">
        <f>+'Trial Blc'!F201-'Trial Blc'!E201</f>
        <v>0</v>
      </c>
      <c r="G16" s="1526">
        <f>+'Trial Blc'!G201-'Trial Blc'!F201</f>
        <v>0</v>
      </c>
      <c r="H16" s="1526">
        <f>+'Trial Blc'!H201-'Trial Blc'!G201</f>
        <v>0</v>
      </c>
      <c r="I16" s="1526">
        <f>+'Trial Blc'!I201-'Trial Blc'!H201</f>
        <v>0</v>
      </c>
      <c r="J16" s="1526">
        <f>+'Trial Blc'!J201-'Trial Blc'!I201</f>
        <v>0</v>
      </c>
      <c r="K16" s="1526">
        <f>+'Trial Blc'!K201-'Trial Blc'!J201</f>
        <v>0</v>
      </c>
      <c r="L16" s="1526">
        <f>+'Trial Blc'!L201-'Trial Blc'!K201</f>
        <v>0</v>
      </c>
      <c r="M16" s="1526">
        <f>+'Trial Blc'!M201-'Trial Blc'!L201</f>
        <v>0</v>
      </c>
      <c r="N16" s="1526">
        <f>+'Trial Blc'!N201-'Trial Blc'!M201</f>
        <v>0</v>
      </c>
      <c r="O16" s="1526">
        <f>+'Trial Blc'!O201-'Trial Blc'!N201</f>
        <v>0</v>
      </c>
      <c r="P16" s="1526">
        <f t="shared" si="0"/>
        <v>0</v>
      </c>
      <c r="Q16" s="1526"/>
    </row>
    <row r="17" spans="2:17">
      <c r="B17" s="1538">
        <v>5515</v>
      </c>
      <c r="D17" s="1526">
        <f>+'Trial Blc'!D202</f>
        <v>-31</v>
      </c>
      <c r="E17" s="1526">
        <f>+'Trial Blc'!E202-'Trial Blc'!D202</f>
        <v>18</v>
      </c>
      <c r="F17" s="1526">
        <f>+'Trial Blc'!F202-'Trial Blc'!E202</f>
        <v>25</v>
      </c>
      <c r="G17" s="1526">
        <f>+'Trial Blc'!G202-'Trial Blc'!F202</f>
        <v>1118</v>
      </c>
      <c r="H17" s="1526">
        <f>+'Trial Blc'!H202-'Trial Blc'!G202</f>
        <v>384</v>
      </c>
      <c r="I17" s="1526">
        <f>+'Trial Blc'!I202-'Trial Blc'!H202</f>
        <v>-1193</v>
      </c>
      <c r="J17" s="1526">
        <f>+'Trial Blc'!J202-'Trial Blc'!I202</f>
        <v>-130</v>
      </c>
      <c r="K17" s="1526">
        <f>+'Trial Blc'!K202-'Trial Blc'!J202</f>
        <v>647</v>
      </c>
      <c r="L17" s="1526">
        <f>+'Trial Blc'!L202-'Trial Blc'!K202</f>
        <v>-38</v>
      </c>
      <c r="M17" s="1526">
        <f>+'Trial Blc'!M202-'Trial Blc'!L202</f>
        <v>-177</v>
      </c>
      <c r="N17" s="1526">
        <f>+'Trial Blc'!N202-'Trial Blc'!M202</f>
        <v>-254</v>
      </c>
      <c r="O17" s="1526">
        <f>+'Trial Blc'!O202-'Trial Blc'!N202</f>
        <v>-398</v>
      </c>
      <c r="P17" s="1526">
        <f t="shared" si="0"/>
        <v>-29</v>
      </c>
      <c r="Q17" s="1526"/>
    </row>
    <row r="18" spans="2:17">
      <c r="B18" s="1538">
        <v>5525</v>
      </c>
      <c r="D18" s="1526">
        <f>+'Trial Blc'!D203</f>
        <v>28.36</v>
      </c>
      <c r="E18" s="1526">
        <f>+'Trial Blc'!E203-'Trial Blc'!D203</f>
        <v>28</v>
      </c>
      <c r="F18" s="1526">
        <f>+'Trial Blc'!F203-'Trial Blc'!E203</f>
        <v>29.659999999999997</v>
      </c>
      <c r="G18" s="1526">
        <f>+'Trial Blc'!G203-'Trial Blc'!F203</f>
        <v>30.680000000000007</v>
      </c>
      <c r="H18" s="1526">
        <f>+'Trial Blc'!H203-'Trial Blc'!G203</f>
        <v>31.200000000000003</v>
      </c>
      <c r="I18" s="1526">
        <f>+'Trial Blc'!I203-'Trial Blc'!H203</f>
        <v>31.53</v>
      </c>
      <c r="J18" s="1526">
        <f>+'Trial Blc'!J203-'Trial Blc'!I203</f>
        <v>21.629999999999995</v>
      </c>
      <c r="K18" s="1526">
        <f>+'Trial Blc'!K203-'Trial Blc'!J203</f>
        <v>27.599999999999994</v>
      </c>
      <c r="L18" s="1526">
        <f>+'Trial Blc'!L203-'Trial Blc'!K203</f>
        <v>14.409999999999997</v>
      </c>
      <c r="M18" s="1526">
        <f>+'Trial Blc'!M203-'Trial Blc'!L203</f>
        <v>39.449999999999989</v>
      </c>
      <c r="N18" s="1526">
        <f>+'Trial Blc'!N203-'Trial Blc'!M203</f>
        <v>18.470000000000027</v>
      </c>
      <c r="O18" s="1526">
        <f>+'Trial Blc'!O203-'Trial Blc'!N203</f>
        <v>23.289999999999964</v>
      </c>
      <c r="P18" s="1526">
        <f t="shared" si="0"/>
        <v>324.27999999999997</v>
      </c>
      <c r="Q18" s="1526"/>
    </row>
    <row r="19" spans="2:17">
      <c r="B19" s="1538">
        <v>5535</v>
      </c>
      <c r="D19" s="1526">
        <f>+'Trial Blc'!D204</f>
        <v>49.91</v>
      </c>
      <c r="E19" s="1526">
        <f>+'Trial Blc'!E204-'Trial Blc'!D204</f>
        <v>51.820000000000007</v>
      </c>
      <c r="F19" s="1526">
        <f>+'Trial Blc'!F204-'Trial Blc'!E204</f>
        <v>47.61999999999999</v>
      </c>
      <c r="G19" s="1526">
        <f>+'Trial Blc'!G204-'Trial Blc'!F204</f>
        <v>44.599999999999994</v>
      </c>
      <c r="H19" s="1526">
        <f>+'Trial Blc'!H204-'Trial Blc'!G204</f>
        <v>50.19</v>
      </c>
      <c r="I19" s="1526">
        <f>+'Trial Blc'!I204-'Trial Blc'!H204</f>
        <v>44</v>
      </c>
      <c r="J19" s="1526">
        <f>+'Trial Blc'!J204-'Trial Blc'!I204</f>
        <v>42.220000000000027</v>
      </c>
      <c r="K19" s="1526">
        <f>+'Trial Blc'!K204-'Trial Blc'!J204</f>
        <v>53.129999999999995</v>
      </c>
      <c r="L19" s="1526">
        <f>+'Trial Blc'!L204-'Trial Blc'!K204</f>
        <v>30.680000000000007</v>
      </c>
      <c r="M19" s="1526">
        <f>+'Trial Blc'!M204-'Trial Blc'!L204</f>
        <v>77.079999999999984</v>
      </c>
      <c r="N19" s="1526">
        <f>+'Trial Blc'!N204-'Trial Blc'!M204</f>
        <v>39.419999999999959</v>
      </c>
      <c r="O19" s="1526">
        <f>+'Trial Blc'!O204-'Trial Blc'!N204</f>
        <v>43.230000000000018</v>
      </c>
      <c r="P19" s="1526">
        <f t="shared" si="0"/>
        <v>573.9</v>
      </c>
      <c r="Q19" s="1526"/>
    </row>
    <row r="20" spans="2:17">
      <c r="B20" s="1538">
        <v>5540</v>
      </c>
      <c r="D20" s="1526">
        <f>+'Trial Blc'!D205</f>
        <v>1008.21</v>
      </c>
      <c r="E20" s="1526">
        <f>+'Trial Blc'!E205-'Trial Blc'!D205</f>
        <v>645.3599999999999</v>
      </c>
      <c r="F20" s="1526">
        <f>+'Trial Blc'!F205-'Trial Blc'!E205</f>
        <v>799.77000000000021</v>
      </c>
      <c r="G20" s="1526">
        <f>+'Trial Blc'!G205-'Trial Blc'!F205</f>
        <v>824.48</v>
      </c>
      <c r="H20" s="1526">
        <f>+'Trial Blc'!H205-'Trial Blc'!G205</f>
        <v>710.46</v>
      </c>
      <c r="I20" s="1526">
        <f>+'Trial Blc'!I205-'Trial Blc'!H205</f>
        <v>891.24999999999955</v>
      </c>
      <c r="J20" s="1526">
        <f>+'Trial Blc'!J205-'Trial Blc'!I205</f>
        <v>700.75</v>
      </c>
      <c r="K20" s="1526">
        <f>+'Trial Blc'!K205-'Trial Blc'!J205</f>
        <v>949.18000000000029</v>
      </c>
      <c r="L20" s="1526">
        <f>+'Trial Blc'!L205-'Trial Blc'!K205</f>
        <v>773.67000000000007</v>
      </c>
      <c r="M20" s="1526">
        <f>+'Trial Blc'!M205-'Trial Blc'!L205</f>
        <v>743.46</v>
      </c>
      <c r="N20" s="1526">
        <f>+'Trial Blc'!N205-'Trial Blc'!M205</f>
        <v>703.64999999999964</v>
      </c>
      <c r="O20" s="1526">
        <f>+'Trial Blc'!O205-'Trial Blc'!N205</f>
        <v>872</v>
      </c>
      <c r="P20" s="1526">
        <f t="shared" si="0"/>
        <v>9622.24</v>
      </c>
      <c r="Q20" s="1526"/>
    </row>
    <row r="21" spans="2:17">
      <c r="B21" s="1538">
        <v>5545</v>
      </c>
      <c r="D21" s="1526">
        <f>+'Trial Blc'!D206</f>
        <v>10.36</v>
      </c>
      <c r="E21" s="1526">
        <f>+'Trial Blc'!E206-'Trial Blc'!D206</f>
        <v>0</v>
      </c>
      <c r="F21" s="1526">
        <f>+'Trial Blc'!F206-'Trial Blc'!E206</f>
        <v>0</v>
      </c>
      <c r="G21" s="1526">
        <f>+'Trial Blc'!G206-'Trial Blc'!F206</f>
        <v>50.08</v>
      </c>
      <c r="H21" s="1526">
        <f>+'Trial Blc'!H206-'Trial Blc'!G206</f>
        <v>23.25</v>
      </c>
      <c r="I21" s="1526">
        <f>+'Trial Blc'!I206-'Trial Blc'!H206</f>
        <v>21.340000000000003</v>
      </c>
      <c r="J21" s="1526">
        <f>+'Trial Blc'!J206-'Trial Blc'!I206</f>
        <v>24.849999999999994</v>
      </c>
      <c r="K21" s="1526">
        <f>+'Trial Blc'!K206-'Trial Blc'!J206</f>
        <v>25.700000000000017</v>
      </c>
      <c r="L21" s="1526">
        <f>+'Trial Blc'!L206-'Trial Blc'!K206</f>
        <v>21.439999999999998</v>
      </c>
      <c r="M21" s="1526">
        <f>+'Trial Blc'!M206-'Trial Blc'!L206</f>
        <v>22.129999999999995</v>
      </c>
      <c r="N21" s="1526">
        <f>+'Trial Blc'!N206-'Trial Blc'!M206</f>
        <v>25.180000000000007</v>
      </c>
      <c r="O21" s="1526">
        <f>+'Trial Blc'!O206-'Trial Blc'!N206</f>
        <v>0</v>
      </c>
      <c r="P21" s="1526">
        <f t="shared" si="0"/>
        <v>224.33</v>
      </c>
      <c r="Q21" s="1526"/>
    </row>
    <row r="22" spans="2:17">
      <c r="B22" s="1538">
        <v>5625</v>
      </c>
      <c r="D22" s="1526">
        <f>+'Trial Blc'!D207</f>
        <v>949.41</v>
      </c>
      <c r="E22" s="1526">
        <f>+'Trial Blc'!E207-'Trial Blc'!D207</f>
        <v>939.83</v>
      </c>
      <c r="F22" s="1526">
        <f>+'Trial Blc'!F207-'Trial Blc'!E207</f>
        <v>938.20999999999981</v>
      </c>
      <c r="G22" s="1526">
        <f>+'Trial Blc'!G207-'Trial Blc'!F207</f>
        <v>951</v>
      </c>
      <c r="H22" s="1526">
        <f>+'Trial Blc'!H207-'Trial Blc'!G207</f>
        <v>949.8100000000004</v>
      </c>
      <c r="I22" s="1526">
        <f>+'Trial Blc'!I207-'Trial Blc'!H207</f>
        <v>949.92999999999938</v>
      </c>
      <c r="J22" s="1526">
        <f>+'Trial Blc'!J207-'Trial Blc'!I207</f>
        <v>948.64000000000033</v>
      </c>
      <c r="K22" s="1526">
        <f>+'Trial Blc'!K207-'Trial Blc'!J207</f>
        <v>1204.1199999999999</v>
      </c>
      <c r="L22" s="1526">
        <f>+'Trial Blc'!L207-'Trial Blc'!K207</f>
        <v>993.00000000000091</v>
      </c>
      <c r="M22" s="1526">
        <f>+'Trial Blc'!M207-'Trial Blc'!L207</f>
        <v>974.59999999999854</v>
      </c>
      <c r="N22" s="1526">
        <f>+'Trial Blc'!N207-'Trial Blc'!M207</f>
        <v>973.32999999999993</v>
      </c>
      <c r="O22" s="1526">
        <f>+'Trial Blc'!O207-'Trial Blc'!N207</f>
        <v>972.43000000000029</v>
      </c>
      <c r="P22" s="1526">
        <f t="shared" si="0"/>
        <v>11744.31</v>
      </c>
      <c r="Q22" s="1526"/>
    </row>
    <row r="23" spans="2:17">
      <c r="B23" s="1538">
        <v>5630</v>
      </c>
      <c r="D23" s="1526">
        <f>+'Trial Blc'!D208</f>
        <v>889.15</v>
      </c>
      <c r="E23" s="1526">
        <f>+'Trial Blc'!E208-'Trial Blc'!D208</f>
        <v>661.75000000000011</v>
      </c>
      <c r="F23" s="1526">
        <f>+'Trial Blc'!F208-'Trial Blc'!E208</f>
        <v>665.59999999999991</v>
      </c>
      <c r="G23" s="1526">
        <f>+'Trial Blc'!G208-'Trial Blc'!F208</f>
        <v>678.29</v>
      </c>
      <c r="H23" s="1526">
        <f>+'Trial Blc'!H208-'Trial Blc'!G208</f>
        <v>679.15999999999985</v>
      </c>
      <c r="I23" s="1526">
        <f>+'Trial Blc'!I208-'Trial Blc'!H208</f>
        <v>671.92000000000007</v>
      </c>
      <c r="J23" s="1526">
        <f>+'Trial Blc'!J208-'Trial Blc'!I208</f>
        <v>681.55000000000018</v>
      </c>
      <c r="K23" s="1526">
        <f>+'Trial Blc'!K208-'Trial Blc'!J208</f>
        <v>678.35999999999967</v>
      </c>
      <c r="L23" s="1526">
        <f>+'Trial Blc'!L208-'Trial Blc'!K208</f>
        <v>650.57999999999993</v>
      </c>
      <c r="M23" s="1526">
        <f>+'Trial Blc'!M208-'Trial Blc'!L208</f>
        <v>789.93000000000029</v>
      </c>
      <c r="N23" s="1526">
        <f>+'Trial Blc'!N208-'Trial Blc'!M208</f>
        <v>802.46</v>
      </c>
      <c r="O23" s="1526">
        <f>+'Trial Blc'!O208-'Trial Blc'!N208</f>
        <v>781.64999999999964</v>
      </c>
      <c r="P23" s="1526">
        <f t="shared" si="0"/>
        <v>8630.4</v>
      </c>
      <c r="Q23" s="1526"/>
    </row>
    <row r="24" spans="2:17">
      <c r="B24" s="1538">
        <v>5635</v>
      </c>
      <c r="D24" s="1526">
        <f>+'Trial Blc'!D209</f>
        <v>141.87</v>
      </c>
      <c r="E24" s="1526">
        <f>+'Trial Blc'!E209-'Trial Blc'!D209</f>
        <v>105.35999999999999</v>
      </c>
      <c r="F24" s="1526">
        <f>+'Trial Blc'!F209-'Trial Blc'!E209</f>
        <v>151.19000000000003</v>
      </c>
      <c r="G24" s="1526">
        <f>+'Trial Blc'!G209-'Trial Blc'!F209</f>
        <v>78.399999999999977</v>
      </c>
      <c r="H24" s="1526">
        <f>+'Trial Blc'!H209-'Trial Blc'!G209</f>
        <v>153.04000000000002</v>
      </c>
      <c r="I24" s="1526">
        <f>+'Trial Blc'!I209-'Trial Blc'!H209</f>
        <v>143.91999999999996</v>
      </c>
      <c r="J24" s="1526">
        <f>+'Trial Blc'!J209-'Trial Blc'!I209</f>
        <v>163.55000000000007</v>
      </c>
      <c r="K24" s="1526">
        <f>+'Trial Blc'!K209-'Trial Blc'!J209</f>
        <v>167.03999999999985</v>
      </c>
      <c r="L24" s="1526">
        <f>+'Trial Blc'!L209-'Trial Blc'!K209</f>
        <v>59.550000000000182</v>
      </c>
      <c r="M24" s="1526">
        <f>+'Trial Blc'!M209-'Trial Blc'!L209</f>
        <v>120.24000000000001</v>
      </c>
      <c r="N24" s="1526">
        <f>+'Trial Blc'!N209-'Trial Blc'!M209</f>
        <v>87.649999999999864</v>
      </c>
      <c r="O24" s="1526">
        <f>+'Trial Blc'!O209-'Trial Blc'!N209</f>
        <v>107.40000000000009</v>
      </c>
      <c r="P24" s="1526">
        <f t="shared" si="0"/>
        <v>1479.21</v>
      </c>
      <c r="Q24" s="1526"/>
    </row>
    <row r="25" spans="2:17">
      <c r="B25" s="1538">
        <v>5645</v>
      </c>
      <c r="D25" s="1526">
        <f>+'Trial Blc'!D210</f>
        <v>-959.22</v>
      </c>
      <c r="E25" s="1526">
        <f>+'Trial Blc'!E210-'Trial Blc'!D210</f>
        <v>-994.71</v>
      </c>
      <c r="F25" s="1526">
        <f>+'Trial Blc'!F210-'Trial Blc'!E210</f>
        <v>-1345.3099999999997</v>
      </c>
      <c r="G25" s="1526">
        <f>+'Trial Blc'!G210-'Trial Blc'!F210</f>
        <v>-975.17000000000007</v>
      </c>
      <c r="H25" s="1526">
        <f>+'Trial Blc'!H210-'Trial Blc'!G210</f>
        <v>-998.65000000000055</v>
      </c>
      <c r="I25" s="1526">
        <f>+'Trial Blc'!I210-'Trial Blc'!H210</f>
        <v>-1027.8099999999995</v>
      </c>
      <c r="J25" s="1526">
        <f>+'Trial Blc'!J210-'Trial Blc'!I210</f>
        <v>-1096.04</v>
      </c>
      <c r="K25" s="1526">
        <f>+'Trial Blc'!K210-'Trial Blc'!J210</f>
        <v>-1052.4400000000005</v>
      </c>
      <c r="L25" s="1526">
        <f>+'Trial Blc'!L210-'Trial Blc'!K210</f>
        <v>-1367.4300000000003</v>
      </c>
      <c r="M25" s="1526">
        <f>+'Trial Blc'!M210-'Trial Blc'!L210</f>
        <v>-1019.6999999999989</v>
      </c>
      <c r="N25" s="1526">
        <f>+'Trial Blc'!N210-'Trial Blc'!M210</f>
        <v>-1027.4300000000003</v>
      </c>
      <c r="O25" s="1526">
        <f>+'Trial Blc'!O210-'Trial Blc'!N210</f>
        <v>-646.60000000000036</v>
      </c>
      <c r="P25" s="1526">
        <f t="shared" si="0"/>
        <v>-12510.51</v>
      </c>
      <c r="Q25" s="1526"/>
    </row>
    <row r="26" spans="2:17">
      <c r="B26" s="1538">
        <v>5650</v>
      </c>
      <c r="D26" s="1526">
        <f>+'Trial Blc'!D211</f>
        <v>1.04</v>
      </c>
      <c r="E26" s="1526">
        <f>+'Trial Blc'!E211-'Trial Blc'!D211</f>
        <v>22.28</v>
      </c>
      <c r="F26" s="1526">
        <f>+'Trial Blc'!F211-'Trial Blc'!E211</f>
        <v>27.6</v>
      </c>
      <c r="G26" s="1526">
        <f>+'Trial Blc'!G211-'Trial Blc'!F211</f>
        <v>0.48999999999999488</v>
      </c>
      <c r="H26" s="1526">
        <f>+'Trial Blc'!H211-'Trial Blc'!G211</f>
        <v>28.730000000000004</v>
      </c>
      <c r="I26" s="1526">
        <f>+'Trial Blc'!I211-'Trial Blc'!H211</f>
        <v>49.429999999999993</v>
      </c>
      <c r="J26" s="1526">
        <f>+'Trial Blc'!J211-'Trial Blc'!I211</f>
        <v>53.760000000000019</v>
      </c>
      <c r="K26" s="1526">
        <f>+'Trial Blc'!K211-'Trial Blc'!J211</f>
        <v>49.95999999999998</v>
      </c>
      <c r="L26" s="1526">
        <f>+'Trial Blc'!L211-'Trial Blc'!K211</f>
        <v>41.77000000000001</v>
      </c>
      <c r="M26" s="1526">
        <f>+'Trial Blc'!M211-'Trial Blc'!L211</f>
        <v>19.639999999999986</v>
      </c>
      <c r="N26" s="1526">
        <f>+'Trial Blc'!N211-'Trial Blc'!M211</f>
        <v>3.6500000000000341</v>
      </c>
      <c r="O26" s="1526">
        <f>+'Trial Blc'!O211-'Trial Blc'!N211</f>
        <v>56.92999999999995</v>
      </c>
      <c r="P26" s="1526">
        <f t="shared" si="0"/>
        <v>355.28</v>
      </c>
      <c r="Q26" s="1526"/>
    </row>
    <row r="27" spans="2:17">
      <c r="B27" s="1538">
        <v>5655</v>
      </c>
      <c r="D27" s="1526">
        <f>+'Trial Blc'!D212</f>
        <v>7269.93</v>
      </c>
      <c r="E27" s="1526">
        <f>+'Trial Blc'!E212-'Trial Blc'!D212</f>
        <v>5044.3999999999996</v>
      </c>
      <c r="F27" s="1526">
        <f>+'Trial Blc'!F212-'Trial Blc'!E212</f>
        <v>4296.7199999999993</v>
      </c>
      <c r="G27" s="1526">
        <f>+'Trial Blc'!G212-'Trial Blc'!F212</f>
        <v>3615.380000000001</v>
      </c>
      <c r="H27" s="1526">
        <f>+'Trial Blc'!H212-'Trial Blc'!G212</f>
        <v>4145.989999999998</v>
      </c>
      <c r="I27" s="1526">
        <f>+'Trial Blc'!I212-'Trial Blc'!H212</f>
        <v>6091.6900000000023</v>
      </c>
      <c r="J27" s="1526">
        <f>+'Trial Blc'!J212-'Trial Blc'!I212</f>
        <v>4356.0299999999988</v>
      </c>
      <c r="K27" s="1526">
        <f>+'Trial Blc'!K212-'Trial Blc'!J212</f>
        <v>5001.8300000000017</v>
      </c>
      <c r="L27" s="1526">
        <f>+'Trial Blc'!L212-'Trial Blc'!K212</f>
        <v>3510.7099999999991</v>
      </c>
      <c r="M27" s="1526">
        <f>+'Trial Blc'!M212-'Trial Blc'!L212</f>
        <v>4941.7699999999968</v>
      </c>
      <c r="N27" s="1526">
        <f>+'Trial Blc'!N212-'Trial Blc'!M212</f>
        <v>5208.4600000000064</v>
      </c>
      <c r="O27" s="1526">
        <f>+'Trial Blc'!O212-'Trial Blc'!N212</f>
        <v>6623.6999999999971</v>
      </c>
      <c r="P27" s="1526">
        <f t="shared" si="0"/>
        <v>60106.61</v>
      </c>
      <c r="Q27" s="1526"/>
    </row>
    <row r="28" spans="2:17">
      <c r="B28" s="1538">
        <v>5660</v>
      </c>
      <c r="D28" s="1526">
        <f>+'Trial Blc'!D213</f>
        <v>2.85</v>
      </c>
      <c r="E28" s="1526">
        <f>+'Trial Blc'!E213-'Trial Blc'!D213</f>
        <v>21.459999999999997</v>
      </c>
      <c r="F28" s="1526">
        <f>+'Trial Blc'!F213-'Trial Blc'!E213</f>
        <v>47.05</v>
      </c>
      <c r="G28" s="1526">
        <f>+'Trial Blc'!G213-'Trial Blc'!F213</f>
        <v>25.310000000000002</v>
      </c>
      <c r="H28" s="1526">
        <f>+'Trial Blc'!H213-'Trial Blc'!G213</f>
        <v>14.700000000000003</v>
      </c>
      <c r="I28" s="1526">
        <f>+'Trial Blc'!I213-'Trial Blc'!H213</f>
        <v>51.269999999999982</v>
      </c>
      <c r="J28" s="1526">
        <f>+'Trial Blc'!J213-'Trial Blc'!I213</f>
        <v>11.370000000000005</v>
      </c>
      <c r="K28" s="1526">
        <f>+'Trial Blc'!K213-'Trial Blc'!J213</f>
        <v>27.670000000000016</v>
      </c>
      <c r="L28" s="1526">
        <f>+'Trial Blc'!L213-'Trial Blc'!K213</f>
        <v>7.9000000000000057</v>
      </c>
      <c r="M28" s="1526">
        <f>+'Trial Blc'!M213-'Trial Blc'!L213</f>
        <v>24.199999999999989</v>
      </c>
      <c r="N28" s="1526">
        <f>+'Trial Blc'!N213-'Trial Blc'!M213</f>
        <v>31.690000000000026</v>
      </c>
      <c r="O28" s="1526">
        <f>+'Trial Blc'!O213-'Trial Blc'!N213</f>
        <v>65.099999999999966</v>
      </c>
      <c r="P28" s="1526">
        <f t="shared" si="0"/>
        <v>330.57</v>
      </c>
      <c r="Q28" s="1526"/>
    </row>
    <row r="29" spans="2:17">
      <c r="B29" s="1538">
        <v>5665</v>
      </c>
      <c r="D29" s="1526">
        <f>+'Trial Blc'!D214</f>
        <v>332.69</v>
      </c>
      <c r="E29" s="1526">
        <f>+'Trial Blc'!E214-'Trial Blc'!D214</f>
        <v>382.64000000000004</v>
      </c>
      <c r="F29" s="1526">
        <f>+'Trial Blc'!F214-'Trial Blc'!E214</f>
        <v>405.82000000000005</v>
      </c>
      <c r="G29" s="1526">
        <f>+'Trial Blc'!G214-'Trial Blc'!F214</f>
        <v>292.69999999999982</v>
      </c>
      <c r="H29" s="1526">
        <f>+'Trial Blc'!H214-'Trial Blc'!G214</f>
        <v>407.33000000000015</v>
      </c>
      <c r="I29" s="1526">
        <f>+'Trial Blc'!I214-'Trial Blc'!H214</f>
        <v>332.91999999999985</v>
      </c>
      <c r="J29" s="1526">
        <f>+'Trial Blc'!J214-'Trial Blc'!I214</f>
        <v>326.24000000000024</v>
      </c>
      <c r="K29" s="1526">
        <f>+'Trial Blc'!K214-'Trial Blc'!J214</f>
        <v>314.83999999999969</v>
      </c>
      <c r="L29" s="1526">
        <f>+'Trial Blc'!L214-'Trial Blc'!K214</f>
        <v>374.66000000000031</v>
      </c>
      <c r="M29" s="1526">
        <f>+'Trial Blc'!M214-'Trial Blc'!L214</f>
        <v>307.75999999999976</v>
      </c>
      <c r="N29" s="1526">
        <f>+'Trial Blc'!N214-'Trial Blc'!M214</f>
        <v>299.69000000000005</v>
      </c>
      <c r="O29" s="1526">
        <f>+'Trial Blc'!O214-'Trial Blc'!N214</f>
        <v>304.42999999999984</v>
      </c>
      <c r="P29" s="1526">
        <f t="shared" si="0"/>
        <v>4081.72</v>
      </c>
      <c r="Q29" s="1526"/>
    </row>
    <row r="30" spans="2:17">
      <c r="B30" s="1538">
        <v>5670</v>
      </c>
      <c r="D30" s="1526">
        <f>+'Trial Blc'!D215</f>
        <v>164.42</v>
      </c>
      <c r="E30" s="1526">
        <f>+'Trial Blc'!E215-'Trial Blc'!D215</f>
        <v>165.32000000000002</v>
      </c>
      <c r="F30" s="1526">
        <f>+'Trial Blc'!F215-'Trial Blc'!E215</f>
        <v>165.94</v>
      </c>
      <c r="G30" s="1526">
        <f>+'Trial Blc'!G215-'Trial Blc'!F215</f>
        <v>165.92000000000002</v>
      </c>
      <c r="H30" s="1526">
        <f>+'Trial Blc'!H215-'Trial Blc'!G215</f>
        <v>55.009999999999991</v>
      </c>
      <c r="I30" s="1526">
        <f>+'Trial Blc'!I215-'Trial Blc'!H215</f>
        <v>279.13</v>
      </c>
      <c r="J30" s="1526">
        <f>+'Trial Blc'!J215-'Trial Blc'!I215</f>
        <v>165.30999999999995</v>
      </c>
      <c r="K30" s="1526">
        <f>+'Trial Blc'!K215-'Trial Blc'!J215</f>
        <v>166.53999999999996</v>
      </c>
      <c r="L30" s="1526">
        <f>+'Trial Blc'!L215-'Trial Blc'!K215</f>
        <v>167.5</v>
      </c>
      <c r="M30" s="1526">
        <f>+'Trial Blc'!M215-'Trial Blc'!L215</f>
        <v>167.79000000000019</v>
      </c>
      <c r="N30" s="1526">
        <f>+'Trial Blc'!N215-'Trial Blc'!M215</f>
        <v>168.11999999999989</v>
      </c>
      <c r="O30" s="1526">
        <f>+'Trial Blc'!O215-'Trial Blc'!N215</f>
        <v>164.1400000000001</v>
      </c>
      <c r="P30" s="1526">
        <f t="shared" si="0"/>
        <v>1995.14</v>
      </c>
      <c r="Q30" s="1526"/>
    </row>
    <row r="31" spans="2:17">
      <c r="B31" s="1538">
        <v>5675</v>
      </c>
      <c r="D31" s="1526">
        <f>+'Trial Blc'!D216</f>
        <v>-34.39</v>
      </c>
      <c r="E31" s="1526">
        <f>+'Trial Blc'!E216-'Trial Blc'!D216</f>
        <v>-34.56</v>
      </c>
      <c r="F31" s="1526">
        <f>+'Trial Blc'!F216-'Trial Blc'!E216</f>
        <v>-42.789999999999992</v>
      </c>
      <c r="G31" s="1526">
        <f>+'Trial Blc'!G216-'Trial Blc'!F216</f>
        <v>-34.429999999999993</v>
      </c>
      <c r="H31" s="1526">
        <f>+'Trial Blc'!H216-'Trial Blc'!G216</f>
        <v>-33.070000000000022</v>
      </c>
      <c r="I31" s="1526">
        <f>+'Trial Blc'!I216-'Trial Blc'!H216</f>
        <v>-33.179999999999978</v>
      </c>
      <c r="J31" s="1526">
        <f>+'Trial Blc'!J216-'Trial Blc'!I216</f>
        <v>-30.78</v>
      </c>
      <c r="K31" s="1526">
        <f>+'Trial Blc'!K216-'Trial Blc'!J216</f>
        <v>-31.509999999999991</v>
      </c>
      <c r="L31" s="1526">
        <f>+'Trial Blc'!L216-'Trial Blc'!K216</f>
        <v>-41.930000000000007</v>
      </c>
      <c r="M31" s="1526">
        <f>+'Trial Blc'!M216-'Trial Blc'!L216</f>
        <v>-32.970000000000027</v>
      </c>
      <c r="N31" s="1526">
        <f>+'Trial Blc'!N216-'Trial Blc'!M216</f>
        <v>-32.729999999999961</v>
      </c>
      <c r="O31" s="1526">
        <f>+'Trial Blc'!O216-'Trial Blc'!N216</f>
        <v>-24.03000000000003</v>
      </c>
      <c r="P31" s="1526">
        <f t="shared" si="0"/>
        <v>-406.37</v>
      </c>
      <c r="Q31" s="1526"/>
    </row>
    <row r="32" spans="2:17">
      <c r="B32" s="1538">
        <v>5680</v>
      </c>
      <c r="D32" s="1526">
        <f>+'Trial Blc'!D217</f>
        <v>-17.170000000000002</v>
      </c>
      <c r="E32" s="1526">
        <f>+'Trial Blc'!E217-'Trial Blc'!D217</f>
        <v>-17.049999999999997</v>
      </c>
      <c r="F32" s="1526">
        <f>+'Trial Blc'!F217-'Trial Blc'!E217</f>
        <v>-21.53</v>
      </c>
      <c r="G32" s="1526">
        <f>+'Trial Blc'!G217-'Trial Blc'!F217</f>
        <v>-17.659999999999997</v>
      </c>
      <c r="H32" s="1526">
        <f>+'Trial Blc'!H217-'Trial Blc'!G217</f>
        <v>-17.600000000000009</v>
      </c>
      <c r="I32" s="1526">
        <f>+'Trial Blc'!I217-'Trial Blc'!H217</f>
        <v>-17.699999999999989</v>
      </c>
      <c r="J32" s="1526">
        <f>+'Trial Blc'!J217-'Trial Blc'!I217</f>
        <v>-15.88000000000001</v>
      </c>
      <c r="K32" s="1526">
        <f>+'Trial Blc'!K217-'Trial Blc'!J217</f>
        <v>-16.639999999999986</v>
      </c>
      <c r="L32" s="1526">
        <f>+'Trial Blc'!L217-'Trial Blc'!K217</f>
        <v>-20.950000000000017</v>
      </c>
      <c r="M32" s="1526">
        <f>+'Trial Blc'!M217-'Trial Blc'!L217</f>
        <v>-16.72999999999999</v>
      </c>
      <c r="N32" s="1526">
        <f>+'Trial Blc'!N217-'Trial Blc'!M217</f>
        <v>-17.03</v>
      </c>
      <c r="O32" s="1526">
        <f>+'Trial Blc'!O217-'Trial Blc'!N217</f>
        <v>-12.719999999999999</v>
      </c>
      <c r="P32" s="1526">
        <f t="shared" si="0"/>
        <v>-208.66</v>
      </c>
      <c r="Q32" s="1526"/>
    </row>
    <row r="33" spans="2:17">
      <c r="B33" s="1538">
        <v>5690</v>
      </c>
      <c r="D33" s="1526">
        <f>+'Trial Blc'!D218</f>
        <v>0</v>
      </c>
      <c r="E33" s="1526">
        <f>+'Trial Blc'!E218-'Trial Blc'!D218</f>
        <v>0</v>
      </c>
      <c r="F33" s="1526">
        <f>+'Trial Blc'!F218-'Trial Blc'!E218</f>
        <v>7.31</v>
      </c>
      <c r="G33" s="1526">
        <f>+'Trial Blc'!G218-'Trial Blc'!F218</f>
        <v>0</v>
      </c>
      <c r="H33" s="1526">
        <f>+'Trial Blc'!H218-'Trial Blc'!G218</f>
        <v>0</v>
      </c>
      <c r="I33" s="1526">
        <f>+'Trial Blc'!I218-'Trial Blc'!H218</f>
        <v>0</v>
      </c>
      <c r="J33" s="1526">
        <f>+'Trial Blc'!J218-'Trial Blc'!I218</f>
        <v>0</v>
      </c>
      <c r="K33" s="1526">
        <f>+'Trial Blc'!K218-'Trial Blc'!J218</f>
        <v>0</v>
      </c>
      <c r="L33" s="1526">
        <f>+'Trial Blc'!L218-'Trial Blc'!K218</f>
        <v>0</v>
      </c>
      <c r="M33" s="1526">
        <f>+'Trial Blc'!M218-'Trial Blc'!L218</f>
        <v>0</v>
      </c>
      <c r="N33" s="1526">
        <f>+'Trial Blc'!N218-'Trial Blc'!M218</f>
        <v>0</v>
      </c>
      <c r="O33" s="1526">
        <f>+'Trial Blc'!O218-'Trial Blc'!N218</f>
        <v>0</v>
      </c>
      <c r="P33" s="1526">
        <f t="shared" si="0"/>
        <v>7.31</v>
      </c>
      <c r="Q33" s="1526"/>
    </row>
    <row r="34" spans="2:17">
      <c r="B34" s="1538">
        <v>5705</v>
      </c>
      <c r="D34" s="1526">
        <f>+'Trial Blc'!D219</f>
        <v>2308.98</v>
      </c>
      <c r="E34" s="1526">
        <f>+'Trial Blc'!E219-'Trial Blc'!D219</f>
        <v>2019.0400000000004</v>
      </c>
      <c r="F34" s="1526">
        <f>+'Trial Blc'!F219-'Trial Blc'!E219</f>
        <v>2270.6899999999996</v>
      </c>
      <c r="G34" s="1526">
        <f>+'Trial Blc'!G219-'Trial Blc'!F219</f>
        <v>2313.6400000000003</v>
      </c>
      <c r="H34" s="1526">
        <f>+'Trial Blc'!H219-'Trial Blc'!G219</f>
        <v>2273.0499999999993</v>
      </c>
      <c r="I34" s="1526">
        <f>+'Trial Blc'!I219-'Trial Blc'!H219</f>
        <v>2278.5599999999995</v>
      </c>
      <c r="J34" s="1526">
        <f>+'Trial Blc'!J219-'Trial Blc'!I219</f>
        <v>2270.2700000000004</v>
      </c>
      <c r="K34" s="1526">
        <f>+'Trial Blc'!K219-'Trial Blc'!J219</f>
        <v>2268.2700000000004</v>
      </c>
      <c r="L34" s="1526">
        <f>+'Trial Blc'!L219-'Trial Blc'!K219</f>
        <v>2245.9399999999987</v>
      </c>
      <c r="M34" s="1526">
        <f>+'Trial Blc'!M219-'Trial Blc'!L219</f>
        <v>2397.9799999999996</v>
      </c>
      <c r="N34" s="1526">
        <f>+'Trial Blc'!N219-'Trial Blc'!M219</f>
        <v>2339.9300000000003</v>
      </c>
      <c r="O34" s="1526">
        <f>+'Trial Blc'!O219-'Trial Blc'!N219</f>
        <v>2340.0699999999997</v>
      </c>
      <c r="P34" s="1526">
        <f t="shared" si="0"/>
        <v>27326.42</v>
      </c>
      <c r="Q34" s="1526"/>
    </row>
    <row r="35" spans="2:17">
      <c r="B35" s="1538">
        <v>5715</v>
      </c>
      <c r="D35" s="1526">
        <f>+'Trial Blc'!D220</f>
        <v>75.75</v>
      </c>
      <c r="E35" s="1526">
        <f>+'Trial Blc'!E220-'Trial Blc'!D220</f>
        <v>137.07</v>
      </c>
      <c r="F35" s="1526">
        <f>+'Trial Blc'!F220-'Trial Blc'!E220</f>
        <v>74.95999999999998</v>
      </c>
      <c r="G35" s="1526">
        <f>+'Trial Blc'!G220-'Trial Blc'!F220</f>
        <v>283.39999999999998</v>
      </c>
      <c r="H35" s="1526">
        <f>+'Trial Blc'!H220-'Trial Blc'!G220</f>
        <v>332.13</v>
      </c>
      <c r="I35" s="1526">
        <f>+'Trial Blc'!I220-'Trial Blc'!H220</f>
        <v>652.83000000000015</v>
      </c>
      <c r="J35" s="1526">
        <f>+'Trial Blc'!J220-'Trial Blc'!I220</f>
        <v>784.39999999999986</v>
      </c>
      <c r="K35" s="1526">
        <f>+'Trial Blc'!K220-'Trial Blc'!J220</f>
        <v>178.23000000000002</v>
      </c>
      <c r="L35" s="1526">
        <f>+'Trial Blc'!L220-'Trial Blc'!K220</f>
        <v>635.4699999999998</v>
      </c>
      <c r="M35" s="1526">
        <f>+'Trial Blc'!M220-'Trial Blc'!L220</f>
        <v>1162.5100000000002</v>
      </c>
      <c r="N35" s="1526">
        <f>+'Trial Blc'!N220-'Trial Blc'!M220</f>
        <v>1985.2200000000003</v>
      </c>
      <c r="O35" s="1526">
        <f>+'Trial Blc'!O220-'Trial Blc'!N220</f>
        <v>-322.32999999999993</v>
      </c>
      <c r="P35" s="1526">
        <f t="shared" si="0"/>
        <v>5979.64</v>
      </c>
      <c r="Q35" s="1526"/>
    </row>
    <row r="36" spans="2:17">
      <c r="B36" s="1538">
        <v>5735</v>
      </c>
      <c r="D36" s="1526">
        <f>+'Trial Blc'!D221</f>
        <v>529.96</v>
      </c>
      <c r="E36" s="1526">
        <f>+'Trial Blc'!E221-'Trial Blc'!D221</f>
        <v>555.37999999999988</v>
      </c>
      <c r="F36" s="1526">
        <f>+'Trial Blc'!F221-'Trial Blc'!E221</f>
        <v>1054.18</v>
      </c>
      <c r="G36" s="1526">
        <f>+'Trial Blc'!G221-'Trial Blc'!F221</f>
        <v>901.01000000000022</v>
      </c>
      <c r="H36" s="1526">
        <f>+'Trial Blc'!H221-'Trial Blc'!G221</f>
        <v>879.25</v>
      </c>
      <c r="I36" s="1526">
        <f>+'Trial Blc'!I221-'Trial Blc'!H221</f>
        <v>863.33999999999969</v>
      </c>
      <c r="J36" s="1526">
        <f>+'Trial Blc'!J221-'Trial Blc'!I221</f>
        <v>757.68000000000029</v>
      </c>
      <c r="K36" s="1526">
        <f>+'Trial Blc'!K221-'Trial Blc'!J221</f>
        <v>938.72999999999956</v>
      </c>
      <c r="L36" s="1526">
        <f>+'Trial Blc'!L221-'Trial Blc'!K221</f>
        <v>910.11000000000058</v>
      </c>
      <c r="M36" s="1526">
        <f>+'Trial Blc'!M221-'Trial Blc'!L221</f>
        <v>768.77999999999975</v>
      </c>
      <c r="N36" s="1526">
        <f>+'Trial Blc'!N221-'Trial Blc'!M221</f>
        <v>846.46999999999935</v>
      </c>
      <c r="O36" s="1526">
        <f>+'Trial Blc'!O221-'Trial Blc'!N221</f>
        <v>909.27000000000044</v>
      </c>
      <c r="P36" s="1526">
        <f t="shared" si="0"/>
        <v>9914.16</v>
      </c>
      <c r="Q36" s="1526"/>
    </row>
    <row r="37" spans="2:17">
      <c r="B37" s="1538">
        <v>5740</v>
      </c>
      <c r="D37" s="1526">
        <f>+'Trial Blc'!D222</f>
        <v>0</v>
      </c>
      <c r="E37" s="1526">
        <f>+'Trial Blc'!E222-'Trial Blc'!D222</f>
        <v>0</v>
      </c>
      <c r="F37" s="1526">
        <f>+'Trial Blc'!F222-'Trial Blc'!E222</f>
        <v>0</v>
      </c>
      <c r="G37" s="1526">
        <f>+'Trial Blc'!G222-'Trial Blc'!F222</f>
        <v>0</v>
      </c>
      <c r="H37" s="1526">
        <f>+'Trial Blc'!H222-'Trial Blc'!G222</f>
        <v>0</v>
      </c>
      <c r="I37" s="1526">
        <f>+'Trial Blc'!I222-'Trial Blc'!H222</f>
        <v>0</v>
      </c>
      <c r="J37" s="1526">
        <f>+'Trial Blc'!J222-'Trial Blc'!I222</f>
        <v>0</v>
      </c>
      <c r="K37" s="1526">
        <f>+'Trial Blc'!K222-'Trial Blc'!J222</f>
        <v>0</v>
      </c>
      <c r="L37" s="1526">
        <f>+'Trial Blc'!L222-'Trial Blc'!K222</f>
        <v>0</v>
      </c>
      <c r="M37" s="1526">
        <f>+'Trial Blc'!M222-'Trial Blc'!L222</f>
        <v>0</v>
      </c>
      <c r="N37" s="1526">
        <f>+'Trial Blc'!N222-'Trial Blc'!M222</f>
        <v>2.33</v>
      </c>
      <c r="O37" s="1526">
        <f>+'Trial Blc'!O222-'Trial Blc'!N222</f>
        <v>-3.63</v>
      </c>
      <c r="P37" s="1526">
        <f t="shared" si="0"/>
        <v>-1.2999999999999998</v>
      </c>
      <c r="Q37" s="1526"/>
    </row>
    <row r="38" spans="2:17">
      <c r="B38" s="1538">
        <v>5745</v>
      </c>
      <c r="D38" s="1526">
        <f>+'Trial Blc'!D223</f>
        <v>0</v>
      </c>
      <c r="E38" s="1526">
        <f>+'Trial Blc'!E223-'Trial Blc'!D223</f>
        <v>0</v>
      </c>
      <c r="F38" s="1526">
        <f>+'Trial Blc'!F223-'Trial Blc'!E223</f>
        <v>0</v>
      </c>
      <c r="G38" s="1526">
        <f>+'Trial Blc'!G223-'Trial Blc'!F223</f>
        <v>0</v>
      </c>
      <c r="H38" s="1526">
        <f>+'Trial Blc'!H223-'Trial Blc'!G223</f>
        <v>0</v>
      </c>
      <c r="I38" s="1526">
        <f>+'Trial Blc'!I223-'Trial Blc'!H223</f>
        <v>0</v>
      </c>
      <c r="J38" s="1526">
        <f>+'Trial Blc'!J223-'Trial Blc'!I223</f>
        <v>0</v>
      </c>
      <c r="K38" s="1526">
        <f>+'Trial Blc'!K223-'Trial Blc'!J223</f>
        <v>0</v>
      </c>
      <c r="L38" s="1526">
        <f>+'Trial Blc'!L223-'Trial Blc'!K223</f>
        <v>0</v>
      </c>
      <c r="M38" s="1526">
        <f>+'Trial Blc'!M223-'Trial Blc'!L223</f>
        <v>0</v>
      </c>
      <c r="N38" s="1526">
        <f>+'Trial Blc'!N223-'Trial Blc'!M223</f>
        <v>0</v>
      </c>
      <c r="O38" s="1526">
        <f>+'Trial Blc'!O223-'Trial Blc'!N223</f>
        <v>0</v>
      </c>
      <c r="P38" s="1526">
        <f t="shared" si="0"/>
        <v>0</v>
      </c>
      <c r="Q38" s="1526"/>
    </row>
    <row r="39" spans="2:17">
      <c r="B39" s="1538">
        <v>5750</v>
      </c>
      <c r="D39" s="1526">
        <f>+'Trial Blc'!D224</f>
        <v>118.97</v>
      </c>
      <c r="E39" s="1526">
        <f>+'Trial Blc'!E224-'Trial Blc'!D224</f>
        <v>123.84</v>
      </c>
      <c r="F39" s="1526">
        <f>+'Trial Blc'!F224-'Trial Blc'!E224</f>
        <v>118.23000000000002</v>
      </c>
      <c r="G39" s="1526">
        <f>+'Trial Blc'!G224-'Trial Blc'!F224</f>
        <v>111.88999999999999</v>
      </c>
      <c r="H39" s="1526">
        <f>+'Trial Blc'!H224-'Trial Blc'!G224</f>
        <v>141.16000000000003</v>
      </c>
      <c r="I39" s="1526">
        <f>+'Trial Blc'!I224-'Trial Blc'!H224</f>
        <v>130.63999999999999</v>
      </c>
      <c r="J39" s="1526">
        <f>+'Trial Blc'!J224-'Trial Blc'!I224</f>
        <v>139.51</v>
      </c>
      <c r="K39" s="1526">
        <f>+'Trial Blc'!K224-'Trial Blc'!J224</f>
        <v>146.96000000000004</v>
      </c>
      <c r="L39" s="1526">
        <f>+'Trial Blc'!L224-'Trial Blc'!K224</f>
        <v>159.33999999999992</v>
      </c>
      <c r="M39" s="1526">
        <f>+'Trial Blc'!M224-'Trial Blc'!L224</f>
        <v>534.22</v>
      </c>
      <c r="N39" s="1526">
        <f>+'Trial Blc'!N224-'Trial Blc'!M224</f>
        <v>249</v>
      </c>
      <c r="O39" s="1526">
        <f>+'Trial Blc'!O224-'Trial Blc'!N224</f>
        <v>120.50999999999999</v>
      </c>
      <c r="P39" s="1526">
        <f t="shared" si="0"/>
        <v>2094.27</v>
      </c>
      <c r="Q39" s="1526"/>
    </row>
    <row r="40" spans="2:17">
      <c r="B40" s="1538">
        <v>5785</v>
      </c>
      <c r="D40" s="1526">
        <f>+'Trial Blc'!D225</f>
        <v>0</v>
      </c>
      <c r="E40" s="1526">
        <f>+'Trial Blc'!E225-'Trial Blc'!D225</f>
        <v>0</v>
      </c>
      <c r="F40" s="1526">
        <f>+'Trial Blc'!F225-'Trial Blc'!E225</f>
        <v>0</v>
      </c>
      <c r="G40" s="1526">
        <f>+'Trial Blc'!G225-'Trial Blc'!F225</f>
        <v>0</v>
      </c>
      <c r="H40" s="1526">
        <f>+'Trial Blc'!H225-'Trial Blc'!G225</f>
        <v>0</v>
      </c>
      <c r="I40" s="1526">
        <f>+'Trial Blc'!I225-'Trial Blc'!H225</f>
        <v>0</v>
      </c>
      <c r="J40" s="1526">
        <f>+'Trial Blc'!J225-'Trial Blc'!I225</f>
        <v>0</v>
      </c>
      <c r="K40" s="1526">
        <f>+'Trial Blc'!K225-'Trial Blc'!J225</f>
        <v>0</v>
      </c>
      <c r="L40" s="1526">
        <f>+'Trial Blc'!L225-'Trial Blc'!K225</f>
        <v>0</v>
      </c>
      <c r="M40" s="1526">
        <f>+'Trial Blc'!M225-'Trial Blc'!L225</f>
        <v>0</v>
      </c>
      <c r="N40" s="1526">
        <f>+'Trial Blc'!N225-'Trial Blc'!M225</f>
        <v>0</v>
      </c>
      <c r="O40" s="1526">
        <f>+'Trial Blc'!O225-'Trial Blc'!N225</f>
        <v>0</v>
      </c>
      <c r="P40" s="1526">
        <f t="shared" si="0"/>
        <v>0</v>
      </c>
      <c r="Q40" s="1526"/>
    </row>
    <row r="41" spans="2:17">
      <c r="B41" s="1538">
        <v>5790</v>
      </c>
      <c r="D41" s="1526">
        <f>+'Trial Blc'!D226</f>
        <v>81.22</v>
      </c>
      <c r="E41" s="1526">
        <f>+'Trial Blc'!E226-'Trial Blc'!D226</f>
        <v>65.830000000000013</v>
      </c>
      <c r="F41" s="1526">
        <f>+'Trial Blc'!F226-'Trial Blc'!E226</f>
        <v>112.32999999999998</v>
      </c>
      <c r="G41" s="1526">
        <f>+'Trial Blc'!G226-'Trial Blc'!F226</f>
        <v>94.050000000000011</v>
      </c>
      <c r="H41" s="1526">
        <f>+'Trial Blc'!H226-'Trial Blc'!G226</f>
        <v>96.38</v>
      </c>
      <c r="I41" s="1526">
        <f>+'Trial Blc'!I226-'Trial Blc'!H226</f>
        <v>88.400000000000034</v>
      </c>
      <c r="J41" s="1526">
        <f>+'Trial Blc'!J226-'Trial Blc'!I226</f>
        <v>99.860000000000014</v>
      </c>
      <c r="K41" s="1526">
        <f>+'Trial Blc'!K226-'Trial Blc'!J226</f>
        <v>103.4799999999999</v>
      </c>
      <c r="L41" s="1526">
        <f>+'Trial Blc'!L226-'Trial Blc'!K226</f>
        <v>100.5200000000001</v>
      </c>
      <c r="M41" s="1526">
        <f>+'Trial Blc'!M226-'Trial Blc'!L226</f>
        <v>99.589999999999918</v>
      </c>
      <c r="N41" s="1526">
        <f>+'Trial Blc'!N226-'Trial Blc'!M226</f>
        <v>96.520000000000095</v>
      </c>
      <c r="O41" s="1526">
        <f>+'Trial Blc'!O226-'Trial Blc'!N226</f>
        <v>94.990000000000009</v>
      </c>
      <c r="P41" s="1526">
        <f t="shared" si="0"/>
        <v>1133.17</v>
      </c>
      <c r="Q41" s="1526"/>
    </row>
    <row r="42" spans="2:17">
      <c r="B42" s="1538">
        <v>5795</v>
      </c>
      <c r="D42" s="1526">
        <f>+'Trial Blc'!D227</f>
        <v>0</v>
      </c>
      <c r="E42" s="1526">
        <f>+'Trial Blc'!E227-'Trial Blc'!D227</f>
        <v>0</v>
      </c>
      <c r="F42" s="1526">
        <f>+'Trial Blc'!F227-'Trial Blc'!E227</f>
        <v>0</v>
      </c>
      <c r="G42" s="1526">
        <f>+'Trial Blc'!G227-'Trial Blc'!F227</f>
        <v>0</v>
      </c>
      <c r="H42" s="1526">
        <f>+'Trial Blc'!H227-'Trial Blc'!G227</f>
        <v>6.14</v>
      </c>
      <c r="I42" s="1526">
        <f>+'Trial Blc'!I227-'Trial Blc'!H227</f>
        <v>0</v>
      </c>
      <c r="J42" s="1526">
        <f>+'Trial Blc'!J227-'Trial Blc'!I227</f>
        <v>0</v>
      </c>
      <c r="K42" s="1526">
        <f>+'Trial Blc'!K227-'Trial Blc'!J227</f>
        <v>0</v>
      </c>
      <c r="L42" s="1526">
        <f>+'Trial Blc'!L227-'Trial Blc'!K227</f>
        <v>0</v>
      </c>
      <c r="M42" s="1526">
        <f>+'Trial Blc'!M227-'Trial Blc'!L227</f>
        <v>0</v>
      </c>
      <c r="N42" s="1526">
        <f>+'Trial Blc'!N227-'Trial Blc'!M227</f>
        <v>0</v>
      </c>
      <c r="O42" s="1526">
        <f>+'Trial Blc'!O227-'Trial Blc'!N227</f>
        <v>18.64</v>
      </c>
      <c r="P42" s="1526">
        <f t="shared" si="0"/>
        <v>24.78</v>
      </c>
      <c r="Q42" s="1526"/>
    </row>
    <row r="43" spans="2:17">
      <c r="B43" s="1538">
        <v>5800</v>
      </c>
      <c r="D43" s="1526">
        <f>+'Trial Blc'!D228</f>
        <v>0</v>
      </c>
      <c r="E43" s="1526">
        <f>+'Trial Blc'!E228-'Trial Blc'!D228</f>
        <v>0</v>
      </c>
      <c r="F43" s="1526">
        <f>+'Trial Blc'!F228-'Trial Blc'!E228</f>
        <v>1.6</v>
      </c>
      <c r="G43" s="1526">
        <f>+'Trial Blc'!G228-'Trial Blc'!F228</f>
        <v>0</v>
      </c>
      <c r="H43" s="1526">
        <f>+'Trial Blc'!H228-'Trial Blc'!G228</f>
        <v>0</v>
      </c>
      <c r="I43" s="1526">
        <f>+'Trial Blc'!I228-'Trial Blc'!H228</f>
        <v>0</v>
      </c>
      <c r="J43" s="1526">
        <f>+'Trial Blc'!J228-'Trial Blc'!I228</f>
        <v>0</v>
      </c>
      <c r="K43" s="1526">
        <f>+'Trial Blc'!K228-'Trial Blc'!J228</f>
        <v>0</v>
      </c>
      <c r="L43" s="1526">
        <f>+'Trial Blc'!L228-'Trial Blc'!K228</f>
        <v>0</v>
      </c>
      <c r="M43" s="1526">
        <f>+'Trial Blc'!M228-'Trial Blc'!L228</f>
        <v>0</v>
      </c>
      <c r="N43" s="1526">
        <f>+'Trial Blc'!N228-'Trial Blc'!M228</f>
        <v>0</v>
      </c>
      <c r="O43" s="1526">
        <f>+'Trial Blc'!O228-'Trial Blc'!N228</f>
        <v>0</v>
      </c>
      <c r="P43" s="1526">
        <f t="shared" si="0"/>
        <v>1.6</v>
      </c>
      <c r="Q43" s="1526"/>
    </row>
    <row r="44" spans="2:17">
      <c r="B44" s="1538">
        <v>5805</v>
      </c>
      <c r="D44" s="1526">
        <f>+'Trial Blc'!D229</f>
        <v>25</v>
      </c>
      <c r="E44" s="1526">
        <f>+'Trial Blc'!E229-'Trial Blc'!D229</f>
        <v>5625</v>
      </c>
      <c r="F44" s="1526">
        <f>+'Trial Blc'!F229-'Trial Blc'!E229</f>
        <v>0</v>
      </c>
      <c r="G44" s="1526">
        <f>+'Trial Blc'!G229-'Trial Blc'!F229</f>
        <v>245.31999999999971</v>
      </c>
      <c r="H44" s="1526">
        <f>+'Trial Blc'!H229-'Trial Blc'!G229</f>
        <v>0</v>
      </c>
      <c r="I44" s="1526">
        <f>+'Trial Blc'!I229-'Trial Blc'!H229</f>
        <v>0</v>
      </c>
      <c r="J44" s="1526">
        <f>+'Trial Blc'!J229-'Trial Blc'!I229</f>
        <v>1.1500000000005457</v>
      </c>
      <c r="K44" s="1526">
        <f>+'Trial Blc'!K229-'Trial Blc'!J229</f>
        <v>0</v>
      </c>
      <c r="L44" s="1526">
        <f>+'Trial Blc'!L229-'Trial Blc'!K229</f>
        <v>0</v>
      </c>
      <c r="M44" s="1526">
        <f>+'Trial Blc'!M229-'Trial Blc'!L229</f>
        <v>0</v>
      </c>
      <c r="N44" s="1526">
        <f>+'Trial Blc'!N229-'Trial Blc'!M229</f>
        <v>1.75</v>
      </c>
      <c r="O44" s="1526">
        <f>+'Trial Blc'!O229-'Trial Blc'!N229</f>
        <v>3.4499999999998181</v>
      </c>
      <c r="P44" s="1526">
        <f t="shared" si="0"/>
        <v>5901.67</v>
      </c>
      <c r="Q44" s="1526"/>
    </row>
    <row r="45" spans="2:17">
      <c r="B45" s="1538">
        <v>5810</v>
      </c>
      <c r="D45" s="1526">
        <f>+'Trial Blc'!D230</f>
        <v>363</v>
      </c>
      <c r="E45" s="1526">
        <f>+'Trial Blc'!E230-'Trial Blc'!D230</f>
        <v>74.730000000000018</v>
      </c>
      <c r="F45" s="1526">
        <f>+'Trial Blc'!F230-'Trial Blc'!E230</f>
        <v>919.40000000000009</v>
      </c>
      <c r="G45" s="1526">
        <f>+'Trial Blc'!G230-'Trial Blc'!F230</f>
        <v>647.6099999999999</v>
      </c>
      <c r="H45" s="1526">
        <f>+'Trial Blc'!H230-'Trial Blc'!G230</f>
        <v>387.72999999999979</v>
      </c>
      <c r="I45" s="1526">
        <f>+'Trial Blc'!I230-'Trial Blc'!H230</f>
        <v>1.8700000000003456</v>
      </c>
      <c r="J45" s="1526">
        <f>+'Trial Blc'!J230-'Trial Blc'!I230</f>
        <v>18.679999999999836</v>
      </c>
      <c r="K45" s="1526">
        <f>+'Trial Blc'!K230-'Trial Blc'!J230</f>
        <v>-262.63000000000011</v>
      </c>
      <c r="L45" s="1526">
        <f>+'Trial Blc'!L230-'Trial Blc'!K230</f>
        <v>68.25</v>
      </c>
      <c r="M45" s="1526">
        <f>+'Trial Blc'!M230-'Trial Blc'!L230</f>
        <v>2.3099999999999454</v>
      </c>
      <c r="N45" s="1526">
        <f>+'Trial Blc'!N230-'Trial Blc'!M230</f>
        <v>13.460000000000036</v>
      </c>
      <c r="O45" s="1526">
        <f>+'Trial Blc'!O230-'Trial Blc'!N230</f>
        <v>181.69000000000005</v>
      </c>
      <c r="P45" s="1526">
        <f t="shared" si="0"/>
        <v>2416.1</v>
      </c>
      <c r="Q45" s="1526"/>
    </row>
    <row r="46" spans="2:17">
      <c r="B46" s="1538">
        <v>5815</v>
      </c>
      <c r="D46" s="1526">
        <f>+'Trial Blc'!D231</f>
        <v>0</v>
      </c>
      <c r="E46" s="1526">
        <f>+'Trial Blc'!E231-'Trial Blc'!D231</f>
        <v>0</v>
      </c>
      <c r="F46" s="1526">
        <f>+'Trial Blc'!F231-'Trial Blc'!E231</f>
        <v>0</v>
      </c>
      <c r="G46" s="1526">
        <f>+'Trial Blc'!G231-'Trial Blc'!F231</f>
        <v>0</v>
      </c>
      <c r="H46" s="1526">
        <f>+'Trial Blc'!H231-'Trial Blc'!G231</f>
        <v>0</v>
      </c>
      <c r="I46" s="1526">
        <f>+'Trial Blc'!I231-'Trial Blc'!H231</f>
        <v>0</v>
      </c>
      <c r="J46" s="1526">
        <f>+'Trial Blc'!J231-'Trial Blc'!I231</f>
        <v>0</v>
      </c>
      <c r="K46" s="1526">
        <f>+'Trial Blc'!K231-'Trial Blc'!J231</f>
        <v>0</v>
      </c>
      <c r="L46" s="1526">
        <f>+'Trial Blc'!L231-'Trial Blc'!K231</f>
        <v>0</v>
      </c>
      <c r="M46" s="1526">
        <f>+'Trial Blc'!M231-'Trial Blc'!L231</f>
        <v>0</v>
      </c>
      <c r="N46" s="1526">
        <f>+'Trial Blc'!N231-'Trial Blc'!M231</f>
        <v>0</v>
      </c>
      <c r="O46" s="1526">
        <f>+'Trial Blc'!O231-'Trial Blc'!N231</f>
        <v>0</v>
      </c>
      <c r="P46" s="1526">
        <f t="shared" si="0"/>
        <v>0</v>
      </c>
      <c r="Q46" s="1526"/>
    </row>
    <row r="47" spans="2:17">
      <c r="B47" s="1538">
        <v>5820</v>
      </c>
      <c r="D47" s="1526">
        <f>+'Trial Blc'!D232</f>
        <v>0</v>
      </c>
      <c r="E47" s="1526">
        <f>+'Trial Blc'!E232-'Trial Blc'!D232</f>
        <v>0</v>
      </c>
      <c r="F47" s="1526">
        <f>+'Trial Blc'!F232-'Trial Blc'!E232</f>
        <v>13.63</v>
      </c>
      <c r="G47" s="1526">
        <f>+'Trial Blc'!G232-'Trial Blc'!F232</f>
        <v>24.529999999999994</v>
      </c>
      <c r="H47" s="1526">
        <f>+'Trial Blc'!H232-'Trial Blc'!G232</f>
        <v>29.290000000000006</v>
      </c>
      <c r="I47" s="1526">
        <f>+'Trial Blc'!I232-'Trial Blc'!H232</f>
        <v>69.290000000000006</v>
      </c>
      <c r="J47" s="1526">
        <f>+'Trial Blc'!J232-'Trial Blc'!I232</f>
        <v>160.51999999999998</v>
      </c>
      <c r="K47" s="1526">
        <f>+'Trial Blc'!K232-'Trial Blc'!J232</f>
        <v>-18.599999999999966</v>
      </c>
      <c r="L47" s="1526">
        <f>+'Trial Blc'!L232-'Trial Blc'!K232</f>
        <v>28.549999999999955</v>
      </c>
      <c r="M47" s="1526">
        <f>+'Trial Blc'!M232-'Trial Blc'!L232</f>
        <v>25.080000000000041</v>
      </c>
      <c r="N47" s="1526">
        <f>+'Trial Blc'!N232-'Trial Blc'!M232</f>
        <v>6.4199999999999591</v>
      </c>
      <c r="O47" s="1526">
        <f>+'Trial Blc'!O232-'Trial Blc'!N232</f>
        <v>-5.0799999999999841</v>
      </c>
      <c r="P47" s="1526">
        <f t="shared" si="0"/>
        <v>333.63</v>
      </c>
      <c r="Q47" s="1526"/>
    </row>
    <row r="48" spans="2:17">
      <c r="B48" s="1538">
        <v>5825</v>
      </c>
      <c r="D48" s="1526">
        <f>+'Trial Blc'!D233</f>
        <v>28.44</v>
      </c>
      <c r="E48" s="1526">
        <f>+'Trial Blc'!E233-'Trial Blc'!D233</f>
        <v>13.859999999999996</v>
      </c>
      <c r="F48" s="1526">
        <f>+'Trial Blc'!F233-'Trial Blc'!E233</f>
        <v>7.0500000000000043</v>
      </c>
      <c r="G48" s="1526">
        <f>+'Trial Blc'!G233-'Trial Blc'!F233</f>
        <v>58.74</v>
      </c>
      <c r="H48" s="1526">
        <f>+'Trial Blc'!H233-'Trial Blc'!G233</f>
        <v>1.3400000000000034</v>
      </c>
      <c r="I48" s="1526">
        <f>+'Trial Blc'!I233-'Trial Blc'!H233</f>
        <v>6.5</v>
      </c>
      <c r="J48" s="1526">
        <f>+'Trial Blc'!J233-'Trial Blc'!I233</f>
        <v>-66.540000000000006</v>
      </c>
      <c r="K48" s="1526">
        <f>+'Trial Blc'!K233-'Trial Blc'!J233</f>
        <v>14.679999999999993</v>
      </c>
      <c r="L48" s="1526">
        <f>+'Trial Blc'!L233-'Trial Blc'!K233</f>
        <v>20.760000000000005</v>
      </c>
      <c r="M48" s="1526">
        <f>+'Trial Blc'!M233-'Trial Blc'!L233</f>
        <v>7.0600000000000023</v>
      </c>
      <c r="N48" s="1526">
        <f>+'Trial Blc'!N233-'Trial Blc'!M233</f>
        <v>24.58</v>
      </c>
      <c r="O48" s="1526">
        <f>+'Trial Blc'!O233-'Trial Blc'!N233</f>
        <v>-40.129999999999995</v>
      </c>
      <c r="P48" s="1526">
        <f t="shared" si="0"/>
        <v>76.34</v>
      </c>
      <c r="Q48" s="1526"/>
    </row>
    <row r="49" spans="2:17">
      <c r="B49" s="1538">
        <v>5855</v>
      </c>
      <c r="D49" s="1526">
        <f>+'Trial Blc'!D234</f>
        <v>0</v>
      </c>
      <c r="E49" s="1526">
        <f>+'Trial Blc'!E234-'Trial Blc'!D234</f>
        <v>51.62</v>
      </c>
      <c r="F49" s="1526">
        <f>+'Trial Blc'!F234-'Trial Blc'!E234</f>
        <v>14.130000000000003</v>
      </c>
      <c r="G49" s="1526">
        <f>+'Trial Blc'!G234-'Trial Blc'!F234</f>
        <v>40.010000000000005</v>
      </c>
      <c r="H49" s="1526">
        <f>+'Trial Blc'!H234-'Trial Blc'!G234</f>
        <v>0</v>
      </c>
      <c r="I49" s="1526">
        <f>+'Trial Blc'!I234-'Trial Blc'!H234</f>
        <v>37.959999999999994</v>
      </c>
      <c r="J49" s="1526">
        <f>+'Trial Blc'!J234-'Trial Blc'!I234</f>
        <v>26.02000000000001</v>
      </c>
      <c r="K49" s="1526">
        <f>+'Trial Blc'!K234-'Trial Blc'!J234</f>
        <v>0</v>
      </c>
      <c r="L49" s="1526">
        <f>+'Trial Blc'!L234-'Trial Blc'!K234</f>
        <v>25.739999999999981</v>
      </c>
      <c r="M49" s="1526">
        <f>+'Trial Blc'!M234-'Trial Blc'!L234</f>
        <v>52.980000000000018</v>
      </c>
      <c r="N49" s="1526">
        <f>+'Trial Blc'!N234-'Trial Blc'!M234</f>
        <v>26.960000000000008</v>
      </c>
      <c r="O49" s="1526">
        <f>+'Trial Blc'!O234-'Trial Blc'!N234</f>
        <v>30.769999999999982</v>
      </c>
      <c r="P49" s="1526">
        <f t="shared" si="0"/>
        <v>306.19</v>
      </c>
      <c r="Q49" s="1526"/>
    </row>
    <row r="50" spans="2:17">
      <c r="B50" s="1538">
        <v>5860</v>
      </c>
      <c r="D50" s="1526">
        <f>+'Trial Blc'!D235</f>
        <v>16.3</v>
      </c>
      <c r="E50" s="1526">
        <f>+'Trial Blc'!E235-'Trial Blc'!D235</f>
        <v>410.09999999999997</v>
      </c>
      <c r="F50" s="1526">
        <f>+'Trial Blc'!F235-'Trial Blc'!E235</f>
        <v>7.9000000000000341</v>
      </c>
      <c r="G50" s="1526">
        <f>+'Trial Blc'!G235-'Trial Blc'!F235</f>
        <v>255.44</v>
      </c>
      <c r="H50" s="1526">
        <f>+'Trial Blc'!H235-'Trial Blc'!G235</f>
        <v>173.75</v>
      </c>
      <c r="I50" s="1526">
        <f>+'Trial Blc'!I235-'Trial Blc'!H235</f>
        <v>508.98</v>
      </c>
      <c r="J50" s="1526">
        <f>+'Trial Blc'!J235-'Trial Blc'!I235</f>
        <v>539.38999999999987</v>
      </c>
      <c r="K50" s="1526">
        <f>+'Trial Blc'!K235-'Trial Blc'!J235</f>
        <v>16.660000000000082</v>
      </c>
      <c r="L50" s="1526">
        <f>+'Trial Blc'!L235-'Trial Blc'!K235</f>
        <v>258.52</v>
      </c>
      <c r="M50" s="1526">
        <f>+'Trial Blc'!M235-'Trial Blc'!L235</f>
        <v>77.880000000000109</v>
      </c>
      <c r="N50" s="1526">
        <f>+'Trial Blc'!N235-'Trial Blc'!M235</f>
        <v>509.5</v>
      </c>
      <c r="O50" s="1526">
        <f>+'Trial Blc'!O235-'Trial Blc'!N235</f>
        <v>201.50999999999976</v>
      </c>
      <c r="P50" s="1526">
        <f t="shared" si="0"/>
        <v>2975.93</v>
      </c>
      <c r="Q50" s="1526"/>
    </row>
    <row r="51" spans="2:17">
      <c r="B51" s="1538">
        <v>5865</v>
      </c>
      <c r="D51" s="1526">
        <f>+'Trial Blc'!D236</f>
        <v>0</v>
      </c>
      <c r="E51" s="1526">
        <f>+'Trial Blc'!E236-'Trial Blc'!D236</f>
        <v>8.51</v>
      </c>
      <c r="F51" s="1526">
        <f>+'Trial Blc'!F236-'Trial Blc'!E236</f>
        <v>3.59</v>
      </c>
      <c r="G51" s="1526">
        <f>+'Trial Blc'!G236-'Trial Blc'!F236</f>
        <v>13.37</v>
      </c>
      <c r="H51" s="1526">
        <f>+'Trial Blc'!H236-'Trial Blc'!G236</f>
        <v>5.0500000000000007</v>
      </c>
      <c r="I51" s="1526">
        <f>+'Trial Blc'!I236-'Trial Blc'!H236</f>
        <v>3.110000000000003</v>
      </c>
      <c r="J51" s="1526">
        <f>+'Trial Blc'!J236-'Trial Blc'!I236</f>
        <v>4.6499999999999986</v>
      </c>
      <c r="K51" s="1526">
        <f>+'Trial Blc'!K236-'Trial Blc'!J236</f>
        <v>7.43</v>
      </c>
      <c r="L51" s="1526">
        <f>+'Trial Blc'!L236-'Trial Blc'!K236</f>
        <v>15.699999999999996</v>
      </c>
      <c r="M51" s="1526">
        <f>+'Trial Blc'!M236-'Trial Blc'!L236</f>
        <v>15.36</v>
      </c>
      <c r="N51" s="1526">
        <f>+'Trial Blc'!N236-'Trial Blc'!M236</f>
        <v>16.14</v>
      </c>
      <c r="O51" s="1526">
        <f>+'Trial Blc'!O236-'Trial Blc'!N236</f>
        <v>3.8599999999999994</v>
      </c>
      <c r="P51" s="1526">
        <f t="shared" si="0"/>
        <v>96.77</v>
      </c>
      <c r="Q51" s="1526"/>
    </row>
    <row r="52" spans="2:17">
      <c r="B52" s="1538">
        <v>5870</v>
      </c>
      <c r="D52" s="1526">
        <f>+'Trial Blc'!D237</f>
        <v>98.13</v>
      </c>
      <c r="E52" s="1526">
        <f>+'Trial Blc'!E237-'Trial Blc'!D237</f>
        <v>30</v>
      </c>
      <c r="F52" s="1526">
        <f>+'Trial Blc'!F237-'Trial Blc'!E237</f>
        <v>0</v>
      </c>
      <c r="G52" s="1526">
        <f>+'Trial Blc'!G237-'Trial Blc'!F237</f>
        <v>0</v>
      </c>
      <c r="H52" s="1526">
        <f>+'Trial Blc'!H237-'Trial Blc'!G237</f>
        <v>2.1200000000000045</v>
      </c>
      <c r="I52" s="1526">
        <f>+'Trial Blc'!I237-'Trial Blc'!H237</f>
        <v>2.7299999999999898</v>
      </c>
      <c r="J52" s="1526">
        <f>+'Trial Blc'!J237-'Trial Blc'!I237</f>
        <v>0</v>
      </c>
      <c r="K52" s="1526">
        <f>+'Trial Blc'!K237-'Trial Blc'!J237</f>
        <v>0</v>
      </c>
      <c r="L52" s="1526">
        <f>+'Trial Blc'!L237-'Trial Blc'!K237</f>
        <v>0</v>
      </c>
      <c r="M52" s="1526">
        <f>+'Trial Blc'!M237-'Trial Blc'!L237</f>
        <v>1.8800000000000239</v>
      </c>
      <c r="N52" s="1526">
        <f>+'Trial Blc'!N237-'Trial Blc'!M237</f>
        <v>6.339999999999975</v>
      </c>
      <c r="O52" s="1526">
        <f>+'Trial Blc'!O237-'Trial Blc'!N237</f>
        <v>592.69000000000005</v>
      </c>
      <c r="P52" s="1526">
        <f t="shared" si="0"/>
        <v>733.8900000000001</v>
      </c>
      <c r="Q52" s="1526"/>
    </row>
    <row r="53" spans="2:17">
      <c r="B53" s="1538">
        <v>5875</v>
      </c>
      <c r="D53" s="1526">
        <f>+'Trial Blc'!D238</f>
        <v>33.770000000000003</v>
      </c>
      <c r="E53" s="1526">
        <f>+'Trial Blc'!E238-'Trial Blc'!D238</f>
        <v>13.909999999999997</v>
      </c>
      <c r="F53" s="1526">
        <f>+'Trial Blc'!F238-'Trial Blc'!E238</f>
        <v>5.7700000000000031</v>
      </c>
      <c r="G53" s="1526">
        <f>+'Trial Blc'!G238-'Trial Blc'!F238</f>
        <v>30.349999999999994</v>
      </c>
      <c r="H53" s="1526">
        <f>+'Trial Blc'!H238-'Trial Blc'!G238</f>
        <v>69.220000000000013</v>
      </c>
      <c r="I53" s="1526">
        <f>+'Trial Blc'!I238-'Trial Blc'!H238</f>
        <v>50.449999999999989</v>
      </c>
      <c r="J53" s="1526">
        <f>+'Trial Blc'!J238-'Trial Blc'!I238</f>
        <v>38.960000000000008</v>
      </c>
      <c r="K53" s="1526">
        <f>+'Trial Blc'!K238-'Trial Blc'!J238</f>
        <v>4.6200000000000045</v>
      </c>
      <c r="L53" s="1526">
        <f>+'Trial Blc'!L238-'Trial Blc'!K238</f>
        <v>41.539999999999964</v>
      </c>
      <c r="M53" s="1526">
        <f>+'Trial Blc'!M238-'Trial Blc'!L238</f>
        <v>40.020000000000039</v>
      </c>
      <c r="N53" s="1526">
        <f>+'Trial Blc'!N238-'Trial Blc'!M238</f>
        <v>28.490000000000009</v>
      </c>
      <c r="O53" s="1526">
        <f>+'Trial Blc'!O238-'Trial Blc'!N238</f>
        <v>39.870000000000005</v>
      </c>
      <c r="P53" s="1526">
        <f t="shared" si="0"/>
        <v>396.97</v>
      </c>
      <c r="Q53" s="1526"/>
    </row>
    <row r="54" spans="2:17">
      <c r="B54" s="1538">
        <v>5880</v>
      </c>
      <c r="D54" s="1526">
        <f>+'Trial Blc'!D239</f>
        <v>15.47</v>
      </c>
      <c r="E54" s="1526">
        <f>+'Trial Blc'!E239-'Trial Blc'!D239</f>
        <v>152.89000000000001</v>
      </c>
      <c r="F54" s="1526">
        <f>+'Trial Blc'!F239-'Trial Blc'!E239</f>
        <v>26.839999999999975</v>
      </c>
      <c r="G54" s="1526">
        <f>+'Trial Blc'!G239-'Trial Blc'!F239</f>
        <v>154.87</v>
      </c>
      <c r="H54" s="1526">
        <f>+'Trial Blc'!H239-'Trial Blc'!G239</f>
        <v>323.81</v>
      </c>
      <c r="I54" s="1526">
        <f>+'Trial Blc'!I239-'Trial Blc'!H239</f>
        <v>286.95000000000005</v>
      </c>
      <c r="J54" s="1526">
        <f>+'Trial Blc'!J239-'Trial Blc'!I239</f>
        <v>203.50999999999988</v>
      </c>
      <c r="K54" s="1526">
        <f>+'Trial Blc'!K239-'Trial Blc'!J239</f>
        <v>347.26</v>
      </c>
      <c r="L54" s="1526">
        <f>+'Trial Blc'!L239-'Trial Blc'!K239</f>
        <v>9.1900000000000546</v>
      </c>
      <c r="M54" s="1526">
        <f>+'Trial Blc'!M239-'Trial Blc'!L239</f>
        <v>366.05999999999995</v>
      </c>
      <c r="N54" s="1526">
        <f>+'Trial Blc'!N239-'Trial Blc'!M239</f>
        <v>99.440000000000055</v>
      </c>
      <c r="O54" s="1526">
        <f>+'Trial Blc'!O239-'Trial Blc'!N239</f>
        <v>34.1400000000001</v>
      </c>
      <c r="P54" s="1526">
        <f t="shared" si="0"/>
        <v>2020.43</v>
      </c>
      <c r="Q54" s="1526"/>
    </row>
    <row r="55" spans="2:17">
      <c r="B55" s="1538">
        <v>5885</v>
      </c>
      <c r="D55" s="1526">
        <f>+'Trial Blc'!D240</f>
        <v>0.42</v>
      </c>
      <c r="E55" s="1526">
        <f>+'Trial Blc'!E240-'Trial Blc'!D240</f>
        <v>6.66</v>
      </c>
      <c r="F55" s="1526">
        <f>+'Trial Blc'!F240-'Trial Blc'!E240</f>
        <v>79.81</v>
      </c>
      <c r="G55" s="1526">
        <f>+'Trial Blc'!G240-'Trial Blc'!F240</f>
        <v>0</v>
      </c>
      <c r="H55" s="1526">
        <f>+'Trial Blc'!H240-'Trial Blc'!G240</f>
        <v>2.0400000000000063</v>
      </c>
      <c r="I55" s="1526">
        <f>+'Trial Blc'!I240-'Trial Blc'!H240</f>
        <v>2.0999999999999943</v>
      </c>
      <c r="J55" s="1526">
        <f>+'Trial Blc'!J240-'Trial Blc'!I240</f>
        <v>59.240000000000009</v>
      </c>
      <c r="K55" s="1526">
        <f>+'Trial Blc'!K240-'Trial Blc'!J240</f>
        <v>55.569999999999993</v>
      </c>
      <c r="L55" s="1526">
        <f>+'Trial Blc'!L240-'Trial Blc'!K240</f>
        <v>11.849999999999994</v>
      </c>
      <c r="M55" s="1526">
        <f>+'Trial Blc'!M240-'Trial Blc'!L240</f>
        <v>0</v>
      </c>
      <c r="N55" s="1526">
        <f>+'Trial Blc'!N240-'Trial Blc'!M240</f>
        <v>17.939999999999998</v>
      </c>
      <c r="O55" s="1526">
        <f>+'Trial Blc'!O240-'Trial Blc'!N240</f>
        <v>0</v>
      </c>
      <c r="P55" s="1526">
        <f t="shared" si="0"/>
        <v>235.63</v>
      </c>
      <c r="Q55" s="1526"/>
    </row>
    <row r="56" spans="2:17">
      <c r="B56" s="1538">
        <v>5890</v>
      </c>
      <c r="D56" s="1526">
        <f>+'Trial Blc'!D241</f>
        <v>23.02</v>
      </c>
      <c r="E56" s="1526">
        <f>+'Trial Blc'!E241-'Trial Blc'!D241</f>
        <v>3.620000000000001</v>
      </c>
      <c r="F56" s="1526">
        <f>+'Trial Blc'!F241-'Trial Blc'!E241</f>
        <v>3.5999999999999979</v>
      </c>
      <c r="G56" s="1526">
        <f>+'Trial Blc'!G241-'Trial Blc'!F241</f>
        <v>3.600000000000005</v>
      </c>
      <c r="H56" s="1526">
        <f>+'Trial Blc'!H241-'Trial Blc'!G241</f>
        <v>3.5999999999999943</v>
      </c>
      <c r="I56" s="1526">
        <f>+'Trial Blc'!I241-'Trial Blc'!H241</f>
        <v>3.5900000000000034</v>
      </c>
      <c r="J56" s="1526">
        <f>+'Trial Blc'!J241-'Trial Blc'!I241</f>
        <v>3.9699999999999989</v>
      </c>
      <c r="K56" s="1526">
        <f>+'Trial Blc'!K241-'Trial Blc'!J241</f>
        <v>3.5900000000000034</v>
      </c>
      <c r="L56" s="1526">
        <f>+'Trial Blc'!L241-'Trial Blc'!K241</f>
        <v>3.5799999999999983</v>
      </c>
      <c r="M56" s="1526">
        <f>+'Trial Blc'!M241-'Trial Blc'!L241</f>
        <v>3.5799999999999983</v>
      </c>
      <c r="N56" s="1526">
        <f>+'Trial Blc'!N241-'Trial Blc'!M241</f>
        <v>3.5799999999999983</v>
      </c>
      <c r="O56" s="1526">
        <f>+'Trial Blc'!O241-'Trial Blc'!N241</f>
        <v>3.5700000000000003</v>
      </c>
      <c r="P56" s="1526">
        <f t="shared" si="0"/>
        <v>62.9</v>
      </c>
      <c r="Q56" s="1526"/>
    </row>
    <row r="57" spans="2:17">
      <c r="B57" s="1538">
        <v>5895</v>
      </c>
      <c r="D57" s="1526">
        <f>+'Trial Blc'!D242</f>
        <v>15.04</v>
      </c>
      <c r="E57" s="1526">
        <f>+'Trial Blc'!E242-'Trial Blc'!D242</f>
        <v>18.410000000000004</v>
      </c>
      <c r="F57" s="1526">
        <f>+'Trial Blc'!F242-'Trial Blc'!E242</f>
        <v>53.56</v>
      </c>
      <c r="G57" s="1526">
        <f>+'Trial Blc'!G242-'Trial Blc'!F242</f>
        <v>20.39</v>
      </c>
      <c r="H57" s="1526">
        <f>+'Trial Blc'!H242-'Trial Blc'!G242</f>
        <v>55.120000000000005</v>
      </c>
      <c r="I57" s="1526">
        <f>+'Trial Blc'!I242-'Trial Blc'!H242</f>
        <v>24.679999999999978</v>
      </c>
      <c r="J57" s="1526">
        <f>+'Trial Blc'!J242-'Trial Blc'!I242</f>
        <v>58.490000000000009</v>
      </c>
      <c r="K57" s="1526">
        <f>+'Trial Blc'!K242-'Trial Blc'!J242</f>
        <v>14.139999999999986</v>
      </c>
      <c r="L57" s="1526">
        <f>+'Trial Blc'!L242-'Trial Blc'!K242</f>
        <v>15.920000000000016</v>
      </c>
      <c r="M57" s="1526">
        <f>+'Trial Blc'!M242-'Trial Blc'!L242</f>
        <v>63.610000000000014</v>
      </c>
      <c r="N57" s="1526">
        <f>+'Trial Blc'!N242-'Trial Blc'!M242</f>
        <v>14.45999999999998</v>
      </c>
      <c r="O57" s="1526">
        <f>+'Trial Blc'!O242-'Trial Blc'!N242</f>
        <v>54.430000000000007</v>
      </c>
      <c r="P57" s="1526">
        <f t="shared" si="0"/>
        <v>408.25</v>
      </c>
      <c r="Q57" s="1526"/>
    </row>
    <row r="58" spans="2:17">
      <c r="B58" s="1538">
        <v>5900</v>
      </c>
      <c r="D58" s="1526">
        <f>+'Trial Blc'!D243</f>
        <v>26.43</v>
      </c>
      <c r="E58" s="1526">
        <f>+'Trial Blc'!E243-'Trial Blc'!D243</f>
        <v>6.9699999999999989</v>
      </c>
      <c r="F58" s="1526">
        <f>+'Trial Blc'!F243-'Trial Blc'!E243</f>
        <v>62.43</v>
      </c>
      <c r="G58" s="1526">
        <f>+'Trial Blc'!G243-'Trial Blc'!F243</f>
        <v>8.710000000000008</v>
      </c>
      <c r="H58" s="1526">
        <f>+'Trial Blc'!H243-'Trial Blc'!G243</f>
        <v>36.64</v>
      </c>
      <c r="I58" s="1526">
        <f>+'Trial Blc'!I243-'Trial Blc'!H243</f>
        <v>9.1699999999999875</v>
      </c>
      <c r="J58" s="1526">
        <f>+'Trial Blc'!J243-'Trial Blc'!I243</f>
        <v>-257.47000000000003</v>
      </c>
      <c r="K58" s="1526">
        <f>+'Trial Blc'!K243-'Trial Blc'!J243</f>
        <v>16.290000000000006</v>
      </c>
      <c r="L58" s="1526">
        <f>+'Trial Blc'!L243-'Trial Blc'!K243</f>
        <v>19.709999999999994</v>
      </c>
      <c r="M58" s="1526">
        <f>+'Trial Blc'!M243-'Trial Blc'!L243</f>
        <v>29.130000000000003</v>
      </c>
      <c r="N58" s="1526">
        <f>+'Trial Blc'!N243-'Trial Blc'!M243</f>
        <v>303.89</v>
      </c>
      <c r="O58" s="1526">
        <f>+'Trial Blc'!O243-'Trial Blc'!N243</f>
        <v>68.29000000000002</v>
      </c>
      <c r="P58" s="1526">
        <f t="shared" si="0"/>
        <v>330.19</v>
      </c>
      <c r="Q58" s="1526"/>
    </row>
    <row r="59" spans="2:17">
      <c r="B59" s="1538">
        <v>5930</v>
      </c>
      <c r="D59" s="1526">
        <f>+'Trial Blc'!D244</f>
        <v>88.25</v>
      </c>
      <c r="E59" s="1526">
        <f>+'Trial Blc'!E244-'Trial Blc'!D244</f>
        <v>82.669999999999987</v>
      </c>
      <c r="F59" s="1526">
        <f>+'Trial Blc'!F244-'Trial Blc'!E244</f>
        <v>80.740000000000009</v>
      </c>
      <c r="G59" s="1526">
        <f>+'Trial Blc'!G244-'Trial Blc'!F244</f>
        <v>82.6</v>
      </c>
      <c r="H59" s="1526">
        <f>+'Trial Blc'!H244-'Trial Blc'!G244</f>
        <v>73.660000000000025</v>
      </c>
      <c r="I59" s="1526">
        <f>+'Trial Blc'!I244-'Trial Blc'!H244</f>
        <v>83.82</v>
      </c>
      <c r="J59" s="1526">
        <f>+'Trial Blc'!J244-'Trial Blc'!I244</f>
        <v>86.5</v>
      </c>
      <c r="K59" s="1526">
        <f>+'Trial Blc'!K244-'Trial Blc'!J244</f>
        <v>91.13</v>
      </c>
      <c r="L59" s="1526">
        <f>+'Trial Blc'!L244-'Trial Blc'!K244</f>
        <v>87.139999999999986</v>
      </c>
      <c r="M59" s="1526">
        <f>+'Trial Blc'!M244-'Trial Blc'!L244</f>
        <v>75.419999999999959</v>
      </c>
      <c r="N59" s="1526">
        <f>+'Trial Blc'!N244-'Trial Blc'!M244</f>
        <v>71.62</v>
      </c>
      <c r="O59" s="1526">
        <f>+'Trial Blc'!O244-'Trial Blc'!N244</f>
        <v>71.63</v>
      </c>
      <c r="P59" s="1526">
        <f t="shared" si="0"/>
        <v>975.18</v>
      </c>
      <c r="Q59" s="1526"/>
    </row>
    <row r="60" spans="2:17">
      <c r="B60" s="1538">
        <v>5935</v>
      </c>
      <c r="D60" s="1526">
        <f>+'Trial Blc'!D245</f>
        <v>26.96</v>
      </c>
      <c r="E60" s="1526">
        <f>+'Trial Blc'!E245-'Trial Blc'!D245</f>
        <v>13.61</v>
      </c>
      <c r="F60" s="1526">
        <f>+'Trial Blc'!F245-'Trial Blc'!E245</f>
        <v>12.119999999999997</v>
      </c>
      <c r="G60" s="1526">
        <f>+'Trial Blc'!G245-'Trial Blc'!F245</f>
        <v>6.43</v>
      </c>
      <c r="H60" s="1526">
        <f>+'Trial Blc'!H245-'Trial Blc'!G245</f>
        <v>3.6400000000000006</v>
      </c>
      <c r="I60" s="1526">
        <f>+'Trial Blc'!I245-'Trial Blc'!H245</f>
        <v>2.7500000000000071</v>
      </c>
      <c r="J60" s="1526">
        <f>+'Trial Blc'!J245-'Trial Blc'!I245</f>
        <v>1.1299999999999955</v>
      </c>
      <c r="K60" s="1526">
        <f>+'Trial Blc'!K245-'Trial Blc'!J245</f>
        <v>1.1799999999999926</v>
      </c>
      <c r="L60" s="1526">
        <f>+'Trial Blc'!L245-'Trial Blc'!K245</f>
        <v>0</v>
      </c>
      <c r="M60" s="1526">
        <f>+'Trial Blc'!M245-'Trial Blc'!L245</f>
        <v>2.4200000000000017</v>
      </c>
      <c r="N60" s="1526">
        <f>+'Trial Blc'!N245-'Trial Blc'!M245</f>
        <v>0</v>
      </c>
      <c r="O60" s="1526">
        <f>+'Trial Blc'!O245-'Trial Blc'!N245</f>
        <v>4.7400000000000091</v>
      </c>
      <c r="P60" s="1526">
        <f t="shared" si="0"/>
        <v>74.98</v>
      </c>
      <c r="Q60" s="1526"/>
    </row>
    <row r="61" spans="2:17">
      <c r="B61" s="1538">
        <v>5940</v>
      </c>
      <c r="D61" s="1526">
        <f>+'Trial Blc'!D246</f>
        <v>0</v>
      </c>
      <c r="E61" s="1526">
        <f>+'Trial Blc'!E246-'Trial Blc'!D246</f>
        <v>4.3</v>
      </c>
      <c r="F61" s="1526">
        <f>+'Trial Blc'!F246-'Trial Blc'!E246</f>
        <v>0</v>
      </c>
      <c r="G61" s="1526">
        <f>+'Trial Blc'!G246-'Trial Blc'!F246</f>
        <v>0</v>
      </c>
      <c r="H61" s="1526">
        <f>+'Trial Blc'!H246-'Trial Blc'!G246</f>
        <v>5.86</v>
      </c>
      <c r="I61" s="1526">
        <f>+'Trial Blc'!I246-'Trial Blc'!H246</f>
        <v>0</v>
      </c>
      <c r="J61" s="1526">
        <f>+'Trial Blc'!J246-'Trial Blc'!I246</f>
        <v>0</v>
      </c>
      <c r="K61" s="1526">
        <f>+'Trial Blc'!K246-'Trial Blc'!J246</f>
        <v>5.43</v>
      </c>
      <c r="L61" s="1526">
        <f>+'Trial Blc'!L246-'Trial Blc'!K246</f>
        <v>0</v>
      </c>
      <c r="M61" s="1526">
        <f>+'Trial Blc'!M246-'Trial Blc'!L246</f>
        <v>0</v>
      </c>
      <c r="N61" s="1526">
        <f>+'Trial Blc'!N246-'Trial Blc'!M246</f>
        <v>4.5500000000000007</v>
      </c>
      <c r="O61" s="1526">
        <f>+'Trial Blc'!O246-'Trial Blc'!N246</f>
        <v>-0.42999999999999972</v>
      </c>
      <c r="P61" s="1526">
        <f t="shared" si="0"/>
        <v>19.71</v>
      </c>
      <c r="Q61" s="1526"/>
    </row>
    <row r="62" spans="2:17">
      <c r="B62" s="1538">
        <v>5945</v>
      </c>
      <c r="D62" s="1526">
        <f>+'Trial Blc'!D247</f>
        <v>1171.67</v>
      </c>
      <c r="E62" s="1526">
        <f>+'Trial Blc'!E247-'Trial Blc'!D247</f>
        <v>1272.8800000000001</v>
      </c>
      <c r="F62" s="1526">
        <f>+'Trial Blc'!F247-'Trial Blc'!E247</f>
        <v>1337.5899999999997</v>
      </c>
      <c r="G62" s="1526">
        <f>+'Trial Blc'!G247-'Trial Blc'!F247</f>
        <v>1327.2100000000005</v>
      </c>
      <c r="H62" s="1526">
        <f>+'Trial Blc'!H247-'Trial Blc'!G247</f>
        <v>1306.96</v>
      </c>
      <c r="I62" s="1526">
        <f>+'Trial Blc'!I247-'Trial Blc'!H247</f>
        <v>1312.21</v>
      </c>
      <c r="J62" s="1526">
        <f>+'Trial Blc'!J247-'Trial Blc'!I247</f>
        <v>1315.7199999999993</v>
      </c>
      <c r="K62" s="1526">
        <f>+'Trial Blc'!K247-'Trial Blc'!J247</f>
        <v>1236.9099999999999</v>
      </c>
      <c r="L62" s="1526">
        <f>+'Trial Blc'!L247-'Trial Blc'!K247</f>
        <v>1200.5</v>
      </c>
      <c r="M62" s="1526">
        <f>+'Trial Blc'!M247-'Trial Blc'!L247</f>
        <v>1259.67</v>
      </c>
      <c r="N62" s="1526">
        <f>+'Trial Blc'!N247-'Trial Blc'!M247</f>
        <v>1192.3199999999997</v>
      </c>
      <c r="O62" s="1526">
        <f>+'Trial Blc'!O247-'Trial Blc'!N247</f>
        <v>1227.1900000000005</v>
      </c>
      <c r="P62" s="1526">
        <f t="shared" si="0"/>
        <v>15160.83</v>
      </c>
      <c r="Q62" s="1526"/>
    </row>
    <row r="63" spans="2:17">
      <c r="B63" s="1538">
        <v>5950</v>
      </c>
      <c r="D63" s="1526">
        <f>+'Trial Blc'!D248</f>
        <v>944.65</v>
      </c>
      <c r="E63" s="1526">
        <f>+'Trial Blc'!E248-'Trial Blc'!D248</f>
        <v>920.00000000000011</v>
      </c>
      <c r="F63" s="1526">
        <f>+'Trial Blc'!F248-'Trial Blc'!E248</f>
        <v>886.79999999999973</v>
      </c>
      <c r="G63" s="1526">
        <f>+'Trial Blc'!G248-'Trial Blc'!F248</f>
        <v>885.88000000000011</v>
      </c>
      <c r="H63" s="1526">
        <f>+'Trial Blc'!H248-'Trial Blc'!G248</f>
        <v>880.89999999999964</v>
      </c>
      <c r="I63" s="1526">
        <f>+'Trial Blc'!I248-'Trial Blc'!H248</f>
        <v>892.05000000000018</v>
      </c>
      <c r="J63" s="1526">
        <f>+'Trial Blc'!J248-'Trial Blc'!I248</f>
        <v>938</v>
      </c>
      <c r="K63" s="1526">
        <f>+'Trial Blc'!K248-'Trial Blc'!J248</f>
        <v>988.61000000000058</v>
      </c>
      <c r="L63" s="1526">
        <f>+'Trial Blc'!L248-'Trial Blc'!K248</f>
        <v>1022.21</v>
      </c>
      <c r="M63" s="1526">
        <f>+'Trial Blc'!M248-'Trial Blc'!L248</f>
        <v>1038.0499999999993</v>
      </c>
      <c r="N63" s="1526">
        <f>+'Trial Blc'!N248-'Trial Blc'!M248</f>
        <v>1013.630000000001</v>
      </c>
      <c r="O63" s="1526">
        <f>+'Trial Blc'!O248-'Trial Blc'!N248</f>
        <v>2008.7799999999988</v>
      </c>
      <c r="P63" s="1526">
        <f t="shared" si="0"/>
        <v>12419.56</v>
      </c>
      <c r="Q63" s="1526"/>
    </row>
    <row r="64" spans="2:17">
      <c r="B64" s="1538">
        <v>5955</v>
      </c>
      <c r="D64" s="1526">
        <f>+'Trial Blc'!D249</f>
        <v>21.01</v>
      </c>
      <c r="E64" s="1526">
        <f>+'Trial Blc'!E249-'Trial Blc'!D249</f>
        <v>29.37</v>
      </c>
      <c r="F64" s="1526">
        <f>+'Trial Blc'!F249-'Trial Blc'!E249</f>
        <v>20.9</v>
      </c>
      <c r="G64" s="1526">
        <f>+'Trial Blc'!G249-'Trial Blc'!F249</f>
        <v>20.879999999999995</v>
      </c>
      <c r="H64" s="1526">
        <f>+'Trial Blc'!H249-'Trial Blc'!G249</f>
        <v>20.850000000000009</v>
      </c>
      <c r="I64" s="1526">
        <f>+'Trial Blc'!I249-'Trial Blc'!H249</f>
        <v>136.37</v>
      </c>
      <c r="J64" s="1526">
        <f>+'Trial Blc'!J249-'Trial Blc'!I249</f>
        <v>90.82</v>
      </c>
      <c r="K64" s="1526">
        <f>+'Trial Blc'!K249-'Trial Blc'!J249</f>
        <v>29.100000000000023</v>
      </c>
      <c r="L64" s="1526">
        <f>+'Trial Blc'!L249-'Trial Blc'!K249</f>
        <v>20.769999999999982</v>
      </c>
      <c r="M64" s="1526">
        <f>+'Trial Blc'!M249-'Trial Blc'!L249</f>
        <v>162.07</v>
      </c>
      <c r="N64" s="1526">
        <f>+'Trial Blc'!N249-'Trial Blc'!M249</f>
        <v>20.730000000000018</v>
      </c>
      <c r="O64" s="1526">
        <f>+'Trial Blc'!O249-'Trial Blc'!N249</f>
        <v>102.82000000000005</v>
      </c>
      <c r="P64" s="1526">
        <f t="shared" si="0"/>
        <v>675.69</v>
      </c>
      <c r="Q64" s="1526"/>
    </row>
    <row r="65" spans="2:17">
      <c r="B65" s="1538">
        <v>5960</v>
      </c>
      <c r="D65" s="1526">
        <f>+'Trial Blc'!D250</f>
        <v>70.650000000000006</v>
      </c>
      <c r="E65" s="1526">
        <f>+'Trial Blc'!E250-'Trial Blc'!D250</f>
        <v>4.5699999999999932</v>
      </c>
      <c r="F65" s="1526">
        <f>+'Trial Blc'!F250-'Trial Blc'!E250</f>
        <v>653.42999999999995</v>
      </c>
      <c r="G65" s="1526">
        <f>+'Trial Blc'!G250-'Trial Blc'!F250</f>
        <v>267.32000000000005</v>
      </c>
      <c r="H65" s="1526">
        <f>+'Trial Blc'!H250-'Trial Blc'!G250</f>
        <v>0</v>
      </c>
      <c r="I65" s="1526">
        <f>+'Trial Blc'!I250-'Trial Blc'!H250</f>
        <v>217.44000000000005</v>
      </c>
      <c r="J65" s="1526">
        <f>+'Trial Blc'!J250-'Trial Blc'!I250</f>
        <v>262.54999999999995</v>
      </c>
      <c r="K65" s="1526">
        <f>+'Trial Blc'!K250-'Trial Blc'!J250</f>
        <v>217.44000000000005</v>
      </c>
      <c r="L65" s="1526">
        <f>+'Trial Blc'!L250-'Trial Blc'!K250</f>
        <v>0</v>
      </c>
      <c r="M65" s="1526">
        <f>+'Trial Blc'!M250-'Trial Blc'!L250</f>
        <v>479.69000000000005</v>
      </c>
      <c r="N65" s="1526">
        <f>+'Trial Blc'!N250-'Trial Blc'!M250</f>
        <v>219.57999999999993</v>
      </c>
      <c r="O65" s="1526">
        <f>+'Trial Blc'!O250-'Trial Blc'!N250</f>
        <v>0</v>
      </c>
      <c r="P65" s="1526">
        <f t="shared" si="0"/>
        <v>2392.67</v>
      </c>
      <c r="Q65" s="1526"/>
    </row>
    <row r="66" spans="2:17">
      <c r="B66" s="1538">
        <v>5965</v>
      </c>
      <c r="D66" s="1526">
        <f>+'Trial Blc'!D251</f>
        <v>41</v>
      </c>
      <c r="E66" s="1526">
        <f>+'Trial Blc'!E251-'Trial Blc'!D251</f>
        <v>63.510000000000005</v>
      </c>
      <c r="F66" s="1526">
        <f>+'Trial Blc'!F251-'Trial Blc'!E251</f>
        <v>91.2</v>
      </c>
      <c r="G66" s="1526">
        <f>+'Trial Blc'!G251-'Trial Blc'!F251</f>
        <v>544.31999999999994</v>
      </c>
      <c r="H66" s="1526">
        <f>+'Trial Blc'!H251-'Trial Blc'!G251</f>
        <v>110.08000000000004</v>
      </c>
      <c r="I66" s="1526">
        <f>+'Trial Blc'!I251-'Trial Blc'!H251</f>
        <v>122.03999999999996</v>
      </c>
      <c r="J66" s="1526">
        <f>+'Trial Blc'!J251-'Trial Blc'!I251</f>
        <v>47.029999999999973</v>
      </c>
      <c r="K66" s="1526">
        <f>+'Trial Blc'!K251-'Trial Blc'!J251</f>
        <v>124.83000000000004</v>
      </c>
      <c r="L66" s="1526">
        <f>+'Trial Blc'!L251-'Trial Blc'!K251</f>
        <v>112.02999999999997</v>
      </c>
      <c r="M66" s="1526">
        <f>+'Trial Blc'!M251-'Trial Blc'!L251</f>
        <v>91.840000000000146</v>
      </c>
      <c r="N66" s="1526">
        <f>+'Trial Blc'!N251-'Trial Blc'!M251</f>
        <v>145.32999999999993</v>
      </c>
      <c r="O66" s="1526">
        <f>+'Trial Blc'!O251-'Trial Blc'!N251</f>
        <v>101.96000000000004</v>
      </c>
      <c r="P66" s="1526">
        <f t="shared" si="0"/>
        <v>1595.17</v>
      </c>
      <c r="Q66" s="1526"/>
    </row>
    <row r="67" spans="2:17">
      <c r="B67" s="1538">
        <v>5970</v>
      </c>
      <c r="D67" s="1526">
        <f>+'Trial Blc'!D252</f>
        <v>51.2</v>
      </c>
      <c r="E67" s="1526">
        <f>+'Trial Blc'!E252-'Trial Blc'!D252</f>
        <v>50.86</v>
      </c>
      <c r="F67" s="1526">
        <f>+'Trial Blc'!F252-'Trial Blc'!E252</f>
        <v>50.72999999999999</v>
      </c>
      <c r="G67" s="1526">
        <f>+'Trial Blc'!G252-'Trial Blc'!F252</f>
        <v>50.800000000000011</v>
      </c>
      <c r="H67" s="1526">
        <f>+'Trial Blc'!H252-'Trial Blc'!G252</f>
        <v>50.72999999999999</v>
      </c>
      <c r="I67" s="1526">
        <f>+'Trial Blc'!I252-'Trial Blc'!H252</f>
        <v>50.70999999999998</v>
      </c>
      <c r="J67" s="1526">
        <f>+'Trial Blc'!J252-'Trial Blc'!I252</f>
        <v>50.660000000000025</v>
      </c>
      <c r="K67" s="1526">
        <f>+'Trial Blc'!K252-'Trial Blc'!J252</f>
        <v>50.589999999999975</v>
      </c>
      <c r="L67" s="1526">
        <f>+'Trial Blc'!L252-'Trial Blc'!K252</f>
        <v>50.29000000000002</v>
      </c>
      <c r="M67" s="1526">
        <f>+'Trial Blc'!M252-'Trial Blc'!L252</f>
        <v>50.269999999999982</v>
      </c>
      <c r="N67" s="1526">
        <f>+'Trial Blc'!N252-'Trial Blc'!M252</f>
        <v>80.300000000000011</v>
      </c>
      <c r="O67" s="1526">
        <f>+'Trial Blc'!O252-'Trial Blc'!N252</f>
        <v>50.159999999999968</v>
      </c>
      <c r="P67" s="1526">
        <f t="shared" si="0"/>
        <v>637.29999999999995</v>
      </c>
      <c r="Q67" s="1526"/>
    </row>
    <row r="68" spans="2:17">
      <c r="B68" s="1538">
        <v>5975</v>
      </c>
      <c r="D68" s="1526">
        <f>+'Trial Blc'!D253</f>
        <v>0</v>
      </c>
      <c r="E68" s="1526">
        <f>+'Trial Blc'!E253-'Trial Blc'!D253</f>
        <v>15.51</v>
      </c>
      <c r="F68" s="1526">
        <f>+'Trial Blc'!F253-'Trial Blc'!E253</f>
        <v>-13.43</v>
      </c>
      <c r="G68" s="1526">
        <f>+'Trial Blc'!G253-'Trial Blc'!F253</f>
        <v>0</v>
      </c>
      <c r="H68" s="1526">
        <f>+'Trial Blc'!H253-'Trial Blc'!G253</f>
        <v>32.89</v>
      </c>
      <c r="I68" s="1526">
        <f>+'Trial Blc'!I253-'Trial Blc'!H253</f>
        <v>0</v>
      </c>
      <c r="J68" s="1526">
        <f>+'Trial Blc'!J253-'Trial Blc'!I253</f>
        <v>21.230000000000004</v>
      </c>
      <c r="K68" s="1526">
        <f>+'Trial Blc'!K253-'Trial Blc'!J253</f>
        <v>18.739999999999995</v>
      </c>
      <c r="L68" s="1526">
        <f>+'Trial Blc'!L253-'Trial Blc'!K253</f>
        <v>0</v>
      </c>
      <c r="M68" s="1526">
        <f>+'Trial Blc'!M253-'Trial Blc'!L253</f>
        <v>0</v>
      </c>
      <c r="N68" s="1526">
        <f>+'Trial Blc'!N253-'Trial Blc'!M253</f>
        <v>91.56</v>
      </c>
      <c r="O68" s="1526">
        <f>+'Trial Blc'!O253-'Trial Blc'!N253</f>
        <v>0</v>
      </c>
      <c r="P68" s="1526">
        <f t="shared" ref="P68:P113" si="1">SUM(D68:O68)</f>
        <v>166.5</v>
      </c>
      <c r="Q68" s="1526"/>
    </row>
    <row r="69" spans="2:17">
      <c r="B69" s="1538">
        <v>5980</v>
      </c>
      <c r="D69" s="1526">
        <f>+'Trial Blc'!D254</f>
        <v>0</v>
      </c>
      <c r="E69" s="1526">
        <f>+'Trial Blc'!E254-'Trial Blc'!D254</f>
        <v>0</v>
      </c>
      <c r="F69" s="1526">
        <f>+'Trial Blc'!F254-'Trial Blc'!E254</f>
        <v>0.67</v>
      </c>
      <c r="G69" s="1526">
        <f>+'Trial Blc'!G254-'Trial Blc'!F254</f>
        <v>0</v>
      </c>
      <c r="H69" s="1526">
        <f>+'Trial Blc'!H254-'Trial Blc'!G254</f>
        <v>0</v>
      </c>
      <c r="I69" s="1526">
        <f>+'Trial Blc'!I254-'Trial Blc'!H254</f>
        <v>0.66</v>
      </c>
      <c r="J69" s="1526">
        <f>+'Trial Blc'!J254-'Trial Blc'!I254</f>
        <v>0</v>
      </c>
      <c r="K69" s="1526">
        <f>+'Trial Blc'!K254-'Trial Blc'!J254</f>
        <v>0</v>
      </c>
      <c r="L69" s="1526">
        <f>+'Trial Blc'!L254-'Trial Blc'!K254</f>
        <v>0.53</v>
      </c>
      <c r="M69" s="1526">
        <f>+'Trial Blc'!M254-'Trial Blc'!L254</f>
        <v>0</v>
      </c>
      <c r="N69" s="1526">
        <f>+'Trial Blc'!N254-'Trial Blc'!M254</f>
        <v>0</v>
      </c>
      <c r="O69" s="1526">
        <f>+'Trial Blc'!O254-'Trial Blc'!N254</f>
        <v>-98.8</v>
      </c>
      <c r="P69" s="1526">
        <f t="shared" si="1"/>
        <v>-96.94</v>
      </c>
      <c r="Q69" s="1526"/>
    </row>
    <row r="70" spans="2:17">
      <c r="B70" s="1538">
        <v>6010</v>
      </c>
      <c r="D70" s="1526">
        <f>+'Trial Blc'!D255</f>
        <v>274.2</v>
      </c>
      <c r="E70" s="1526">
        <f>+'Trial Blc'!E255-'Trial Blc'!D255</f>
        <v>285.08999999999997</v>
      </c>
      <c r="F70" s="1526">
        <f>+'Trial Blc'!F255-'Trial Blc'!E255</f>
        <v>273.31000000000006</v>
      </c>
      <c r="G70" s="1526">
        <f>+'Trial Blc'!G255-'Trial Blc'!F255</f>
        <v>271.7299999999999</v>
      </c>
      <c r="H70" s="1526">
        <f>+'Trial Blc'!H255-'Trial Blc'!G255</f>
        <v>271.3900000000001</v>
      </c>
      <c r="I70" s="1526">
        <f>+'Trial Blc'!I255-'Trial Blc'!H255</f>
        <v>271.43000000000006</v>
      </c>
      <c r="J70" s="1526">
        <f>+'Trial Blc'!J255-'Trial Blc'!I255</f>
        <v>393.79999999999995</v>
      </c>
      <c r="K70" s="1526">
        <f>+'Trial Blc'!K255-'Trial Blc'!J255</f>
        <v>393.24</v>
      </c>
      <c r="L70" s="1526">
        <f>+'Trial Blc'!L255-'Trial Blc'!K255</f>
        <v>389.57999999999993</v>
      </c>
      <c r="M70" s="1526">
        <f>+'Trial Blc'!M255-'Trial Blc'!L255</f>
        <v>389.49000000000024</v>
      </c>
      <c r="N70" s="1526">
        <f>+'Trial Blc'!N255-'Trial Blc'!M255</f>
        <v>534.02999999999975</v>
      </c>
      <c r="O70" s="1526">
        <f>+'Trial Blc'!O255-'Trial Blc'!N255</f>
        <v>573.48999999999978</v>
      </c>
      <c r="P70" s="1526">
        <f t="shared" si="1"/>
        <v>4320.78</v>
      </c>
      <c r="Q70" s="1526"/>
    </row>
    <row r="71" spans="2:17">
      <c r="B71" s="1538">
        <v>6015</v>
      </c>
      <c r="D71" s="1526">
        <f>+'Trial Blc'!D256</f>
        <v>2.0299999999999998</v>
      </c>
      <c r="E71" s="1526">
        <f>+'Trial Blc'!E256-'Trial Blc'!D256</f>
        <v>0.2200000000000002</v>
      </c>
      <c r="F71" s="1526">
        <f>+'Trial Blc'!F256-'Trial Blc'!E256</f>
        <v>1.62</v>
      </c>
      <c r="G71" s="1526">
        <f>+'Trial Blc'!G256-'Trial Blc'!F256</f>
        <v>0</v>
      </c>
      <c r="H71" s="1526">
        <f>+'Trial Blc'!H256-'Trial Blc'!G256</f>
        <v>0.30999999999999961</v>
      </c>
      <c r="I71" s="1526">
        <f>+'Trial Blc'!I256-'Trial Blc'!H256</f>
        <v>0</v>
      </c>
      <c r="J71" s="1526">
        <f>+'Trial Blc'!J256-'Trial Blc'!I256</f>
        <v>0.3100000000000005</v>
      </c>
      <c r="K71" s="1526">
        <f>+'Trial Blc'!K256-'Trial Blc'!J256</f>
        <v>0</v>
      </c>
      <c r="L71" s="1526">
        <f>+'Trial Blc'!L256-'Trial Blc'!K256</f>
        <v>0.29999999999999982</v>
      </c>
      <c r="M71" s="1526">
        <f>+'Trial Blc'!M256-'Trial Blc'!L256</f>
        <v>0</v>
      </c>
      <c r="N71" s="1526">
        <f>+'Trial Blc'!N256-'Trial Blc'!M256</f>
        <v>14.54</v>
      </c>
      <c r="O71" s="1526">
        <f>+'Trial Blc'!O256-'Trial Blc'!N256</f>
        <v>0</v>
      </c>
      <c r="P71" s="1526">
        <f t="shared" si="1"/>
        <v>19.329999999999998</v>
      </c>
      <c r="Q71" s="1526"/>
    </row>
    <row r="72" spans="2:17">
      <c r="B72" s="1538">
        <v>6020</v>
      </c>
      <c r="D72" s="1526">
        <f>+'Trial Blc'!D257</f>
        <v>0</v>
      </c>
      <c r="E72" s="1526">
        <f>+'Trial Blc'!E257-'Trial Blc'!D257</f>
        <v>0</v>
      </c>
      <c r="F72" s="1526">
        <f>+'Trial Blc'!F257-'Trial Blc'!E257</f>
        <v>0</v>
      </c>
      <c r="G72" s="1526">
        <f>+'Trial Blc'!G257-'Trial Blc'!F257</f>
        <v>0</v>
      </c>
      <c r="H72" s="1526">
        <f>+'Trial Blc'!H257-'Trial Blc'!G257</f>
        <v>0</v>
      </c>
      <c r="I72" s="1526">
        <f>+'Trial Blc'!I257-'Trial Blc'!H257</f>
        <v>0</v>
      </c>
      <c r="J72" s="1526">
        <f>+'Trial Blc'!J257-'Trial Blc'!I257</f>
        <v>0</v>
      </c>
      <c r="K72" s="1526">
        <f>+'Trial Blc'!K257-'Trial Blc'!J257</f>
        <v>151.56</v>
      </c>
      <c r="L72" s="1526">
        <f>+'Trial Blc'!L257-'Trial Blc'!K257</f>
        <v>-151.42000000000002</v>
      </c>
      <c r="M72" s="1526">
        <f>+'Trial Blc'!M257-'Trial Blc'!L257</f>
        <v>0</v>
      </c>
      <c r="N72" s="1526">
        <f>+'Trial Blc'!N257-'Trial Blc'!M257</f>
        <v>2380.2000000000003</v>
      </c>
      <c r="O72" s="1526">
        <f>+'Trial Blc'!O257-'Trial Blc'!N257</f>
        <v>4425.6399999999994</v>
      </c>
      <c r="P72" s="1526">
        <f t="shared" si="1"/>
        <v>6805.98</v>
      </c>
      <c r="Q72" s="1526"/>
    </row>
    <row r="73" spans="2:17">
      <c r="B73" s="1538">
        <v>6025</v>
      </c>
      <c r="D73" s="1526">
        <f>+'Trial Blc'!D258</f>
        <v>0</v>
      </c>
      <c r="E73" s="1526">
        <f>+'Trial Blc'!E258-'Trial Blc'!D258</f>
        <v>7.44</v>
      </c>
      <c r="F73" s="1526">
        <f>+'Trial Blc'!F258-'Trial Blc'!E258</f>
        <v>0</v>
      </c>
      <c r="G73" s="1526">
        <f>+'Trial Blc'!G258-'Trial Blc'!F258</f>
        <v>0</v>
      </c>
      <c r="H73" s="1526">
        <f>+'Trial Blc'!H258-'Trial Blc'!G258</f>
        <v>0</v>
      </c>
      <c r="I73" s="1526">
        <f>+'Trial Blc'!I258-'Trial Blc'!H258</f>
        <v>0</v>
      </c>
      <c r="J73" s="1526">
        <f>+'Trial Blc'!J258-'Trial Blc'!I258</f>
        <v>0</v>
      </c>
      <c r="K73" s="1526">
        <f>+'Trial Blc'!K258-'Trial Blc'!J258</f>
        <v>-310.89999999999998</v>
      </c>
      <c r="L73" s="1526">
        <f>+'Trial Blc'!L258-'Trial Blc'!K258</f>
        <v>0</v>
      </c>
      <c r="M73" s="1526">
        <f>+'Trial Blc'!M258-'Trial Blc'!L258</f>
        <v>26.70999999999998</v>
      </c>
      <c r="N73" s="1526">
        <f>+'Trial Blc'!N258-'Trial Blc'!M258</f>
        <v>0</v>
      </c>
      <c r="O73" s="1526">
        <f>+'Trial Blc'!O258-'Trial Blc'!N258</f>
        <v>168.91</v>
      </c>
      <c r="P73" s="1526">
        <f t="shared" si="1"/>
        <v>-107.84</v>
      </c>
      <c r="Q73" s="1526"/>
    </row>
    <row r="74" spans="2:17">
      <c r="B74" s="1538">
        <v>6035</v>
      </c>
      <c r="D74" s="1526">
        <f>+'Trial Blc'!D259</f>
        <v>145.77000000000001</v>
      </c>
      <c r="E74" s="1526">
        <f>+'Trial Blc'!E259-'Trial Blc'!D259</f>
        <v>84.35</v>
      </c>
      <c r="F74" s="1526">
        <f>+'Trial Blc'!F259-'Trial Blc'!E259</f>
        <v>86.04000000000002</v>
      </c>
      <c r="G74" s="1526">
        <f>+'Trial Blc'!G259-'Trial Blc'!F259</f>
        <v>109.33999999999997</v>
      </c>
      <c r="H74" s="1526">
        <f>+'Trial Blc'!H259-'Trial Blc'!G259</f>
        <v>88.350000000000023</v>
      </c>
      <c r="I74" s="1526">
        <f>+'Trial Blc'!I259-'Trial Blc'!H259</f>
        <v>102.79999999999995</v>
      </c>
      <c r="J74" s="1526">
        <f>+'Trial Blc'!J259-'Trial Blc'!I259</f>
        <v>109.02999999999997</v>
      </c>
      <c r="K74" s="1526">
        <f>+'Trial Blc'!K259-'Trial Blc'!J259</f>
        <v>87.520000000000095</v>
      </c>
      <c r="L74" s="1526">
        <f>+'Trial Blc'!L259-'Trial Blc'!K259</f>
        <v>84.439999999999941</v>
      </c>
      <c r="M74" s="1526">
        <f>+'Trial Blc'!M259-'Trial Blc'!L259</f>
        <v>95.930000000000064</v>
      </c>
      <c r="N74" s="1526">
        <f>+'Trial Blc'!N259-'Trial Blc'!M259</f>
        <v>89.719999999999914</v>
      </c>
      <c r="O74" s="1526">
        <f>+'Trial Blc'!O259-'Trial Blc'!N259</f>
        <v>95.860000000000127</v>
      </c>
      <c r="P74" s="1526">
        <f t="shared" si="1"/>
        <v>1179.1500000000001</v>
      </c>
      <c r="Q74" s="1526"/>
    </row>
    <row r="75" spans="2:17">
      <c r="B75" s="1538">
        <v>6040</v>
      </c>
      <c r="D75" s="1526">
        <f>+'Trial Blc'!D260</f>
        <v>395.26</v>
      </c>
      <c r="E75" s="1526">
        <f>+'Trial Blc'!E260-'Trial Blc'!D260</f>
        <v>391.27</v>
      </c>
      <c r="F75" s="1526">
        <f>+'Trial Blc'!F260-'Trial Blc'!E260</f>
        <v>436.87000000000012</v>
      </c>
      <c r="G75" s="1526">
        <f>+'Trial Blc'!G260-'Trial Blc'!F260</f>
        <v>391.70999999999981</v>
      </c>
      <c r="H75" s="1526">
        <f>+'Trial Blc'!H260-'Trial Blc'!G260</f>
        <v>391.21000000000004</v>
      </c>
      <c r="I75" s="1526">
        <f>+'Trial Blc'!I260-'Trial Blc'!H260</f>
        <v>391.26</v>
      </c>
      <c r="J75" s="1526">
        <f>+'Trial Blc'!J260-'Trial Blc'!I260</f>
        <v>390.73</v>
      </c>
      <c r="K75" s="1526">
        <f>+'Trial Blc'!K260-'Trial Blc'!J260</f>
        <v>390.17999999999984</v>
      </c>
      <c r="L75" s="1526">
        <f>+'Trial Blc'!L260-'Trial Blc'!K260</f>
        <v>386.55000000000018</v>
      </c>
      <c r="M75" s="1526">
        <f>+'Trial Blc'!M260-'Trial Blc'!L260</f>
        <v>386.46000000000004</v>
      </c>
      <c r="N75" s="1526">
        <f>+'Trial Blc'!N260-'Trial Blc'!M260</f>
        <v>385.94999999999982</v>
      </c>
      <c r="O75" s="1526">
        <f>+'Trial Blc'!O260-'Trial Blc'!N260</f>
        <v>348.80000000000018</v>
      </c>
      <c r="P75" s="1526">
        <f t="shared" si="1"/>
        <v>4686.25</v>
      </c>
      <c r="Q75" s="1526"/>
    </row>
    <row r="76" spans="2:17">
      <c r="B76" s="1538">
        <v>6045</v>
      </c>
      <c r="D76" s="1526">
        <f>+'Trial Blc'!D261</f>
        <v>0</v>
      </c>
      <c r="E76" s="1526">
        <f>+'Trial Blc'!E261-'Trial Blc'!D261</f>
        <v>0</v>
      </c>
      <c r="F76" s="1526">
        <f>+'Trial Blc'!F261-'Trial Blc'!E261</f>
        <v>1.69</v>
      </c>
      <c r="G76" s="1526">
        <f>+'Trial Blc'!G261-'Trial Blc'!F261</f>
        <v>0</v>
      </c>
      <c r="H76" s="1526">
        <f>+'Trial Blc'!H261-'Trial Blc'!G261</f>
        <v>0</v>
      </c>
      <c r="I76" s="1526">
        <f>+'Trial Blc'!I261-'Trial Blc'!H261</f>
        <v>0</v>
      </c>
      <c r="J76" s="1526">
        <f>+'Trial Blc'!J261-'Trial Blc'!I261</f>
        <v>0</v>
      </c>
      <c r="K76" s="1526">
        <f>+'Trial Blc'!K261-'Trial Blc'!J261</f>
        <v>0</v>
      </c>
      <c r="L76" s="1526">
        <f>+'Trial Blc'!L261-'Trial Blc'!K261</f>
        <v>16.72</v>
      </c>
      <c r="M76" s="1526">
        <f>+'Trial Blc'!M261-'Trial Blc'!L261</f>
        <v>74.87</v>
      </c>
      <c r="N76" s="1526">
        <f>+'Trial Blc'!N261-'Trial Blc'!M261</f>
        <v>30.92</v>
      </c>
      <c r="O76" s="1526">
        <f>+'Trial Blc'!O261-'Trial Blc'!N261</f>
        <v>68.239999999999995</v>
      </c>
      <c r="P76" s="1526">
        <f t="shared" si="1"/>
        <v>192.44</v>
      </c>
      <c r="Q76" s="1526"/>
    </row>
    <row r="77" spans="2:17">
      <c r="B77" s="1538">
        <v>6050</v>
      </c>
      <c r="D77" s="1526">
        <f>+'Trial Blc'!D262</f>
        <v>-772.94</v>
      </c>
      <c r="E77" s="1526">
        <f>+'Trial Blc'!E262-'Trial Blc'!D262</f>
        <v>420.98000000000008</v>
      </c>
      <c r="F77" s="1526">
        <f>+'Trial Blc'!F262-'Trial Blc'!E262</f>
        <v>480.24</v>
      </c>
      <c r="G77" s="1526">
        <f>+'Trial Blc'!G262-'Trial Blc'!F262</f>
        <v>471.68000000000006</v>
      </c>
      <c r="H77" s="1526">
        <f>+'Trial Blc'!H262-'Trial Blc'!G262</f>
        <v>324.56999999999994</v>
      </c>
      <c r="I77" s="1526">
        <f>+'Trial Blc'!I262-'Trial Blc'!H262</f>
        <v>321</v>
      </c>
      <c r="J77" s="1526">
        <f>+'Trial Blc'!J262-'Trial Blc'!I262</f>
        <v>729.57999999999993</v>
      </c>
      <c r="K77" s="1526">
        <f>+'Trial Blc'!K262-'Trial Blc'!J262</f>
        <v>516.90000000000032</v>
      </c>
      <c r="L77" s="1526">
        <f>+'Trial Blc'!L262-'Trial Blc'!K262</f>
        <v>277.13999999999987</v>
      </c>
      <c r="M77" s="1526">
        <f>+'Trial Blc'!M262-'Trial Blc'!L262</f>
        <v>377.79999999999973</v>
      </c>
      <c r="N77" s="1526">
        <f>+'Trial Blc'!N262-'Trial Blc'!M262</f>
        <v>310.3100000000004</v>
      </c>
      <c r="O77" s="1526">
        <f>+'Trial Blc'!O262-'Trial Blc'!N262</f>
        <v>6616.65</v>
      </c>
      <c r="P77" s="1526">
        <f t="shared" si="1"/>
        <v>10073.91</v>
      </c>
      <c r="Q77" s="1526"/>
    </row>
    <row r="78" spans="2:17">
      <c r="B78" s="1538">
        <v>6070</v>
      </c>
      <c r="D78" s="1526">
        <f>+'Trial Blc'!D263</f>
        <v>-288.60000000000002</v>
      </c>
      <c r="E78" s="1526">
        <f>+'Trial Blc'!E263-'Trial Blc'!D263</f>
        <v>-5.5099999999999909</v>
      </c>
      <c r="F78" s="1526">
        <f>+'Trial Blc'!F263-'Trial Blc'!E263</f>
        <v>17.270000000000039</v>
      </c>
      <c r="G78" s="1526">
        <f>+'Trial Blc'!G263-'Trial Blc'!F263</f>
        <v>0</v>
      </c>
      <c r="H78" s="1526">
        <f>+'Trial Blc'!H263-'Trial Blc'!G263</f>
        <v>50.649999999999977</v>
      </c>
      <c r="I78" s="1526">
        <f>+'Trial Blc'!I263-'Trial Blc'!H263</f>
        <v>52.490000000000009</v>
      </c>
      <c r="J78" s="1526">
        <f>+'Trial Blc'!J263-'Trial Blc'!I263</f>
        <v>89.71</v>
      </c>
      <c r="K78" s="1526">
        <f>+'Trial Blc'!K263-'Trial Blc'!J263</f>
        <v>16.839999999999989</v>
      </c>
      <c r="L78" s="1526">
        <f>+'Trial Blc'!L263-'Trial Blc'!K263</f>
        <v>0</v>
      </c>
      <c r="M78" s="1526">
        <f>+'Trial Blc'!M263-'Trial Blc'!L263</f>
        <v>669.02</v>
      </c>
      <c r="N78" s="1526">
        <f>+'Trial Blc'!N263-'Trial Blc'!M263</f>
        <v>150.10000000000002</v>
      </c>
      <c r="O78" s="1526">
        <f>+'Trial Blc'!O263-'Trial Blc'!N263</f>
        <v>175.87</v>
      </c>
      <c r="P78" s="1526">
        <f t="shared" si="1"/>
        <v>927.84</v>
      </c>
      <c r="Q78" s="1526"/>
    </row>
    <row r="79" spans="2:17">
      <c r="B79" s="1538">
        <v>6090</v>
      </c>
      <c r="D79" s="1526">
        <f>+'Trial Blc'!D264</f>
        <v>21.16</v>
      </c>
      <c r="E79" s="1526">
        <f>+'Trial Blc'!E264-'Trial Blc'!D264</f>
        <v>20.94</v>
      </c>
      <c r="F79" s="1526">
        <f>+'Trial Blc'!F264-'Trial Blc'!E264</f>
        <v>21.53</v>
      </c>
      <c r="G79" s="1526">
        <f>+'Trial Blc'!G264-'Trial Blc'!F264</f>
        <v>21.6</v>
      </c>
      <c r="H79" s="1526">
        <f>+'Trial Blc'!H264-'Trial Blc'!G264</f>
        <v>22.33</v>
      </c>
      <c r="I79" s="1526">
        <f>+'Trial Blc'!I264-'Trial Blc'!H264</f>
        <v>22.329999999999984</v>
      </c>
      <c r="J79" s="1526">
        <f>+'Trial Blc'!J264-'Trial Blc'!I264</f>
        <v>23</v>
      </c>
      <c r="K79" s="1526">
        <f>+'Trial Blc'!K264-'Trial Blc'!J264</f>
        <v>22.970000000000027</v>
      </c>
      <c r="L79" s="1526">
        <f>+'Trial Blc'!L264-'Trial Blc'!K264</f>
        <v>22.759999999999991</v>
      </c>
      <c r="M79" s="1526">
        <f>+'Trial Blc'!M264-'Trial Blc'!L264</f>
        <v>22.75</v>
      </c>
      <c r="N79" s="1526">
        <f>+'Trial Blc'!N264-'Trial Blc'!M264</f>
        <v>22.72</v>
      </c>
      <c r="O79" s="1526">
        <f>+'Trial Blc'!O264-'Trial Blc'!N264</f>
        <v>45.400000000000006</v>
      </c>
      <c r="P79" s="1526">
        <f t="shared" si="1"/>
        <v>289.49</v>
      </c>
      <c r="Q79" s="1526"/>
    </row>
    <row r="80" spans="2:17">
      <c r="B80" s="1538">
        <v>6110</v>
      </c>
      <c r="D80" s="1526">
        <f>+'Trial Blc'!D265</f>
        <v>1042.2</v>
      </c>
      <c r="E80" s="1526">
        <f>+'Trial Blc'!E265-'Trial Blc'!D265</f>
        <v>948.25</v>
      </c>
      <c r="F80" s="1526">
        <f>+'Trial Blc'!F265-'Trial Blc'!E265</f>
        <v>1166.1400000000001</v>
      </c>
      <c r="G80" s="1526">
        <f>+'Trial Blc'!G265-'Trial Blc'!F265</f>
        <v>1291.7600000000002</v>
      </c>
      <c r="H80" s="1526">
        <f>+'Trial Blc'!H265-'Trial Blc'!G265</f>
        <v>1073.1799999999994</v>
      </c>
      <c r="I80" s="1526">
        <f>+'Trial Blc'!I265-'Trial Blc'!H265</f>
        <v>1087.25</v>
      </c>
      <c r="J80" s="1526">
        <f>+'Trial Blc'!J265-'Trial Blc'!I265</f>
        <v>1097.9300000000003</v>
      </c>
      <c r="K80" s="1526">
        <f>+'Trial Blc'!K265-'Trial Blc'!J265</f>
        <v>1047.4199999999992</v>
      </c>
      <c r="L80" s="1526">
        <f>+'Trial Blc'!L265-'Trial Blc'!K265</f>
        <v>1077.1100000000006</v>
      </c>
      <c r="M80" s="1526">
        <f>+'Trial Blc'!M265-'Trial Blc'!L265</f>
        <v>1090.1599999999999</v>
      </c>
      <c r="N80" s="1526">
        <f>+'Trial Blc'!N265-'Trial Blc'!M265</f>
        <v>941.97000000000116</v>
      </c>
      <c r="O80" s="1526">
        <f>+'Trial Blc'!O265-'Trial Blc'!N265</f>
        <v>1100.9899999999998</v>
      </c>
      <c r="P80" s="1526">
        <f t="shared" si="1"/>
        <v>12964.36</v>
      </c>
      <c r="Q80" s="1526"/>
    </row>
    <row r="81" spans="2:17">
      <c r="B81" s="1538">
        <v>6115</v>
      </c>
      <c r="D81" s="1526">
        <f>+'Trial Blc'!D266</f>
        <v>193.49</v>
      </c>
      <c r="E81" s="1526">
        <f>+'Trial Blc'!E266-'Trial Blc'!D266</f>
        <v>140.67000000000002</v>
      </c>
      <c r="F81" s="1526">
        <f>+'Trial Blc'!F266-'Trial Blc'!E266</f>
        <v>182.39999999999992</v>
      </c>
      <c r="G81" s="1526">
        <f>+'Trial Blc'!G266-'Trial Blc'!F266</f>
        <v>238.19000000000005</v>
      </c>
      <c r="H81" s="1526">
        <f>+'Trial Blc'!H266-'Trial Blc'!G266</f>
        <v>159.13999999999999</v>
      </c>
      <c r="I81" s="1526">
        <f>+'Trial Blc'!I266-'Trial Blc'!H266</f>
        <v>163.56000000000006</v>
      </c>
      <c r="J81" s="1526">
        <f>+'Trial Blc'!J266-'Trial Blc'!I266</f>
        <v>179.68000000000006</v>
      </c>
      <c r="K81" s="1526">
        <f>+'Trial Blc'!K266-'Trial Blc'!J266</f>
        <v>198.03999999999996</v>
      </c>
      <c r="L81" s="1526">
        <f>+'Trial Blc'!L266-'Trial Blc'!K266</f>
        <v>202.43999999999983</v>
      </c>
      <c r="M81" s="1526">
        <f>+'Trial Blc'!M266-'Trial Blc'!L266</f>
        <v>205.8900000000001</v>
      </c>
      <c r="N81" s="1526">
        <f>+'Trial Blc'!N266-'Trial Blc'!M266</f>
        <v>202.42000000000007</v>
      </c>
      <c r="O81" s="1526">
        <f>+'Trial Blc'!O266-'Trial Blc'!N266</f>
        <v>227.23999999999978</v>
      </c>
      <c r="P81" s="1526">
        <f t="shared" si="1"/>
        <v>2293.16</v>
      </c>
      <c r="Q81" s="1526"/>
    </row>
    <row r="82" spans="2:17">
      <c r="B82" s="1538">
        <v>6120</v>
      </c>
      <c r="D82" s="1526">
        <f>+'Trial Blc'!D267</f>
        <v>842.15</v>
      </c>
      <c r="E82" s="1526">
        <f>+'Trial Blc'!E267-'Trial Blc'!D267</f>
        <v>859.63</v>
      </c>
      <c r="F82" s="1526">
        <f>+'Trial Blc'!F267-'Trial Blc'!E267</f>
        <v>826.75000000000023</v>
      </c>
      <c r="G82" s="1526">
        <f>+'Trial Blc'!G267-'Trial Blc'!F267</f>
        <v>860.23</v>
      </c>
      <c r="H82" s="1526">
        <f>+'Trial Blc'!H267-'Trial Blc'!G267</f>
        <v>845.26999999999953</v>
      </c>
      <c r="I82" s="1526">
        <f>+'Trial Blc'!I267-'Trial Blc'!H267</f>
        <v>846.53000000000065</v>
      </c>
      <c r="J82" s="1526">
        <f>+'Trial Blc'!J267-'Trial Blc'!I267</f>
        <v>1084.21</v>
      </c>
      <c r="K82" s="1526">
        <f>+'Trial Blc'!K267-'Trial Blc'!J267</f>
        <v>649.72999999999956</v>
      </c>
      <c r="L82" s="1526">
        <f>+'Trial Blc'!L267-'Trial Blc'!K267</f>
        <v>825.43000000000029</v>
      </c>
      <c r="M82" s="1526">
        <f>+'Trial Blc'!M267-'Trial Blc'!L267</f>
        <v>843.40999999999985</v>
      </c>
      <c r="N82" s="1526">
        <f>+'Trial Blc'!N267-'Trial Blc'!M267</f>
        <v>2054.7299999999996</v>
      </c>
      <c r="O82" s="1526">
        <f>+'Trial Blc'!O267-'Trial Blc'!N267</f>
        <v>72.239999999999782</v>
      </c>
      <c r="P82" s="1526">
        <f t="shared" si="1"/>
        <v>10610.31</v>
      </c>
      <c r="Q82" s="1526"/>
    </row>
    <row r="83" spans="2:17">
      <c r="B83" s="1538">
        <v>6125</v>
      </c>
      <c r="D83" s="1526">
        <f>+'Trial Blc'!D268</f>
        <v>164.16</v>
      </c>
      <c r="E83" s="1526">
        <f>+'Trial Blc'!E268-'Trial Blc'!D268</f>
        <v>164.83</v>
      </c>
      <c r="F83" s="1526">
        <f>+'Trial Blc'!F268-'Trial Blc'!E268</f>
        <v>165.87</v>
      </c>
      <c r="G83" s="1526">
        <f>+'Trial Blc'!G268-'Trial Blc'!F268</f>
        <v>167.64</v>
      </c>
      <c r="H83" s="1526">
        <f>+'Trial Blc'!H268-'Trial Blc'!G268</f>
        <v>172.75</v>
      </c>
      <c r="I83" s="1526">
        <f>+'Trial Blc'!I268-'Trial Blc'!H268</f>
        <v>172.33000000000004</v>
      </c>
      <c r="J83" s="1526">
        <f>+'Trial Blc'!J268-'Trial Blc'!I268</f>
        <v>172.09000000000003</v>
      </c>
      <c r="K83" s="1526">
        <f>+'Trial Blc'!K268-'Trial Blc'!J268</f>
        <v>170.51999999999998</v>
      </c>
      <c r="L83" s="1526">
        <f>+'Trial Blc'!L268-'Trial Blc'!K268</f>
        <v>169.37999999999988</v>
      </c>
      <c r="M83" s="1526">
        <f>+'Trial Blc'!M268-'Trial Blc'!L268</f>
        <v>174.43000000000006</v>
      </c>
      <c r="N83" s="1526">
        <f>+'Trial Blc'!N268-'Trial Blc'!M268</f>
        <v>170.42000000000007</v>
      </c>
      <c r="O83" s="1526">
        <f>+'Trial Blc'!O268-'Trial Blc'!N268</f>
        <v>169.82999999999993</v>
      </c>
      <c r="P83" s="1526">
        <f t="shared" si="1"/>
        <v>2034.25</v>
      </c>
      <c r="Q83" s="1526"/>
    </row>
    <row r="84" spans="2:17">
      <c r="B84" s="1538">
        <v>6130</v>
      </c>
      <c r="D84" s="1526">
        <f>+'Trial Blc'!D269</f>
        <v>390.74</v>
      </c>
      <c r="E84" s="1526">
        <f>+'Trial Blc'!E269-'Trial Blc'!D269</f>
        <v>371.42999999999995</v>
      </c>
      <c r="F84" s="1526">
        <f>+'Trial Blc'!F269-'Trial Blc'!E269</f>
        <v>355.07000000000005</v>
      </c>
      <c r="G84" s="1526">
        <f>+'Trial Blc'!G269-'Trial Blc'!F269</f>
        <v>384.15000000000009</v>
      </c>
      <c r="H84" s="1526">
        <f>+'Trial Blc'!H269-'Trial Blc'!G269</f>
        <v>381.53999999999996</v>
      </c>
      <c r="I84" s="1526">
        <f>+'Trial Blc'!I269-'Trial Blc'!H269</f>
        <v>383.70999999999981</v>
      </c>
      <c r="J84" s="1526">
        <f>+'Trial Blc'!J269-'Trial Blc'!I269</f>
        <v>391.95000000000027</v>
      </c>
      <c r="K84" s="1526">
        <f>+'Trial Blc'!K269-'Trial Blc'!J269</f>
        <v>411.37999999999965</v>
      </c>
      <c r="L84" s="1526">
        <f>+'Trial Blc'!L269-'Trial Blc'!K269</f>
        <v>428.14000000000033</v>
      </c>
      <c r="M84" s="1526">
        <f>+'Trial Blc'!M269-'Trial Blc'!L269</f>
        <v>411.69999999999982</v>
      </c>
      <c r="N84" s="1526">
        <f>+'Trial Blc'!N269-'Trial Blc'!M269</f>
        <v>415.58000000000038</v>
      </c>
      <c r="O84" s="1526">
        <f>+'Trial Blc'!O269-'Trial Blc'!N269</f>
        <v>417.76999999999953</v>
      </c>
      <c r="P84" s="1526">
        <f t="shared" si="1"/>
        <v>4743.16</v>
      </c>
      <c r="Q84" s="1526"/>
    </row>
    <row r="85" spans="2:17">
      <c r="B85" s="1538">
        <v>6135</v>
      </c>
      <c r="D85" s="1526">
        <f>+'Trial Blc'!D270</f>
        <v>2359.3200000000002</v>
      </c>
      <c r="E85" s="1526">
        <f>+'Trial Blc'!E270-'Trial Blc'!D270</f>
        <v>2263.85</v>
      </c>
      <c r="F85" s="1526">
        <f>+'Trial Blc'!F270-'Trial Blc'!E270</f>
        <v>2441.16</v>
      </c>
      <c r="G85" s="1526">
        <f>+'Trial Blc'!G270-'Trial Blc'!F270</f>
        <v>2230.1499999999996</v>
      </c>
      <c r="H85" s="1526">
        <f>+'Trial Blc'!H270-'Trial Blc'!G270</f>
        <v>2523</v>
      </c>
      <c r="I85" s="1526">
        <f>+'Trial Blc'!I270-'Trial Blc'!H270</f>
        <v>3169.9400000000005</v>
      </c>
      <c r="J85" s="1526">
        <f>+'Trial Blc'!J270-'Trial Blc'!I270</f>
        <v>3226.4299999999985</v>
      </c>
      <c r="K85" s="1526">
        <f>+'Trial Blc'!K270-'Trial Blc'!J270</f>
        <v>3845.5500000000029</v>
      </c>
      <c r="L85" s="1526">
        <f>+'Trial Blc'!L270-'Trial Blc'!K270</f>
        <v>3299.619999999999</v>
      </c>
      <c r="M85" s="1526">
        <f>+'Trial Blc'!M270-'Trial Blc'!L270</f>
        <v>3186.7299999999996</v>
      </c>
      <c r="N85" s="1526">
        <f>+'Trial Blc'!N270-'Trial Blc'!M270</f>
        <v>3560.1899999999987</v>
      </c>
      <c r="O85" s="1526">
        <f>+'Trial Blc'!O270-'Trial Blc'!N270</f>
        <v>4456.2000000000007</v>
      </c>
      <c r="P85" s="1526">
        <f t="shared" si="1"/>
        <v>36562.14</v>
      </c>
      <c r="Q85" s="1526"/>
    </row>
    <row r="86" spans="2:17">
      <c r="B86" s="1538">
        <v>6140</v>
      </c>
      <c r="D86" s="1526">
        <f>+'Trial Blc'!D271</f>
        <v>223.44</v>
      </c>
      <c r="E86" s="1526">
        <f>+'Trial Blc'!E271-'Trial Blc'!D271</f>
        <v>291.73999999999995</v>
      </c>
      <c r="F86" s="1526">
        <f>+'Trial Blc'!F271-'Trial Blc'!E271</f>
        <v>327.57000000000005</v>
      </c>
      <c r="G86" s="1526">
        <f>+'Trial Blc'!G271-'Trial Blc'!F271</f>
        <v>349.27</v>
      </c>
      <c r="H86" s="1526">
        <f>+'Trial Blc'!H271-'Trial Blc'!G271</f>
        <v>298.73</v>
      </c>
      <c r="I86" s="1526">
        <f>+'Trial Blc'!I271-'Trial Blc'!H271</f>
        <v>326.43000000000006</v>
      </c>
      <c r="J86" s="1526">
        <f>+'Trial Blc'!J271-'Trial Blc'!I271</f>
        <v>321.51999999999975</v>
      </c>
      <c r="K86" s="1526">
        <f>+'Trial Blc'!K271-'Trial Blc'!J271</f>
        <v>327.07000000000016</v>
      </c>
      <c r="L86" s="1526">
        <f>+'Trial Blc'!L271-'Trial Blc'!K271</f>
        <v>336.17000000000007</v>
      </c>
      <c r="M86" s="1526">
        <f>+'Trial Blc'!M271-'Trial Blc'!L271</f>
        <v>323.94999999999982</v>
      </c>
      <c r="N86" s="1526">
        <f>+'Trial Blc'!N271-'Trial Blc'!M271</f>
        <v>326.55999999999995</v>
      </c>
      <c r="O86" s="1526">
        <f>+'Trial Blc'!O271-'Trial Blc'!N271</f>
        <v>323.23</v>
      </c>
      <c r="P86" s="1526">
        <f t="shared" si="1"/>
        <v>3775.68</v>
      </c>
      <c r="Q86" s="1526"/>
    </row>
    <row r="87" spans="2:17">
      <c r="B87" s="1538">
        <v>6145</v>
      </c>
      <c r="D87" s="1526">
        <f>+'Trial Blc'!D272</f>
        <v>1078.81</v>
      </c>
      <c r="E87" s="1526">
        <f>+'Trial Blc'!E272-'Trial Blc'!D272</f>
        <v>992.09999999999991</v>
      </c>
      <c r="F87" s="1526">
        <f>+'Trial Blc'!F272-'Trial Blc'!E272</f>
        <v>1011.7200000000003</v>
      </c>
      <c r="G87" s="1526">
        <f>+'Trial Blc'!G272-'Trial Blc'!F272</f>
        <v>1062.3199999999997</v>
      </c>
      <c r="H87" s="1526">
        <f>+'Trial Blc'!H272-'Trial Blc'!G272</f>
        <v>1043.5600000000004</v>
      </c>
      <c r="I87" s="1526">
        <f>+'Trial Blc'!I272-'Trial Blc'!H272</f>
        <v>1105.54</v>
      </c>
      <c r="J87" s="1526">
        <f>+'Trial Blc'!J272-'Trial Blc'!I272</f>
        <v>1117.6999999999998</v>
      </c>
      <c r="K87" s="1526">
        <f>+'Trial Blc'!K272-'Trial Blc'!J272</f>
        <v>1040.6499999999996</v>
      </c>
      <c r="L87" s="1526">
        <f>+'Trial Blc'!L272-'Trial Blc'!K272</f>
        <v>1056.9300000000003</v>
      </c>
      <c r="M87" s="1526">
        <f>+'Trial Blc'!M272-'Trial Blc'!L272</f>
        <v>1045.5100000000002</v>
      </c>
      <c r="N87" s="1526">
        <f>+'Trial Blc'!N272-'Trial Blc'!M272</f>
        <v>1049.6399999999994</v>
      </c>
      <c r="O87" s="1526">
        <f>+'Trial Blc'!O272-'Trial Blc'!N272</f>
        <v>1123.1599999999999</v>
      </c>
      <c r="P87" s="1526">
        <f t="shared" si="1"/>
        <v>12727.64</v>
      </c>
      <c r="Q87" s="1526"/>
    </row>
    <row r="88" spans="2:17">
      <c r="B88" s="1538">
        <v>6146</v>
      </c>
      <c r="D88" s="1526">
        <f>+'Trial Blc'!D273</f>
        <v>452.31</v>
      </c>
      <c r="E88" s="1526">
        <f>+'Trial Blc'!E273-'Trial Blc'!D273</f>
        <v>421.55</v>
      </c>
      <c r="F88" s="1526">
        <f>+'Trial Blc'!F273-'Trial Blc'!E273</f>
        <v>442.08000000000004</v>
      </c>
      <c r="G88" s="1526">
        <f>+'Trial Blc'!G273-'Trial Blc'!F273</f>
        <v>537.53</v>
      </c>
      <c r="H88" s="1526">
        <f>+'Trial Blc'!H273-'Trial Blc'!G273</f>
        <v>441.56000000000017</v>
      </c>
      <c r="I88" s="1526">
        <f>+'Trial Blc'!I273-'Trial Blc'!H273</f>
        <v>454.15999999999985</v>
      </c>
      <c r="J88" s="1526">
        <f>+'Trial Blc'!J273-'Trial Blc'!I273</f>
        <v>416.36999999999989</v>
      </c>
      <c r="K88" s="1526">
        <f>+'Trial Blc'!K273-'Trial Blc'!J273</f>
        <v>407.71000000000004</v>
      </c>
      <c r="L88" s="1526">
        <f>+'Trial Blc'!L273-'Trial Blc'!K273</f>
        <v>479.30999999999995</v>
      </c>
      <c r="M88" s="1526">
        <f>+'Trial Blc'!M273-'Trial Blc'!L273</f>
        <v>420.17000000000007</v>
      </c>
      <c r="N88" s="1526">
        <f>+'Trial Blc'!N273-'Trial Blc'!M273</f>
        <v>426.56999999999971</v>
      </c>
      <c r="O88" s="1526">
        <f>+'Trial Blc'!O273-'Trial Blc'!N273</f>
        <v>457.53000000000065</v>
      </c>
      <c r="P88" s="1526">
        <f t="shared" si="1"/>
        <v>5356.85</v>
      </c>
      <c r="Q88" s="1526"/>
    </row>
    <row r="89" spans="2:17">
      <c r="B89" s="1538">
        <v>6150</v>
      </c>
      <c r="D89" s="1526">
        <f>+'Trial Blc'!D274</f>
        <v>16250.25</v>
      </c>
      <c r="E89" s="1526">
        <f>+'Trial Blc'!E274-'Trial Blc'!D274</f>
        <v>11730.150000000001</v>
      </c>
      <c r="F89" s="1526">
        <f>+'Trial Blc'!F274-'Trial Blc'!E274</f>
        <v>13782.330000000002</v>
      </c>
      <c r="G89" s="1526">
        <f>+'Trial Blc'!G274-'Trial Blc'!F274</f>
        <v>16526.82</v>
      </c>
      <c r="H89" s="1526">
        <f>+'Trial Blc'!H274-'Trial Blc'!G274</f>
        <v>14731.37999999999</v>
      </c>
      <c r="I89" s="1526">
        <f>+'Trial Blc'!I274-'Trial Blc'!H274</f>
        <v>14243.960000000006</v>
      </c>
      <c r="J89" s="1526">
        <f>+'Trial Blc'!J274-'Trial Blc'!I274</f>
        <v>12998.830000000002</v>
      </c>
      <c r="K89" s="1526">
        <f>+'Trial Blc'!K274-'Trial Blc'!J274</f>
        <v>14437.220000000001</v>
      </c>
      <c r="L89" s="1526">
        <f>+'Trial Blc'!L274-'Trial Blc'!K274</f>
        <v>13596.160000000003</v>
      </c>
      <c r="M89" s="1526">
        <f>+'Trial Blc'!M274-'Trial Blc'!L274</f>
        <v>13152.799999999988</v>
      </c>
      <c r="N89" s="1526">
        <f>+'Trial Blc'!N274-'Trial Blc'!M274</f>
        <v>12497.910000000003</v>
      </c>
      <c r="O89" s="1526">
        <f>+'Trial Blc'!O274-'Trial Blc'!N274</f>
        <v>14794.390000000014</v>
      </c>
      <c r="P89" s="1526">
        <f t="shared" si="1"/>
        <v>168742.2</v>
      </c>
      <c r="Q89" s="1526"/>
    </row>
    <row r="90" spans="2:17">
      <c r="B90" s="1538">
        <v>6155</v>
      </c>
      <c r="D90" s="1526">
        <f>+'Trial Blc'!D275</f>
        <v>255.19</v>
      </c>
      <c r="E90" s="1526">
        <f>+'Trial Blc'!E275-'Trial Blc'!D275</f>
        <v>259.67</v>
      </c>
      <c r="F90" s="1526">
        <f>+'Trial Blc'!F275-'Trial Blc'!E275</f>
        <v>305.15999999999997</v>
      </c>
      <c r="G90" s="1526">
        <f>+'Trial Blc'!G275-'Trial Blc'!F275</f>
        <v>315.53999999999996</v>
      </c>
      <c r="H90" s="1526">
        <f>+'Trial Blc'!H275-'Trial Blc'!G275</f>
        <v>300.75</v>
      </c>
      <c r="I90" s="1526">
        <f>+'Trial Blc'!I275-'Trial Blc'!H275</f>
        <v>330.24</v>
      </c>
      <c r="J90" s="1526">
        <f>+'Trial Blc'!J275-'Trial Blc'!I275</f>
        <v>328.49</v>
      </c>
      <c r="K90" s="1526">
        <f>+'Trial Blc'!K275-'Trial Blc'!J275</f>
        <v>300.24000000000024</v>
      </c>
      <c r="L90" s="1526">
        <f>+'Trial Blc'!L275-'Trial Blc'!K275</f>
        <v>314.4699999999998</v>
      </c>
      <c r="M90" s="1526">
        <f>+'Trial Blc'!M275-'Trial Blc'!L275</f>
        <v>289.86000000000013</v>
      </c>
      <c r="N90" s="1526">
        <f>+'Trial Blc'!N275-'Trial Blc'!M275</f>
        <v>277.36999999999989</v>
      </c>
      <c r="O90" s="1526">
        <f>+'Trial Blc'!O275-'Trial Blc'!N275</f>
        <v>287.57999999999993</v>
      </c>
      <c r="P90" s="1526">
        <f t="shared" si="1"/>
        <v>3564.56</v>
      </c>
      <c r="Q90" s="1526"/>
    </row>
    <row r="91" spans="2:17">
      <c r="B91" s="1538">
        <v>6165</v>
      </c>
      <c r="D91" s="1526">
        <f>+'Trial Blc'!D276</f>
        <v>-3808.25</v>
      </c>
      <c r="E91" s="1526">
        <f>+'Trial Blc'!E276-'Trial Blc'!D276</f>
        <v>-1412.4700000000003</v>
      </c>
      <c r="F91" s="1526">
        <f>+'Trial Blc'!F276-'Trial Blc'!E276</f>
        <v>-675.34999999999945</v>
      </c>
      <c r="G91" s="1526">
        <f>+'Trial Blc'!G276-'Trial Blc'!F276</f>
        <v>-3420.09</v>
      </c>
      <c r="H91" s="1526">
        <f>+'Trial Blc'!H276-'Trial Blc'!G276</f>
        <v>-1451.130000000001</v>
      </c>
      <c r="I91" s="1526">
        <f>+'Trial Blc'!I276-'Trial Blc'!H276</f>
        <v>-1298.3599999999988</v>
      </c>
      <c r="J91" s="1526">
        <f>+'Trial Blc'!J276-'Trial Blc'!I276</f>
        <v>-1019.1400000000012</v>
      </c>
      <c r="K91" s="1526">
        <f>+'Trial Blc'!K276-'Trial Blc'!J276</f>
        <v>-1691.9899999999998</v>
      </c>
      <c r="L91" s="1526">
        <f>+'Trial Blc'!L276-'Trial Blc'!K276</f>
        <v>-2297.4699999999993</v>
      </c>
      <c r="M91" s="1526">
        <f>+'Trial Blc'!M276-'Trial Blc'!L276</f>
        <v>-958.91999999999825</v>
      </c>
      <c r="N91" s="1526">
        <f>+'Trial Blc'!N276-'Trial Blc'!M276</f>
        <v>-1778.260000000002</v>
      </c>
      <c r="O91" s="1526">
        <f>+'Trial Blc'!O276-'Trial Blc'!N276</f>
        <v>-2178.8499999999985</v>
      </c>
      <c r="P91" s="1526">
        <f t="shared" si="1"/>
        <v>-21990.28</v>
      </c>
      <c r="Q91" s="1526"/>
    </row>
    <row r="92" spans="2:17">
      <c r="B92" s="1538">
        <v>6185</v>
      </c>
      <c r="D92" s="1526">
        <f>+'Trial Blc'!D277</f>
        <v>5.14</v>
      </c>
      <c r="E92" s="1526">
        <f>+'Trial Blc'!E277-'Trial Blc'!D277</f>
        <v>58.41</v>
      </c>
      <c r="F92" s="1526">
        <f>+'Trial Blc'!F277-'Trial Blc'!E277</f>
        <v>140.79000000000002</v>
      </c>
      <c r="G92" s="1526">
        <f>+'Trial Blc'!G277-'Trial Blc'!F277</f>
        <v>-34.349999999999994</v>
      </c>
      <c r="H92" s="1526">
        <f>+'Trial Blc'!H277-'Trial Blc'!G277</f>
        <v>7.4699999999999989</v>
      </c>
      <c r="I92" s="1526">
        <f>+'Trial Blc'!I277-'Trial Blc'!H277</f>
        <v>34.94</v>
      </c>
      <c r="J92" s="1526">
        <f>+'Trial Blc'!J277-'Trial Blc'!I277</f>
        <v>86.809999999999974</v>
      </c>
      <c r="K92" s="1526">
        <f>+'Trial Blc'!K277-'Trial Blc'!J277</f>
        <v>64.460000000000036</v>
      </c>
      <c r="L92" s="1526">
        <f>+'Trial Blc'!L277-'Trial Blc'!K277</f>
        <v>347.37999999999994</v>
      </c>
      <c r="M92" s="1526">
        <f>+'Trial Blc'!M277-'Trial Blc'!L277</f>
        <v>34.690000000000055</v>
      </c>
      <c r="N92" s="1526">
        <f>+'Trial Blc'!N277-'Trial Blc'!M277</f>
        <v>136.05999999999995</v>
      </c>
      <c r="O92" s="1526">
        <f>+'Trial Blc'!O277-'Trial Blc'!N277</f>
        <v>20.180000000000064</v>
      </c>
      <c r="P92" s="1526">
        <f t="shared" si="1"/>
        <v>901.98</v>
      </c>
      <c r="Q92" s="1526"/>
    </row>
    <row r="93" spans="2:17">
      <c r="B93" s="1538">
        <v>6190</v>
      </c>
      <c r="D93" s="1526">
        <f>+'Trial Blc'!D278</f>
        <v>6.91</v>
      </c>
      <c r="E93" s="1526">
        <f>+'Trial Blc'!E278-'Trial Blc'!D278</f>
        <v>23.09</v>
      </c>
      <c r="F93" s="1526">
        <f>+'Trial Blc'!F278-'Trial Blc'!E278</f>
        <v>48.22</v>
      </c>
      <c r="G93" s="1526">
        <f>+'Trial Blc'!G278-'Trial Blc'!F278</f>
        <v>9.6700000000000017</v>
      </c>
      <c r="H93" s="1526">
        <f>+'Trial Blc'!H278-'Trial Blc'!G278</f>
        <v>40.489999999999995</v>
      </c>
      <c r="I93" s="1526">
        <f>+'Trial Blc'!I278-'Trial Blc'!H278</f>
        <v>19.22</v>
      </c>
      <c r="J93" s="1526">
        <f>+'Trial Blc'!J278-'Trial Blc'!I278</f>
        <v>72.41</v>
      </c>
      <c r="K93" s="1526">
        <f>+'Trial Blc'!K278-'Trial Blc'!J278</f>
        <v>7.3200000000000216</v>
      </c>
      <c r="L93" s="1526">
        <f>+'Trial Blc'!L278-'Trial Blc'!K278</f>
        <v>78.359999999999985</v>
      </c>
      <c r="M93" s="1526">
        <f>+'Trial Blc'!M278-'Trial Blc'!L278</f>
        <v>124.50999999999999</v>
      </c>
      <c r="N93" s="1526">
        <f>+'Trial Blc'!N278-'Trial Blc'!M278</f>
        <v>44.81</v>
      </c>
      <c r="O93" s="1526">
        <f>+'Trial Blc'!O278-'Trial Blc'!N278</f>
        <v>29.990000000000009</v>
      </c>
      <c r="P93" s="1526">
        <f t="shared" si="1"/>
        <v>505</v>
      </c>
      <c r="Q93" s="1526"/>
    </row>
    <row r="94" spans="2:17">
      <c r="B94" s="1538">
        <v>6195</v>
      </c>
      <c r="D94" s="1526">
        <f>+'Trial Blc'!D279</f>
        <v>0.35</v>
      </c>
      <c r="E94" s="1526">
        <f>+'Trial Blc'!E279-'Trial Blc'!D279</f>
        <v>5.32</v>
      </c>
      <c r="F94" s="1526">
        <f>+'Trial Blc'!F279-'Trial Blc'!E279</f>
        <v>4.58</v>
      </c>
      <c r="G94" s="1526">
        <f>+'Trial Blc'!G279-'Trial Blc'!F279</f>
        <v>8.3000000000000007</v>
      </c>
      <c r="H94" s="1526">
        <f>+'Trial Blc'!H279-'Trial Blc'!G279</f>
        <v>3.259999999999998</v>
      </c>
      <c r="I94" s="1526">
        <f>+'Trial Blc'!I279-'Trial Blc'!H279</f>
        <v>3.5500000000000007</v>
      </c>
      <c r="J94" s="1526">
        <f>+'Trial Blc'!J279-'Trial Blc'!I279</f>
        <v>68.59</v>
      </c>
      <c r="K94" s="1526">
        <f>+'Trial Blc'!K279-'Trial Blc'!J279</f>
        <v>3.1899999999999977</v>
      </c>
      <c r="L94" s="1526">
        <f>+'Trial Blc'!L279-'Trial Blc'!K279</f>
        <v>321.65000000000003</v>
      </c>
      <c r="M94" s="1526">
        <f>+'Trial Blc'!M279-'Trial Blc'!L279</f>
        <v>10.779999999999973</v>
      </c>
      <c r="N94" s="1526">
        <f>+'Trial Blc'!N279-'Trial Blc'!M279</f>
        <v>12.29000000000002</v>
      </c>
      <c r="O94" s="1526">
        <f>+'Trial Blc'!O279-'Trial Blc'!N279</f>
        <v>10.779999999999973</v>
      </c>
      <c r="P94" s="1526">
        <f t="shared" si="1"/>
        <v>452.64</v>
      </c>
      <c r="Q94" s="1526"/>
    </row>
    <row r="95" spans="2:17">
      <c r="B95" s="1538">
        <v>6200</v>
      </c>
      <c r="D95" s="1526">
        <f>+'Trial Blc'!D280</f>
        <v>6.83</v>
      </c>
      <c r="E95" s="1526">
        <f>+'Trial Blc'!E280-'Trial Blc'!D280</f>
        <v>19.759999999999998</v>
      </c>
      <c r="F95" s="1526">
        <f>+'Trial Blc'!F280-'Trial Blc'!E280</f>
        <v>226.29</v>
      </c>
      <c r="G95" s="1526">
        <f>+'Trial Blc'!G280-'Trial Blc'!F280</f>
        <v>3.5400000000000205</v>
      </c>
      <c r="H95" s="1526">
        <f>+'Trial Blc'!H280-'Trial Blc'!G280</f>
        <v>51.329999999999984</v>
      </c>
      <c r="I95" s="1526">
        <f>+'Trial Blc'!I280-'Trial Blc'!H280</f>
        <v>22.29000000000002</v>
      </c>
      <c r="J95" s="1526">
        <f>+'Trial Blc'!J280-'Trial Blc'!I280</f>
        <v>42.949999999999989</v>
      </c>
      <c r="K95" s="1526">
        <f>+'Trial Blc'!K280-'Trial Blc'!J280</f>
        <v>5.4599999999999795</v>
      </c>
      <c r="L95" s="1526">
        <f>+'Trial Blc'!L280-'Trial Blc'!K280</f>
        <v>402.74000000000007</v>
      </c>
      <c r="M95" s="1526">
        <f>+'Trial Blc'!M280-'Trial Blc'!L280</f>
        <v>73.059999999999945</v>
      </c>
      <c r="N95" s="1526">
        <f>+'Trial Blc'!N280-'Trial Blc'!M280</f>
        <v>117.16999999999996</v>
      </c>
      <c r="O95" s="1526">
        <f>+'Trial Blc'!O280-'Trial Blc'!N280</f>
        <v>22.190000000000055</v>
      </c>
      <c r="P95" s="1526">
        <f t="shared" si="1"/>
        <v>993.61</v>
      </c>
      <c r="Q95" s="1526"/>
    </row>
    <row r="96" spans="2:17">
      <c r="B96" s="1538">
        <v>6205</v>
      </c>
      <c r="D96" s="1526">
        <f>+'Trial Blc'!D281</f>
        <v>0</v>
      </c>
      <c r="E96" s="1526">
        <f>+'Trial Blc'!E281-'Trial Blc'!D281</f>
        <v>1.1399999999999999</v>
      </c>
      <c r="F96" s="1526">
        <f>+'Trial Blc'!F281-'Trial Blc'!E281</f>
        <v>0</v>
      </c>
      <c r="G96" s="1526">
        <f>+'Trial Blc'!G281-'Trial Blc'!F281</f>
        <v>8.7999999999999989</v>
      </c>
      <c r="H96" s="1526">
        <f>+'Trial Blc'!H281-'Trial Blc'!G281</f>
        <v>0.61000000000000121</v>
      </c>
      <c r="I96" s="1526">
        <f>+'Trial Blc'!I281-'Trial Blc'!H281</f>
        <v>2.1999999999999993</v>
      </c>
      <c r="J96" s="1526">
        <f>+'Trial Blc'!J281-'Trial Blc'!I281</f>
        <v>0.88000000000000078</v>
      </c>
      <c r="K96" s="1526">
        <f>+'Trial Blc'!K281-'Trial Blc'!J281</f>
        <v>3.5499999999999989</v>
      </c>
      <c r="L96" s="1526">
        <f>+'Trial Blc'!L281-'Trial Blc'!K281</f>
        <v>0.39000000000000057</v>
      </c>
      <c r="M96" s="1526">
        <f>+'Trial Blc'!M281-'Trial Blc'!L281</f>
        <v>0</v>
      </c>
      <c r="N96" s="1526">
        <f>+'Trial Blc'!N281-'Trial Blc'!M281</f>
        <v>14.880000000000003</v>
      </c>
      <c r="O96" s="1526">
        <f>+'Trial Blc'!O281-'Trial Blc'!N281</f>
        <v>0</v>
      </c>
      <c r="P96" s="1526">
        <f t="shared" si="1"/>
        <v>32.450000000000003</v>
      </c>
      <c r="Q96" s="1526"/>
    </row>
    <row r="97" spans="2:17">
      <c r="B97" s="1538">
        <v>6207</v>
      </c>
      <c r="D97" s="1526">
        <f>+'Trial Blc'!D282</f>
        <v>54.81</v>
      </c>
      <c r="E97" s="1526">
        <f>+'Trial Blc'!E282-'Trial Blc'!D282</f>
        <v>105.72999999999999</v>
      </c>
      <c r="F97" s="1526">
        <f>+'Trial Blc'!F282-'Trial Blc'!E282</f>
        <v>64.330000000000013</v>
      </c>
      <c r="G97" s="1526">
        <f>+'Trial Blc'!G282-'Trial Blc'!F282</f>
        <v>341.91999999999996</v>
      </c>
      <c r="H97" s="1526">
        <f>+'Trial Blc'!H282-'Trial Blc'!G282</f>
        <v>-246.17999999999995</v>
      </c>
      <c r="I97" s="1526">
        <f>+'Trial Blc'!I282-'Trial Blc'!H282</f>
        <v>6.0099999999999909</v>
      </c>
      <c r="J97" s="1526">
        <f>+'Trial Blc'!J282-'Trial Blc'!I282</f>
        <v>110.50999999999999</v>
      </c>
      <c r="K97" s="1526">
        <f>+'Trial Blc'!K282-'Trial Blc'!J282</f>
        <v>52.800000000000011</v>
      </c>
      <c r="L97" s="1526">
        <f>+'Trial Blc'!L282-'Trial Blc'!K282</f>
        <v>42.599999999999966</v>
      </c>
      <c r="M97" s="1526">
        <f>+'Trial Blc'!M282-'Trial Blc'!L282</f>
        <v>54.110000000000014</v>
      </c>
      <c r="N97" s="1526">
        <f>+'Trial Blc'!N282-'Trial Blc'!M282</f>
        <v>112.13999999999999</v>
      </c>
      <c r="O97" s="1526">
        <f>+'Trial Blc'!O282-'Trial Blc'!N282</f>
        <v>40.25</v>
      </c>
      <c r="P97" s="1526">
        <f t="shared" si="1"/>
        <v>739.03</v>
      </c>
      <c r="Q97" s="1526"/>
    </row>
    <row r="98" spans="2:17">
      <c r="B98" s="1538">
        <v>6215</v>
      </c>
      <c r="D98" s="1526">
        <f>+'Trial Blc'!D283</f>
        <v>638.82000000000005</v>
      </c>
      <c r="E98" s="1526">
        <f>+'Trial Blc'!E283-'Trial Blc'!D283</f>
        <v>628.50999999999988</v>
      </c>
      <c r="F98" s="1526">
        <f>+'Trial Blc'!F283-'Trial Blc'!E283</f>
        <v>772.82000000000016</v>
      </c>
      <c r="G98" s="1526">
        <f>+'Trial Blc'!G283-'Trial Blc'!F283</f>
        <v>758.27999999999975</v>
      </c>
      <c r="H98" s="1526">
        <f>+'Trial Blc'!H283-'Trial Blc'!G283</f>
        <v>797.10000000000036</v>
      </c>
      <c r="I98" s="1526">
        <f>+'Trial Blc'!I283-'Trial Blc'!H283</f>
        <v>880.28999999999951</v>
      </c>
      <c r="J98" s="1526">
        <f>+'Trial Blc'!J283-'Trial Blc'!I283</f>
        <v>858.05000000000018</v>
      </c>
      <c r="K98" s="1526">
        <f>+'Trial Blc'!K283-'Trial Blc'!J283</f>
        <v>806.46</v>
      </c>
      <c r="L98" s="1526">
        <f>+'Trial Blc'!L283-'Trial Blc'!K283</f>
        <v>678.73000000000047</v>
      </c>
      <c r="M98" s="1526">
        <f>+'Trial Blc'!M283-'Trial Blc'!L283</f>
        <v>712.80999999999949</v>
      </c>
      <c r="N98" s="1526">
        <f>+'Trial Blc'!N283-'Trial Blc'!M283</f>
        <v>645.48999999999978</v>
      </c>
      <c r="O98" s="1526">
        <f>+'Trial Blc'!O283-'Trial Blc'!N283</f>
        <v>622.09000000000106</v>
      </c>
      <c r="P98" s="1526">
        <f t="shared" si="1"/>
        <v>8799.4500000000007</v>
      </c>
      <c r="Q98" s="1526"/>
    </row>
    <row r="99" spans="2:17">
      <c r="B99" s="1538">
        <v>6220</v>
      </c>
      <c r="D99" s="1526">
        <f>+'Trial Blc'!D284</f>
        <v>262.06</v>
      </c>
      <c r="E99" s="1526">
        <f>+'Trial Blc'!E284-'Trial Blc'!D284</f>
        <v>351.68</v>
      </c>
      <c r="F99" s="1526">
        <f>+'Trial Blc'!F284-'Trial Blc'!E284</f>
        <v>217.93999999999994</v>
      </c>
      <c r="G99" s="1526">
        <f>+'Trial Blc'!G284-'Trial Blc'!F284</f>
        <v>562.43999999999994</v>
      </c>
      <c r="H99" s="1526">
        <f>+'Trial Blc'!H284-'Trial Blc'!G284</f>
        <v>399.06000000000017</v>
      </c>
      <c r="I99" s="1526">
        <f>+'Trial Blc'!I284-'Trial Blc'!H284</f>
        <v>322.72000000000003</v>
      </c>
      <c r="J99" s="1526">
        <f>+'Trial Blc'!J284-'Trial Blc'!I284</f>
        <v>419.65999999999985</v>
      </c>
      <c r="K99" s="1526">
        <f>+'Trial Blc'!K284-'Trial Blc'!J284</f>
        <v>312.38999999999987</v>
      </c>
      <c r="L99" s="1526">
        <f>+'Trial Blc'!L284-'Trial Blc'!K284</f>
        <v>402.53999999999996</v>
      </c>
      <c r="M99" s="1526">
        <f>+'Trial Blc'!M284-'Trial Blc'!L284</f>
        <v>292.42000000000007</v>
      </c>
      <c r="N99" s="1526">
        <f>+'Trial Blc'!N284-'Trial Blc'!M284</f>
        <v>384.20000000000027</v>
      </c>
      <c r="O99" s="1526">
        <f>+'Trial Blc'!O284-'Trial Blc'!N284</f>
        <v>311.9699999999998</v>
      </c>
      <c r="P99" s="1526">
        <f t="shared" si="1"/>
        <v>4239.08</v>
      </c>
      <c r="Q99" s="1526"/>
    </row>
    <row r="100" spans="2:17">
      <c r="B100" s="1538">
        <v>6225</v>
      </c>
      <c r="D100" s="1526">
        <f>+'Trial Blc'!D285</f>
        <v>0</v>
      </c>
      <c r="E100" s="1526">
        <f>+'Trial Blc'!E285-'Trial Blc'!D285</f>
        <v>0</v>
      </c>
      <c r="F100" s="1526">
        <f>+'Trial Blc'!F285-'Trial Blc'!E285</f>
        <v>0</v>
      </c>
      <c r="G100" s="1526">
        <f>+'Trial Blc'!G285-'Trial Blc'!F285</f>
        <v>0</v>
      </c>
      <c r="H100" s="1526">
        <f>+'Trial Blc'!H285-'Trial Blc'!G285</f>
        <v>212.04</v>
      </c>
      <c r="I100" s="1526">
        <f>+'Trial Blc'!I285-'Trial Blc'!H285</f>
        <v>-1.5099999999999909</v>
      </c>
      <c r="J100" s="1526">
        <f>+'Trial Blc'!J285-'Trial Blc'!I285</f>
        <v>0</v>
      </c>
      <c r="K100" s="1526">
        <f>+'Trial Blc'!K285-'Trial Blc'!J285</f>
        <v>0</v>
      </c>
      <c r="L100" s="1526">
        <f>+'Trial Blc'!L285-'Trial Blc'!K285</f>
        <v>0</v>
      </c>
      <c r="M100" s="1526">
        <f>+'Trial Blc'!M285-'Trial Blc'!L285</f>
        <v>0</v>
      </c>
      <c r="N100" s="1526">
        <f>+'Trial Blc'!N285-'Trial Blc'!M285</f>
        <v>122.73999999999998</v>
      </c>
      <c r="O100" s="1526">
        <f>+'Trial Blc'!O285-'Trial Blc'!N285</f>
        <v>0.15000000000003411</v>
      </c>
      <c r="P100" s="1526">
        <f t="shared" si="1"/>
        <v>333.42</v>
      </c>
      <c r="Q100" s="1526"/>
    </row>
    <row r="101" spans="2:17">
      <c r="B101" s="1538">
        <v>6230</v>
      </c>
      <c r="D101" s="1526">
        <f>+'Trial Blc'!D286</f>
        <v>69.3</v>
      </c>
      <c r="E101" s="1526">
        <f>+'Trial Blc'!E286-'Trial Blc'!D286</f>
        <v>69.399999999999991</v>
      </c>
      <c r="F101" s="1526">
        <f>+'Trial Blc'!F286-'Trial Blc'!E286</f>
        <v>69.180000000000007</v>
      </c>
      <c r="G101" s="1526">
        <f>+'Trial Blc'!G286-'Trial Blc'!F286</f>
        <v>68.87</v>
      </c>
      <c r="H101" s="1526">
        <f>+'Trial Blc'!H286-'Trial Blc'!G286</f>
        <v>110.82999999999998</v>
      </c>
      <c r="I101" s="1526">
        <f>+'Trial Blc'!I286-'Trial Blc'!H286</f>
        <v>87.28000000000003</v>
      </c>
      <c r="J101" s="1526">
        <f>+'Trial Blc'!J286-'Trial Blc'!I286</f>
        <v>0</v>
      </c>
      <c r="K101" s="1526">
        <f>+'Trial Blc'!K286-'Trial Blc'!J286</f>
        <v>76.409999999999968</v>
      </c>
      <c r="L101" s="1526">
        <f>+'Trial Blc'!L286-'Trial Blc'!K286</f>
        <v>0</v>
      </c>
      <c r="M101" s="1526">
        <f>+'Trial Blc'!M286-'Trial Blc'!L286</f>
        <v>290.83000000000004</v>
      </c>
      <c r="N101" s="1526">
        <f>+'Trial Blc'!N286-'Trial Blc'!M286</f>
        <v>0</v>
      </c>
      <c r="O101" s="1526">
        <f>+'Trial Blc'!O286-'Trial Blc'!N286</f>
        <v>139.31999999999994</v>
      </c>
      <c r="P101" s="1526">
        <f t="shared" si="1"/>
        <v>981.42</v>
      </c>
      <c r="Q101" s="1526"/>
    </row>
    <row r="102" spans="2:17">
      <c r="B102" s="1538">
        <v>6260</v>
      </c>
      <c r="D102" s="1526">
        <f>+'Trial Blc'!D287</f>
        <v>875.86</v>
      </c>
      <c r="E102" s="1526">
        <f>+'Trial Blc'!E287-'Trial Blc'!D287</f>
        <v>0</v>
      </c>
      <c r="F102" s="1526">
        <f>+'Trial Blc'!F287-'Trial Blc'!E287</f>
        <v>696.91</v>
      </c>
      <c r="G102" s="1526">
        <f>+'Trial Blc'!G287-'Trial Blc'!F287</f>
        <v>1130.1999999999998</v>
      </c>
      <c r="H102" s="1526">
        <f>+'Trial Blc'!H287-'Trial Blc'!G287</f>
        <v>223.0300000000002</v>
      </c>
      <c r="I102" s="1526">
        <f>+'Trial Blc'!I287-'Trial Blc'!H287</f>
        <v>459.36000000000013</v>
      </c>
      <c r="J102" s="1526">
        <f>+'Trial Blc'!J287-'Trial Blc'!I287</f>
        <v>501.27999999999975</v>
      </c>
      <c r="K102" s="1526">
        <f>+'Trial Blc'!K287-'Trial Blc'!J287</f>
        <v>786.79000000000042</v>
      </c>
      <c r="L102" s="1526">
        <f>+'Trial Blc'!L287-'Trial Blc'!K287</f>
        <v>402.88999999999942</v>
      </c>
      <c r="M102" s="1526">
        <f>+'Trial Blc'!M287-'Trial Blc'!L287</f>
        <v>166.99000000000069</v>
      </c>
      <c r="N102" s="1526">
        <f>+'Trial Blc'!N287-'Trial Blc'!M287</f>
        <v>416.72999999999956</v>
      </c>
      <c r="O102" s="1526">
        <f>+'Trial Blc'!O287-'Trial Blc'!N287</f>
        <v>136.94999999999982</v>
      </c>
      <c r="P102" s="1526">
        <f t="shared" si="1"/>
        <v>5796.99</v>
      </c>
      <c r="Q102" s="1526"/>
    </row>
    <row r="103" spans="2:17">
      <c r="B103" s="1565">
        <v>6265</v>
      </c>
      <c r="D103" s="1526">
        <f>+'Trial Blc'!D288</f>
        <v>0</v>
      </c>
      <c r="E103" s="1526">
        <f>+'Trial Blc'!E288-'Trial Blc'!D288</f>
        <v>47</v>
      </c>
      <c r="F103" s="1526">
        <f>+'Trial Blc'!F288-'Trial Blc'!E288</f>
        <v>0</v>
      </c>
      <c r="G103" s="1526">
        <f>+'Trial Blc'!G288-'Trial Blc'!F288</f>
        <v>0</v>
      </c>
      <c r="H103" s="1526">
        <f>+'Trial Blc'!H288-'Trial Blc'!G288</f>
        <v>0</v>
      </c>
      <c r="I103" s="1526">
        <f>+'Trial Blc'!I288-'Trial Blc'!H288</f>
        <v>0</v>
      </c>
      <c r="J103" s="1526">
        <f>+'Trial Blc'!J288-'Trial Blc'!I288</f>
        <v>0</v>
      </c>
      <c r="K103" s="1526">
        <f>+'Trial Blc'!K288-'Trial Blc'!J288</f>
        <v>0</v>
      </c>
      <c r="L103" s="1526">
        <f>+'Trial Blc'!L288-'Trial Blc'!K288</f>
        <v>0</v>
      </c>
      <c r="M103" s="1526">
        <f>+'Trial Blc'!M288-'Trial Blc'!L288</f>
        <v>0</v>
      </c>
      <c r="N103" s="1526">
        <f>+'Trial Blc'!N288-'Trial Blc'!M288</f>
        <v>0</v>
      </c>
      <c r="O103" s="1526">
        <f>+'Trial Blc'!O288-'Trial Blc'!N288</f>
        <v>0</v>
      </c>
      <c r="P103" s="1526">
        <f t="shared" si="1"/>
        <v>47</v>
      </c>
      <c r="Q103" s="1526"/>
    </row>
    <row r="104" spans="2:17">
      <c r="B104" s="1538">
        <v>6270</v>
      </c>
      <c r="D104" s="1526">
        <f>+'Trial Blc'!D289</f>
        <v>1123.4100000000001</v>
      </c>
      <c r="E104" s="1526">
        <f>+'Trial Blc'!E289-'Trial Blc'!D289</f>
        <v>2951.99</v>
      </c>
      <c r="F104" s="1526">
        <f>+'Trial Blc'!F289-'Trial Blc'!E289</f>
        <v>2137.4999999999995</v>
      </c>
      <c r="G104" s="1526">
        <f>+'Trial Blc'!G289-'Trial Blc'!F289</f>
        <v>3811.0699999999997</v>
      </c>
      <c r="H104" s="1526">
        <f>+'Trial Blc'!H289-'Trial Blc'!G289</f>
        <v>0</v>
      </c>
      <c r="I104" s="1526">
        <f>+'Trial Blc'!I289-'Trial Blc'!H289</f>
        <v>1971.7900000000009</v>
      </c>
      <c r="J104" s="1526">
        <f>+'Trial Blc'!J289-'Trial Blc'!I289</f>
        <v>1446.5200000000004</v>
      </c>
      <c r="K104" s="1526">
        <f>+'Trial Blc'!K289-'Trial Blc'!J289</f>
        <v>1312</v>
      </c>
      <c r="L104" s="1526">
        <f>+'Trial Blc'!L289-'Trial Blc'!K289</f>
        <v>1544</v>
      </c>
      <c r="M104" s="1526">
        <f>+'Trial Blc'!M289-'Trial Blc'!L289</f>
        <v>1323.9999999999982</v>
      </c>
      <c r="N104" s="1526">
        <f>+'Trial Blc'!N289-'Trial Blc'!M289</f>
        <v>3322</v>
      </c>
      <c r="O104" s="1526">
        <f>+'Trial Blc'!O289-'Trial Blc'!N289</f>
        <v>3708.25</v>
      </c>
      <c r="P104" s="1526">
        <f t="shared" si="1"/>
        <v>24652.53</v>
      </c>
      <c r="Q104" s="1526"/>
    </row>
    <row r="105" spans="2:17">
      <c r="B105" s="1538">
        <v>6320</v>
      </c>
      <c r="D105" s="1526">
        <f>+'Trial Blc'!D290</f>
        <v>664.72</v>
      </c>
      <c r="E105" s="1526">
        <f>+'Trial Blc'!E290-'Trial Blc'!D290</f>
        <v>337.87</v>
      </c>
      <c r="F105" s="1526">
        <f>+'Trial Blc'!F290-'Trial Blc'!E290</f>
        <v>76.239999999999895</v>
      </c>
      <c r="G105" s="1526">
        <f>+'Trial Blc'!G290-'Trial Blc'!F290</f>
        <v>18.259999999999991</v>
      </c>
      <c r="H105" s="1526">
        <f>+'Trial Blc'!H290-'Trial Blc'!G290</f>
        <v>279.07000000000016</v>
      </c>
      <c r="I105" s="1526">
        <f>+'Trial Blc'!I290-'Trial Blc'!H290</f>
        <v>57.159999999999854</v>
      </c>
      <c r="J105" s="1526">
        <f>+'Trial Blc'!J290-'Trial Blc'!I290</f>
        <v>359.81000000000017</v>
      </c>
      <c r="K105" s="1526">
        <f>+'Trial Blc'!K290-'Trial Blc'!J290</f>
        <v>441.48</v>
      </c>
      <c r="L105" s="1526">
        <f>+'Trial Blc'!L290-'Trial Blc'!K290</f>
        <v>10.839999999999691</v>
      </c>
      <c r="M105" s="1526">
        <f>+'Trial Blc'!M290-'Trial Blc'!L290</f>
        <v>1994.7700000000004</v>
      </c>
      <c r="N105" s="1526">
        <f>+'Trial Blc'!N290-'Trial Blc'!M290</f>
        <v>817.96</v>
      </c>
      <c r="O105" s="1526">
        <f>+'Trial Blc'!O290-'Trial Blc'!N290</f>
        <v>172.05999999999949</v>
      </c>
      <c r="P105" s="1526">
        <f t="shared" si="1"/>
        <v>5230.24</v>
      </c>
      <c r="Q105" s="1526"/>
    </row>
    <row r="106" spans="2:17">
      <c r="B106" s="1538">
        <v>6325</v>
      </c>
      <c r="D106" s="1526">
        <f>+'Trial Blc'!D291</f>
        <v>440</v>
      </c>
      <c r="E106" s="1526">
        <f>+'Trial Blc'!E291-'Trial Blc'!D291</f>
        <v>0</v>
      </c>
      <c r="F106" s="1526">
        <f>+'Trial Blc'!F291-'Trial Blc'!E291</f>
        <v>426.17999999999995</v>
      </c>
      <c r="G106" s="1526">
        <f>+'Trial Blc'!G291-'Trial Blc'!F291</f>
        <v>870.00000000000011</v>
      </c>
      <c r="H106" s="1526">
        <f>+'Trial Blc'!H291-'Trial Blc'!G291</f>
        <v>1264.9999999999998</v>
      </c>
      <c r="I106" s="1526">
        <f>+'Trial Blc'!I291-'Trial Blc'!H291</f>
        <v>240</v>
      </c>
      <c r="J106" s="1526">
        <f>+'Trial Blc'!J291-'Trial Blc'!I291</f>
        <v>337.5</v>
      </c>
      <c r="K106" s="1526">
        <f>+'Trial Blc'!K291-'Trial Blc'!J291</f>
        <v>1114.8800000000006</v>
      </c>
      <c r="L106" s="1526">
        <f>+'Trial Blc'!L291-'Trial Blc'!K291</f>
        <v>442.69999999999982</v>
      </c>
      <c r="M106" s="1526">
        <f>+'Trial Blc'!M291-'Trial Blc'!L291</f>
        <v>220</v>
      </c>
      <c r="N106" s="1526">
        <f>+'Trial Blc'!N291-'Trial Blc'!M291</f>
        <v>847.5</v>
      </c>
      <c r="O106" s="1526">
        <f>+'Trial Blc'!O291-'Trial Blc'!N291</f>
        <v>1326.9499999999998</v>
      </c>
      <c r="P106" s="1526">
        <f t="shared" si="1"/>
        <v>7530.71</v>
      </c>
      <c r="Q106" s="1526"/>
    </row>
    <row r="107" spans="2:17">
      <c r="B107" s="1538">
        <v>6335</v>
      </c>
      <c r="D107" s="1526">
        <f>+'Trial Blc'!D292</f>
        <v>4085.56</v>
      </c>
      <c r="E107" s="1526">
        <f>+'Trial Blc'!E292-'Trial Blc'!D292</f>
        <v>0</v>
      </c>
      <c r="F107" s="1526">
        <f>+'Trial Blc'!F292-'Trial Blc'!E292</f>
        <v>4256.1200000000008</v>
      </c>
      <c r="G107" s="1526">
        <f>+'Trial Blc'!G292-'Trial Blc'!F292</f>
        <v>-85.600000000000364</v>
      </c>
      <c r="H107" s="1526">
        <f>+'Trial Blc'!H292-'Trial Blc'!G292</f>
        <v>2495.2100000000009</v>
      </c>
      <c r="I107" s="1526">
        <f>+'Trial Blc'!I292-'Trial Blc'!H292</f>
        <v>788.11999999999898</v>
      </c>
      <c r="J107" s="1526">
        <f>+'Trial Blc'!J292-'Trial Blc'!I292</f>
        <v>2030.2399999999998</v>
      </c>
      <c r="K107" s="1526">
        <f>+'Trial Blc'!K292-'Trial Blc'!J292</f>
        <v>1305.8700000000008</v>
      </c>
      <c r="L107" s="1526">
        <f>+'Trial Blc'!L292-'Trial Blc'!K292</f>
        <v>2131.59</v>
      </c>
      <c r="M107" s="1526">
        <f>+'Trial Blc'!M292-'Trial Blc'!L292</f>
        <v>3614.880000000001</v>
      </c>
      <c r="N107" s="1526">
        <f>+'Trial Blc'!N292-'Trial Blc'!M292</f>
        <v>2787.6399999999994</v>
      </c>
      <c r="O107" s="1526">
        <f>+'Trial Blc'!O292-'Trial Blc'!N292</f>
        <v>1087.5</v>
      </c>
      <c r="P107" s="1526">
        <f t="shared" si="1"/>
        <v>24497.13</v>
      </c>
      <c r="Q107" s="1526"/>
    </row>
    <row r="108" spans="2:17">
      <c r="B108" s="1538">
        <v>6340</v>
      </c>
      <c r="D108" s="1526">
        <f>+'Trial Blc'!D293</f>
        <v>0</v>
      </c>
      <c r="E108" s="1526">
        <f>+'Trial Blc'!E293-'Trial Blc'!D293</f>
        <v>0</v>
      </c>
      <c r="F108" s="1526">
        <f>+'Trial Blc'!F293-'Trial Blc'!E293</f>
        <v>0</v>
      </c>
      <c r="G108" s="1526">
        <f>+'Trial Blc'!G293-'Trial Blc'!F293</f>
        <v>0</v>
      </c>
      <c r="H108" s="1526">
        <f>+'Trial Blc'!H293-'Trial Blc'!G293</f>
        <v>0</v>
      </c>
      <c r="I108" s="1526">
        <f>+'Trial Blc'!I293-'Trial Blc'!H293</f>
        <v>0</v>
      </c>
      <c r="J108" s="1526">
        <f>+'Trial Blc'!J293-'Trial Blc'!I293</f>
        <v>0</v>
      </c>
      <c r="K108" s="1526">
        <f>+'Trial Blc'!K293-'Trial Blc'!J293</f>
        <v>0</v>
      </c>
      <c r="L108" s="1526">
        <f>+'Trial Blc'!L293-'Trial Blc'!K293</f>
        <v>0</v>
      </c>
      <c r="M108" s="1526">
        <f>+'Trial Blc'!M293-'Trial Blc'!L293</f>
        <v>0</v>
      </c>
      <c r="N108" s="1526">
        <f>+'Trial Blc'!N293-'Trial Blc'!M293</f>
        <v>0</v>
      </c>
      <c r="O108" s="1526">
        <f>+'Trial Blc'!O293-'Trial Blc'!N293</f>
        <v>10625</v>
      </c>
      <c r="P108" s="1526">
        <f t="shared" si="1"/>
        <v>10625</v>
      </c>
      <c r="Q108" s="1526"/>
    </row>
    <row r="109" spans="2:17">
      <c r="B109" s="1538">
        <v>6345</v>
      </c>
      <c r="D109" s="1526">
        <f>+'Trial Blc'!D294</f>
        <v>465.78</v>
      </c>
      <c r="E109" s="1526">
        <f>+'Trial Blc'!E294-'Trial Blc'!D294</f>
        <v>1621.59</v>
      </c>
      <c r="F109" s="1526">
        <f>+'Trial Blc'!F294-'Trial Blc'!E294</f>
        <v>4051.3900000000003</v>
      </c>
      <c r="G109" s="1526">
        <f>+'Trial Blc'!G294-'Trial Blc'!F294</f>
        <v>679.13000000000011</v>
      </c>
      <c r="H109" s="1526">
        <f>+'Trial Blc'!H294-'Trial Blc'!G294</f>
        <v>1733.4299999999994</v>
      </c>
      <c r="I109" s="1526">
        <f>+'Trial Blc'!I294-'Trial Blc'!H294</f>
        <v>1341.2200000000012</v>
      </c>
      <c r="J109" s="1526">
        <f>+'Trial Blc'!J294-'Trial Blc'!I294</f>
        <v>31945.53</v>
      </c>
      <c r="K109" s="1526">
        <f>+'Trial Blc'!K294-'Trial Blc'!J294</f>
        <v>3442.3400000000038</v>
      </c>
      <c r="L109" s="1526">
        <f>+'Trial Blc'!L294-'Trial Blc'!K294</f>
        <v>-31829.000000000004</v>
      </c>
      <c r="M109" s="1526">
        <f>+'Trial Blc'!M294-'Trial Blc'!L294</f>
        <v>3687.4500000000007</v>
      </c>
      <c r="N109" s="1526">
        <f>+'Trial Blc'!N294-'Trial Blc'!M294</f>
        <v>179.18000000000029</v>
      </c>
      <c r="O109" s="1526">
        <f>+'Trial Blc'!O294-'Trial Blc'!N294</f>
        <v>2373.5699999999997</v>
      </c>
      <c r="P109" s="1526">
        <f t="shared" si="1"/>
        <v>19691.61</v>
      </c>
      <c r="Q109" s="1526"/>
    </row>
    <row r="110" spans="2:17">
      <c r="B110" s="1538">
        <v>6355</v>
      </c>
      <c r="D110" s="1526">
        <f>+'Trial Blc'!D295</f>
        <v>174.64</v>
      </c>
      <c r="E110" s="1526">
        <f>+'Trial Blc'!E295-'Trial Blc'!D295</f>
        <v>174.65000000000003</v>
      </c>
      <c r="F110" s="1526">
        <f>+'Trial Blc'!F295-'Trial Blc'!E295</f>
        <v>174.63999999999993</v>
      </c>
      <c r="G110" s="1526">
        <f>+'Trial Blc'!G295-'Trial Blc'!F295</f>
        <v>174.6400000000001</v>
      </c>
      <c r="H110" s="1526">
        <f>+'Trial Blc'!H295-'Trial Blc'!G295</f>
        <v>174.64</v>
      </c>
      <c r="I110" s="1526">
        <f>+'Trial Blc'!I295-'Trial Blc'!H295</f>
        <v>174.64999999999986</v>
      </c>
      <c r="J110" s="1526">
        <f>+'Trial Blc'!J295-'Trial Blc'!I295</f>
        <v>174.6400000000001</v>
      </c>
      <c r="K110" s="1526">
        <f>+'Trial Blc'!K295-'Trial Blc'!J295</f>
        <v>0</v>
      </c>
      <c r="L110" s="1526">
        <f>+'Trial Blc'!L295-'Trial Blc'!K295</f>
        <v>1633.4899999999998</v>
      </c>
      <c r="M110" s="1526">
        <f>+'Trial Blc'!M295-'Trial Blc'!L295</f>
        <v>544.5</v>
      </c>
      <c r="N110" s="1526">
        <f>+'Trial Blc'!N295-'Trial Blc'!M295</f>
        <v>544.5</v>
      </c>
      <c r="O110" s="1526">
        <f>+'Trial Blc'!O295-'Trial Blc'!N295</f>
        <v>544.5</v>
      </c>
      <c r="P110" s="1526">
        <f t="shared" si="1"/>
        <v>4489.49</v>
      </c>
      <c r="Q110" s="1526"/>
    </row>
    <row r="111" spans="2:17">
      <c r="B111" s="1538">
        <v>6360</v>
      </c>
      <c r="D111" s="1526">
        <f>+'Trial Blc'!D296</f>
        <v>0</v>
      </c>
      <c r="E111" s="1526">
        <f>+'Trial Blc'!E296-'Trial Blc'!D296</f>
        <v>0</v>
      </c>
      <c r="F111" s="1526">
        <f>+'Trial Blc'!F296-'Trial Blc'!E296</f>
        <v>0</v>
      </c>
      <c r="G111" s="1526">
        <f>+'Trial Blc'!G296-'Trial Blc'!F296</f>
        <v>0</v>
      </c>
      <c r="H111" s="1526">
        <f>+'Trial Blc'!H296-'Trial Blc'!G296</f>
        <v>0</v>
      </c>
      <c r="I111" s="1526">
        <f>+'Trial Blc'!I296-'Trial Blc'!H296</f>
        <v>0</v>
      </c>
      <c r="J111" s="1526">
        <f>+'Trial Blc'!J296-'Trial Blc'!I296</f>
        <v>0</v>
      </c>
      <c r="K111" s="1526">
        <f>+'Trial Blc'!K296-'Trial Blc'!J296</f>
        <v>0</v>
      </c>
      <c r="L111" s="1526">
        <f>+'Trial Blc'!L296-'Trial Blc'!K296</f>
        <v>0</v>
      </c>
      <c r="M111" s="1526">
        <f>+'Trial Blc'!M296-'Trial Blc'!L296</f>
        <v>0</v>
      </c>
      <c r="N111" s="1526">
        <f>+'Trial Blc'!N296-'Trial Blc'!M296</f>
        <v>0</v>
      </c>
      <c r="O111" s="1526">
        <f>+'Trial Blc'!O296-'Trial Blc'!N296</f>
        <v>30.15</v>
      </c>
      <c r="P111" s="1526">
        <f t="shared" si="1"/>
        <v>30.15</v>
      </c>
      <c r="Q111" s="1526"/>
    </row>
    <row r="112" spans="2:17">
      <c r="B112" s="1538">
        <v>6365</v>
      </c>
      <c r="D112" s="1526">
        <f>+'Trial Blc'!D297</f>
        <v>0</v>
      </c>
      <c r="E112" s="1526">
        <f>+'Trial Blc'!E297-'Trial Blc'!D297</f>
        <v>0</v>
      </c>
      <c r="F112" s="1526">
        <f>+'Trial Blc'!F297-'Trial Blc'!E297</f>
        <v>29.04</v>
      </c>
      <c r="G112" s="1526">
        <f>+'Trial Blc'!G297-'Trial Blc'!F297</f>
        <v>0</v>
      </c>
      <c r="H112" s="1526">
        <f>+'Trial Blc'!H297-'Trial Blc'!G297</f>
        <v>0</v>
      </c>
      <c r="I112" s="1526">
        <f>+'Trial Blc'!I297-'Trial Blc'!H297</f>
        <v>0</v>
      </c>
      <c r="J112" s="1526">
        <f>+'Trial Blc'!J297-'Trial Blc'!I297</f>
        <v>0</v>
      </c>
      <c r="K112" s="1526">
        <f>+'Trial Blc'!K297-'Trial Blc'!J297</f>
        <v>0</v>
      </c>
      <c r="L112" s="1526">
        <f>+'Trial Blc'!L297-'Trial Blc'!K297</f>
        <v>0</v>
      </c>
      <c r="M112" s="1526">
        <f>+'Trial Blc'!M297-'Trial Blc'!L297</f>
        <v>0</v>
      </c>
      <c r="N112" s="1526">
        <f>+'Trial Blc'!N297-'Trial Blc'!M297</f>
        <v>0</v>
      </c>
      <c r="O112" s="1526">
        <f>+'Trial Blc'!O297-'Trial Blc'!N297</f>
        <v>14.469999999999999</v>
      </c>
      <c r="P112" s="1526">
        <f t="shared" si="1"/>
        <v>43.51</v>
      </c>
      <c r="Q112" s="1526"/>
    </row>
    <row r="113" spans="1:19">
      <c r="B113" s="1538">
        <v>6385</v>
      </c>
      <c r="D113" s="1526">
        <f>+'Trial Blc'!D298</f>
        <v>0</v>
      </c>
      <c r="E113" s="1526">
        <f>+'Trial Blc'!E298-'Trial Blc'!D298</f>
        <v>0</v>
      </c>
      <c r="F113" s="1526">
        <f>+'Trial Blc'!F298-'Trial Blc'!E298</f>
        <v>3.72</v>
      </c>
      <c r="G113" s="1526">
        <f>+'Trial Blc'!G298-'Trial Blc'!F298</f>
        <v>16.290000000000003</v>
      </c>
      <c r="H113" s="1526">
        <f>+'Trial Blc'!H298-'Trial Blc'!G298</f>
        <v>297.65000000000003</v>
      </c>
      <c r="I113" s="1526">
        <f>+'Trial Blc'!I298-'Trial Blc'!H298</f>
        <v>-289.42</v>
      </c>
      <c r="J113" s="1526">
        <f>+'Trial Blc'!J298-'Trial Blc'!I298</f>
        <v>380.51</v>
      </c>
      <c r="K113" s="1526">
        <f>+'Trial Blc'!K298-'Trial Blc'!J298</f>
        <v>0</v>
      </c>
      <c r="L113" s="1526">
        <f>+'Trial Blc'!L298-'Trial Blc'!K298</f>
        <v>124.69000000000005</v>
      </c>
      <c r="M113" s="1526">
        <f>+'Trial Blc'!M298-'Trial Blc'!L298</f>
        <v>0</v>
      </c>
      <c r="N113" s="1526">
        <f>+'Trial Blc'!N298-'Trial Blc'!M298</f>
        <v>0</v>
      </c>
      <c r="O113" s="1526">
        <f>+'Trial Blc'!O298-'Trial Blc'!N298</f>
        <v>196.28999999999996</v>
      </c>
      <c r="P113" s="1526">
        <f t="shared" si="1"/>
        <v>729.73</v>
      </c>
      <c r="Q113" s="1526"/>
    </row>
    <row r="114" spans="1:19">
      <c r="B114" s="1538">
        <v>6390</v>
      </c>
      <c r="D114" s="1526">
        <f>+'Trial Blc'!D299</f>
        <v>7.65</v>
      </c>
      <c r="E114" s="1526">
        <f>+'Trial Blc'!E299-'Trial Blc'!D299</f>
        <v>6.3599999999999994</v>
      </c>
      <c r="F114" s="1526">
        <f>+'Trial Blc'!F299-'Trial Blc'!E299</f>
        <v>13.58</v>
      </c>
      <c r="G114" s="1526">
        <f>+'Trial Blc'!G299-'Trial Blc'!F299</f>
        <v>9.360000000000003</v>
      </c>
      <c r="H114" s="1526">
        <f>+'Trial Blc'!H299-'Trial Blc'!G299</f>
        <v>14.129999999999995</v>
      </c>
      <c r="I114" s="1526">
        <f>+'Trial Blc'!I299-'Trial Blc'!H299</f>
        <v>1151.6100000000001</v>
      </c>
      <c r="J114" s="1526">
        <f>+'Trial Blc'!J299-'Trial Blc'!I299</f>
        <v>222.41999999999985</v>
      </c>
      <c r="K114" s="1526">
        <f>+'Trial Blc'!K299-'Trial Blc'!J299</f>
        <v>98.220000000000027</v>
      </c>
      <c r="L114" s="1526">
        <f>+'Trial Blc'!L299-'Trial Blc'!K299</f>
        <v>5.5399999999999636</v>
      </c>
      <c r="M114" s="1526">
        <f>+'Trial Blc'!M299-'Trial Blc'!L299</f>
        <v>6.6300000000001091</v>
      </c>
      <c r="N114" s="1526">
        <f>+'Trial Blc'!N299-'Trial Blc'!M299</f>
        <v>10.059999999999945</v>
      </c>
      <c r="O114" s="1526">
        <f>+'Trial Blc'!O299-'Trial Blc'!N299</f>
        <v>7.5499999999999545</v>
      </c>
      <c r="P114" s="1526">
        <f t="shared" ref="P114:P116" si="2">SUM(D114:O114)</f>
        <v>1553.11</v>
      </c>
      <c r="Q114" s="1526"/>
    </row>
    <row r="115" spans="1:19">
      <c r="B115" s="1538">
        <v>6400</v>
      </c>
      <c r="D115" s="1526">
        <f>+'Trial Blc'!D300</f>
        <v>0</v>
      </c>
      <c r="E115" s="1526">
        <f>+'Trial Blc'!E300-'Trial Blc'!D300</f>
        <v>0</v>
      </c>
      <c r="F115" s="1526">
        <f>+'Trial Blc'!F300-'Trial Blc'!E300</f>
        <v>1000</v>
      </c>
      <c r="G115" s="1526">
        <f>+'Trial Blc'!G300-'Trial Blc'!F300</f>
        <v>0</v>
      </c>
      <c r="H115" s="1526">
        <f>+'Trial Blc'!H300-'Trial Blc'!G300</f>
        <v>0</v>
      </c>
      <c r="I115" s="1526">
        <f>+'Trial Blc'!I300-'Trial Blc'!H300</f>
        <v>0</v>
      </c>
      <c r="J115" s="1526">
        <f>+'Trial Blc'!J300-'Trial Blc'!I300</f>
        <v>0</v>
      </c>
      <c r="K115" s="1526">
        <f>+'Trial Blc'!K300-'Trial Blc'!J300</f>
        <v>0</v>
      </c>
      <c r="L115" s="1526">
        <f>+'Trial Blc'!L300-'Trial Blc'!K300</f>
        <v>0</v>
      </c>
      <c r="M115" s="1526">
        <f>+'Trial Blc'!M300-'Trial Blc'!L300</f>
        <v>1530</v>
      </c>
      <c r="N115" s="1526">
        <f>+'Trial Blc'!N300-'Trial Blc'!M300</f>
        <v>0</v>
      </c>
      <c r="O115" s="1526">
        <f>+'Trial Blc'!O300-'Trial Blc'!N300</f>
        <v>0</v>
      </c>
      <c r="P115" s="1526">
        <f t="shared" si="2"/>
        <v>2530</v>
      </c>
      <c r="Q115" s="1526"/>
    </row>
    <row r="116" spans="1:19">
      <c r="B116" s="1538">
        <v>6410</v>
      </c>
      <c r="D116" s="1526">
        <f>+'Trial Blc'!D301</f>
        <v>11231.21</v>
      </c>
      <c r="E116" s="1526">
        <f>+'Trial Blc'!E301-'Trial Blc'!D301</f>
        <v>11569.650000000001</v>
      </c>
      <c r="F116" s="1526">
        <f>+'Trial Blc'!F301-'Trial Blc'!E301</f>
        <v>20400</v>
      </c>
      <c r="G116" s="1526">
        <f>+'Trial Blc'!G301-'Trial Blc'!F301</f>
        <v>15600</v>
      </c>
      <c r="H116" s="1526">
        <f>+'Trial Blc'!H301-'Trial Blc'!G301</f>
        <v>13200</v>
      </c>
      <c r="I116" s="1526">
        <f>+'Trial Blc'!I301-'Trial Blc'!H301</f>
        <v>10800</v>
      </c>
      <c r="J116" s="1526">
        <f>+'Trial Blc'!J301-'Trial Blc'!I301</f>
        <v>16800</v>
      </c>
      <c r="K116" s="1526">
        <f>+'Trial Blc'!K301-'Trial Blc'!J301</f>
        <v>13200</v>
      </c>
      <c r="L116" s="1526">
        <f>+'Trial Blc'!L301-'Trial Blc'!K301</f>
        <v>14400</v>
      </c>
      <c r="M116" s="1526">
        <f>+'Trial Blc'!M301-'Trial Blc'!L301</f>
        <v>13499.999999999985</v>
      </c>
      <c r="N116" s="1526">
        <f>+'Trial Blc'!N301-'Trial Blc'!M301</f>
        <v>8400</v>
      </c>
      <c r="O116" s="1526">
        <f>+'Trial Blc'!O301-'Trial Blc'!N301</f>
        <v>20400</v>
      </c>
      <c r="P116" s="1526">
        <f t="shared" si="2"/>
        <v>169500.86</v>
      </c>
    </row>
    <row r="117" spans="1:19">
      <c r="B117" s="1538"/>
      <c r="D117" s="1526"/>
      <c r="E117" s="1526"/>
      <c r="F117" s="1526"/>
      <c r="G117" s="1526"/>
      <c r="H117" s="1526"/>
      <c r="I117" s="1526"/>
      <c r="J117" s="1526"/>
      <c r="K117" s="1526"/>
      <c r="L117" s="1526"/>
      <c r="M117" s="1526"/>
      <c r="N117" s="1526"/>
      <c r="O117" s="1526"/>
      <c r="P117" s="1526"/>
    </row>
    <row r="118" spans="1:19" ht="15">
      <c r="A118" s="1549" t="s">
        <v>2219</v>
      </c>
      <c r="B118" s="1682">
        <v>6640</v>
      </c>
      <c r="D118" s="1526">
        <f>+'Trial Blc'!D302</f>
        <v>0</v>
      </c>
      <c r="E118" s="1526">
        <f>+'Trial Blc'!E302-'Trial Blc'!D302</f>
        <v>0</v>
      </c>
      <c r="F118" s="1526">
        <f>+'Trial Blc'!F302-'Trial Blc'!E302</f>
        <v>0</v>
      </c>
      <c r="G118" s="1526">
        <f>+'Trial Blc'!G302-'Trial Blc'!F302</f>
        <v>3.92</v>
      </c>
      <c r="H118" s="1526">
        <f>+'Trial Blc'!H302-'Trial Blc'!G302</f>
        <v>3.92</v>
      </c>
      <c r="I118" s="1526">
        <f>+'Trial Blc'!I302-'Trial Blc'!H302</f>
        <v>3.92</v>
      </c>
      <c r="J118" s="1526">
        <f>+'Trial Blc'!J302-'Trial Blc'!I302</f>
        <v>3.92</v>
      </c>
      <c r="K118" s="1526">
        <f>+'Trial Blc'!K302-'Trial Blc'!J302</f>
        <v>3.9200000000000017</v>
      </c>
      <c r="L118" s="1526">
        <f>+'Trial Blc'!L302-'Trial Blc'!K302</f>
        <v>3.9199999999999982</v>
      </c>
      <c r="M118" s="1526">
        <f>+'Trial Blc'!M302-'Trial Blc'!L302</f>
        <v>3.9200000000000017</v>
      </c>
      <c r="N118" s="1526">
        <f>+'Trial Blc'!N302-'Trial Blc'!M302</f>
        <v>3.9199999999999982</v>
      </c>
      <c r="O118" s="1526">
        <f>+'Trial Blc'!O302-'Trial Blc'!N302</f>
        <v>3.9200000000000017</v>
      </c>
      <c r="P118" s="1526">
        <f t="shared" ref="P118:P176" si="3">SUM(D118:O118)</f>
        <v>35.28</v>
      </c>
      <c r="Q118" s="1526"/>
      <c r="R118" s="1526"/>
      <c r="S118" s="1526"/>
    </row>
    <row r="119" spans="1:19">
      <c r="A119" t="s">
        <v>2262</v>
      </c>
      <c r="B119" s="1682">
        <v>6660</v>
      </c>
      <c r="D119" s="1526">
        <f>+'Trial Blc'!D303</f>
        <v>983.7</v>
      </c>
      <c r="E119" s="1526">
        <f>+'Trial Blc'!E303-'Trial Blc'!D303</f>
        <v>989.54</v>
      </c>
      <c r="F119" s="1526">
        <f>+'Trial Blc'!F303-'Trial Blc'!E303</f>
        <v>989.54000000000019</v>
      </c>
      <c r="G119" s="1526">
        <f>+'Trial Blc'!G303-'Trial Blc'!F303</f>
        <v>1033.1499999999996</v>
      </c>
      <c r="H119" s="1526">
        <f>+'Trial Blc'!H303-'Trial Blc'!G303</f>
        <v>1033.4200000000005</v>
      </c>
      <c r="I119" s="1526">
        <f>+'Trial Blc'!I303-'Trial Blc'!H303</f>
        <v>1017.4299999999994</v>
      </c>
      <c r="J119" s="1526">
        <f>+'Trial Blc'!J303-'Trial Blc'!I303</f>
        <v>2849.3</v>
      </c>
      <c r="K119" s="1526">
        <f>+'Trial Blc'!K303-'Trial Blc'!J303</f>
        <v>2849.2999999999993</v>
      </c>
      <c r="L119" s="1526">
        <f>+'Trial Blc'!L303-'Trial Blc'!K303</f>
        <v>1996.3000000000011</v>
      </c>
      <c r="M119" s="1526">
        <f>+'Trial Blc'!M303-'Trial Blc'!L303</f>
        <v>1996.2999999999993</v>
      </c>
      <c r="N119" s="1526">
        <f>+'Trial Blc'!N303-'Trial Blc'!M303</f>
        <v>1996.2999999999993</v>
      </c>
      <c r="O119" s="1526">
        <f>+'Trial Blc'!O303-'Trial Blc'!N303</f>
        <v>1996.3000000000029</v>
      </c>
      <c r="P119" s="1526">
        <f t="shared" si="3"/>
        <v>19730.580000000002</v>
      </c>
      <c r="Q119" s="1526"/>
      <c r="R119" s="1526"/>
      <c r="S119" s="1526"/>
    </row>
    <row r="120" spans="1:19">
      <c r="B120" s="1682">
        <v>6665</v>
      </c>
      <c r="D120" s="1526">
        <f>+'Trial Blc'!D304</f>
        <v>360.2</v>
      </c>
      <c r="E120" s="1526">
        <f>+'Trial Blc'!E304-'Trial Blc'!D304</f>
        <v>360.2</v>
      </c>
      <c r="F120" s="1526">
        <f>+'Trial Blc'!F304-'Trial Blc'!E304</f>
        <v>360.19999999999993</v>
      </c>
      <c r="G120" s="1526">
        <f>+'Trial Blc'!G304-'Trial Blc'!F304</f>
        <v>361.1400000000001</v>
      </c>
      <c r="H120" s="1526">
        <f>+'Trial Blc'!H304-'Trial Blc'!G304</f>
        <v>361.1400000000001</v>
      </c>
      <c r="I120" s="1526">
        <f>+'Trial Blc'!I304-'Trial Blc'!H304</f>
        <v>362.46000000000004</v>
      </c>
      <c r="J120" s="1526">
        <f>+'Trial Blc'!J304-'Trial Blc'!I304</f>
        <v>411.80999999999995</v>
      </c>
      <c r="K120" s="1526">
        <f>+'Trial Blc'!K304-'Trial Blc'!J304</f>
        <v>414.44999999999982</v>
      </c>
      <c r="L120" s="1526">
        <f>+'Trial Blc'!L304-'Trial Blc'!K304</f>
        <v>431.82000000000016</v>
      </c>
      <c r="M120" s="1526">
        <f>+'Trial Blc'!M304-'Trial Blc'!L304</f>
        <v>435.84000000000015</v>
      </c>
      <c r="N120" s="1526">
        <f>+'Trial Blc'!N304-'Trial Blc'!M304</f>
        <v>438.01000000000022</v>
      </c>
      <c r="O120" s="1526">
        <f>+'Trial Blc'!O304-'Trial Blc'!N304</f>
        <v>438.00999999999931</v>
      </c>
      <c r="P120" s="1526">
        <f t="shared" si="3"/>
        <v>4735.28</v>
      </c>
      <c r="Q120" s="1526"/>
      <c r="R120" s="1526"/>
      <c r="S120" s="1526"/>
    </row>
    <row r="121" spans="1:19">
      <c r="B121" s="1682">
        <v>6675</v>
      </c>
      <c r="D121" s="1526">
        <f>+'Trial Blc'!D305</f>
        <v>0.5</v>
      </c>
      <c r="E121" s="1526">
        <f>+'Trial Blc'!E305-'Trial Blc'!D305</f>
        <v>0.5</v>
      </c>
      <c r="F121" s="1526">
        <f>+'Trial Blc'!F305-'Trial Blc'!E305</f>
        <v>0.5</v>
      </c>
      <c r="G121" s="1526">
        <f>+'Trial Blc'!G305-'Trial Blc'!F305</f>
        <v>0.5</v>
      </c>
      <c r="H121" s="1526">
        <f>+'Trial Blc'!H305-'Trial Blc'!G305</f>
        <v>0.5</v>
      </c>
      <c r="I121" s="1526">
        <f>+'Trial Blc'!I305-'Trial Blc'!H305</f>
        <v>0.5</v>
      </c>
      <c r="J121" s="1526">
        <f>+'Trial Blc'!J305-'Trial Blc'!I305</f>
        <v>0.5</v>
      </c>
      <c r="K121" s="1526">
        <f>+'Trial Blc'!K305-'Trial Blc'!J305</f>
        <v>0.5</v>
      </c>
      <c r="L121" s="1526">
        <f>+'Trial Blc'!L305-'Trial Blc'!K305</f>
        <v>0.5</v>
      </c>
      <c r="M121" s="1526">
        <f>+'Trial Blc'!M305-'Trial Blc'!L305</f>
        <v>0.5</v>
      </c>
      <c r="N121" s="1526">
        <f>+'Trial Blc'!N305-'Trial Blc'!M305</f>
        <v>0.5</v>
      </c>
      <c r="O121" s="1526">
        <f>+'Trial Blc'!O305-'Trial Blc'!N305</f>
        <v>0.5</v>
      </c>
      <c r="P121" s="1526">
        <f t="shared" si="3"/>
        <v>6</v>
      </c>
      <c r="Q121" s="1526"/>
      <c r="R121" s="1526"/>
      <c r="S121" s="1526"/>
    </row>
    <row r="122" spans="1:19">
      <c r="B122" s="1682">
        <v>6680</v>
      </c>
      <c r="D122" s="1526">
        <f>+'Trial Blc'!D306</f>
        <v>6245.65</v>
      </c>
      <c r="E122" s="1526">
        <f>+'Trial Blc'!E306-'Trial Blc'!D306</f>
        <v>6246.07</v>
      </c>
      <c r="F122" s="1526">
        <f>+'Trial Blc'!F306-'Trial Blc'!E306</f>
        <v>6246.0700000000015</v>
      </c>
      <c r="G122" s="1526">
        <f>+'Trial Blc'!G306-'Trial Blc'!F306</f>
        <v>6246.07</v>
      </c>
      <c r="H122" s="1526">
        <f>+'Trial Blc'!H306-'Trial Blc'!G306</f>
        <v>6246.5999999999985</v>
      </c>
      <c r="I122" s="1526">
        <f>+'Trial Blc'!I306-'Trial Blc'!H306</f>
        <v>6246.5999999999985</v>
      </c>
      <c r="J122" s="1526">
        <f>+'Trial Blc'!J306-'Trial Blc'!I306</f>
        <v>6246.6000000000058</v>
      </c>
      <c r="K122" s="1526">
        <f>+'Trial Blc'!K306-'Trial Blc'!J306</f>
        <v>6246.5999999999985</v>
      </c>
      <c r="L122" s="1526">
        <f>+'Trial Blc'!L306-'Trial Blc'!K306</f>
        <v>6246.5999999999985</v>
      </c>
      <c r="M122" s="1526">
        <f>+'Trial Blc'!M306-'Trial Blc'!L306</f>
        <v>6246.5999999999985</v>
      </c>
      <c r="N122" s="1526">
        <f>+'Trial Blc'!N306-'Trial Blc'!M306</f>
        <v>6248.2300000000032</v>
      </c>
      <c r="O122" s="1526">
        <f>+'Trial Blc'!O306-'Trial Blc'!N306</f>
        <v>6249.9400000000023</v>
      </c>
      <c r="P122" s="1526">
        <f t="shared" si="3"/>
        <v>74961.63</v>
      </c>
      <c r="Q122" s="1526"/>
      <c r="R122" s="1526"/>
      <c r="S122" s="1526"/>
    </row>
    <row r="123" spans="1:19">
      <c r="B123" s="1682">
        <v>6695</v>
      </c>
      <c r="D123" s="1526">
        <f>+'Trial Blc'!D307</f>
        <v>1.45</v>
      </c>
      <c r="E123" s="1526">
        <f>+'Trial Blc'!E307-'Trial Blc'!D307</f>
        <v>1.45</v>
      </c>
      <c r="F123" s="1526">
        <f>+'Trial Blc'!F307-'Trial Blc'!E307</f>
        <v>1.4499999999999997</v>
      </c>
      <c r="G123" s="1526">
        <f>+'Trial Blc'!G307-'Trial Blc'!F307</f>
        <v>1.4500000000000002</v>
      </c>
      <c r="H123" s="1526">
        <f>+'Trial Blc'!H307-'Trial Blc'!G307</f>
        <v>1.4500000000000002</v>
      </c>
      <c r="I123" s="1526">
        <f>+'Trial Blc'!I307-'Trial Blc'!H307</f>
        <v>1.4499999999999993</v>
      </c>
      <c r="J123" s="1526">
        <f>+'Trial Blc'!J307-'Trial Blc'!I307</f>
        <v>1.4500000000000011</v>
      </c>
      <c r="K123" s="1526">
        <f>+'Trial Blc'!K307-'Trial Blc'!J307</f>
        <v>1.9599999999999991</v>
      </c>
      <c r="L123" s="1526">
        <f>+'Trial Blc'!L307-'Trial Blc'!K307</f>
        <v>1.9600000000000009</v>
      </c>
      <c r="M123" s="1526">
        <f>+'Trial Blc'!M307-'Trial Blc'!L307</f>
        <v>2.2899999999999991</v>
      </c>
      <c r="N123" s="1526">
        <f>+'Trial Blc'!N307-'Trial Blc'!M307</f>
        <v>3.9699999999999989</v>
      </c>
      <c r="O123" s="1526">
        <f>+'Trial Blc'!O307-'Trial Blc'!N307</f>
        <v>3.9700000000000024</v>
      </c>
      <c r="P123" s="1526">
        <f t="shared" si="3"/>
        <v>24.3</v>
      </c>
      <c r="Q123" s="1526"/>
      <c r="R123" s="1526"/>
      <c r="S123" s="1526"/>
    </row>
    <row r="124" spans="1:19">
      <c r="B124" s="1682">
        <v>6710</v>
      </c>
      <c r="D124" s="1526">
        <f>+'Trial Blc'!D308</f>
        <v>678.54</v>
      </c>
      <c r="E124" s="1526">
        <f>+'Trial Blc'!E308-'Trial Blc'!D308</f>
        <v>678.54</v>
      </c>
      <c r="F124" s="1526">
        <f>+'Trial Blc'!F308-'Trial Blc'!E308</f>
        <v>678.76</v>
      </c>
      <c r="G124" s="1526">
        <f>+'Trial Blc'!G308-'Trial Blc'!F308</f>
        <v>678.76</v>
      </c>
      <c r="H124" s="1526">
        <f>+'Trial Blc'!H308-'Trial Blc'!G308</f>
        <v>678.97000000000025</v>
      </c>
      <c r="I124" s="1526">
        <f>+'Trial Blc'!I308-'Trial Blc'!H308</f>
        <v>678.9699999999998</v>
      </c>
      <c r="J124" s="1526">
        <f>+'Trial Blc'!J308-'Trial Blc'!I308</f>
        <v>678.97000000000025</v>
      </c>
      <c r="K124" s="1526">
        <f>+'Trial Blc'!K308-'Trial Blc'!J308</f>
        <v>680.21999999999935</v>
      </c>
      <c r="L124" s="1526">
        <f>+'Trial Blc'!L308-'Trial Blc'!K308</f>
        <v>680.22000000000025</v>
      </c>
      <c r="M124" s="1526">
        <f>+'Trial Blc'!M308-'Trial Blc'!L308</f>
        <v>680.47000000000025</v>
      </c>
      <c r="N124" s="1526">
        <f>+'Trial Blc'!N308-'Trial Blc'!M308</f>
        <v>691.57999999999993</v>
      </c>
      <c r="O124" s="1526">
        <f>+'Trial Blc'!O308-'Trial Blc'!N308</f>
        <v>691.57999999999993</v>
      </c>
      <c r="P124" s="1526">
        <f t="shared" si="3"/>
        <v>8175.58</v>
      </c>
      <c r="Q124" s="1526"/>
      <c r="R124" s="1526"/>
      <c r="S124" s="1526"/>
    </row>
    <row r="125" spans="1:19">
      <c r="B125" s="1682">
        <v>6715</v>
      </c>
      <c r="D125" s="1526">
        <f>+'Trial Blc'!D309</f>
        <v>4389.97</v>
      </c>
      <c r="E125" s="1526">
        <f>+'Trial Blc'!E309-'Trial Blc'!D309</f>
        <v>4389.97</v>
      </c>
      <c r="F125" s="1526">
        <f>+'Trial Blc'!F309-'Trial Blc'!E309</f>
        <v>4390.2699999999986</v>
      </c>
      <c r="G125" s="1526">
        <f>+'Trial Blc'!G309-'Trial Blc'!F309</f>
        <v>4390.2700000000004</v>
      </c>
      <c r="H125" s="1526">
        <f>+'Trial Blc'!H309-'Trial Blc'!G309</f>
        <v>4390.510000000002</v>
      </c>
      <c r="I125" s="1526">
        <f>+'Trial Blc'!I309-'Trial Blc'!H309</f>
        <v>4390.6699999999983</v>
      </c>
      <c r="J125" s="1526">
        <f>+'Trial Blc'!J309-'Trial Blc'!I309</f>
        <v>4391.119999999999</v>
      </c>
      <c r="K125" s="1526">
        <f>+'Trial Blc'!K309-'Trial Blc'!J309</f>
        <v>4392.57</v>
      </c>
      <c r="L125" s="1526">
        <f>+'Trial Blc'!L309-'Trial Blc'!K309</f>
        <v>4402.4800000000032</v>
      </c>
      <c r="M125" s="1526">
        <f>+'Trial Blc'!M309-'Trial Blc'!L309</f>
        <v>4411.7200000000012</v>
      </c>
      <c r="N125" s="1526">
        <f>+'Trial Blc'!N309-'Trial Blc'!M309</f>
        <v>4407.7999999999956</v>
      </c>
      <c r="O125" s="1526">
        <f>+'Trial Blc'!O309-'Trial Blc'!N309</f>
        <v>4415.4400000000023</v>
      </c>
      <c r="P125" s="1526">
        <f t="shared" si="3"/>
        <v>52762.79</v>
      </c>
      <c r="Q125" s="1526"/>
      <c r="R125" s="1526"/>
      <c r="S125" s="1526"/>
    </row>
    <row r="126" spans="1:19">
      <c r="B126" s="1682">
        <v>6717</v>
      </c>
      <c r="D126" s="1526">
        <f>+'Trial Blc'!D310</f>
        <v>345.13</v>
      </c>
      <c r="E126" s="1526">
        <f>+'Trial Blc'!E310-'Trial Blc'!D310</f>
        <v>358.67999999999995</v>
      </c>
      <c r="F126" s="1526">
        <f>+'Trial Blc'!F310-'Trial Blc'!E310</f>
        <v>359.36000000000013</v>
      </c>
      <c r="G126" s="1526">
        <f>+'Trial Blc'!G310-'Trial Blc'!F310</f>
        <v>357.57999999999993</v>
      </c>
      <c r="H126" s="1526">
        <f>+'Trial Blc'!H310-'Trial Blc'!G310</f>
        <v>357.57999999999993</v>
      </c>
      <c r="I126" s="1526">
        <f>+'Trial Blc'!I310-'Trial Blc'!H310</f>
        <v>357.57999999999993</v>
      </c>
      <c r="J126" s="1526">
        <f>+'Trial Blc'!J310-'Trial Blc'!I310</f>
        <v>357.57999999999993</v>
      </c>
      <c r="K126" s="1526">
        <f>+'Trial Blc'!K310-'Trial Blc'!J310</f>
        <v>357.58000000000038</v>
      </c>
      <c r="L126" s="1526">
        <f>+'Trial Blc'!L310-'Trial Blc'!K310</f>
        <v>357.57999999999993</v>
      </c>
      <c r="M126" s="1526">
        <f>+'Trial Blc'!M310-'Trial Blc'!L310</f>
        <v>357.57999999999993</v>
      </c>
      <c r="N126" s="1526">
        <f>+'Trial Blc'!N310-'Trial Blc'!M310</f>
        <v>357.57999999999993</v>
      </c>
      <c r="O126" s="1526">
        <f>+'Trial Blc'!O310-'Trial Blc'!N310</f>
        <v>357.58000000000038</v>
      </c>
      <c r="P126" s="1526">
        <f t="shared" si="3"/>
        <v>4281.3900000000003</v>
      </c>
      <c r="Q126" s="1526"/>
      <c r="R126" s="1526"/>
      <c r="S126" s="1526"/>
    </row>
    <row r="127" spans="1:19">
      <c r="B127" s="1682">
        <v>6725</v>
      </c>
      <c r="D127" s="1526">
        <f>+'Trial Blc'!D311</f>
        <v>164.49</v>
      </c>
      <c r="E127" s="1526">
        <f>+'Trial Blc'!E311-'Trial Blc'!D311</f>
        <v>164.49</v>
      </c>
      <c r="F127" s="1526">
        <f>+'Trial Blc'!F311-'Trial Blc'!E311</f>
        <v>164.49</v>
      </c>
      <c r="G127" s="1526">
        <f>+'Trial Blc'!G311-'Trial Blc'!F311</f>
        <v>164.49</v>
      </c>
      <c r="H127" s="1526">
        <f>+'Trial Blc'!H311-'Trial Blc'!G311</f>
        <v>164.49</v>
      </c>
      <c r="I127" s="1526">
        <f>+'Trial Blc'!I311-'Trial Blc'!H311</f>
        <v>164.49</v>
      </c>
      <c r="J127" s="1526">
        <f>+'Trial Blc'!J311-'Trial Blc'!I311</f>
        <v>164.49</v>
      </c>
      <c r="K127" s="1526">
        <f>+'Trial Blc'!K311-'Trial Blc'!J311</f>
        <v>164.49</v>
      </c>
      <c r="L127" s="1526">
        <f>+'Trial Blc'!L311-'Trial Blc'!K311</f>
        <v>164.49</v>
      </c>
      <c r="M127" s="1526">
        <f>+'Trial Blc'!M311-'Trial Blc'!L311</f>
        <v>164.49</v>
      </c>
      <c r="N127" s="1526">
        <f>+'Trial Blc'!N311-'Trial Blc'!M311</f>
        <v>164.49</v>
      </c>
      <c r="O127" s="1526">
        <f>+'Trial Blc'!O311-'Trial Blc'!N311</f>
        <v>168.9699999999998</v>
      </c>
      <c r="P127" s="1526">
        <f t="shared" si="3"/>
        <v>1978.36</v>
      </c>
      <c r="Q127" s="1526"/>
      <c r="R127" s="1526"/>
      <c r="S127" s="1526"/>
    </row>
    <row r="128" spans="1:19">
      <c r="B128" s="1682">
        <v>6730</v>
      </c>
      <c r="D128" s="1526">
        <f>+'Trial Blc'!D312</f>
        <v>137.55000000000001</v>
      </c>
      <c r="E128" s="1526">
        <f>+'Trial Blc'!E312-'Trial Blc'!D312</f>
        <v>62.989999999999981</v>
      </c>
      <c r="F128" s="1526">
        <f>+'Trial Blc'!F312-'Trial Blc'!E312</f>
        <v>62.989999999999981</v>
      </c>
      <c r="G128" s="1526">
        <f>+'Trial Blc'!G312-'Trial Blc'!F312</f>
        <v>62.990000000000009</v>
      </c>
      <c r="H128" s="1526">
        <f>+'Trial Blc'!H312-'Trial Blc'!G312</f>
        <v>62.990000000000009</v>
      </c>
      <c r="I128" s="1526">
        <f>+'Trial Blc'!I312-'Trial Blc'!H312</f>
        <v>62.990000000000009</v>
      </c>
      <c r="J128" s="1526">
        <f>+'Trial Blc'!J312-'Trial Blc'!I312</f>
        <v>62.990000000000009</v>
      </c>
      <c r="K128" s="1526">
        <f>+'Trial Blc'!K312-'Trial Blc'!J312</f>
        <v>62.990000000000009</v>
      </c>
      <c r="L128" s="1526">
        <f>+'Trial Blc'!L312-'Trial Blc'!K312</f>
        <v>62.990000000000009</v>
      </c>
      <c r="M128" s="1526">
        <f>+'Trial Blc'!M312-'Trial Blc'!L312</f>
        <v>117.64999999999998</v>
      </c>
      <c r="N128" s="1526">
        <f>+'Trial Blc'!N312-'Trial Blc'!M312</f>
        <v>95.259999999999991</v>
      </c>
      <c r="O128" s="1526">
        <f>+'Trial Blc'!O312-'Trial Blc'!N312</f>
        <v>95.259999999999991</v>
      </c>
      <c r="P128" s="1526">
        <f t="shared" si="3"/>
        <v>949.64</v>
      </c>
      <c r="Q128" s="1526"/>
      <c r="R128" s="1526"/>
      <c r="S128" s="1526"/>
    </row>
    <row r="129" spans="2:19">
      <c r="B129" s="1682">
        <v>6745</v>
      </c>
      <c r="D129" s="1526">
        <f>+'Trial Blc'!D313</f>
        <v>1125.1400000000001</v>
      </c>
      <c r="E129" s="1526">
        <f>+'Trial Blc'!E313-'Trial Blc'!D313</f>
        <v>1136.01</v>
      </c>
      <c r="F129" s="1526">
        <f>+'Trial Blc'!F313-'Trial Blc'!E313</f>
        <v>1136.42</v>
      </c>
      <c r="G129" s="1526">
        <f>+'Trial Blc'!G313-'Trial Blc'!F313</f>
        <v>1186.9699999999998</v>
      </c>
      <c r="H129" s="1526">
        <f>+'Trial Blc'!H313-'Trial Blc'!G313</f>
        <v>1187.3500000000004</v>
      </c>
      <c r="I129" s="1526">
        <f>+'Trial Blc'!I313-'Trial Blc'!H313</f>
        <v>1145.46</v>
      </c>
      <c r="J129" s="1526">
        <f>+'Trial Blc'!J313-'Trial Blc'!I313</f>
        <v>1145.46</v>
      </c>
      <c r="K129" s="1526">
        <f>+'Trial Blc'!K313-'Trial Blc'!J313</f>
        <v>1145.46</v>
      </c>
      <c r="L129" s="1526">
        <f>+'Trial Blc'!L313-'Trial Blc'!K313</f>
        <v>1145.4599999999991</v>
      </c>
      <c r="M129" s="1526">
        <f>+'Trial Blc'!M313-'Trial Blc'!L313</f>
        <v>1145.4600000000009</v>
      </c>
      <c r="N129" s="1526">
        <f>+'Trial Blc'!N313-'Trial Blc'!M313</f>
        <v>1145.4599999999991</v>
      </c>
      <c r="O129" s="1526">
        <f>+'Trial Blc'!O313-'Trial Blc'!N313</f>
        <v>1146.7100000000009</v>
      </c>
      <c r="P129" s="1526">
        <f t="shared" si="3"/>
        <v>13791.36</v>
      </c>
      <c r="Q129" s="1526"/>
      <c r="R129" s="1526"/>
      <c r="S129" s="1526"/>
    </row>
    <row r="130" spans="2:19">
      <c r="B130" s="1683">
        <v>6760</v>
      </c>
      <c r="D130" s="1526">
        <f>+'Trial Blc'!D314</f>
        <v>4.7699999999999996</v>
      </c>
      <c r="E130" s="1526">
        <f>+'Trial Blc'!E314-'Trial Blc'!D314</f>
        <v>4.7699999999999996</v>
      </c>
      <c r="F130" s="1526">
        <f>+'Trial Blc'!F314-'Trial Blc'!E314</f>
        <v>4.7700000000000014</v>
      </c>
      <c r="G130" s="1526">
        <f>+'Trial Blc'!G314-'Trial Blc'!F314</f>
        <v>195.27</v>
      </c>
      <c r="H130" s="1526">
        <f>+'Trial Blc'!H314-'Trial Blc'!G314</f>
        <v>195.27</v>
      </c>
      <c r="I130" s="1526">
        <f>+'Trial Blc'!I314-'Trial Blc'!H314</f>
        <v>195.26999999999998</v>
      </c>
      <c r="J130" s="1526">
        <f>+'Trial Blc'!J314-'Trial Blc'!I314</f>
        <v>195.26999999999998</v>
      </c>
      <c r="K130" s="1526">
        <f>+'Trial Blc'!K314-'Trial Blc'!J314</f>
        <v>195.26999999999998</v>
      </c>
      <c r="L130" s="1526">
        <f>+'Trial Blc'!L314-'Trial Blc'!K314</f>
        <v>195.2700000000001</v>
      </c>
      <c r="M130" s="1526">
        <f>+'Trial Blc'!M314-'Trial Blc'!L314</f>
        <v>195.26999999999998</v>
      </c>
      <c r="N130" s="1526">
        <f>+'Trial Blc'!N314-'Trial Blc'!M314</f>
        <v>195.26999999999998</v>
      </c>
      <c r="O130" s="1526">
        <f>+'Trial Blc'!O314-'Trial Blc'!N314</f>
        <v>195.26999999999998</v>
      </c>
      <c r="P130" s="1526">
        <f t="shared" si="3"/>
        <v>1771.74</v>
      </c>
      <c r="Q130" s="1526"/>
      <c r="R130" s="1526"/>
      <c r="S130" s="1526"/>
    </row>
    <row r="131" spans="2:19">
      <c r="B131" s="1682">
        <v>6765</v>
      </c>
      <c r="D131" s="1526">
        <f>+'Trial Blc'!D315</f>
        <v>4414.12</v>
      </c>
      <c r="E131" s="1526">
        <f>+'Trial Blc'!E315-'Trial Blc'!D315</f>
        <v>4415.2500000000009</v>
      </c>
      <c r="F131" s="1526">
        <f>+'Trial Blc'!F315-'Trial Blc'!E315</f>
        <v>4448.5099999999984</v>
      </c>
      <c r="G131" s="1526">
        <f>+'Trial Blc'!G315-'Trial Blc'!F315</f>
        <v>4460.2500000000018</v>
      </c>
      <c r="H131" s="1526">
        <f>+'Trial Blc'!H315-'Trial Blc'!G315</f>
        <v>4463.4500000000007</v>
      </c>
      <c r="I131" s="1526">
        <f>+'Trial Blc'!I315-'Trial Blc'!H315</f>
        <v>4462.5499999999993</v>
      </c>
      <c r="J131" s="1526">
        <f>+'Trial Blc'!J315-'Trial Blc'!I315</f>
        <v>4495.3299999999981</v>
      </c>
      <c r="K131" s="1526">
        <f>+'Trial Blc'!K315-'Trial Blc'!J315</f>
        <v>4491.8499999999985</v>
      </c>
      <c r="L131" s="1526">
        <f>+'Trial Blc'!L315-'Trial Blc'!K315</f>
        <v>4519.4800000000032</v>
      </c>
      <c r="M131" s="1526">
        <f>+'Trial Blc'!M315-'Trial Blc'!L315</f>
        <v>4508.0400000000009</v>
      </c>
      <c r="N131" s="1526">
        <f>+'Trial Blc'!N315-'Trial Blc'!M315</f>
        <v>4513.8399999999965</v>
      </c>
      <c r="O131" s="1526">
        <f>+'Trial Blc'!O315-'Trial Blc'!N315</f>
        <v>4524.9000000000015</v>
      </c>
      <c r="P131" s="1526">
        <f t="shared" si="3"/>
        <v>53717.57</v>
      </c>
      <c r="Q131" s="1526"/>
      <c r="R131" s="1526"/>
      <c r="S131" s="1526"/>
    </row>
    <row r="132" spans="2:19">
      <c r="B132" s="1683">
        <v>6770</v>
      </c>
      <c r="D132" s="1526">
        <f>+'Trial Blc'!D316</f>
        <v>10.87</v>
      </c>
      <c r="E132" s="1526">
        <f>+'Trial Blc'!E316-'Trial Blc'!D316</f>
        <v>10.87</v>
      </c>
      <c r="F132" s="1526">
        <f>+'Trial Blc'!F316-'Trial Blc'!E316</f>
        <v>10.870000000000001</v>
      </c>
      <c r="G132" s="1526">
        <f>+'Trial Blc'!G316-'Trial Blc'!F316</f>
        <v>10.869999999999997</v>
      </c>
      <c r="H132" s="1526">
        <f>+'Trial Blc'!H316-'Trial Blc'!G316</f>
        <v>10.870000000000005</v>
      </c>
      <c r="I132" s="1526">
        <f>+'Trial Blc'!I316-'Trial Blc'!H316</f>
        <v>10.869999999999997</v>
      </c>
      <c r="J132" s="1526">
        <f>+'Trial Blc'!J316-'Trial Blc'!I316</f>
        <v>10.870000000000005</v>
      </c>
      <c r="K132" s="1526">
        <f>+'Trial Blc'!K316-'Trial Blc'!J316</f>
        <v>10.86999999999999</v>
      </c>
      <c r="L132" s="1526">
        <f>+'Trial Blc'!L316-'Trial Blc'!K316</f>
        <v>10.870000000000005</v>
      </c>
      <c r="M132" s="1526">
        <f>+'Trial Blc'!M316-'Trial Blc'!L316</f>
        <v>10.870000000000005</v>
      </c>
      <c r="N132" s="1526">
        <f>+'Trial Blc'!N316-'Trial Blc'!M316</f>
        <v>10.86999999999999</v>
      </c>
      <c r="O132" s="1526">
        <f>+'Trial Blc'!O316-'Trial Blc'!N316</f>
        <v>10.870000000000005</v>
      </c>
      <c r="P132" s="1526">
        <f t="shared" si="3"/>
        <v>130.44</v>
      </c>
      <c r="Q132" s="1526"/>
      <c r="R132" s="1526"/>
      <c r="S132" s="1526"/>
    </row>
    <row r="133" spans="2:19">
      <c r="B133" s="1682">
        <v>6775</v>
      </c>
      <c r="D133" s="1526">
        <f>+'Trial Blc'!D317</f>
        <v>161.49</v>
      </c>
      <c r="E133" s="1526">
        <f>+'Trial Blc'!E317-'Trial Blc'!D317</f>
        <v>156.51</v>
      </c>
      <c r="F133" s="1526">
        <f>+'Trial Blc'!F317-'Trial Blc'!E317</f>
        <v>172.64</v>
      </c>
      <c r="G133" s="1526">
        <f>+'Trial Blc'!G317-'Trial Blc'!F317</f>
        <v>164.02999999999997</v>
      </c>
      <c r="H133" s="1526">
        <f>+'Trial Blc'!H317-'Trial Blc'!G317</f>
        <v>164.03000000000009</v>
      </c>
      <c r="I133" s="1526">
        <f>+'Trial Blc'!I317-'Trial Blc'!H317</f>
        <v>164.02999999999997</v>
      </c>
      <c r="J133" s="1526">
        <f>+'Trial Blc'!J317-'Trial Blc'!I317</f>
        <v>164.04999999999995</v>
      </c>
      <c r="K133" s="1526">
        <f>+'Trial Blc'!K317-'Trial Blc'!J317</f>
        <v>164.04999999999995</v>
      </c>
      <c r="L133" s="1526">
        <f>+'Trial Blc'!L317-'Trial Blc'!K317</f>
        <v>159.03999999999996</v>
      </c>
      <c r="M133" s="1526">
        <f>+'Trial Blc'!M317-'Trial Blc'!L317</f>
        <v>159.85000000000014</v>
      </c>
      <c r="N133" s="1526">
        <f>+'Trial Blc'!N317-'Trial Blc'!M317</f>
        <v>160</v>
      </c>
      <c r="O133" s="1526">
        <f>+'Trial Blc'!O317-'Trial Blc'!N317</f>
        <v>160</v>
      </c>
      <c r="P133" s="1526">
        <f t="shared" si="3"/>
        <v>1949.72</v>
      </c>
      <c r="Q133" s="1526"/>
      <c r="R133" s="1526"/>
      <c r="S133" s="1526"/>
    </row>
    <row r="134" spans="2:19">
      <c r="B134" s="1682">
        <v>6785</v>
      </c>
      <c r="D134" s="1526">
        <f>+'Trial Blc'!D318</f>
        <v>0.62</v>
      </c>
      <c r="E134" s="1526">
        <f>+'Trial Blc'!E318-'Trial Blc'!D318</f>
        <v>0.62</v>
      </c>
      <c r="F134" s="1526">
        <f>+'Trial Blc'!F318-'Trial Blc'!E318</f>
        <v>0.62000000000000011</v>
      </c>
      <c r="G134" s="1526">
        <f>+'Trial Blc'!G318-'Trial Blc'!F318</f>
        <v>0.61999999999999988</v>
      </c>
      <c r="H134" s="1526">
        <f>+'Trial Blc'!H318-'Trial Blc'!G318</f>
        <v>0.62000000000000011</v>
      </c>
      <c r="I134" s="1526">
        <f>+'Trial Blc'!I318-'Trial Blc'!H318</f>
        <v>0.62000000000000011</v>
      </c>
      <c r="J134" s="1526">
        <f>+'Trial Blc'!J318-'Trial Blc'!I318</f>
        <v>0.61999999999999966</v>
      </c>
      <c r="K134" s="1526">
        <f>+'Trial Blc'!K318-'Trial Blc'!J318</f>
        <v>0.62000000000000011</v>
      </c>
      <c r="L134" s="1526">
        <f>+'Trial Blc'!L318-'Trial Blc'!K318</f>
        <v>0.62000000000000011</v>
      </c>
      <c r="M134" s="1526">
        <f>+'Trial Blc'!M318-'Trial Blc'!L318</f>
        <v>0.62000000000000011</v>
      </c>
      <c r="N134" s="1526">
        <f>+'Trial Blc'!N318-'Trial Blc'!M318</f>
        <v>0.62000000000000011</v>
      </c>
      <c r="O134" s="1526">
        <f>+'Trial Blc'!O318-'Trial Blc'!N318</f>
        <v>0.62000000000000011</v>
      </c>
      <c r="P134" s="1526">
        <f t="shared" si="3"/>
        <v>7.44</v>
      </c>
      <c r="Q134" s="1526"/>
      <c r="R134" s="1526"/>
      <c r="S134" s="1526"/>
    </row>
    <row r="135" spans="2:19">
      <c r="B135" s="1682">
        <v>6795</v>
      </c>
      <c r="D135" s="1526">
        <f>+'Trial Blc'!D319</f>
        <v>6.62</v>
      </c>
      <c r="E135" s="1526">
        <f>+'Trial Blc'!E319-'Trial Blc'!D319</f>
        <v>6.62</v>
      </c>
      <c r="F135" s="1526">
        <f>+'Trial Blc'!F319-'Trial Blc'!E319</f>
        <v>6.6199999999999992</v>
      </c>
      <c r="G135" s="1526">
        <f>+'Trial Blc'!G319-'Trial Blc'!F319</f>
        <v>6.620000000000001</v>
      </c>
      <c r="H135" s="1526">
        <f>+'Trial Blc'!H319-'Trial Blc'!G319</f>
        <v>6.620000000000001</v>
      </c>
      <c r="I135" s="1526">
        <f>+'Trial Blc'!I319-'Trial Blc'!H319</f>
        <v>6.6199999999999974</v>
      </c>
      <c r="J135" s="1526">
        <f>+'Trial Blc'!J319-'Trial Blc'!I319</f>
        <v>6.6200000000000045</v>
      </c>
      <c r="K135" s="1526">
        <f>+'Trial Blc'!K319-'Trial Blc'!J319</f>
        <v>6.6199999999999974</v>
      </c>
      <c r="L135" s="1526">
        <f>+'Trial Blc'!L319-'Trial Blc'!K319</f>
        <v>6.6199999999999974</v>
      </c>
      <c r="M135" s="1526">
        <f>+'Trial Blc'!M319-'Trial Blc'!L319</f>
        <v>6.6200000000000045</v>
      </c>
      <c r="N135" s="1526">
        <f>+'Trial Blc'!N319-'Trial Blc'!M319</f>
        <v>6.6199999999999903</v>
      </c>
      <c r="O135" s="1526">
        <f>+'Trial Blc'!O319-'Trial Blc'!N319</f>
        <v>6.6200000000000045</v>
      </c>
      <c r="P135" s="1526">
        <f t="shared" si="3"/>
        <v>79.44</v>
      </c>
      <c r="Q135" s="1526"/>
      <c r="R135" s="1526"/>
      <c r="S135" s="1526"/>
    </row>
    <row r="136" spans="2:19">
      <c r="B136" s="1682">
        <v>6800</v>
      </c>
      <c r="D136" s="1526">
        <f>+'Trial Blc'!D320</f>
        <v>40.35</v>
      </c>
      <c r="E136" s="1526">
        <f>+'Trial Blc'!E320-'Trial Blc'!D320</f>
        <v>40.35</v>
      </c>
      <c r="F136" s="1526">
        <f>+'Trial Blc'!F320-'Trial Blc'!E320</f>
        <v>40.349999999999994</v>
      </c>
      <c r="G136" s="1526">
        <f>+'Trial Blc'!G320-'Trial Blc'!F320</f>
        <v>40.350000000000009</v>
      </c>
      <c r="H136" s="1526">
        <f>+'Trial Blc'!H320-'Trial Blc'!G320</f>
        <v>40.349999999999994</v>
      </c>
      <c r="I136" s="1526">
        <f>+'Trial Blc'!I320-'Trial Blc'!H320</f>
        <v>40.349999999999994</v>
      </c>
      <c r="J136" s="1526">
        <f>+'Trial Blc'!J320-'Trial Blc'!I320</f>
        <v>40.349999999999994</v>
      </c>
      <c r="K136" s="1526">
        <f>+'Trial Blc'!K320-'Trial Blc'!J320</f>
        <v>40.350000000000023</v>
      </c>
      <c r="L136" s="1526">
        <f>+'Trial Blc'!L320-'Trial Blc'!K320</f>
        <v>40.349999999999966</v>
      </c>
      <c r="M136" s="1526">
        <f>+'Trial Blc'!M320-'Trial Blc'!L320</f>
        <v>40.350000000000023</v>
      </c>
      <c r="N136" s="1526">
        <f>+'Trial Blc'!N320-'Trial Blc'!M320</f>
        <v>40.350000000000023</v>
      </c>
      <c r="O136" s="1526">
        <f>+'Trial Blc'!O320-'Trial Blc'!N320</f>
        <v>40.349999999999966</v>
      </c>
      <c r="P136" s="1526">
        <f t="shared" si="3"/>
        <v>484.2</v>
      </c>
      <c r="Q136" s="1526"/>
      <c r="R136" s="1526"/>
      <c r="S136" s="1526"/>
    </row>
    <row r="137" spans="2:19">
      <c r="B137" s="1682">
        <v>6805</v>
      </c>
      <c r="D137" s="1526">
        <f>+'Trial Blc'!D321</f>
        <v>29.3</v>
      </c>
      <c r="E137" s="1526">
        <f>+'Trial Blc'!E321-'Trial Blc'!D321</f>
        <v>29.3</v>
      </c>
      <c r="F137" s="1526">
        <f>+'Trial Blc'!F321-'Trial Blc'!E321</f>
        <v>29.300000000000004</v>
      </c>
      <c r="G137" s="1526">
        <f>+'Trial Blc'!G321-'Trial Blc'!F321</f>
        <v>29.299999999999997</v>
      </c>
      <c r="H137" s="1526">
        <f>+'Trial Blc'!H321-'Trial Blc'!G321</f>
        <v>29.299999999999997</v>
      </c>
      <c r="I137" s="1526">
        <f>+'Trial Blc'!I321-'Trial Blc'!H321</f>
        <v>29.300000000000011</v>
      </c>
      <c r="J137" s="1526">
        <f>+'Trial Blc'!J321-'Trial Blc'!I321</f>
        <v>29.489999999999981</v>
      </c>
      <c r="K137" s="1526">
        <f>+'Trial Blc'!K321-'Trial Blc'!J321</f>
        <v>29.490000000000009</v>
      </c>
      <c r="L137" s="1526">
        <f>+'Trial Blc'!L321-'Trial Blc'!K321</f>
        <v>29.489999999999981</v>
      </c>
      <c r="M137" s="1526">
        <f>+'Trial Blc'!M321-'Trial Blc'!L321</f>
        <v>29.490000000000009</v>
      </c>
      <c r="N137" s="1526">
        <f>+'Trial Blc'!N321-'Trial Blc'!M321</f>
        <v>29.490000000000009</v>
      </c>
      <c r="O137" s="1526">
        <f>+'Trial Blc'!O321-'Trial Blc'!N321</f>
        <v>29.490000000000009</v>
      </c>
      <c r="P137" s="1526">
        <f t="shared" si="3"/>
        <v>352.74</v>
      </c>
      <c r="Q137" s="1526"/>
      <c r="R137" s="1526"/>
      <c r="S137" s="1526"/>
    </row>
    <row r="138" spans="2:19">
      <c r="B138" s="1682">
        <v>6820</v>
      </c>
      <c r="D138" s="1526">
        <f>+'Trial Blc'!D322</f>
        <v>50.71</v>
      </c>
      <c r="E138" s="1526">
        <f>+'Trial Blc'!E322-'Trial Blc'!D322</f>
        <v>50.71</v>
      </c>
      <c r="F138" s="1526">
        <f>+'Trial Blc'!F322-'Trial Blc'!E322</f>
        <v>50.709999999999994</v>
      </c>
      <c r="G138" s="1526">
        <f>+'Trial Blc'!G322-'Trial Blc'!F322</f>
        <v>50.710000000000008</v>
      </c>
      <c r="H138" s="1526">
        <f>+'Trial Blc'!H322-'Trial Blc'!G322</f>
        <v>50.710000000000008</v>
      </c>
      <c r="I138" s="1526">
        <f>+'Trial Blc'!I322-'Trial Blc'!H322</f>
        <v>50.70999999999998</v>
      </c>
      <c r="J138" s="1526">
        <f>+'Trial Blc'!J322-'Trial Blc'!I322</f>
        <v>50.710000000000036</v>
      </c>
      <c r="K138" s="1526">
        <f>+'Trial Blc'!K322-'Trial Blc'!J322</f>
        <v>50.70999999999998</v>
      </c>
      <c r="L138" s="1526">
        <f>+'Trial Blc'!L322-'Trial Blc'!K322</f>
        <v>50.70999999999998</v>
      </c>
      <c r="M138" s="1526">
        <f>+'Trial Blc'!M322-'Trial Blc'!L322</f>
        <v>50.710000000000036</v>
      </c>
      <c r="N138" s="1526">
        <f>+'Trial Blc'!N322-'Trial Blc'!M322</f>
        <v>143.51999999999998</v>
      </c>
      <c r="O138" s="1526">
        <f>+'Trial Blc'!O322-'Trial Blc'!N322</f>
        <v>143.51999999999998</v>
      </c>
      <c r="P138" s="1526">
        <f t="shared" si="3"/>
        <v>794.14</v>
      </c>
      <c r="Q138" s="1526"/>
      <c r="R138" s="1526"/>
      <c r="S138" s="1526"/>
    </row>
    <row r="139" spans="2:19">
      <c r="B139" s="1682">
        <v>6825</v>
      </c>
      <c r="D139" s="1526">
        <f>+'Trial Blc'!D323</f>
        <v>15.95</v>
      </c>
      <c r="E139" s="1526">
        <f>+'Trial Blc'!E323-'Trial Blc'!D323</f>
        <v>15.95</v>
      </c>
      <c r="F139" s="1526">
        <f>+'Trial Blc'!F323-'Trial Blc'!E323</f>
        <v>15.950000000000003</v>
      </c>
      <c r="G139" s="1526">
        <f>+'Trial Blc'!G323-'Trial Blc'!F323</f>
        <v>15.949999999999996</v>
      </c>
      <c r="H139" s="1526">
        <f>+'Trial Blc'!H323-'Trial Blc'!G323</f>
        <v>15.950000000000003</v>
      </c>
      <c r="I139" s="1526">
        <f>+'Trial Blc'!I323-'Trial Blc'!H323</f>
        <v>15.950000000000003</v>
      </c>
      <c r="J139" s="1526">
        <f>+'Trial Blc'!J323-'Trial Blc'!I323</f>
        <v>15.950000000000003</v>
      </c>
      <c r="K139" s="1526">
        <f>+'Trial Blc'!K323-'Trial Blc'!J323</f>
        <v>15.949999999999989</v>
      </c>
      <c r="L139" s="1526">
        <f>+'Trial Blc'!L323-'Trial Blc'!K323</f>
        <v>15.950000000000017</v>
      </c>
      <c r="M139" s="1526">
        <f>+'Trial Blc'!M323-'Trial Blc'!L323</f>
        <v>15.949999999999989</v>
      </c>
      <c r="N139" s="1526">
        <f>+'Trial Blc'!N323-'Trial Blc'!M323</f>
        <v>15.949999999999989</v>
      </c>
      <c r="O139" s="1526">
        <f>+'Trial Blc'!O323-'Trial Blc'!N323</f>
        <v>15.950000000000017</v>
      </c>
      <c r="P139" s="1526">
        <f t="shared" si="3"/>
        <v>191.4</v>
      </c>
      <c r="Q139" s="1526"/>
      <c r="R139" s="1526"/>
      <c r="S139" s="1526"/>
    </row>
    <row r="140" spans="2:19">
      <c r="B140" s="1682">
        <v>6835</v>
      </c>
      <c r="D140" s="1526">
        <f>+'Trial Blc'!D324</f>
        <v>190.19</v>
      </c>
      <c r="E140" s="1526">
        <f>+'Trial Blc'!E324-'Trial Blc'!D324</f>
        <v>190.19</v>
      </c>
      <c r="F140" s="1526">
        <f>+'Trial Blc'!F324-'Trial Blc'!E324</f>
        <v>191.37</v>
      </c>
      <c r="G140" s="1526">
        <f>+'Trial Blc'!G324-'Trial Blc'!F324</f>
        <v>191.37</v>
      </c>
      <c r="H140" s="1526">
        <f>+'Trial Blc'!H324-'Trial Blc'!G324</f>
        <v>191.37</v>
      </c>
      <c r="I140" s="1526">
        <f>+'Trial Blc'!I324-'Trial Blc'!H324</f>
        <v>191.36999999999989</v>
      </c>
      <c r="J140" s="1526">
        <f>+'Trial Blc'!J324-'Trial Blc'!I324</f>
        <v>191.37000000000012</v>
      </c>
      <c r="K140" s="1526">
        <f>+'Trial Blc'!K324-'Trial Blc'!J324</f>
        <v>191.36999999999989</v>
      </c>
      <c r="L140" s="1526">
        <f>+'Trial Blc'!L324-'Trial Blc'!K324</f>
        <v>191.37000000000012</v>
      </c>
      <c r="M140" s="1526">
        <f>+'Trial Blc'!M324-'Trial Blc'!L324</f>
        <v>191.36999999999989</v>
      </c>
      <c r="N140" s="1526">
        <f>+'Trial Blc'!N324-'Trial Blc'!M324</f>
        <v>191.37000000000012</v>
      </c>
      <c r="O140" s="1526">
        <f>+'Trial Blc'!O324-'Trial Blc'!N324</f>
        <v>191.36999999999989</v>
      </c>
      <c r="P140" s="1526">
        <f t="shared" si="3"/>
        <v>2294.08</v>
      </c>
      <c r="Q140" s="1526"/>
      <c r="R140" s="1526"/>
      <c r="S140" s="1526"/>
    </row>
    <row r="141" spans="2:19">
      <c r="B141" s="1682">
        <v>6840</v>
      </c>
      <c r="D141" s="1526">
        <f>+'Trial Blc'!D325</f>
        <v>129.49</v>
      </c>
      <c r="E141" s="1526">
        <f>+'Trial Blc'!E325-'Trial Blc'!D325</f>
        <v>129.49</v>
      </c>
      <c r="F141" s="1526">
        <f>+'Trial Blc'!F325-'Trial Blc'!E325</f>
        <v>129.49</v>
      </c>
      <c r="G141" s="1526">
        <f>+'Trial Blc'!G325-'Trial Blc'!F325</f>
        <v>129.49</v>
      </c>
      <c r="H141" s="1526">
        <f>+'Trial Blc'!H325-'Trial Blc'!G325</f>
        <v>129.49</v>
      </c>
      <c r="I141" s="1526">
        <f>+'Trial Blc'!I325-'Trial Blc'!H325</f>
        <v>129.49</v>
      </c>
      <c r="J141" s="1526">
        <f>+'Trial Blc'!J325-'Trial Blc'!I325</f>
        <v>129.4899999999999</v>
      </c>
      <c r="K141" s="1526">
        <f>+'Trial Blc'!K325-'Trial Blc'!J325</f>
        <v>129.49000000000012</v>
      </c>
      <c r="L141" s="1526">
        <f>+'Trial Blc'!L325-'Trial Blc'!K325</f>
        <v>130.59999999999991</v>
      </c>
      <c r="M141" s="1526">
        <f>+'Trial Blc'!M325-'Trial Blc'!L325</f>
        <v>130.59999999999991</v>
      </c>
      <c r="N141" s="1526">
        <f>+'Trial Blc'!N325-'Trial Blc'!M325</f>
        <v>130.60000000000014</v>
      </c>
      <c r="O141" s="1526">
        <f>+'Trial Blc'!O325-'Trial Blc'!N325</f>
        <v>130.59999999999991</v>
      </c>
      <c r="P141" s="1526">
        <f t="shared" si="3"/>
        <v>1558.32</v>
      </c>
      <c r="Q141" s="1526"/>
      <c r="R141" s="1526"/>
      <c r="S141" s="1526"/>
    </row>
    <row r="142" spans="2:19">
      <c r="B142" s="1682">
        <v>6845</v>
      </c>
      <c r="D142" s="1526">
        <f>+'Trial Blc'!D326</f>
        <v>11.92</v>
      </c>
      <c r="E142" s="1526">
        <f>+'Trial Blc'!E326-'Trial Blc'!D326</f>
        <v>40.21</v>
      </c>
      <c r="F142" s="1526">
        <f>+'Trial Blc'!F326-'Trial Blc'!E326</f>
        <v>21.65</v>
      </c>
      <c r="G142" s="1526">
        <f>+'Trial Blc'!G326-'Trial Blc'!F326</f>
        <v>19.929999999999993</v>
      </c>
      <c r="H142" s="1526">
        <f>+'Trial Blc'!H326-'Trial Blc'!G326</f>
        <v>19.930000000000007</v>
      </c>
      <c r="I142" s="1526">
        <f>+'Trial Blc'!I326-'Trial Blc'!H326</f>
        <v>19.929999999999993</v>
      </c>
      <c r="J142" s="1526">
        <f>+'Trial Blc'!J326-'Trial Blc'!I326</f>
        <v>19.930000000000007</v>
      </c>
      <c r="K142" s="1526">
        <f>+'Trial Blc'!K326-'Trial Blc'!J326</f>
        <v>19.930000000000007</v>
      </c>
      <c r="L142" s="1526">
        <f>+'Trial Blc'!L326-'Trial Blc'!K326</f>
        <v>19.930000000000007</v>
      </c>
      <c r="M142" s="1526">
        <f>+'Trial Blc'!M326-'Trial Blc'!L326</f>
        <v>19.929999999999978</v>
      </c>
      <c r="N142" s="1526">
        <f>+'Trial Blc'!N326-'Trial Blc'!M326</f>
        <v>19.930000000000007</v>
      </c>
      <c r="O142" s="1526">
        <f>+'Trial Blc'!O326-'Trial Blc'!N326</f>
        <v>19.930000000000007</v>
      </c>
      <c r="P142" s="1526">
        <f t="shared" si="3"/>
        <v>253.15</v>
      </c>
      <c r="Q142" s="1526"/>
      <c r="R142" s="1526"/>
      <c r="S142" s="1526"/>
    </row>
    <row r="143" spans="2:19">
      <c r="B143" s="1682">
        <v>6850</v>
      </c>
      <c r="D143" s="1526">
        <f>+'Trial Blc'!D327</f>
        <v>0</v>
      </c>
      <c r="E143" s="1526">
        <f>+'Trial Blc'!E327-'Trial Blc'!D327</f>
        <v>0</v>
      </c>
      <c r="F143" s="1526">
        <f>+'Trial Blc'!F327-'Trial Blc'!E327</f>
        <v>0</v>
      </c>
      <c r="G143" s="1526">
        <f>+'Trial Blc'!G327-'Trial Blc'!F327</f>
        <v>4.58</v>
      </c>
      <c r="H143" s="1526">
        <f>+'Trial Blc'!H327-'Trial Blc'!G327</f>
        <v>4.58</v>
      </c>
      <c r="I143" s="1526">
        <f>+'Trial Blc'!I327-'Trial Blc'!H327</f>
        <v>4.58</v>
      </c>
      <c r="J143" s="1526">
        <f>+'Trial Blc'!J327-'Trial Blc'!I327</f>
        <v>4.58</v>
      </c>
      <c r="K143" s="1526">
        <f>+'Trial Blc'!K327-'Trial Blc'!J327</f>
        <v>4.5799999999999983</v>
      </c>
      <c r="L143" s="1526">
        <f>+'Trial Blc'!L327-'Trial Blc'!K327</f>
        <v>4.5800000000000018</v>
      </c>
      <c r="M143" s="1526">
        <f>+'Trial Blc'!M327-'Trial Blc'!L327</f>
        <v>4.5800000000000018</v>
      </c>
      <c r="N143" s="1526">
        <f>+'Trial Blc'!N327-'Trial Blc'!M327</f>
        <v>4.5799999999999983</v>
      </c>
      <c r="O143" s="1526">
        <f>+'Trial Blc'!O327-'Trial Blc'!N327</f>
        <v>4.5799999999999983</v>
      </c>
      <c r="P143" s="1526">
        <f t="shared" si="3"/>
        <v>41.22</v>
      </c>
      <c r="Q143" s="1526"/>
      <c r="R143" s="1526"/>
      <c r="S143" s="1526"/>
    </row>
    <row r="144" spans="2:19">
      <c r="B144" s="1682">
        <v>6855</v>
      </c>
      <c r="D144" s="1526">
        <f>+'Trial Blc'!D328</f>
        <v>7.61</v>
      </c>
      <c r="E144" s="1526">
        <f>+'Trial Blc'!E328-'Trial Blc'!D328</f>
        <v>7.61</v>
      </c>
      <c r="F144" s="1526">
        <f>+'Trial Blc'!F328-'Trial Blc'!E328</f>
        <v>7.6099999999999977</v>
      </c>
      <c r="G144" s="1526">
        <f>+'Trial Blc'!G328-'Trial Blc'!F328</f>
        <v>7.610000000000003</v>
      </c>
      <c r="H144" s="1526">
        <f>+'Trial Blc'!H328-'Trial Blc'!G328</f>
        <v>7.6099999999999959</v>
      </c>
      <c r="I144" s="1526">
        <f>+'Trial Blc'!I328-'Trial Blc'!H328</f>
        <v>7.6099999999999994</v>
      </c>
      <c r="J144" s="1526">
        <f>+'Trial Blc'!J328-'Trial Blc'!I328</f>
        <v>7.6100000000000065</v>
      </c>
      <c r="K144" s="1526">
        <f>+'Trial Blc'!K328-'Trial Blc'!J328</f>
        <v>7.6099999999999994</v>
      </c>
      <c r="L144" s="1526">
        <f>+'Trial Blc'!L328-'Trial Blc'!K328</f>
        <v>7.6099999999999923</v>
      </c>
      <c r="M144" s="1526">
        <f>+'Trial Blc'!M328-'Trial Blc'!L328</f>
        <v>7.6099999999999994</v>
      </c>
      <c r="N144" s="1526">
        <f>+'Trial Blc'!N328-'Trial Blc'!M328</f>
        <v>7.6099999999999994</v>
      </c>
      <c r="O144" s="1526">
        <f>+'Trial Blc'!O328-'Trial Blc'!N328</f>
        <v>7.6099999999999994</v>
      </c>
      <c r="P144" s="1526">
        <f t="shared" si="3"/>
        <v>91.32</v>
      </c>
      <c r="Q144" s="1526"/>
      <c r="R144" s="1526"/>
      <c r="S144" s="1526"/>
    </row>
    <row r="145" spans="1:19">
      <c r="B145" s="1682">
        <v>6890</v>
      </c>
      <c r="D145" s="1526">
        <f>+'Trial Blc'!D329</f>
        <v>18.41</v>
      </c>
      <c r="E145" s="1526">
        <f>+'Trial Blc'!E329-'Trial Blc'!D329</f>
        <v>18.41</v>
      </c>
      <c r="F145" s="1526">
        <f>+'Trial Blc'!F329-'Trial Blc'!E329</f>
        <v>18.409999999999997</v>
      </c>
      <c r="G145" s="1526">
        <f>+'Trial Blc'!G329-'Trial Blc'!F329</f>
        <v>18.759999999999998</v>
      </c>
      <c r="H145" s="1526">
        <f>+'Trial Blc'!H329-'Trial Blc'!G329</f>
        <v>18.760000000000005</v>
      </c>
      <c r="I145" s="1526">
        <f>+'Trial Blc'!I329-'Trial Blc'!H329</f>
        <v>19.150000000000006</v>
      </c>
      <c r="J145" s="1526">
        <f>+'Trial Blc'!J329-'Trial Blc'!I329</f>
        <v>19.150000000000006</v>
      </c>
      <c r="K145" s="1526">
        <f>+'Trial Blc'!K329-'Trial Blc'!J329</f>
        <v>19.149999999999977</v>
      </c>
      <c r="L145" s="1526">
        <f>+'Trial Blc'!L329-'Trial Blc'!K329</f>
        <v>19.150000000000006</v>
      </c>
      <c r="M145" s="1526">
        <f>+'Trial Blc'!M329-'Trial Blc'!L329</f>
        <v>19.150000000000006</v>
      </c>
      <c r="N145" s="1526">
        <f>+'Trial Blc'!N329-'Trial Blc'!M329</f>
        <v>19.150000000000006</v>
      </c>
      <c r="O145" s="1526">
        <f>+'Trial Blc'!O329-'Trial Blc'!N329</f>
        <v>19.150000000000006</v>
      </c>
      <c r="P145" s="1526">
        <f t="shared" si="3"/>
        <v>226.8</v>
      </c>
      <c r="Q145" s="1526"/>
      <c r="R145" s="1526"/>
      <c r="S145" s="1526"/>
    </row>
    <row r="146" spans="1:19">
      <c r="B146" s="1684">
        <v>6905</v>
      </c>
      <c r="D146" s="1526">
        <f>+'Trial Blc'!D330</f>
        <v>1672.97</v>
      </c>
      <c r="E146" s="1526">
        <f>+'Trial Blc'!E330-'Trial Blc'!D330</f>
        <v>852.8900000000001</v>
      </c>
      <c r="F146" s="1526">
        <f>+'Trial Blc'!F330-'Trial Blc'!E330</f>
        <v>5781.8599999999988</v>
      </c>
      <c r="G146" s="1526">
        <f>+'Trial Blc'!G330-'Trial Blc'!F330</f>
        <v>1046.4600000000009</v>
      </c>
      <c r="H146" s="1526">
        <f>+'Trial Blc'!H330-'Trial Blc'!G330</f>
        <v>1050.3799999999992</v>
      </c>
      <c r="I146" s="1526">
        <f>+'Trial Blc'!I330-'Trial Blc'!H330</f>
        <v>1045.7100000000009</v>
      </c>
      <c r="J146" s="1526">
        <f>+'Trial Blc'!J330-'Trial Blc'!I330</f>
        <v>1135.4300000000003</v>
      </c>
      <c r="K146" s="1526">
        <f>+'Trial Blc'!K330-'Trial Blc'!J330</f>
        <v>1057.5699999999997</v>
      </c>
      <c r="L146" s="1526">
        <f>+'Trial Blc'!L330-'Trial Blc'!K330</f>
        <v>1155.869999999999</v>
      </c>
      <c r="M146" s="1526">
        <f>+'Trial Blc'!M330-'Trial Blc'!L330</f>
        <v>1227.4300000000003</v>
      </c>
      <c r="N146" s="1526">
        <f>+'Trial Blc'!N330-'Trial Blc'!M330</f>
        <v>1116.2200000000012</v>
      </c>
      <c r="O146" s="1526">
        <f>+'Trial Blc'!O330-'Trial Blc'!N330</f>
        <v>1290.5099999999984</v>
      </c>
      <c r="P146" s="1526">
        <f t="shared" si="3"/>
        <v>18433.3</v>
      </c>
      <c r="Q146" s="1526"/>
      <c r="R146" s="1526"/>
      <c r="S146" s="1526"/>
    </row>
    <row r="147" spans="1:19">
      <c r="B147" s="1684">
        <v>6920</v>
      </c>
      <c r="D147" s="1526">
        <f>+'Trial Blc'!D331</f>
        <v>3747.66</v>
      </c>
      <c r="E147" s="1526">
        <f>+'Trial Blc'!E331-'Trial Blc'!D331</f>
        <v>3750.79</v>
      </c>
      <c r="F147" s="1526">
        <f>+'Trial Blc'!F331-'Trial Blc'!E331</f>
        <v>3767.0900000000011</v>
      </c>
      <c r="G147" s="1526">
        <f>+'Trial Blc'!G331-'Trial Blc'!F331</f>
        <v>4189.5899999999983</v>
      </c>
      <c r="H147" s="1526">
        <f>+'Trial Blc'!H331-'Trial Blc'!G331</f>
        <v>3809.9800000000014</v>
      </c>
      <c r="I147" s="1526">
        <f>+'Trial Blc'!I331-'Trial Blc'!H331</f>
        <v>3572.0999999999985</v>
      </c>
      <c r="J147" s="1526">
        <f>+'Trial Blc'!J331-'Trial Blc'!I331</f>
        <v>3898.09</v>
      </c>
      <c r="K147" s="1526">
        <f>+'Trial Blc'!K331-'Trial Blc'!J331</f>
        <v>3999.2299999999996</v>
      </c>
      <c r="L147" s="1526">
        <f>+'Trial Blc'!L331-'Trial Blc'!K331</f>
        <v>3920.8800000000047</v>
      </c>
      <c r="M147" s="1526">
        <f>+'Trial Blc'!M331-'Trial Blc'!L331</f>
        <v>3922.4099999999962</v>
      </c>
      <c r="N147" s="1526">
        <f>+'Trial Blc'!N331-'Trial Blc'!M331</f>
        <v>3919.1600000000035</v>
      </c>
      <c r="O147" s="1526">
        <f>+'Trial Blc'!O331-'Trial Blc'!N331</f>
        <v>3753.8799999999974</v>
      </c>
      <c r="P147" s="1526">
        <f t="shared" si="3"/>
        <v>46250.86</v>
      </c>
      <c r="Q147" s="1526"/>
      <c r="R147" s="1526"/>
      <c r="S147" s="1526"/>
    </row>
    <row r="148" spans="1:19">
      <c r="B148" s="1665"/>
      <c r="D148" s="1526"/>
      <c r="E148" s="1526"/>
      <c r="F148" s="1526"/>
      <c r="G148" s="1526"/>
      <c r="H148" s="1526"/>
      <c r="I148" s="1526"/>
      <c r="J148" s="1526"/>
      <c r="K148" s="1526"/>
      <c r="L148" s="1526"/>
      <c r="M148" s="1526"/>
      <c r="N148" s="1526"/>
      <c r="O148" s="1526"/>
      <c r="P148" s="1526"/>
      <c r="Q148" s="1526"/>
      <c r="R148" s="1526"/>
      <c r="S148" s="1526"/>
    </row>
    <row r="149" spans="1:19" ht="15">
      <c r="A149" s="1548" t="s">
        <v>2220</v>
      </c>
      <c r="B149" s="1538">
        <v>7225</v>
      </c>
      <c r="D149" s="1526">
        <f>+'Trial Blc'!D332</f>
        <v>-184.8</v>
      </c>
      <c r="E149" s="1526">
        <f>+'Trial Blc'!E332-'Trial Blc'!D332</f>
        <v>-184.8</v>
      </c>
      <c r="F149" s="1526">
        <f>+'Trial Blc'!F332-'Trial Blc'!E332</f>
        <v>-184.79999999999995</v>
      </c>
      <c r="G149" s="1526">
        <f>+'Trial Blc'!G332-'Trial Blc'!F332</f>
        <v>-184.80000000000007</v>
      </c>
      <c r="H149" s="1526">
        <f>+'Trial Blc'!H332-'Trial Blc'!G332</f>
        <v>-184.79999999999995</v>
      </c>
      <c r="I149" s="1526">
        <f>+'Trial Blc'!I332-'Trial Blc'!H332</f>
        <v>-184.79999999999995</v>
      </c>
      <c r="J149" s="1526">
        <f>+'Trial Blc'!J332-'Trial Blc'!I332</f>
        <v>-184.79999999999995</v>
      </c>
      <c r="K149" s="1526">
        <f>+'Trial Blc'!K332-'Trial Blc'!J332</f>
        <v>-184.80000000000018</v>
      </c>
      <c r="L149" s="1526">
        <f>+'Trial Blc'!L332-'Trial Blc'!K332</f>
        <v>-184.79999999999995</v>
      </c>
      <c r="M149" s="1526">
        <f>+'Trial Blc'!M332-'Trial Blc'!L332</f>
        <v>-184.79999999999995</v>
      </c>
      <c r="N149" s="1526">
        <f>+'Trial Blc'!N332-'Trial Blc'!M332</f>
        <v>-184.79999999999995</v>
      </c>
      <c r="O149" s="1526">
        <f>+'Trial Blc'!O332-'Trial Blc'!N332</f>
        <v>-184.79999999999995</v>
      </c>
      <c r="P149" s="1526">
        <f t="shared" si="3"/>
        <v>-2217.6</v>
      </c>
      <c r="Q149" s="1526"/>
      <c r="R149" s="1526"/>
      <c r="S149" s="1526"/>
    </row>
    <row r="150" spans="1:19">
      <c r="A150" t="s">
        <v>2262</v>
      </c>
      <c r="B150" s="1538">
        <v>7245</v>
      </c>
      <c r="D150" s="1526">
        <f>+'Trial Blc'!D333</f>
        <v>-4165.1899999999996</v>
      </c>
      <c r="E150" s="1526">
        <f>+'Trial Blc'!E333-'Trial Blc'!D333</f>
        <v>-4165.1899999999996</v>
      </c>
      <c r="F150" s="1526">
        <f>+'Trial Blc'!F333-'Trial Blc'!E333</f>
        <v>-4165.1900000000005</v>
      </c>
      <c r="G150" s="1526">
        <f>+'Trial Blc'!G333-'Trial Blc'!F333</f>
        <v>-4165.1899999999987</v>
      </c>
      <c r="H150" s="1526">
        <f>+'Trial Blc'!H333-'Trial Blc'!G333</f>
        <v>-4165.1900000000023</v>
      </c>
      <c r="I150" s="1526">
        <f>+'Trial Blc'!I333-'Trial Blc'!H333</f>
        <v>-4165.1899999999987</v>
      </c>
      <c r="J150" s="1526">
        <f>+'Trial Blc'!J333-'Trial Blc'!I333</f>
        <v>-4165.1900000000023</v>
      </c>
      <c r="K150" s="1526">
        <f>+'Trial Blc'!K333-'Trial Blc'!J333</f>
        <v>-4165.1899999999951</v>
      </c>
      <c r="L150" s="1526">
        <f>+'Trial Blc'!L333-'Trial Blc'!K333</f>
        <v>-4165.1900000000023</v>
      </c>
      <c r="M150" s="1526">
        <f>+'Trial Blc'!M333-'Trial Blc'!L333</f>
        <v>-4165.1900000000023</v>
      </c>
      <c r="N150" s="1526">
        <f>+'Trial Blc'!N333-'Trial Blc'!M333</f>
        <v>-4165.1899999999951</v>
      </c>
      <c r="O150" s="1526">
        <f>+'Trial Blc'!O333-'Trial Blc'!N333</f>
        <v>-4165.1900000000023</v>
      </c>
      <c r="P150" s="1526">
        <f t="shared" si="3"/>
        <v>-49982.28</v>
      </c>
      <c r="Q150" s="1526"/>
      <c r="R150" s="1526"/>
      <c r="S150" s="1526"/>
    </row>
    <row r="151" spans="1:19">
      <c r="B151" s="1538">
        <v>7275</v>
      </c>
      <c r="D151" s="1526">
        <f>+'Trial Blc'!D334</f>
        <v>-260</v>
      </c>
      <c r="E151" s="1526">
        <f>+'Trial Blc'!E334-'Trial Blc'!D334</f>
        <v>-260</v>
      </c>
      <c r="F151" s="1526">
        <f>+'Trial Blc'!F334-'Trial Blc'!E334</f>
        <v>-260</v>
      </c>
      <c r="G151" s="1526">
        <f>+'Trial Blc'!G334-'Trial Blc'!F334</f>
        <v>-260</v>
      </c>
      <c r="H151" s="1526">
        <f>+'Trial Blc'!H334-'Trial Blc'!G334</f>
        <v>-260</v>
      </c>
      <c r="I151" s="1526">
        <f>+'Trial Blc'!I334-'Trial Blc'!H334</f>
        <v>-260</v>
      </c>
      <c r="J151" s="1526">
        <f>+'Trial Blc'!J334-'Trial Blc'!I334</f>
        <v>-260</v>
      </c>
      <c r="K151" s="1526">
        <f>+'Trial Blc'!K334-'Trial Blc'!J334</f>
        <v>-260</v>
      </c>
      <c r="L151" s="1526">
        <f>+'Trial Blc'!L334-'Trial Blc'!K334</f>
        <v>-260</v>
      </c>
      <c r="M151" s="1526">
        <f>+'Trial Blc'!M334-'Trial Blc'!L334</f>
        <v>-260</v>
      </c>
      <c r="N151" s="1526">
        <f>+'Trial Blc'!N334-'Trial Blc'!M334</f>
        <v>-260</v>
      </c>
      <c r="O151" s="1526">
        <f>+'Trial Blc'!O334-'Trial Blc'!N334</f>
        <v>-260</v>
      </c>
      <c r="P151" s="1526">
        <f t="shared" si="3"/>
        <v>-3120</v>
      </c>
      <c r="Q151" s="1526"/>
      <c r="R151" s="1526"/>
      <c r="S151" s="1526"/>
    </row>
    <row r="152" spans="1:19">
      <c r="B152" s="1538">
        <v>7280</v>
      </c>
      <c r="D152" s="1526">
        <f>+'Trial Blc'!D335</f>
        <v>-989.62</v>
      </c>
      <c r="E152" s="1526">
        <f>+'Trial Blc'!E335-'Trial Blc'!D335</f>
        <v>-989.62</v>
      </c>
      <c r="F152" s="1526">
        <f>+'Trial Blc'!F335-'Trial Blc'!E335</f>
        <v>-989.62000000000012</v>
      </c>
      <c r="G152" s="1526">
        <f>+'Trial Blc'!G335-'Trial Blc'!F335</f>
        <v>-989.61999999999989</v>
      </c>
      <c r="H152" s="1526">
        <f>+'Trial Blc'!H335-'Trial Blc'!G335</f>
        <v>-989.62000000000035</v>
      </c>
      <c r="I152" s="1526">
        <f>+'Trial Blc'!I335-'Trial Blc'!H335</f>
        <v>-989.61999999999989</v>
      </c>
      <c r="J152" s="1526">
        <f>+'Trial Blc'!J335-'Trial Blc'!I335</f>
        <v>-989.61999999999989</v>
      </c>
      <c r="K152" s="1526">
        <f>+'Trial Blc'!K335-'Trial Blc'!J335</f>
        <v>-989.61999999999989</v>
      </c>
      <c r="L152" s="1526">
        <f>+'Trial Blc'!L335-'Trial Blc'!K335</f>
        <v>-989.61999999999989</v>
      </c>
      <c r="M152" s="1526">
        <f>+'Trial Blc'!M335-'Trial Blc'!L335</f>
        <v>-989.6200000000008</v>
      </c>
      <c r="N152" s="1526">
        <f>+'Trial Blc'!N335-'Trial Blc'!M335</f>
        <v>-989.61999999999898</v>
      </c>
      <c r="O152" s="1526">
        <f>+'Trial Blc'!O335-'Trial Blc'!N335</f>
        <v>-989.6200000000008</v>
      </c>
      <c r="P152" s="1526">
        <f t="shared" si="3"/>
        <v>-11875.44</v>
      </c>
      <c r="Q152" s="1526"/>
      <c r="R152" s="1526"/>
      <c r="S152" s="1526"/>
    </row>
    <row r="153" spans="1:19">
      <c r="B153" s="1538">
        <v>7283</v>
      </c>
      <c r="D153" s="1526">
        <f>+'Trial Blc'!D336</f>
        <v>-43.36</v>
      </c>
      <c r="E153" s="1526">
        <f>+'Trial Blc'!E336-'Trial Blc'!D336</f>
        <v>-43.36</v>
      </c>
      <c r="F153" s="1526">
        <f>+'Trial Blc'!F336-'Trial Blc'!E336</f>
        <v>-43.360000000000014</v>
      </c>
      <c r="G153" s="1526">
        <f>+'Trial Blc'!G336-'Trial Blc'!F336</f>
        <v>-43.359999999999985</v>
      </c>
      <c r="H153" s="1526">
        <f>+'Trial Blc'!H336-'Trial Blc'!G336</f>
        <v>-43.360000000000014</v>
      </c>
      <c r="I153" s="1526">
        <f>+'Trial Blc'!I336-'Trial Blc'!H336</f>
        <v>-43.360000000000014</v>
      </c>
      <c r="J153" s="1526">
        <f>+'Trial Blc'!J336-'Trial Blc'!I336</f>
        <v>-43.359999999999957</v>
      </c>
      <c r="K153" s="1526">
        <f>+'Trial Blc'!K336-'Trial Blc'!J336</f>
        <v>-43.360000000000014</v>
      </c>
      <c r="L153" s="1526">
        <f>+'Trial Blc'!L336-'Trial Blc'!K336</f>
        <v>-43.360000000000014</v>
      </c>
      <c r="M153" s="1526">
        <f>+'Trial Blc'!M336-'Trial Blc'!L336</f>
        <v>-43.360000000000014</v>
      </c>
      <c r="N153" s="1526">
        <f>+'Trial Blc'!N336-'Trial Blc'!M336</f>
        <v>-43.359999999999957</v>
      </c>
      <c r="O153" s="1526">
        <f>+'Trial Blc'!O336-'Trial Blc'!N336</f>
        <v>-43.36000000000007</v>
      </c>
      <c r="P153" s="1526">
        <f t="shared" si="3"/>
        <v>-520.32000000000005</v>
      </c>
      <c r="Q153" s="1526"/>
      <c r="R153" s="1526"/>
      <c r="S153" s="1526"/>
    </row>
    <row r="154" spans="1:19">
      <c r="B154" s="1538">
        <v>7290</v>
      </c>
      <c r="D154" s="1526">
        <f>+'Trial Blc'!D337</f>
        <v>-114.21</v>
      </c>
      <c r="E154" s="1526">
        <f>+'Trial Blc'!E337-'Trial Blc'!D337</f>
        <v>-114.21</v>
      </c>
      <c r="F154" s="1526">
        <f>+'Trial Blc'!F337-'Trial Blc'!E337</f>
        <v>-114.21000000000001</v>
      </c>
      <c r="G154" s="1526">
        <f>+'Trial Blc'!G337-'Trial Blc'!F337</f>
        <v>-114.20999999999998</v>
      </c>
      <c r="H154" s="1526">
        <f>+'Trial Blc'!H337-'Trial Blc'!G337</f>
        <v>-114.20999999999998</v>
      </c>
      <c r="I154" s="1526">
        <f>+'Trial Blc'!I337-'Trial Blc'!H337</f>
        <v>-114.21000000000004</v>
      </c>
      <c r="J154" s="1526">
        <f>+'Trial Blc'!J337-'Trial Blc'!I337</f>
        <v>-114.21000000000004</v>
      </c>
      <c r="K154" s="1526">
        <f>+'Trial Blc'!K337-'Trial Blc'!J337</f>
        <v>-114.20999999999992</v>
      </c>
      <c r="L154" s="1526">
        <f>+'Trial Blc'!L337-'Trial Blc'!K337</f>
        <v>-114.21000000000015</v>
      </c>
      <c r="M154" s="1526">
        <f>+'Trial Blc'!M337-'Trial Blc'!L337</f>
        <v>-114.20999999999981</v>
      </c>
      <c r="N154" s="1526">
        <f>+'Trial Blc'!N337-'Trial Blc'!M337</f>
        <v>-114.21000000000004</v>
      </c>
      <c r="O154" s="1526">
        <f>+'Trial Blc'!O337-'Trial Blc'!N337</f>
        <v>-114.21000000000004</v>
      </c>
      <c r="P154" s="1526">
        <f t="shared" si="3"/>
        <v>-1370.52</v>
      </c>
      <c r="Q154" s="1526"/>
      <c r="R154" s="1526"/>
      <c r="S154" s="1526"/>
    </row>
    <row r="155" spans="1:19">
      <c r="B155" s="1656">
        <v>7325</v>
      </c>
      <c r="D155" s="1526">
        <f>+'Trial Blc'!D338</f>
        <v>-63.95</v>
      </c>
      <c r="E155" s="1526">
        <f>+'Trial Blc'!E338-'Trial Blc'!D338</f>
        <v>-63.95</v>
      </c>
      <c r="F155" s="1526">
        <f>+'Trial Blc'!F338-'Trial Blc'!E338</f>
        <v>-63.949999999999989</v>
      </c>
      <c r="G155" s="1526">
        <f>+'Trial Blc'!G338-'Trial Blc'!F338</f>
        <v>-63.950000000000017</v>
      </c>
      <c r="H155" s="1526">
        <f>+'Trial Blc'!H338-'Trial Blc'!G338</f>
        <v>-63.949999999999989</v>
      </c>
      <c r="I155" s="1526">
        <f>+'Trial Blc'!I338-'Trial Blc'!H338</f>
        <v>-63.949999999999989</v>
      </c>
      <c r="J155" s="1526">
        <f>+'Trial Blc'!J338-'Trial Blc'!I338</f>
        <v>-63.949999999999989</v>
      </c>
      <c r="K155" s="1526">
        <f>+'Trial Blc'!K338-'Trial Blc'!J338</f>
        <v>-63.950000000000045</v>
      </c>
      <c r="L155" s="1526">
        <f>+'Trial Blc'!L338-'Trial Blc'!K338</f>
        <v>-63.949999999999932</v>
      </c>
      <c r="M155" s="1526">
        <f>+'Trial Blc'!M338-'Trial Blc'!L338</f>
        <v>-63.950000000000045</v>
      </c>
      <c r="N155" s="1526">
        <f>+'Trial Blc'!N338-'Trial Blc'!M338</f>
        <v>-63.950000000000045</v>
      </c>
      <c r="O155" s="1526">
        <f>+'Trial Blc'!O338-'Trial Blc'!N338</f>
        <v>-63.949999999999932</v>
      </c>
      <c r="P155" s="1526">
        <f t="shared" si="3"/>
        <v>-767.4</v>
      </c>
      <c r="Q155" s="1526"/>
      <c r="R155" s="1526"/>
      <c r="S155" s="1526"/>
    </row>
    <row r="156" spans="1:19">
      <c r="B156" s="1538">
        <v>7330</v>
      </c>
      <c r="D156" s="1526">
        <f>+'Trial Blc'!D339</f>
        <v>-1149.3399999999999</v>
      </c>
      <c r="E156" s="1526">
        <f>+'Trial Blc'!E339-'Trial Blc'!D339</f>
        <v>-1149.3399999999999</v>
      </c>
      <c r="F156" s="1526">
        <f>+'Trial Blc'!F339-'Trial Blc'!E339</f>
        <v>-1149.3400000000001</v>
      </c>
      <c r="G156" s="1526">
        <f>+'Trial Blc'!G339-'Trial Blc'!F339</f>
        <v>-1149.3399999999997</v>
      </c>
      <c r="H156" s="1526">
        <f>+'Trial Blc'!H339-'Trial Blc'!G339</f>
        <v>-1149.3400000000001</v>
      </c>
      <c r="I156" s="1526">
        <f>+'Trial Blc'!I339-'Trial Blc'!H339</f>
        <v>-1149.3400000000001</v>
      </c>
      <c r="J156" s="1526">
        <f>+'Trial Blc'!J339-'Trial Blc'!I339</f>
        <v>-1149.3400000000001</v>
      </c>
      <c r="K156" s="1526">
        <f>+'Trial Blc'!K339-'Trial Blc'!J339</f>
        <v>-1149.3399999999992</v>
      </c>
      <c r="L156" s="1526">
        <f>+'Trial Blc'!L339-'Trial Blc'!K339</f>
        <v>-1149.3400000000001</v>
      </c>
      <c r="M156" s="1526">
        <f>+'Trial Blc'!M339-'Trial Blc'!L339</f>
        <v>-1149.3400000000001</v>
      </c>
      <c r="N156" s="1526">
        <f>+'Trial Blc'!N339-'Trial Blc'!M339</f>
        <v>-1149.3400000000001</v>
      </c>
      <c r="O156" s="1526">
        <f>+'Trial Blc'!O339-'Trial Blc'!N339</f>
        <v>-1149.3400000000001</v>
      </c>
      <c r="P156" s="1526">
        <f t="shared" si="3"/>
        <v>-13792.08</v>
      </c>
      <c r="Q156" s="1526"/>
      <c r="R156" s="1526"/>
      <c r="S156" s="1526"/>
    </row>
    <row r="157" spans="1:19">
      <c r="B157" s="1538">
        <v>7430</v>
      </c>
      <c r="D157" s="1526">
        <f>+'Trial Blc'!D340</f>
        <v>-874.88</v>
      </c>
      <c r="E157" s="1526">
        <f>+'Trial Blc'!E340-'Trial Blc'!D340</f>
        <v>-874.88</v>
      </c>
      <c r="F157" s="1526">
        <f>+'Trial Blc'!F340-'Trial Blc'!E340</f>
        <v>-874.87999999999988</v>
      </c>
      <c r="G157" s="1526">
        <f>+'Trial Blc'!G340-'Trial Blc'!F340</f>
        <v>-874.88000000000011</v>
      </c>
      <c r="H157" s="1526">
        <f>+'Trial Blc'!H340-'Trial Blc'!G340</f>
        <v>-874.95999999999958</v>
      </c>
      <c r="I157" s="1526">
        <f>+'Trial Blc'!I340-'Trial Blc'!H340</f>
        <v>-874.96</v>
      </c>
      <c r="J157" s="1526">
        <f>+'Trial Blc'!J340-'Trial Blc'!I340</f>
        <v>-874.96</v>
      </c>
      <c r="K157" s="1526">
        <f>+'Trial Blc'!K340-'Trial Blc'!J340</f>
        <v>-874.96</v>
      </c>
      <c r="L157" s="1526">
        <f>+'Trial Blc'!L340-'Trial Blc'!K340</f>
        <v>-874.96</v>
      </c>
      <c r="M157" s="1526">
        <f>+'Trial Blc'!M340-'Trial Blc'!L340</f>
        <v>-874.96000000000095</v>
      </c>
      <c r="N157" s="1526">
        <f>+'Trial Blc'!N340-'Trial Blc'!M340</f>
        <v>-874.92000000000007</v>
      </c>
      <c r="O157" s="1526">
        <f>+'Trial Blc'!O340-'Trial Blc'!N340</f>
        <v>-874.92000000000007</v>
      </c>
      <c r="P157" s="1526">
        <f t="shared" si="3"/>
        <v>-10499.12</v>
      </c>
      <c r="Q157" s="1526"/>
      <c r="R157" s="1526"/>
      <c r="S157" s="1526"/>
    </row>
    <row r="158" spans="1:19">
      <c r="B158" s="1538">
        <v>7440</v>
      </c>
      <c r="D158" s="1526">
        <f>+'Trial Blc'!D341</f>
        <v>-130.81</v>
      </c>
      <c r="E158" s="1526">
        <f>+'Trial Blc'!E341-'Trial Blc'!D341</f>
        <v>-263.63</v>
      </c>
      <c r="F158" s="1526">
        <f>+'Trial Blc'!F341-'Trial Blc'!E341</f>
        <v>-263.63000000000005</v>
      </c>
      <c r="G158" s="1526">
        <f>+'Trial Blc'!G341-'Trial Blc'!F341</f>
        <v>-263.63</v>
      </c>
      <c r="H158" s="1526">
        <f>+'Trial Blc'!H341-'Trial Blc'!G341</f>
        <v>-263.62999999999988</v>
      </c>
      <c r="I158" s="1526">
        <f>+'Trial Blc'!I341-'Trial Blc'!H341</f>
        <v>-263.63000000000011</v>
      </c>
      <c r="J158" s="1526">
        <f>+'Trial Blc'!J341-'Trial Blc'!I341</f>
        <v>-263.62999999999988</v>
      </c>
      <c r="K158" s="1526">
        <f>+'Trial Blc'!K341-'Trial Blc'!J341</f>
        <v>-263.63000000000011</v>
      </c>
      <c r="L158" s="1526">
        <f>+'Trial Blc'!L341-'Trial Blc'!K341</f>
        <v>-263.62999999999988</v>
      </c>
      <c r="M158" s="1526">
        <f>+'Trial Blc'!M341-'Trial Blc'!L341</f>
        <v>-263.63000000000011</v>
      </c>
      <c r="N158" s="1526">
        <f>+'Trial Blc'!N341-'Trial Blc'!M341</f>
        <v>-263.63000000000011</v>
      </c>
      <c r="O158" s="1526">
        <f>+'Trial Blc'!O341-'Trial Blc'!N341</f>
        <v>-263.62999999999965</v>
      </c>
      <c r="P158" s="1526">
        <f t="shared" si="3"/>
        <v>-3030.74</v>
      </c>
      <c r="Q158" s="1526"/>
      <c r="R158" s="1526"/>
      <c r="S158" s="1526"/>
    </row>
    <row r="159" spans="1:19">
      <c r="B159" s="1538">
        <v>7445</v>
      </c>
      <c r="D159" s="1526">
        <f>+'Trial Blc'!D342</f>
        <v>-3.43</v>
      </c>
      <c r="E159" s="1526">
        <f>+'Trial Blc'!E342-'Trial Blc'!D342</f>
        <v>-3.43</v>
      </c>
      <c r="F159" s="1526">
        <f>+'Trial Blc'!F342-'Trial Blc'!E342</f>
        <v>-3.4299999999999988</v>
      </c>
      <c r="G159" s="1526">
        <f>+'Trial Blc'!G342-'Trial Blc'!F342</f>
        <v>-3.4300000000000015</v>
      </c>
      <c r="H159" s="1526">
        <f>+'Trial Blc'!H342-'Trial Blc'!G342</f>
        <v>-3.4299999999999979</v>
      </c>
      <c r="I159" s="1526">
        <f>+'Trial Blc'!I342-'Trial Blc'!H342</f>
        <v>-3.4299999999999997</v>
      </c>
      <c r="J159" s="1526">
        <f>+'Trial Blc'!J342-'Trial Blc'!I342</f>
        <v>-3.4300000000000033</v>
      </c>
      <c r="K159" s="1526">
        <f>+'Trial Blc'!K342-'Trial Blc'!J342</f>
        <v>-3.4299999999999997</v>
      </c>
      <c r="L159" s="1526">
        <f>+'Trial Blc'!L342-'Trial Blc'!K342</f>
        <v>-3.4299999999999997</v>
      </c>
      <c r="M159" s="1526">
        <f>+'Trial Blc'!M342-'Trial Blc'!L342</f>
        <v>-3.4299999999999962</v>
      </c>
      <c r="N159" s="1526">
        <f>+'Trial Blc'!N342-'Trial Blc'!M342</f>
        <v>-3.4299999999999997</v>
      </c>
      <c r="O159" s="1526">
        <f>+'Trial Blc'!O342-'Trial Blc'!N342</f>
        <v>-3.4299999999999997</v>
      </c>
      <c r="P159" s="1526">
        <f t="shared" si="3"/>
        <v>-41.16</v>
      </c>
      <c r="Q159" s="1526"/>
      <c r="R159" s="1526"/>
      <c r="S159" s="1526"/>
    </row>
    <row r="160" spans="1:19" ht="15">
      <c r="A160" s="1549"/>
      <c r="B160" s="1538"/>
      <c r="D160" s="1526"/>
      <c r="E160" s="1526"/>
      <c r="F160" s="1526"/>
      <c r="G160" s="1526"/>
      <c r="H160" s="1526"/>
      <c r="I160" s="1526"/>
      <c r="J160" s="1526"/>
      <c r="K160" s="1526"/>
      <c r="L160" s="1526"/>
      <c r="M160" s="1526"/>
      <c r="N160" s="1526"/>
      <c r="O160" s="1526"/>
      <c r="P160" s="1526"/>
      <c r="Q160" s="1526"/>
      <c r="R160" s="1526"/>
      <c r="S160" s="1526"/>
    </row>
    <row r="161" spans="1:19">
      <c r="A161" t="s">
        <v>2304</v>
      </c>
      <c r="B161" s="1688">
        <v>7510</v>
      </c>
      <c r="D161" s="1526">
        <f>+'Trial Blc'!D343</f>
        <v>1472.91</v>
      </c>
      <c r="E161" s="1526">
        <f>+'Trial Blc'!E343-'Trial Blc'!D343</f>
        <v>1517.1499999999999</v>
      </c>
      <c r="F161" s="1526">
        <f>+'Trial Blc'!F343-'Trial Blc'!E343</f>
        <v>1435.1100000000001</v>
      </c>
      <c r="G161" s="1526">
        <f>+'Trial Blc'!G343-'Trial Blc'!F343</f>
        <v>1533.4399999999996</v>
      </c>
      <c r="H161" s="1526">
        <f>+'Trial Blc'!H343-'Trial Blc'!G343</f>
        <v>1331.0500000000002</v>
      </c>
      <c r="I161" s="1526">
        <f>+'Trial Blc'!I343-'Trial Blc'!H343</f>
        <v>1393.33</v>
      </c>
      <c r="J161" s="1526">
        <f>+'Trial Blc'!J343-'Trial Blc'!I343</f>
        <v>1456.7600000000002</v>
      </c>
      <c r="K161" s="1526">
        <f>+'Trial Blc'!K343-'Trial Blc'!J343</f>
        <v>1360.5699999999997</v>
      </c>
      <c r="L161" s="1526">
        <f>+'Trial Blc'!L343-'Trial Blc'!K343</f>
        <v>1374.4300000000003</v>
      </c>
      <c r="M161" s="1526">
        <f>+'Trial Blc'!M343-'Trial Blc'!L343</f>
        <v>1375.92</v>
      </c>
      <c r="N161" s="1526">
        <f>+'Trial Blc'!N343-'Trial Blc'!M343</f>
        <v>1307.42</v>
      </c>
      <c r="O161" s="1526">
        <f>+'Trial Blc'!O343-'Trial Blc'!N343</f>
        <v>1428.7000000000007</v>
      </c>
      <c r="P161" s="1526">
        <f t="shared" si="3"/>
        <v>16986.79</v>
      </c>
      <c r="Q161" s="1526"/>
      <c r="R161" s="1526"/>
      <c r="S161" s="1526"/>
    </row>
    <row r="162" spans="1:19">
      <c r="A162" t="s">
        <v>2305</v>
      </c>
      <c r="B162" s="1688">
        <v>7515</v>
      </c>
      <c r="D162" s="1526">
        <f>+'Trial Blc'!D344</f>
        <v>304.63</v>
      </c>
      <c r="E162" s="1526">
        <f>+'Trial Blc'!E344-'Trial Blc'!D344</f>
        <v>47.199999999999989</v>
      </c>
      <c r="F162" s="1526">
        <f>+'Trial Blc'!F344-'Trial Blc'!E344</f>
        <v>17.080000000000041</v>
      </c>
      <c r="G162" s="1526">
        <f>+'Trial Blc'!G344-'Trial Blc'!F344</f>
        <v>2.7799999999999727</v>
      </c>
      <c r="H162" s="1526">
        <f>+'Trial Blc'!H344-'Trial Blc'!G344</f>
        <v>2.2099999999999795</v>
      </c>
      <c r="I162" s="1526">
        <f>+'Trial Blc'!I344-'Trial Blc'!H344</f>
        <v>2.8500000000000227</v>
      </c>
      <c r="J162" s="1526">
        <f>+'Trial Blc'!J344-'Trial Blc'!I344</f>
        <v>4.2900000000000205</v>
      </c>
      <c r="K162" s="1526">
        <f>+'Trial Blc'!K344-'Trial Blc'!J344</f>
        <v>2.4300000000000068</v>
      </c>
      <c r="L162" s="1526">
        <f>+'Trial Blc'!L344-'Trial Blc'!K344</f>
        <v>1.089999999999975</v>
      </c>
      <c r="M162" s="1526">
        <f>+'Trial Blc'!M344-'Trial Blc'!L344</f>
        <v>3.1399999999999864</v>
      </c>
      <c r="N162" s="1526">
        <f>+'Trial Blc'!N344-'Trial Blc'!M344</f>
        <v>2.25</v>
      </c>
      <c r="O162" s="1526">
        <f>+'Trial Blc'!O344-'Trial Blc'!N344</f>
        <v>1.6299999999999955</v>
      </c>
      <c r="P162" s="1526">
        <f t="shared" si="3"/>
        <v>391.58</v>
      </c>
      <c r="Q162" s="1526"/>
      <c r="R162" s="1526"/>
      <c r="S162" s="1526"/>
    </row>
    <row r="163" spans="1:19">
      <c r="A163" t="s">
        <v>2306</v>
      </c>
      <c r="B163" s="1688">
        <v>7520</v>
      </c>
      <c r="D163" s="1526">
        <f>+'Trial Blc'!D345</f>
        <v>590.76</v>
      </c>
      <c r="E163" s="1526">
        <f>+'Trial Blc'!E345-'Trial Blc'!D345</f>
        <v>252.59000000000003</v>
      </c>
      <c r="F163" s="1526">
        <f>+'Trial Blc'!F345-'Trial Blc'!E345</f>
        <v>144.94999999999993</v>
      </c>
      <c r="G163" s="1526">
        <f>+'Trial Blc'!G345-'Trial Blc'!F345</f>
        <v>41.120000000000118</v>
      </c>
      <c r="H163" s="1526">
        <f>+'Trial Blc'!H345-'Trial Blc'!G345</f>
        <v>25.129999999999882</v>
      </c>
      <c r="I163" s="1526">
        <f>+'Trial Blc'!I345-'Trial Blc'!H345</f>
        <v>27.789999999999964</v>
      </c>
      <c r="J163" s="1526">
        <f>+'Trial Blc'!J345-'Trial Blc'!I345</f>
        <v>-277.42999999999995</v>
      </c>
      <c r="K163" s="1526">
        <f>+'Trial Blc'!K345-'Trial Blc'!J345</f>
        <v>23.590000000000032</v>
      </c>
      <c r="L163" s="1526">
        <f>+'Trial Blc'!L345-'Trial Blc'!K345</f>
        <v>15.100000000000023</v>
      </c>
      <c r="M163" s="1526">
        <f>+'Trial Blc'!M345-'Trial Blc'!L345</f>
        <v>21.709999999999923</v>
      </c>
      <c r="N163" s="1526">
        <f>+'Trial Blc'!N345-'Trial Blc'!M345</f>
        <v>16.080000000000041</v>
      </c>
      <c r="O163" s="1526">
        <f>+'Trial Blc'!O345-'Trial Blc'!N345</f>
        <v>-205.52999999999997</v>
      </c>
      <c r="P163" s="1526">
        <f t="shared" si="3"/>
        <v>675.86</v>
      </c>
      <c r="Q163" s="1526"/>
      <c r="R163" s="1526"/>
      <c r="S163" s="1526"/>
    </row>
    <row r="164" spans="1:19">
      <c r="A164" t="s">
        <v>2311</v>
      </c>
      <c r="B164" s="1688">
        <v>7535</v>
      </c>
      <c r="D164" s="1526">
        <f>+'Trial Blc'!D346</f>
        <v>0</v>
      </c>
      <c r="E164" s="1526">
        <f>+'Trial Blc'!E346-'Trial Blc'!D346</f>
        <v>0.09</v>
      </c>
      <c r="F164" s="1526">
        <f>+'Trial Blc'!F346-'Trial Blc'!E346</f>
        <v>0</v>
      </c>
      <c r="G164" s="1526">
        <f>+'Trial Blc'!G346-'Trial Blc'!F346</f>
        <v>7.38</v>
      </c>
      <c r="H164" s="1526">
        <f>+'Trial Blc'!H346-'Trial Blc'!G346</f>
        <v>167.73</v>
      </c>
      <c r="I164" s="1526">
        <f>+'Trial Blc'!I346-'Trial Blc'!H346</f>
        <v>70.300000000000011</v>
      </c>
      <c r="J164" s="1526">
        <f>+'Trial Blc'!J346-'Trial Blc'!I346</f>
        <v>0</v>
      </c>
      <c r="K164" s="1526">
        <f>+'Trial Blc'!K346-'Trial Blc'!J346</f>
        <v>0.18000000000000682</v>
      </c>
      <c r="L164" s="1526">
        <f>+'Trial Blc'!L346-'Trial Blc'!K346</f>
        <v>0</v>
      </c>
      <c r="M164" s="1526">
        <f>+'Trial Blc'!M346-'Trial Blc'!L346</f>
        <v>0</v>
      </c>
      <c r="N164" s="1526">
        <f>+'Trial Blc'!N346-'Trial Blc'!M346</f>
        <v>1.2999999999999829</v>
      </c>
      <c r="O164" s="1526">
        <f>+'Trial Blc'!O346-'Trial Blc'!N346</f>
        <v>10.370000000000033</v>
      </c>
      <c r="P164" s="1526">
        <f t="shared" si="3"/>
        <v>257.35000000000002</v>
      </c>
      <c r="Q164" s="1526"/>
      <c r="R164" s="1526"/>
      <c r="S164" s="1526"/>
    </row>
    <row r="165" spans="1:19">
      <c r="A165" t="s">
        <v>2310</v>
      </c>
      <c r="B165" s="1688">
        <v>7540</v>
      </c>
      <c r="D165" s="1526">
        <f>+'Trial Blc'!D347</f>
        <v>43585.85</v>
      </c>
      <c r="E165" s="1526">
        <f>+'Trial Blc'!E347-'Trial Blc'!D347</f>
        <v>0</v>
      </c>
      <c r="F165" s="1526">
        <f>+'Trial Blc'!F347-'Trial Blc'!E347</f>
        <v>0</v>
      </c>
      <c r="G165" s="1526">
        <f>+'Trial Blc'!G347-'Trial Blc'!F347</f>
        <v>0</v>
      </c>
      <c r="H165" s="1526">
        <f>+'Trial Blc'!H347-'Trial Blc'!G347</f>
        <v>0</v>
      </c>
      <c r="I165" s="1526">
        <f>+'Trial Blc'!I347-'Trial Blc'!H347</f>
        <v>0</v>
      </c>
      <c r="J165" s="1526">
        <f>+'Trial Blc'!J347-'Trial Blc'!I347</f>
        <v>43431.799999999996</v>
      </c>
      <c r="K165" s="1526">
        <f>+'Trial Blc'!K347-'Trial Blc'!J347</f>
        <v>0</v>
      </c>
      <c r="L165" s="1526">
        <f>+'Trial Blc'!L347-'Trial Blc'!K347</f>
        <v>0</v>
      </c>
      <c r="M165" s="1526">
        <f>+'Trial Blc'!M347-'Trial Blc'!L347</f>
        <v>0</v>
      </c>
      <c r="N165" s="1526">
        <f>+'Trial Blc'!N347-'Trial Blc'!M347</f>
        <v>0</v>
      </c>
      <c r="O165" s="1526">
        <f>+'Trial Blc'!O347-'Trial Blc'!N347</f>
        <v>5175.6000000000058</v>
      </c>
      <c r="P165" s="1526">
        <f t="shared" si="3"/>
        <v>92193.25</v>
      </c>
      <c r="Q165" s="1526"/>
      <c r="R165" s="1526"/>
      <c r="S165" s="1526"/>
    </row>
    <row r="166" spans="1:19">
      <c r="A166" t="s">
        <v>2309</v>
      </c>
      <c r="B166" s="1688">
        <v>7545</v>
      </c>
      <c r="D166" s="1526">
        <f>+'Trial Blc'!D348</f>
        <v>0</v>
      </c>
      <c r="E166" s="1526">
        <f>+'Trial Blc'!E348-'Trial Blc'!D348</f>
        <v>-4813.47</v>
      </c>
      <c r="F166" s="1526">
        <f>+'Trial Blc'!F348-'Trial Blc'!E348</f>
        <v>3.680000000000291</v>
      </c>
      <c r="G166" s="1526">
        <f>+'Trial Blc'!G348-'Trial Blc'!F348</f>
        <v>0</v>
      </c>
      <c r="H166" s="1526">
        <f>+'Trial Blc'!H348-'Trial Blc'!G348</f>
        <v>0</v>
      </c>
      <c r="I166" s="1526">
        <f>+'Trial Blc'!I348-'Trial Blc'!H348</f>
        <v>0</v>
      </c>
      <c r="J166" s="1526">
        <f>+'Trial Blc'!J348-'Trial Blc'!I348</f>
        <v>0</v>
      </c>
      <c r="K166" s="1526">
        <f>+'Trial Blc'!K348-'Trial Blc'!J348</f>
        <v>0</v>
      </c>
      <c r="L166" s="1526">
        <f>+'Trial Blc'!L348-'Trial Blc'!K348</f>
        <v>0</v>
      </c>
      <c r="M166" s="1526">
        <f>+'Trial Blc'!M348-'Trial Blc'!L348</f>
        <v>0</v>
      </c>
      <c r="N166" s="1526">
        <f>+'Trial Blc'!N348-'Trial Blc'!M348</f>
        <v>4674.67</v>
      </c>
      <c r="O166" s="1526">
        <f>+'Trial Blc'!O348-'Trial Blc'!N348</f>
        <v>0</v>
      </c>
      <c r="P166" s="1526">
        <f t="shared" si="3"/>
        <v>-135.11999999999989</v>
      </c>
      <c r="Q166" s="1526"/>
      <c r="R166" s="1526"/>
      <c r="S166" s="1526"/>
    </row>
    <row r="167" spans="1:19">
      <c r="A167" t="s">
        <v>2307</v>
      </c>
      <c r="B167" s="1688">
        <v>7550</v>
      </c>
      <c r="D167" s="1526">
        <f>+'Trial Blc'!D349</f>
        <v>-35628.769999999997</v>
      </c>
      <c r="E167" s="1526">
        <f>+'Trial Blc'!E349-'Trial Blc'!D349</f>
        <v>7468.2499999999964</v>
      </c>
      <c r="F167" s="1526">
        <f>+'Trial Blc'!F349-'Trial Blc'!E349</f>
        <v>12766.41</v>
      </c>
      <c r="G167" s="1526">
        <f>+'Trial Blc'!G349-'Trial Blc'!F349</f>
        <v>3135.9800000000014</v>
      </c>
      <c r="H167" s="1526">
        <f>+'Trial Blc'!H349-'Trial Blc'!G349</f>
        <v>12617.15</v>
      </c>
      <c r="I167" s="1526">
        <f>+'Trial Blc'!I349-'Trial Blc'!H349</f>
        <v>7956.26</v>
      </c>
      <c r="J167" s="1526">
        <f>+'Trial Blc'!J349-'Trial Blc'!I349</f>
        <v>-35892.58</v>
      </c>
      <c r="K167" s="1526">
        <f>+'Trial Blc'!K349-'Trial Blc'!J349</f>
        <v>7955.8099999999977</v>
      </c>
      <c r="L167" s="1526">
        <f>+'Trial Blc'!L349-'Trial Blc'!K349</f>
        <v>7955.1100000000024</v>
      </c>
      <c r="M167" s="1526">
        <f>+'Trial Blc'!M349-'Trial Blc'!L349</f>
        <v>7955.079999999999</v>
      </c>
      <c r="N167" s="1526">
        <f>+'Trial Blc'!N349-'Trial Blc'!M349</f>
        <v>-1864.33</v>
      </c>
      <c r="O167" s="1526">
        <f>+'Trial Blc'!O349-'Trial Blc'!N349</f>
        <v>5574.96</v>
      </c>
      <c r="P167" s="1526">
        <f t="shared" si="3"/>
        <v>-0.67000000000371074</v>
      </c>
      <c r="Q167" s="1526"/>
      <c r="R167" s="1526"/>
      <c r="S167" s="1526"/>
    </row>
    <row r="168" spans="1:19">
      <c r="A168" t="s">
        <v>2308</v>
      </c>
      <c r="B168" s="1688">
        <v>7555</v>
      </c>
      <c r="D168" s="1526">
        <f>+'Trial Blc'!D350</f>
        <v>0</v>
      </c>
      <c r="E168" s="1526">
        <f>+'Trial Blc'!E350-'Trial Blc'!D350</f>
        <v>487.92</v>
      </c>
      <c r="F168" s="1526">
        <f>+'Trial Blc'!F350-'Trial Blc'!E350</f>
        <v>0</v>
      </c>
      <c r="G168" s="1526">
        <f>+'Trial Blc'!G350-'Trial Blc'!F350</f>
        <v>0</v>
      </c>
      <c r="H168" s="1526">
        <f>+'Trial Blc'!H350-'Trial Blc'!G350</f>
        <v>0</v>
      </c>
      <c r="I168" s="1526">
        <f>+'Trial Blc'!I350-'Trial Blc'!H350</f>
        <v>0</v>
      </c>
      <c r="J168" s="1526">
        <f>+'Trial Blc'!J350-'Trial Blc'!I350</f>
        <v>417.71</v>
      </c>
      <c r="K168" s="1526">
        <f>+'Trial Blc'!K350-'Trial Blc'!J350</f>
        <v>0</v>
      </c>
      <c r="L168" s="1526">
        <f>+'Trial Blc'!L350-'Trial Blc'!K350</f>
        <v>0</v>
      </c>
      <c r="M168" s="1526">
        <f>+'Trial Blc'!M350-'Trial Blc'!L350</f>
        <v>0</v>
      </c>
      <c r="N168" s="1526">
        <f>+'Trial Blc'!N350-'Trial Blc'!M350</f>
        <v>5143.1099999999997</v>
      </c>
      <c r="O168" s="1526">
        <f>+'Trial Blc'!O350-'Trial Blc'!N350</f>
        <v>40</v>
      </c>
      <c r="P168" s="1526">
        <f t="shared" si="3"/>
        <v>6088.74</v>
      </c>
      <c r="Q168" s="1526"/>
      <c r="R168" s="1526"/>
      <c r="S168" s="1526"/>
    </row>
    <row r="169" spans="1:19">
      <c r="A169" t="s">
        <v>2312</v>
      </c>
      <c r="B169" s="1688">
        <v>7595</v>
      </c>
      <c r="D169" s="1526">
        <f>+'Trial Blc'!D351</f>
        <v>0</v>
      </c>
      <c r="E169" s="1526">
        <f>+'Trial Blc'!E351-'Trial Blc'!D351</f>
        <v>0</v>
      </c>
      <c r="F169" s="1526">
        <f>+'Trial Blc'!F351-'Trial Blc'!E351</f>
        <v>0</v>
      </c>
      <c r="G169" s="1526">
        <f>+'Trial Blc'!G351-'Trial Blc'!F351</f>
        <v>0</v>
      </c>
      <c r="H169" s="1526">
        <f>+'Trial Blc'!H351-'Trial Blc'!G351</f>
        <v>0</v>
      </c>
      <c r="I169" s="1526">
        <f>+'Trial Blc'!I351-'Trial Blc'!H351</f>
        <v>0</v>
      </c>
      <c r="J169" s="1526">
        <f>+'Trial Blc'!J351-'Trial Blc'!I351</f>
        <v>0</v>
      </c>
      <c r="K169" s="1526">
        <f>+'Trial Blc'!K351-'Trial Blc'!J351</f>
        <v>0</v>
      </c>
      <c r="L169" s="1526">
        <f>+'Trial Blc'!L351-'Trial Blc'!K351</f>
        <v>0</v>
      </c>
      <c r="M169" s="1526">
        <f>+'Trial Blc'!M351-'Trial Blc'!L351</f>
        <v>0</v>
      </c>
      <c r="N169" s="1526">
        <f>+'Trial Blc'!N351-'Trial Blc'!M351</f>
        <v>0</v>
      </c>
      <c r="O169" s="1526">
        <f>+'Trial Blc'!O351-'Trial Blc'!N351</f>
        <v>97659.28</v>
      </c>
      <c r="P169" s="1526">
        <f t="shared" si="3"/>
        <v>97659.28</v>
      </c>
      <c r="Q169" s="1526"/>
      <c r="R169" s="1526"/>
      <c r="S169" s="1526"/>
    </row>
    <row r="170" spans="1:19">
      <c r="A170" t="s">
        <v>2312</v>
      </c>
      <c r="B170" s="1688">
        <v>7600</v>
      </c>
      <c r="D170" s="1526">
        <f>+'Trial Blc'!D352</f>
        <v>0</v>
      </c>
      <c r="E170" s="1526">
        <f>+'Trial Blc'!E352-'Trial Blc'!D352</f>
        <v>0</v>
      </c>
      <c r="F170" s="1526">
        <f>+'Trial Blc'!F352-'Trial Blc'!E352</f>
        <v>0</v>
      </c>
      <c r="G170" s="1526">
        <f>+'Trial Blc'!G352-'Trial Blc'!F352</f>
        <v>0</v>
      </c>
      <c r="H170" s="1526">
        <f>+'Trial Blc'!H352-'Trial Blc'!G352</f>
        <v>0</v>
      </c>
      <c r="I170" s="1526">
        <f>+'Trial Blc'!I352-'Trial Blc'!H352</f>
        <v>0</v>
      </c>
      <c r="J170" s="1526">
        <f>+'Trial Blc'!J352-'Trial Blc'!I352</f>
        <v>0</v>
      </c>
      <c r="K170" s="1526">
        <f>+'Trial Blc'!K352-'Trial Blc'!J352</f>
        <v>0</v>
      </c>
      <c r="L170" s="1526">
        <f>+'Trial Blc'!L352-'Trial Blc'!K352</f>
        <v>0</v>
      </c>
      <c r="M170" s="1526">
        <f>+'Trial Blc'!M352-'Trial Blc'!L352</f>
        <v>0</v>
      </c>
      <c r="N170" s="1526">
        <f>+'Trial Blc'!N352-'Trial Blc'!M352</f>
        <v>0</v>
      </c>
      <c r="O170" s="1526">
        <f>+'Trial Blc'!O352-'Trial Blc'!N352</f>
        <v>17768.27</v>
      </c>
      <c r="P170" s="1526">
        <f t="shared" si="3"/>
        <v>17768.27</v>
      </c>
      <c r="Q170" s="1526"/>
      <c r="R170" s="1526"/>
      <c r="S170" s="1526"/>
    </row>
    <row r="171" spans="1:19">
      <c r="A171" t="s">
        <v>2312</v>
      </c>
      <c r="B171" s="1688">
        <v>7610</v>
      </c>
      <c r="D171" s="1526">
        <f>+'Trial Blc'!D353</f>
        <v>0</v>
      </c>
      <c r="E171" s="1526">
        <f>+'Trial Blc'!E353-'Trial Blc'!D353</f>
        <v>0</v>
      </c>
      <c r="F171" s="1526">
        <f>+'Trial Blc'!F353-'Trial Blc'!E353</f>
        <v>0</v>
      </c>
      <c r="G171" s="1526">
        <f>+'Trial Blc'!G353-'Trial Blc'!F353</f>
        <v>0</v>
      </c>
      <c r="H171" s="1526">
        <f>+'Trial Blc'!H353-'Trial Blc'!G353</f>
        <v>0</v>
      </c>
      <c r="I171" s="1526">
        <f>+'Trial Blc'!I353-'Trial Blc'!H353</f>
        <v>0</v>
      </c>
      <c r="J171" s="1526">
        <f>+'Trial Blc'!J353-'Trial Blc'!I353</f>
        <v>0</v>
      </c>
      <c r="K171" s="1526">
        <f>+'Trial Blc'!K353-'Trial Blc'!J353</f>
        <v>0</v>
      </c>
      <c r="L171" s="1526">
        <f>+'Trial Blc'!L353-'Trial Blc'!K353</f>
        <v>0</v>
      </c>
      <c r="M171" s="1526">
        <f>+'Trial Blc'!M353-'Trial Blc'!L353</f>
        <v>0</v>
      </c>
      <c r="N171" s="1526">
        <f>+'Trial Blc'!N353-'Trial Blc'!M353</f>
        <v>0</v>
      </c>
      <c r="O171" s="1526">
        <f>+'Trial Blc'!O353-'Trial Blc'!N353</f>
        <v>4470.43</v>
      </c>
      <c r="P171" s="1526">
        <f t="shared" si="3"/>
        <v>4470.43</v>
      </c>
      <c r="Q171" s="1526"/>
      <c r="R171" s="1526"/>
      <c r="S171" s="1526"/>
    </row>
    <row r="172" spans="1:19">
      <c r="A172" t="s">
        <v>2313</v>
      </c>
      <c r="B172" s="1688">
        <v>7660</v>
      </c>
      <c r="D172" s="1526">
        <f>+'Trial Blc'!D354</f>
        <v>0</v>
      </c>
      <c r="E172" s="1526">
        <f>+'Trial Blc'!E354-'Trial Blc'!D354</f>
        <v>0</v>
      </c>
      <c r="F172" s="1526">
        <f>+'Trial Blc'!F354-'Trial Blc'!E354</f>
        <v>0</v>
      </c>
      <c r="G172" s="1526">
        <f>+'Trial Blc'!G354-'Trial Blc'!F354</f>
        <v>0</v>
      </c>
      <c r="H172" s="1526">
        <f>+'Trial Blc'!H354-'Trial Blc'!G354</f>
        <v>0</v>
      </c>
      <c r="I172" s="1526">
        <f>+'Trial Blc'!I354-'Trial Blc'!H354</f>
        <v>0</v>
      </c>
      <c r="J172" s="1526">
        <f>+'Trial Blc'!J354-'Trial Blc'!I354</f>
        <v>0</v>
      </c>
      <c r="K172" s="1526">
        <f>+'Trial Blc'!K354-'Trial Blc'!J354</f>
        <v>0</v>
      </c>
      <c r="L172" s="1526">
        <f>+'Trial Blc'!L354-'Trial Blc'!K354</f>
        <v>0</v>
      </c>
      <c r="M172" s="1526">
        <f>+'Trial Blc'!M354-'Trial Blc'!L354</f>
        <v>0</v>
      </c>
      <c r="N172" s="1526">
        <f>+'Trial Blc'!N354-'Trial Blc'!M354</f>
        <v>0</v>
      </c>
      <c r="O172" s="1526">
        <f>+'Trial Blc'!O354-'Trial Blc'!N354</f>
        <v>0</v>
      </c>
      <c r="P172" s="1526">
        <f t="shared" si="3"/>
        <v>0</v>
      </c>
      <c r="Q172" s="1526"/>
      <c r="R172" s="1526"/>
      <c r="S172" s="1526"/>
    </row>
    <row r="173" spans="1:19">
      <c r="A173" t="s">
        <v>2301</v>
      </c>
      <c r="B173" s="1688">
        <v>7710</v>
      </c>
      <c r="D173" s="1526">
        <f>+'Trial Blc'!D355</f>
        <v>0</v>
      </c>
      <c r="E173" s="1526">
        <f>+'Trial Blc'!E355-'Trial Blc'!D355</f>
        <v>0</v>
      </c>
      <c r="F173" s="1526">
        <f>+'Trial Blc'!F355-'Trial Blc'!E355</f>
        <v>29162.31</v>
      </c>
      <c r="G173" s="1526">
        <f>+'Trial Blc'!G355-'Trial Blc'!F355</f>
        <v>0</v>
      </c>
      <c r="H173" s="1526">
        <f>+'Trial Blc'!H355-'Trial Blc'!G355</f>
        <v>0</v>
      </c>
      <c r="I173" s="1526">
        <f>+'Trial Blc'!I355-'Trial Blc'!H355</f>
        <v>29554.850000000002</v>
      </c>
      <c r="J173" s="1526">
        <f>+'Trial Blc'!J355-'Trial Blc'!I355</f>
        <v>0</v>
      </c>
      <c r="K173" s="1526">
        <f>+'Trial Blc'!K355-'Trial Blc'!J355</f>
        <v>0</v>
      </c>
      <c r="L173" s="1526">
        <f>+'Trial Blc'!L355-'Trial Blc'!K355</f>
        <v>21759.179999999993</v>
      </c>
      <c r="M173" s="1526">
        <f>+'Trial Blc'!M355-'Trial Blc'!L355</f>
        <v>0</v>
      </c>
      <c r="N173" s="1526">
        <f>+'Trial Blc'!N355-'Trial Blc'!M355</f>
        <v>0</v>
      </c>
      <c r="O173" s="1526">
        <f>+'Trial Blc'!O355-'Trial Blc'!N355</f>
        <v>30734.059999999998</v>
      </c>
      <c r="P173" s="1526">
        <f t="shared" si="3"/>
        <v>111210.4</v>
      </c>
      <c r="Q173" s="1526"/>
      <c r="R173" s="1526"/>
      <c r="S173" s="1526"/>
    </row>
    <row r="174" spans="1:19">
      <c r="A174" t="s">
        <v>2301</v>
      </c>
      <c r="B174" s="1688">
        <v>7735</v>
      </c>
      <c r="D174" s="1526">
        <f>+'Trial Blc'!D356</f>
        <v>-11.830000000000005</v>
      </c>
      <c r="E174" s="1526">
        <f>+'Trial Blc'!E356-'Trial Blc'!D356</f>
        <v>64.180000000000007</v>
      </c>
      <c r="F174" s="1526">
        <f>+'Trial Blc'!F356-'Trial Blc'!E356</f>
        <v>39.390000000000008</v>
      </c>
      <c r="G174" s="1526">
        <f>+'Trial Blc'!G356-'Trial Blc'!F356</f>
        <v>53.44</v>
      </c>
      <c r="H174" s="1526">
        <f>+'Trial Blc'!H356-'Trial Blc'!G356</f>
        <v>38.239999999999981</v>
      </c>
      <c r="I174" s="1526">
        <f>+'Trial Blc'!I356-'Trial Blc'!H356</f>
        <v>286.71000000000004</v>
      </c>
      <c r="J174" s="1526">
        <f>+'Trial Blc'!J356-'Trial Blc'!I356</f>
        <v>28.5</v>
      </c>
      <c r="K174" s="1526">
        <f>+'Trial Blc'!K356-'Trial Blc'!J356</f>
        <v>37.690000000000055</v>
      </c>
      <c r="L174" s="1526">
        <f>+'Trial Blc'!L356-'Trial Blc'!K356</f>
        <v>36.629999999999995</v>
      </c>
      <c r="M174" s="1526">
        <f>+'Trial Blc'!M356-'Trial Blc'!L356</f>
        <v>49.829999999999927</v>
      </c>
      <c r="N174" s="1526">
        <f>+'Trial Blc'!N356-'Trial Blc'!M356</f>
        <v>32.669999999999959</v>
      </c>
      <c r="O174" s="1526">
        <f>+'Trial Blc'!O356-'Trial Blc'!N356</f>
        <v>134.25</v>
      </c>
      <c r="P174" s="1526">
        <f t="shared" si="3"/>
        <v>789.69999999999993</v>
      </c>
      <c r="Q174" s="1526"/>
      <c r="R174" s="1526"/>
      <c r="S174" s="1526"/>
    </row>
    <row r="175" spans="1:19">
      <c r="A175" t="s">
        <v>2302</v>
      </c>
      <c r="B175" s="1688">
        <v>7750</v>
      </c>
      <c r="D175" s="1526">
        <f>+'Trial Blc'!D357</f>
        <v>-2674.13</v>
      </c>
      <c r="E175" s="1526">
        <f>+'Trial Blc'!E357-'Trial Blc'!D357</f>
        <v>-3163.08</v>
      </c>
      <c r="F175" s="1526">
        <f>+'Trial Blc'!F357-'Trial Blc'!E357</f>
        <v>-3657.7599999999993</v>
      </c>
      <c r="G175" s="1526">
        <f>+'Trial Blc'!G357-'Trial Blc'!F357</f>
        <v>-3686.59</v>
      </c>
      <c r="H175" s="1526">
        <f>+'Trial Blc'!H357-'Trial Blc'!G357</f>
        <v>-2235.4800000000014</v>
      </c>
      <c r="I175" s="1526">
        <f>+'Trial Blc'!I357-'Trial Blc'!H357</f>
        <v>-4175.739999999998</v>
      </c>
      <c r="J175" s="1526">
        <f>+'Trial Blc'!J357-'Trial Blc'!I357</f>
        <v>-22.010000000002037</v>
      </c>
      <c r="K175" s="1526">
        <f>+'Trial Blc'!K357-'Trial Blc'!J357</f>
        <v>-24.909999999999854</v>
      </c>
      <c r="L175" s="1526">
        <f>+'Trial Blc'!L357-'Trial Blc'!K357</f>
        <v>-46.219999999997526</v>
      </c>
      <c r="M175" s="1526">
        <f>+'Trial Blc'!M357-'Trial Blc'!L357</f>
        <v>-318.57000000000335</v>
      </c>
      <c r="N175" s="1526">
        <f>+'Trial Blc'!N357-'Trial Blc'!M357</f>
        <v>-322.12999999999738</v>
      </c>
      <c r="O175" s="1526">
        <f>+'Trial Blc'!O357-'Trial Blc'!N357</f>
        <v>-491.63000000000102</v>
      </c>
      <c r="P175" s="1526">
        <f t="shared" si="3"/>
        <v>-20818.25</v>
      </c>
      <c r="Q175" s="1526"/>
      <c r="R175" s="1526"/>
      <c r="S175" s="1526"/>
    </row>
    <row r="176" spans="1:19">
      <c r="A176" t="s">
        <v>2303</v>
      </c>
      <c r="B176" s="1688">
        <v>7765</v>
      </c>
      <c r="D176" s="1526">
        <f>+'Trial Blc'!D358</f>
        <v>0</v>
      </c>
      <c r="E176" s="1526">
        <f>+'Trial Blc'!E358-'Trial Blc'!D358</f>
        <v>0</v>
      </c>
      <c r="F176" s="1526">
        <f>+'Trial Blc'!F358-'Trial Blc'!E358</f>
        <v>0</v>
      </c>
      <c r="G176" s="1526">
        <f>+'Trial Blc'!G358-'Trial Blc'!F358</f>
        <v>-234.88</v>
      </c>
      <c r="H176" s="1526">
        <f>+'Trial Blc'!H358-'Trial Blc'!G358</f>
        <v>0</v>
      </c>
      <c r="I176" s="1526">
        <f>+'Trial Blc'!I358-'Trial Blc'!H358</f>
        <v>0</v>
      </c>
      <c r="J176" s="1526">
        <f>+'Trial Blc'!J358-'Trial Blc'!I358</f>
        <v>0</v>
      </c>
      <c r="K176" s="1526">
        <f>+'Trial Blc'!K358-'Trial Blc'!J358</f>
        <v>0</v>
      </c>
      <c r="L176" s="1526">
        <f>+'Trial Blc'!L358-'Trial Blc'!K358</f>
        <v>0</v>
      </c>
      <c r="M176" s="1526">
        <f>+'Trial Blc'!M358-'Trial Blc'!L358</f>
        <v>-264.52</v>
      </c>
      <c r="N176" s="1526">
        <f>+'Trial Blc'!N358-'Trial Blc'!M358</f>
        <v>0</v>
      </c>
      <c r="O176" s="1526">
        <f>+'Trial Blc'!O358-'Trial Blc'!N358</f>
        <v>0</v>
      </c>
      <c r="P176" s="1526">
        <f t="shared" si="3"/>
        <v>-499.4</v>
      </c>
      <c r="Q176" s="1526"/>
      <c r="R176" s="1526"/>
      <c r="S176" s="1526"/>
    </row>
    <row r="177" spans="4:16">
      <c r="D177" s="1526"/>
      <c r="E177" s="1526"/>
      <c r="F177" s="1526"/>
      <c r="G177" s="1526"/>
      <c r="H177" s="1526"/>
      <c r="I177" s="1526"/>
      <c r="J177" s="1526"/>
      <c r="K177" s="1526"/>
      <c r="L177" s="1526"/>
      <c r="M177" s="1526"/>
      <c r="N177" s="1526"/>
      <c r="O177" s="1526"/>
      <c r="P177" s="1526"/>
    </row>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dimension ref="A1:AN1036"/>
  <sheetViews>
    <sheetView workbookViewId="0"/>
  </sheetViews>
  <sheetFormatPr defaultColWidth="9.140625" defaultRowHeight="11.25"/>
  <cols>
    <col min="1" max="1" width="33.28515625" style="88" customWidth="1"/>
    <col min="2" max="2" width="9" style="1534" customWidth="1"/>
    <col min="3" max="3" width="28.42578125" style="116" customWidth="1"/>
    <col min="4" max="4" width="13.42578125" style="505" customWidth="1"/>
    <col min="5" max="5" width="12.7109375" style="505" customWidth="1"/>
    <col min="6" max="6" width="12.7109375" style="116" customWidth="1"/>
    <col min="7" max="7" width="12.7109375" style="505" customWidth="1"/>
    <col min="8" max="20" width="12.7109375" style="110" customWidth="1"/>
    <col min="21" max="21" width="10" style="1557" customWidth="1"/>
    <col min="22" max="22" width="35.28515625" style="88" customWidth="1"/>
    <col min="23" max="23" width="13.140625" style="110" customWidth="1"/>
    <col min="24" max="24" width="10.85546875" style="116" customWidth="1"/>
    <col min="25" max="25" width="11" style="505" customWidth="1"/>
    <col min="26" max="26" width="12.7109375" style="505" customWidth="1"/>
    <col min="27" max="40" width="12.7109375" style="110" customWidth="1"/>
    <col min="41" max="42" width="9.140625" style="88"/>
    <col min="43" max="43" width="10.5703125" style="88" bestFit="1" customWidth="1"/>
    <col min="44" max="16384" width="9.140625" style="88"/>
  </cols>
  <sheetData>
    <row r="1" spans="1:40" s="87" customFormat="1" ht="25.5" customHeight="1">
      <c r="A1" s="106" t="s">
        <v>1199</v>
      </c>
      <c r="B1" s="1529" t="s">
        <v>2213</v>
      </c>
      <c r="C1" s="1527" t="s">
        <v>1200</v>
      </c>
      <c r="D1" s="208" t="s">
        <v>1893</v>
      </c>
      <c r="E1" s="208" t="s">
        <v>1719</v>
      </c>
      <c r="F1" s="106" t="s">
        <v>1717</v>
      </c>
      <c r="G1" s="208" t="s">
        <v>1894</v>
      </c>
      <c r="H1" s="207">
        <v>42014</v>
      </c>
      <c r="I1" s="208">
        <v>42036</v>
      </c>
      <c r="J1" s="208">
        <v>42064</v>
      </c>
      <c r="K1" s="208">
        <v>42095</v>
      </c>
      <c r="L1" s="208">
        <v>42125</v>
      </c>
      <c r="M1" s="208">
        <v>42156</v>
      </c>
      <c r="N1" s="208">
        <v>42186</v>
      </c>
      <c r="O1" s="208">
        <v>42217</v>
      </c>
      <c r="P1" s="208">
        <v>42248</v>
      </c>
      <c r="Q1" s="208">
        <v>42278</v>
      </c>
      <c r="R1" s="208">
        <v>42309</v>
      </c>
      <c r="S1" s="208">
        <v>42339</v>
      </c>
      <c r="T1" s="208" t="s">
        <v>388</v>
      </c>
      <c r="U1" s="1530" t="s">
        <v>2213</v>
      </c>
      <c r="V1" s="107" t="s">
        <v>1200</v>
      </c>
      <c r="W1" s="208">
        <v>42004</v>
      </c>
      <c r="X1" s="106" t="s">
        <v>1717</v>
      </c>
      <c r="Y1" s="208" t="s">
        <v>1825</v>
      </c>
      <c r="Z1" s="208" t="s">
        <v>1895</v>
      </c>
      <c r="AA1" s="207">
        <v>42014</v>
      </c>
      <c r="AB1" s="208">
        <v>42036</v>
      </c>
      <c r="AC1" s="208">
        <v>42064</v>
      </c>
      <c r="AD1" s="208">
        <v>42095</v>
      </c>
      <c r="AE1" s="208">
        <v>42125</v>
      </c>
      <c r="AF1" s="208">
        <v>42156</v>
      </c>
      <c r="AG1" s="208">
        <v>42186</v>
      </c>
      <c r="AH1" s="208">
        <v>42217</v>
      </c>
      <c r="AI1" s="208">
        <v>42248</v>
      </c>
      <c r="AJ1" s="208">
        <v>42278</v>
      </c>
      <c r="AK1" s="208">
        <v>42309</v>
      </c>
      <c r="AL1" s="208">
        <v>42339</v>
      </c>
      <c r="AM1" s="851"/>
      <c r="AN1" s="851"/>
    </row>
    <row r="2" spans="1:40" s="87" customFormat="1">
      <c r="A2" s="90" t="s">
        <v>979</v>
      </c>
      <c r="B2" s="1531"/>
      <c r="C2" s="111"/>
      <c r="D2" s="1558">
        <v>2</v>
      </c>
      <c r="E2" s="1559"/>
      <c r="F2" s="1558"/>
      <c r="G2" s="1558"/>
      <c r="H2" s="1558">
        <v>3</v>
      </c>
      <c r="I2" s="1558">
        <v>4</v>
      </c>
      <c r="J2" s="1558">
        <v>5</v>
      </c>
      <c r="K2" s="1558">
        <v>6</v>
      </c>
      <c r="L2" s="1558">
        <v>7</v>
      </c>
      <c r="M2" s="1558">
        <v>8</v>
      </c>
      <c r="N2" s="1558">
        <v>9</v>
      </c>
      <c r="O2" s="1558">
        <v>10</v>
      </c>
      <c r="P2" s="1558">
        <v>11</v>
      </c>
      <c r="Q2" s="1558">
        <v>12</v>
      </c>
      <c r="R2" s="1558">
        <v>13</v>
      </c>
      <c r="S2" s="1558">
        <v>14</v>
      </c>
      <c r="T2" s="627"/>
      <c r="U2" s="1550"/>
      <c r="V2" s="90" t="s">
        <v>979</v>
      </c>
      <c r="W2" s="1558">
        <v>2</v>
      </c>
      <c r="X2" s="1559"/>
      <c r="Y2" s="1558"/>
      <c r="Z2" s="1558"/>
      <c r="AA2" s="1558">
        <v>3</v>
      </c>
      <c r="AB2" s="1558">
        <v>4</v>
      </c>
      <c r="AC2" s="1558">
        <v>5</v>
      </c>
      <c r="AD2" s="1558">
        <v>6</v>
      </c>
      <c r="AE2" s="1558">
        <v>7</v>
      </c>
      <c r="AF2" s="1558">
        <v>8</v>
      </c>
      <c r="AG2" s="1558">
        <v>9</v>
      </c>
      <c r="AH2" s="1558">
        <v>10</v>
      </c>
      <c r="AI2" s="1558">
        <v>11</v>
      </c>
      <c r="AJ2" s="1558">
        <v>12</v>
      </c>
      <c r="AK2" s="1558">
        <v>13</v>
      </c>
      <c r="AL2" s="1558">
        <v>14</v>
      </c>
      <c r="AM2" s="89"/>
      <c r="AN2" s="89"/>
    </row>
    <row r="3" spans="1:40" s="87" customFormat="1">
      <c r="A3" s="87" t="s">
        <v>1011</v>
      </c>
      <c r="B3" s="1531">
        <v>1020</v>
      </c>
      <c r="C3" s="111" t="s">
        <v>2105</v>
      </c>
      <c r="D3" s="627">
        <f>IFERROR(VLOOKUP($B3,'Trial Blc'!$B$4:O$377,D$2,FALSE),0)</f>
        <v>0</v>
      </c>
      <c r="E3" s="627"/>
      <c r="F3" s="627"/>
      <c r="G3" s="627">
        <f>+D3+E3+F3</f>
        <v>0</v>
      </c>
      <c r="H3" s="627">
        <f>IFERROR(VLOOKUP($B3,'Trial Blc'!$B$4:S$377,H$2,FALSE),0)</f>
        <v>0</v>
      </c>
      <c r="I3" s="627">
        <f>IFERROR(VLOOKUP($B3,'Trial Blc'!$B$4:T$377,I$2,FALSE),0)</f>
        <v>0</v>
      </c>
      <c r="J3" s="627">
        <f>IFERROR(VLOOKUP($B3,'Trial Blc'!$B$4:U$377,J$2,FALSE),0)</f>
        <v>0</v>
      </c>
      <c r="K3" s="627">
        <f>IFERROR(VLOOKUP($B3,'Trial Blc'!$B$4:V$377,K$2,FALSE),0)</f>
        <v>0</v>
      </c>
      <c r="L3" s="627">
        <f>IFERROR(VLOOKUP($B3,'Trial Blc'!$B$4:W$377,L$2,FALSE),0)</f>
        <v>0</v>
      </c>
      <c r="M3" s="627">
        <f>IFERROR(VLOOKUP($B3,'Trial Blc'!$B$4:X$377,M$2,FALSE),0)</f>
        <v>0</v>
      </c>
      <c r="N3" s="627">
        <f>IFERROR(VLOOKUP($B3,'Trial Blc'!$B$4:Y$377,N$2,FALSE),0)</f>
        <v>0</v>
      </c>
      <c r="O3" s="627">
        <f>IFERROR(VLOOKUP($B3,'Trial Blc'!$B$4:Z$377,O$2,FALSE),0)</f>
        <v>0</v>
      </c>
      <c r="P3" s="627">
        <f>IFERROR(VLOOKUP($B3,'Trial Blc'!$B$4:AA$377,P$2,FALSE),0)</f>
        <v>0</v>
      </c>
      <c r="Q3" s="627">
        <f>IFERROR(VLOOKUP($B3,'Trial Blc'!$B$4:AB$377,Q$2,FALSE),0)</f>
        <v>0</v>
      </c>
      <c r="R3" s="627">
        <f>IFERROR(VLOOKUP($B3,'Trial Blc'!$B$4:AC$377,R$2,FALSE),0)</f>
        <v>0</v>
      </c>
      <c r="S3" s="627">
        <f>IFERROR(VLOOKUP($B3,'Trial Blc'!$B$4:AD$377,S$2,FALSE),0)</f>
        <v>0</v>
      </c>
      <c r="T3" s="627">
        <f>AVERAGE(G3:S3)</f>
        <v>0</v>
      </c>
      <c r="U3" s="1536">
        <v>1835</v>
      </c>
      <c r="V3" s="87" t="s">
        <v>1548</v>
      </c>
      <c r="W3" s="1670">
        <f>-IFERROR(VLOOKUP($U3,'Trial Blc'!$B$4:AH$377,W$2,FALSE),0)</f>
        <v>0</v>
      </c>
      <c r="X3" s="627"/>
      <c r="Y3" s="627"/>
      <c r="Z3" s="627">
        <f t="shared" ref="Z3:Z4" si="0">+W3+X3+Y3</f>
        <v>0</v>
      </c>
      <c r="AA3" s="627">
        <f>-IFERROR(VLOOKUP($U3,'Trial Blc'!$B$4:AL$377,AA$2,FALSE),0)</f>
        <v>0</v>
      </c>
      <c r="AB3" s="627">
        <f>-IFERROR(VLOOKUP($U3,'Trial Blc'!$B$4:AM$377,AB$2,FALSE),0)</f>
        <v>0</v>
      </c>
      <c r="AC3" s="627">
        <f>-IFERROR(VLOOKUP($U3,'Trial Blc'!$B$4:AN$377,AC$2,FALSE),0)</f>
        <v>0</v>
      </c>
      <c r="AD3" s="627">
        <f>-IFERROR(VLOOKUP($U3,'Trial Blc'!$B$4:AO$377,AD$2,FALSE),0)</f>
        <v>0</v>
      </c>
      <c r="AE3" s="627">
        <f>-IFERROR(VLOOKUP($U3,'Trial Blc'!$B$4:AP$377,AE$2,FALSE),0)</f>
        <v>0</v>
      </c>
      <c r="AF3" s="627">
        <f>-IFERROR(VLOOKUP($U3,'Trial Blc'!$B$4:AQ$377,AF$2,FALSE),0)</f>
        <v>0</v>
      </c>
      <c r="AG3" s="627">
        <f>-IFERROR(VLOOKUP($U3,'Trial Blc'!$B$4:AR$377,AG$2,FALSE),0)</f>
        <v>0</v>
      </c>
      <c r="AH3" s="627">
        <f>-IFERROR(VLOOKUP($U3,'Trial Blc'!$B$4:AS$377,AH$2,FALSE),0)</f>
        <v>0</v>
      </c>
      <c r="AI3" s="627">
        <f>-IFERROR(VLOOKUP($U3,'Trial Blc'!$B$4:AT$377,AI$2,FALSE),0)</f>
        <v>0</v>
      </c>
      <c r="AJ3" s="627">
        <f>-IFERROR(VLOOKUP($U3,'Trial Blc'!$B$4:AU$377,AJ$2,FALSE),0)</f>
        <v>0</v>
      </c>
      <c r="AK3" s="627">
        <f>-IFERROR(VLOOKUP($U3,'Trial Blc'!$B$4:AV$377,AK$2,FALSE),0)</f>
        <v>0</v>
      </c>
      <c r="AL3" s="627">
        <f>-IFERROR(VLOOKUP($U3,'Trial Blc'!$B$4:AW$377,AL$2,FALSE),0)</f>
        <v>0</v>
      </c>
      <c r="AM3" s="627">
        <f t="shared" ref="AM3:AM4" si="1">AVERAGE(Z3:AL3)</f>
        <v>0</v>
      </c>
    </row>
    <row r="4" spans="1:40" s="87" customFormat="1">
      <c r="A4" s="87" t="s">
        <v>1012</v>
      </c>
      <c r="B4" s="1531">
        <v>1025</v>
      </c>
      <c r="C4" s="111" t="s">
        <v>2106</v>
      </c>
      <c r="D4" s="1670">
        <f>IFERROR(VLOOKUP($B4,'Trial Blc'!$B$4:O$377,D$2,FALSE),0)</f>
        <v>104.36</v>
      </c>
      <c r="E4" s="627"/>
      <c r="F4" s="627"/>
      <c r="G4" s="627">
        <f>+D4+E4+F4</f>
        <v>104.36</v>
      </c>
      <c r="H4" s="627">
        <f>IFERROR(VLOOKUP($B4,'Trial Blc'!$B$4:S$377,H$2,FALSE),0)</f>
        <v>104.28</v>
      </c>
      <c r="I4" s="627">
        <f>IFERROR(VLOOKUP($B4,'Trial Blc'!$B$4:T$377,I$2,FALSE),0)</f>
        <v>104.12</v>
      </c>
      <c r="J4" s="627">
        <f>IFERROR(VLOOKUP($B4,'Trial Blc'!$B$4:U$377,J$2,FALSE),0)</f>
        <v>103.72</v>
      </c>
      <c r="K4" s="627">
        <f>IFERROR(VLOOKUP($B4,'Trial Blc'!$B$4:V$377,K$2,FALSE),0)</f>
        <v>103.63</v>
      </c>
      <c r="L4" s="627">
        <f>IFERROR(VLOOKUP($B4,'Trial Blc'!$B$4:W$377,L$2,FALSE),0)</f>
        <v>103.47</v>
      </c>
      <c r="M4" s="627">
        <f>IFERROR(VLOOKUP($B4,'Trial Blc'!$B$4:X$377,M$2,FALSE),0)</f>
        <v>103.39</v>
      </c>
      <c r="N4" s="627">
        <f>IFERROR(VLOOKUP($B4,'Trial Blc'!$B$4:Y$377,N$2,FALSE),0)</f>
        <v>103.33</v>
      </c>
      <c r="O4" s="627">
        <f>IFERROR(VLOOKUP($B4,'Trial Blc'!$B$4:Z$377,O$2,FALSE),0)</f>
        <v>103.18</v>
      </c>
      <c r="P4" s="627">
        <f>IFERROR(VLOOKUP($B4,'Trial Blc'!$B$4:AA$377,P$2,FALSE),0)</f>
        <v>103.09</v>
      </c>
      <c r="Q4" s="627">
        <f>IFERROR(VLOOKUP($B4,'Trial Blc'!$B$4:AB$377,Q$2,FALSE),0)</f>
        <v>103.04</v>
      </c>
      <c r="R4" s="627">
        <f>IFERROR(VLOOKUP($B4,'Trial Blc'!$B$4:AC$377,R$2,FALSE),0)</f>
        <v>102.88</v>
      </c>
      <c r="S4" s="627">
        <f>IFERROR(VLOOKUP($B4,'Trial Blc'!$B$4:AD$377,S$2,FALSE),0)</f>
        <v>102.84</v>
      </c>
      <c r="T4" s="627">
        <f>AVERAGE(G4:S4)</f>
        <v>103.48692307692305</v>
      </c>
      <c r="U4" s="1536">
        <v>1840</v>
      </c>
      <c r="V4" s="87" t="s">
        <v>163</v>
      </c>
      <c r="W4" s="1670">
        <f>-IFERROR(VLOOKUP($U4,'Trial Blc'!$B$4:AH$377,W$2,FALSE),0)</f>
        <v>18.489999999999998</v>
      </c>
      <c r="X4" s="627"/>
      <c r="Y4" s="627"/>
      <c r="Z4" s="627">
        <f t="shared" si="0"/>
        <v>18.489999999999998</v>
      </c>
      <c r="AA4" s="627">
        <f>-IFERROR(VLOOKUP($U4,'Trial Blc'!$B$4:AL$377,AA$2,FALSE),0)</f>
        <v>18.690000000000001</v>
      </c>
      <c r="AB4" s="627">
        <f>-IFERROR(VLOOKUP($U4,'Trial Blc'!$B$4:AM$377,AB$2,FALSE),0)</f>
        <v>18.88</v>
      </c>
      <c r="AC4" s="627">
        <f>-IFERROR(VLOOKUP($U4,'Trial Blc'!$B$4:AN$377,AC$2,FALSE),0)</f>
        <v>19.02</v>
      </c>
      <c r="AD4" s="627">
        <f>-IFERROR(VLOOKUP($U4,'Trial Blc'!$B$4:AO$377,AD$2,FALSE),0)</f>
        <v>19.22</v>
      </c>
      <c r="AE4" s="627">
        <f>-IFERROR(VLOOKUP($U4,'Trial Blc'!$B$4:AP$377,AE$2,FALSE),0)</f>
        <v>19.41</v>
      </c>
      <c r="AF4" s="627">
        <f>-IFERROR(VLOOKUP($U4,'Trial Blc'!$B$4:AQ$377,AF$2,FALSE),0)</f>
        <v>19.61</v>
      </c>
      <c r="AG4" s="627">
        <f>-IFERROR(VLOOKUP($U4,'Trial Blc'!$B$4:AR$377,AG$2,FALSE),0)</f>
        <v>19.809999999999999</v>
      </c>
      <c r="AH4" s="627">
        <f>-IFERROR(VLOOKUP($U4,'Trial Blc'!$B$4:AS$377,AH$2,FALSE),0)</f>
        <v>20</v>
      </c>
      <c r="AI4" s="627">
        <f>-IFERROR(VLOOKUP($U4,'Trial Blc'!$B$4:AT$377,AI$2,FALSE),0)</f>
        <v>20.2</v>
      </c>
      <c r="AJ4" s="627">
        <f>-IFERROR(VLOOKUP($U4,'Trial Blc'!$B$4:AU$377,AJ$2,FALSE),0)</f>
        <v>20.399999999999999</v>
      </c>
      <c r="AK4" s="627">
        <f>-IFERROR(VLOOKUP($U4,'Trial Blc'!$B$4:AV$377,AK$2,FALSE),0)</f>
        <v>20.59</v>
      </c>
      <c r="AL4" s="627">
        <f>-IFERROR(VLOOKUP($U4,'Trial Blc'!$B$4:AW$377,AL$2,FALSE),0)</f>
        <v>20.79</v>
      </c>
      <c r="AM4" s="627">
        <f t="shared" si="1"/>
        <v>19.623846153846152</v>
      </c>
    </row>
    <row r="5" spans="1:40" s="87" customFormat="1">
      <c r="A5" s="87" t="s">
        <v>1203</v>
      </c>
      <c r="B5" s="1531"/>
      <c r="C5" s="111"/>
      <c r="D5" s="627"/>
      <c r="E5" s="627"/>
      <c r="F5" s="111"/>
      <c r="G5" s="627"/>
      <c r="H5" s="627"/>
      <c r="I5" s="627"/>
      <c r="J5" s="627"/>
      <c r="K5" s="627"/>
      <c r="L5" s="627"/>
      <c r="M5" s="627"/>
      <c r="N5" s="627"/>
      <c r="O5" s="627"/>
      <c r="P5" s="627"/>
      <c r="Q5" s="627"/>
      <c r="R5" s="627"/>
      <c r="S5" s="627"/>
      <c r="T5" s="627"/>
      <c r="U5" s="1552"/>
      <c r="V5" s="89"/>
      <c r="W5" s="627"/>
      <c r="X5" s="113"/>
      <c r="Y5" s="627"/>
      <c r="Z5" s="627"/>
      <c r="AA5" s="627"/>
      <c r="AB5" s="627"/>
      <c r="AC5" s="627"/>
      <c r="AD5" s="627"/>
      <c r="AE5" s="627"/>
      <c r="AF5" s="627"/>
      <c r="AG5" s="627"/>
      <c r="AH5" s="627"/>
      <c r="AI5" s="627"/>
      <c r="AJ5" s="627"/>
      <c r="AK5" s="627"/>
      <c r="AL5" s="627"/>
      <c r="AM5" s="89"/>
      <c r="AN5" s="89"/>
    </row>
    <row r="6" spans="1:40" s="87" customFormat="1">
      <c r="A6" s="90" t="s">
        <v>845</v>
      </c>
      <c r="B6" s="1531"/>
      <c r="C6" s="111"/>
      <c r="D6" s="627"/>
      <c r="E6" s="627"/>
      <c r="F6" s="111"/>
      <c r="G6" s="627"/>
      <c r="H6" s="627"/>
      <c r="I6" s="627"/>
      <c r="J6" s="627"/>
      <c r="K6" s="627"/>
      <c r="L6" s="627"/>
      <c r="M6" s="627"/>
      <c r="N6" s="627"/>
      <c r="O6" s="627"/>
      <c r="P6" s="627"/>
      <c r="Q6" s="627"/>
      <c r="R6" s="627"/>
      <c r="S6" s="627"/>
      <c r="T6" s="627"/>
      <c r="U6" s="1551"/>
      <c r="V6" s="692" t="s">
        <v>845</v>
      </c>
      <c r="W6" s="627"/>
      <c r="X6" s="113"/>
      <c r="Y6" s="627"/>
      <c r="Z6" s="627"/>
      <c r="AA6" s="627"/>
      <c r="AB6" s="627"/>
      <c r="AC6" s="627"/>
      <c r="AD6" s="627"/>
      <c r="AE6" s="627"/>
      <c r="AF6" s="627"/>
      <c r="AG6" s="627"/>
      <c r="AH6" s="627"/>
      <c r="AI6" s="627"/>
      <c r="AJ6" s="627"/>
      <c r="AK6" s="627"/>
      <c r="AL6" s="627"/>
      <c r="AM6" s="89"/>
      <c r="AN6" s="89"/>
    </row>
    <row r="7" spans="1:40" s="87" customFormat="1">
      <c r="A7" s="87" t="s">
        <v>846</v>
      </c>
      <c r="B7" s="1531">
        <v>1030</v>
      </c>
      <c r="C7" s="111" t="s">
        <v>2107</v>
      </c>
      <c r="D7" s="627">
        <f>IFERROR(VLOOKUP($B7,'Trial Blc'!$B$4:O$377,D$2,FALSE),0)</f>
        <v>0</v>
      </c>
      <c r="E7" s="627"/>
      <c r="F7" s="627"/>
      <c r="G7" s="627">
        <f t="shared" ref="G7:G8" si="2">+D7+E7+F7</f>
        <v>0</v>
      </c>
      <c r="H7" s="627">
        <f>IFERROR(VLOOKUP($B7,'Trial Blc'!$B$4:S$377,H$2,FALSE),0)</f>
        <v>0</v>
      </c>
      <c r="I7" s="627">
        <f>IFERROR(VLOOKUP($B7,'Trial Blc'!$B$4:T$377,I$2,FALSE),0)</f>
        <v>0</v>
      </c>
      <c r="J7" s="627">
        <f>IFERROR(VLOOKUP($B7,'Trial Blc'!$B$4:U$377,J$2,FALSE),0)</f>
        <v>0</v>
      </c>
      <c r="K7" s="627">
        <f>IFERROR(VLOOKUP($B7,'Trial Blc'!$B$4:V$377,K$2,FALSE),0)</f>
        <v>0</v>
      </c>
      <c r="L7" s="627">
        <f>IFERROR(VLOOKUP($B7,'Trial Blc'!$B$4:W$377,L$2,FALSE),0)</f>
        <v>0</v>
      </c>
      <c r="M7" s="627">
        <f>IFERROR(VLOOKUP($B7,'Trial Blc'!$B$4:X$377,M$2,FALSE),0)</f>
        <v>0</v>
      </c>
      <c r="N7" s="627">
        <f>IFERROR(VLOOKUP($B7,'Trial Blc'!$B$4:Y$377,N$2,FALSE),0)</f>
        <v>0</v>
      </c>
      <c r="O7" s="627">
        <f>IFERROR(VLOOKUP($B7,'Trial Blc'!$B$4:Z$377,O$2,FALSE),0)</f>
        <v>0</v>
      </c>
      <c r="P7" s="627">
        <f>IFERROR(VLOOKUP($B7,'Trial Blc'!$B$4:AA$377,P$2,FALSE),0)</f>
        <v>0</v>
      </c>
      <c r="Q7" s="627">
        <f>IFERROR(VLOOKUP($B7,'Trial Blc'!$B$4:AB$377,Q$2,FALSE),0)</f>
        <v>0</v>
      </c>
      <c r="R7" s="627">
        <f>IFERROR(VLOOKUP($B7,'Trial Blc'!$B$4:AC$377,R$2,FALSE),0)</f>
        <v>0</v>
      </c>
      <c r="S7" s="627">
        <f>IFERROR(VLOOKUP($B7,'Trial Blc'!$B$4:AD$377,S$2,FALSE),0)</f>
        <v>0</v>
      </c>
      <c r="T7" s="627">
        <f t="shared" ref="T7:T8" si="3">AVERAGE(G7:S7)</f>
        <v>0</v>
      </c>
      <c r="U7" s="1536"/>
      <c r="W7" s="627"/>
      <c r="X7" s="111"/>
      <c r="Y7" s="627"/>
      <c r="Z7" s="627">
        <f>SUM(W7:Y7)</f>
        <v>0</v>
      </c>
      <c r="AA7" s="627"/>
      <c r="AB7" s="627"/>
      <c r="AC7" s="627"/>
      <c r="AD7" s="627"/>
      <c r="AE7" s="627"/>
      <c r="AF7" s="627"/>
      <c r="AG7" s="627"/>
      <c r="AH7" s="627"/>
      <c r="AI7" s="627"/>
      <c r="AJ7" s="627"/>
      <c r="AK7" s="627"/>
      <c r="AL7" s="627"/>
      <c r="AM7" s="89"/>
      <c r="AN7" s="89"/>
    </row>
    <row r="8" spans="1:40" s="87" customFormat="1">
      <c r="A8" s="87" t="s">
        <v>847</v>
      </c>
      <c r="B8" s="1531">
        <v>1050</v>
      </c>
      <c r="C8" s="111" t="s">
        <v>2108</v>
      </c>
      <c r="D8" s="627">
        <f>IFERROR(VLOOKUP($B8,'Trial Blc'!$B$4:O$377,D$2,FALSE),0)</f>
        <v>0</v>
      </c>
      <c r="E8" s="627"/>
      <c r="F8" s="627"/>
      <c r="G8" s="627">
        <f t="shared" si="2"/>
        <v>0</v>
      </c>
      <c r="H8" s="627">
        <f>IFERROR(VLOOKUP($B8,'Trial Blc'!$B$4:S$377,H$2,FALSE),0)</f>
        <v>0</v>
      </c>
      <c r="I8" s="627">
        <f>IFERROR(VLOOKUP($B8,'Trial Blc'!$B$4:T$377,I$2,FALSE),0)</f>
        <v>0</v>
      </c>
      <c r="J8" s="627">
        <f>IFERROR(VLOOKUP($B8,'Trial Blc'!$B$4:U$377,J$2,FALSE),0)</f>
        <v>0</v>
      </c>
      <c r="K8" s="627">
        <f>IFERROR(VLOOKUP($B8,'Trial Blc'!$B$4:V$377,K$2,FALSE),0)</f>
        <v>0</v>
      </c>
      <c r="L8" s="627">
        <f>IFERROR(VLOOKUP($B8,'Trial Blc'!$B$4:W$377,L$2,FALSE),0)</f>
        <v>0</v>
      </c>
      <c r="M8" s="627">
        <f>IFERROR(VLOOKUP($B8,'Trial Blc'!$B$4:X$377,M$2,FALSE),0)</f>
        <v>0</v>
      </c>
      <c r="N8" s="627">
        <f>IFERROR(VLOOKUP($B8,'Trial Blc'!$B$4:Y$377,N$2,FALSE),0)</f>
        <v>0</v>
      </c>
      <c r="O8" s="627">
        <f>IFERROR(VLOOKUP($B8,'Trial Blc'!$B$4:Z$377,O$2,FALSE),0)</f>
        <v>0</v>
      </c>
      <c r="P8" s="627">
        <f>IFERROR(VLOOKUP($B8,'Trial Blc'!$B$4:AA$377,P$2,FALSE),0)</f>
        <v>0</v>
      </c>
      <c r="Q8" s="627">
        <f>IFERROR(VLOOKUP($B8,'Trial Blc'!$B$4:AB$377,Q$2,FALSE),0)</f>
        <v>0</v>
      </c>
      <c r="R8" s="627">
        <f>IFERROR(VLOOKUP($B8,'Trial Blc'!$B$4:AC$377,R$2,FALSE),0)</f>
        <v>0</v>
      </c>
      <c r="S8" s="627">
        <f>IFERROR(VLOOKUP($B8,'Trial Blc'!$B$4:AD$377,S$2,FALSE),0)</f>
        <v>0</v>
      </c>
      <c r="T8" s="627">
        <f t="shared" si="3"/>
        <v>0</v>
      </c>
      <c r="U8" s="1536">
        <v>1845</v>
      </c>
      <c r="V8" s="87" t="s">
        <v>164</v>
      </c>
      <c r="W8" s="1670">
        <f>-IFERROR(VLOOKUP($U8,'Trial Blc'!$B$4:AH$377,W$2,FALSE),0)</f>
        <v>0</v>
      </c>
      <c r="X8" s="627"/>
      <c r="Y8" s="627"/>
      <c r="Z8" s="627">
        <f t="shared" ref="Z8" si="4">+W8+X8+Y8</f>
        <v>0</v>
      </c>
      <c r="AA8" s="627">
        <f>-IFERROR(VLOOKUP($U8,'Trial Blc'!$B$4:AL$377,AA$2,FALSE),0)</f>
        <v>0</v>
      </c>
      <c r="AB8" s="627">
        <f>-IFERROR(VLOOKUP($U8,'Trial Blc'!$B$4:AM$377,AB$2,FALSE),0)</f>
        <v>0</v>
      </c>
      <c r="AC8" s="627">
        <f>-IFERROR(VLOOKUP($U8,'Trial Blc'!$B$4:AN$377,AC$2,FALSE),0)</f>
        <v>0</v>
      </c>
      <c r="AD8" s="627">
        <f>-IFERROR(VLOOKUP($U8,'Trial Blc'!$B$4:AO$377,AD$2,FALSE),0)</f>
        <v>0</v>
      </c>
      <c r="AE8" s="627">
        <f>-IFERROR(VLOOKUP($U8,'Trial Blc'!$B$4:AP$377,AE$2,FALSE),0)</f>
        <v>0</v>
      </c>
      <c r="AF8" s="627">
        <f>-IFERROR(VLOOKUP($U8,'Trial Blc'!$B$4:AQ$377,AF$2,FALSE),0)</f>
        <v>0</v>
      </c>
      <c r="AG8" s="627">
        <f>-IFERROR(VLOOKUP($U8,'Trial Blc'!$B$4:AR$377,AG$2,FALSE),0)</f>
        <v>0</v>
      </c>
      <c r="AH8" s="627">
        <f>-IFERROR(VLOOKUP($U8,'Trial Blc'!$B$4:AS$377,AH$2,FALSE),0)</f>
        <v>0</v>
      </c>
      <c r="AI8" s="627">
        <f>-IFERROR(VLOOKUP($U8,'Trial Blc'!$B$4:AT$377,AI$2,FALSE),0)</f>
        <v>0</v>
      </c>
      <c r="AJ8" s="627">
        <f>-IFERROR(VLOOKUP($U8,'Trial Blc'!$B$4:AU$377,AJ$2,FALSE),0)</f>
        <v>0</v>
      </c>
      <c r="AK8" s="627">
        <f>-IFERROR(VLOOKUP($U8,'Trial Blc'!$B$4:AV$377,AK$2,FALSE),0)</f>
        <v>0</v>
      </c>
      <c r="AL8" s="627">
        <f>-IFERROR(VLOOKUP($U8,'Trial Blc'!$B$4:AW$377,AL$2,FALSE),0)</f>
        <v>0</v>
      </c>
      <c r="AM8" s="627">
        <f t="shared" ref="AM8" si="5">AVERAGE(Z8:AL8)</f>
        <v>0</v>
      </c>
    </row>
    <row r="9" spans="1:40" s="87" customFormat="1">
      <c r="A9" s="87" t="s">
        <v>848</v>
      </c>
      <c r="B9" s="1531"/>
      <c r="C9" s="111"/>
      <c r="D9" s="627"/>
      <c r="E9" s="627"/>
      <c r="F9" s="111"/>
      <c r="G9" s="627"/>
      <c r="H9" s="627"/>
      <c r="I9" s="627"/>
      <c r="J9" s="627"/>
      <c r="K9" s="627"/>
      <c r="L9" s="627"/>
      <c r="M9" s="627"/>
      <c r="N9" s="627"/>
      <c r="O9" s="627"/>
      <c r="P9" s="627"/>
      <c r="Q9" s="627"/>
      <c r="R9" s="627"/>
      <c r="S9" s="627"/>
      <c r="T9" s="627"/>
      <c r="U9" s="1536"/>
      <c r="W9" s="627"/>
      <c r="X9" s="111"/>
      <c r="Y9" s="627"/>
      <c r="Z9" s="627"/>
      <c r="AA9" s="627"/>
      <c r="AB9" s="627"/>
      <c r="AC9" s="627"/>
      <c r="AD9" s="627"/>
      <c r="AE9" s="627"/>
      <c r="AF9" s="627"/>
      <c r="AG9" s="627"/>
      <c r="AH9" s="627"/>
      <c r="AI9" s="627"/>
      <c r="AJ9" s="627"/>
      <c r="AK9" s="627"/>
      <c r="AL9" s="627"/>
      <c r="AM9" s="89"/>
      <c r="AN9" s="89"/>
    </row>
    <row r="10" spans="1:40" s="87" customFormat="1">
      <c r="A10" s="87" t="s">
        <v>849</v>
      </c>
      <c r="B10" s="1531"/>
      <c r="C10" s="111"/>
      <c r="D10" s="627"/>
      <c r="E10" s="627"/>
      <c r="F10" s="111"/>
      <c r="G10" s="627"/>
      <c r="H10" s="627"/>
      <c r="I10" s="627"/>
      <c r="J10" s="627"/>
      <c r="K10" s="627"/>
      <c r="L10" s="627"/>
      <c r="M10" s="627"/>
      <c r="N10" s="627"/>
      <c r="O10" s="627"/>
      <c r="P10" s="627"/>
      <c r="Q10" s="627"/>
      <c r="R10" s="627"/>
      <c r="S10" s="627"/>
      <c r="T10" s="627"/>
      <c r="U10" s="1536"/>
      <c r="W10" s="627"/>
      <c r="X10" s="111"/>
      <c r="Y10" s="627"/>
      <c r="Z10" s="627"/>
      <c r="AA10" s="627"/>
      <c r="AB10" s="627"/>
      <c r="AC10" s="627"/>
      <c r="AD10" s="627"/>
      <c r="AE10" s="627"/>
      <c r="AF10" s="627"/>
      <c r="AG10" s="627"/>
      <c r="AH10" s="627"/>
      <c r="AI10" s="627"/>
      <c r="AJ10" s="627"/>
      <c r="AK10" s="627"/>
      <c r="AL10" s="627"/>
      <c r="AM10" s="89"/>
      <c r="AN10" s="89"/>
    </row>
    <row r="11" spans="1:40" s="87" customFormat="1">
      <c r="A11" s="87" t="s">
        <v>850</v>
      </c>
      <c r="B11" s="1531">
        <v>1080</v>
      </c>
      <c r="C11" s="111" t="s">
        <v>2109</v>
      </c>
      <c r="D11" s="627">
        <f>IFERROR(VLOOKUP($B11,'Trial Blc'!$B$4:O$377,D$2,FALSE),0)</f>
        <v>0</v>
      </c>
      <c r="E11" s="627"/>
      <c r="F11" s="627"/>
      <c r="G11" s="627">
        <f t="shared" ref="G11:G15" si="6">+D11+E11+F11</f>
        <v>0</v>
      </c>
      <c r="H11" s="627">
        <f>IFERROR(VLOOKUP($B11,'Trial Blc'!$B$4:S$377,H$2,FALSE),0)</f>
        <v>0</v>
      </c>
      <c r="I11" s="627">
        <f>IFERROR(VLOOKUP($B11,'Trial Blc'!$B$4:T$377,I$2,FALSE),0)</f>
        <v>0</v>
      </c>
      <c r="J11" s="627">
        <f>IFERROR(VLOOKUP($B11,'Trial Blc'!$B$4:U$377,J$2,FALSE),0)</f>
        <v>0</v>
      </c>
      <c r="K11" s="627">
        <f>IFERROR(VLOOKUP($B11,'Trial Blc'!$B$4:V$377,K$2,FALSE),0)</f>
        <v>0</v>
      </c>
      <c r="L11" s="627">
        <f>IFERROR(VLOOKUP($B11,'Trial Blc'!$B$4:W$377,L$2,FALSE),0)</f>
        <v>0</v>
      </c>
      <c r="M11" s="627">
        <f>IFERROR(VLOOKUP($B11,'Trial Blc'!$B$4:X$377,M$2,FALSE),0)</f>
        <v>0</v>
      </c>
      <c r="N11" s="627">
        <f>IFERROR(VLOOKUP($B11,'Trial Blc'!$B$4:Y$377,N$2,FALSE),0)</f>
        <v>0</v>
      </c>
      <c r="O11" s="627">
        <f>IFERROR(VLOOKUP($B11,'Trial Blc'!$B$4:Z$377,O$2,FALSE),0)</f>
        <v>0</v>
      </c>
      <c r="P11" s="627">
        <f>IFERROR(VLOOKUP($B11,'Trial Blc'!$B$4:AA$377,P$2,FALSE),0)</f>
        <v>0</v>
      </c>
      <c r="Q11" s="627">
        <f>IFERROR(VLOOKUP($B11,'Trial Blc'!$B$4:AB$377,Q$2,FALSE),0)</f>
        <v>0</v>
      </c>
      <c r="R11" s="627">
        <f>IFERROR(VLOOKUP($B11,'Trial Blc'!$B$4:AC$377,R$2,FALSE),0)</f>
        <v>0</v>
      </c>
      <c r="S11" s="627">
        <f>IFERROR(VLOOKUP($B11,'Trial Blc'!$B$4:AD$377,S$2,FALSE),0)</f>
        <v>0</v>
      </c>
      <c r="T11" s="627">
        <f t="shared" ref="T11:T15" si="7">AVERAGE(G11:S11)</f>
        <v>0</v>
      </c>
      <c r="U11" s="1536">
        <v>1875</v>
      </c>
      <c r="V11" s="87" t="s">
        <v>272</v>
      </c>
      <c r="W11" s="1670">
        <f>-IFERROR(VLOOKUP($U11,'Trial Blc'!$B$4:AH$377,W$2,FALSE),0)</f>
        <v>0</v>
      </c>
      <c r="X11" s="627"/>
      <c r="Y11" s="627"/>
      <c r="Z11" s="627">
        <f t="shared" ref="Z11:Z15" si="8">+W11+X11+Y11</f>
        <v>0</v>
      </c>
      <c r="AA11" s="627">
        <f>-IFERROR(VLOOKUP($U11,'Trial Blc'!$B$4:AL$377,AA$2,FALSE),0)</f>
        <v>0</v>
      </c>
      <c r="AB11" s="627">
        <f>-IFERROR(VLOOKUP($U11,'Trial Blc'!$B$4:AM$377,AB$2,FALSE),0)</f>
        <v>0</v>
      </c>
      <c r="AC11" s="627">
        <f>-IFERROR(VLOOKUP($U11,'Trial Blc'!$B$4:AN$377,AC$2,FALSE),0)</f>
        <v>0</v>
      </c>
      <c r="AD11" s="627">
        <f>-IFERROR(VLOOKUP($U11,'Trial Blc'!$B$4:AO$377,AD$2,FALSE),0)</f>
        <v>0</v>
      </c>
      <c r="AE11" s="627">
        <f>-IFERROR(VLOOKUP($U11,'Trial Blc'!$B$4:AP$377,AE$2,FALSE),0)</f>
        <v>0</v>
      </c>
      <c r="AF11" s="627">
        <f>-IFERROR(VLOOKUP($U11,'Trial Blc'!$B$4:AQ$377,AF$2,FALSE),0)</f>
        <v>0</v>
      </c>
      <c r="AG11" s="627">
        <f>-IFERROR(VLOOKUP($U11,'Trial Blc'!$B$4:AR$377,AG$2,FALSE),0)</f>
        <v>0</v>
      </c>
      <c r="AH11" s="627">
        <f>-IFERROR(VLOOKUP($U11,'Trial Blc'!$B$4:AS$377,AH$2,FALSE),0)</f>
        <v>0</v>
      </c>
      <c r="AI11" s="627">
        <f>-IFERROR(VLOOKUP($U11,'Trial Blc'!$B$4:AT$377,AI$2,FALSE),0)</f>
        <v>0</v>
      </c>
      <c r="AJ11" s="627">
        <f>-IFERROR(VLOOKUP($U11,'Trial Blc'!$B$4:AU$377,AJ$2,FALSE),0)</f>
        <v>0</v>
      </c>
      <c r="AK11" s="627">
        <f>-IFERROR(VLOOKUP($U11,'Trial Blc'!$B$4:AV$377,AK$2,FALSE),0)</f>
        <v>0</v>
      </c>
      <c r="AL11" s="627">
        <f>-IFERROR(VLOOKUP($U11,'Trial Blc'!$B$4:AW$377,AL$2,FALSE),0)</f>
        <v>0</v>
      </c>
      <c r="AM11" s="627">
        <f t="shared" ref="AM11:AM15" si="9">AVERAGE(Z11:AL11)</f>
        <v>0</v>
      </c>
    </row>
    <row r="12" spans="1:40" s="87" customFormat="1">
      <c r="A12" s="87" t="s">
        <v>851</v>
      </c>
      <c r="B12" s="1531">
        <v>1085</v>
      </c>
      <c r="C12" s="111" t="s">
        <v>2110</v>
      </c>
      <c r="D12" s="627">
        <f>IFERROR(VLOOKUP($B12,'Trial Blc'!$B$4:O$377,D$2,FALSE),0)</f>
        <v>0</v>
      </c>
      <c r="E12" s="627"/>
      <c r="F12" s="627"/>
      <c r="G12" s="627">
        <f t="shared" si="6"/>
        <v>0</v>
      </c>
      <c r="H12" s="627">
        <f>IFERROR(VLOOKUP($B12,'Trial Blc'!$B$4:S$377,H$2,FALSE),0)</f>
        <v>0</v>
      </c>
      <c r="I12" s="627">
        <f>IFERROR(VLOOKUP($B12,'Trial Blc'!$B$4:T$377,I$2,FALSE),0)</f>
        <v>0</v>
      </c>
      <c r="J12" s="627">
        <f>IFERROR(VLOOKUP($B12,'Trial Blc'!$B$4:U$377,J$2,FALSE),0)</f>
        <v>0</v>
      </c>
      <c r="K12" s="627">
        <f>IFERROR(VLOOKUP($B12,'Trial Blc'!$B$4:V$377,K$2,FALSE),0)</f>
        <v>0</v>
      </c>
      <c r="L12" s="627">
        <f>IFERROR(VLOOKUP($B12,'Trial Blc'!$B$4:W$377,L$2,FALSE),0)</f>
        <v>0</v>
      </c>
      <c r="M12" s="627">
        <f>IFERROR(VLOOKUP($B12,'Trial Blc'!$B$4:X$377,M$2,FALSE),0)</f>
        <v>0</v>
      </c>
      <c r="N12" s="627">
        <f>IFERROR(VLOOKUP($B12,'Trial Blc'!$B$4:Y$377,N$2,FALSE),0)</f>
        <v>0</v>
      </c>
      <c r="O12" s="627">
        <f>IFERROR(VLOOKUP($B12,'Trial Blc'!$B$4:Z$377,O$2,FALSE),0)</f>
        <v>0</v>
      </c>
      <c r="P12" s="627">
        <f>IFERROR(VLOOKUP($B12,'Trial Blc'!$B$4:AA$377,P$2,FALSE),0)</f>
        <v>0</v>
      </c>
      <c r="Q12" s="627">
        <f>IFERROR(VLOOKUP($B12,'Trial Blc'!$B$4:AB$377,Q$2,FALSE),0)</f>
        <v>0</v>
      </c>
      <c r="R12" s="627">
        <f>IFERROR(VLOOKUP($B12,'Trial Blc'!$B$4:AC$377,R$2,FALSE),0)</f>
        <v>0</v>
      </c>
      <c r="S12" s="627">
        <f>IFERROR(VLOOKUP($B12,'Trial Blc'!$B$4:AD$377,S$2,FALSE),0)</f>
        <v>0</v>
      </c>
      <c r="T12" s="627">
        <f t="shared" si="7"/>
        <v>0</v>
      </c>
      <c r="U12" s="1536">
        <v>1880</v>
      </c>
      <c r="V12" s="87" t="s">
        <v>177</v>
      </c>
      <c r="W12" s="1670">
        <f>-IFERROR(VLOOKUP($U12,'Trial Blc'!$B$4:AH$377,W$2,FALSE),0)</f>
        <v>0</v>
      </c>
      <c r="X12" s="627"/>
      <c r="Y12" s="627"/>
      <c r="Z12" s="627">
        <f t="shared" si="8"/>
        <v>0</v>
      </c>
      <c r="AA12" s="627">
        <f>-IFERROR(VLOOKUP($U12,'Trial Blc'!$B$4:AL$377,AA$2,FALSE),0)</f>
        <v>0</v>
      </c>
      <c r="AB12" s="627">
        <f>-IFERROR(VLOOKUP($U12,'Trial Blc'!$B$4:AM$377,AB$2,FALSE),0)</f>
        <v>0</v>
      </c>
      <c r="AC12" s="627">
        <f>-IFERROR(VLOOKUP($U12,'Trial Blc'!$B$4:AN$377,AC$2,FALSE),0)</f>
        <v>0</v>
      </c>
      <c r="AD12" s="627">
        <f>-IFERROR(VLOOKUP($U12,'Trial Blc'!$B$4:AO$377,AD$2,FALSE),0)</f>
        <v>0</v>
      </c>
      <c r="AE12" s="627">
        <f>-IFERROR(VLOOKUP($U12,'Trial Blc'!$B$4:AP$377,AE$2,FALSE),0)</f>
        <v>0</v>
      </c>
      <c r="AF12" s="627">
        <f>-IFERROR(VLOOKUP($U12,'Trial Blc'!$B$4:AQ$377,AF$2,FALSE),0)</f>
        <v>0</v>
      </c>
      <c r="AG12" s="627">
        <f>-IFERROR(VLOOKUP($U12,'Trial Blc'!$B$4:AR$377,AG$2,FALSE),0)</f>
        <v>0</v>
      </c>
      <c r="AH12" s="627">
        <f>-IFERROR(VLOOKUP($U12,'Trial Blc'!$B$4:AS$377,AH$2,FALSE),0)</f>
        <v>0</v>
      </c>
      <c r="AI12" s="627">
        <f>-IFERROR(VLOOKUP($U12,'Trial Blc'!$B$4:AT$377,AI$2,FALSE),0)</f>
        <v>0</v>
      </c>
      <c r="AJ12" s="627">
        <f>-IFERROR(VLOOKUP($U12,'Trial Blc'!$B$4:AU$377,AJ$2,FALSE),0)</f>
        <v>0</v>
      </c>
      <c r="AK12" s="627">
        <f>-IFERROR(VLOOKUP($U12,'Trial Blc'!$B$4:AV$377,AK$2,FALSE),0)</f>
        <v>0</v>
      </c>
      <c r="AL12" s="627">
        <f>-IFERROR(VLOOKUP($U12,'Trial Blc'!$B$4:AW$377,AL$2,FALSE),0)</f>
        <v>0</v>
      </c>
      <c r="AM12" s="627">
        <f t="shared" si="9"/>
        <v>0</v>
      </c>
    </row>
    <row r="13" spans="1:40" s="87" customFormat="1">
      <c r="A13" s="87" t="s">
        <v>852</v>
      </c>
      <c r="B13" s="1531">
        <v>1090</v>
      </c>
      <c r="C13" s="111" t="s">
        <v>2111</v>
      </c>
      <c r="D13" s="627">
        <f>IFERROR(VLOOKUP($B13,'Trial Blc'!$B$4:O$377,D$2,FALSE),0)</f>
        <v>0</v>
      </c>
      <c r="E13" s="627"/>
      <c r="F13" s="627"/>
      <c r="G13" s="627">
        <f t="shared" si="6"/>
        <v>0</v>
      </c>
      <c r="H13" s="627">
        <f>IFERROR(VLOOKUP($B13,'Trial Blc'!$B$4:S$377,H$2,FALSE),0)</f>
        <v>0</v>
      </c>
      <c r="I13" s="627">
        <f>IFERROR(VLOOKUP($B13,'Trial Blc'!$B$4:T$377,I$2,FALSE),0)</f>
        <v>0</v>
      </c>
      <c r="J13" s="627">
        <f>IFERROR(VLOOKUP($B13,'Trial Blc'!$B$4:U$377,J$2,FALSE),0)</f>
        <v>0</v>
      </c>
      <c r="K13" s="627">
        <f>IFERROR(VLOOKUP($B13,'Trial Blc'!$B$4:V$377,K$2,FALSE),0)</f>
        <v>0</v>
      </c>
      <c r="L13" s="627">
        <f>IFERROR(VLOOKUP($B13,'Trial Blc'!$B$4:W$377,L$2,FALSE),0)</f>
        <v>0</v>
      </c>
      <c r="M13" s="627">
        <f>IFERROR(VLOOKUP($B13,'Trial Blc'!$B$4:X$377,M$2,FALSE),0)</f>
        <v>0</v>
      </c>
      <c r="N13" s="627">
        <f>IFERROR(VLOOKUP($B13,'Trial Blc'!$B$4:Y$377,N$2,FALSE),0)</f>
        <v>0</v>
      </c>
      <c r="O13" s="627">
        <f>IFERROR(VLOOKUP($B13,'Trial Blc'!$B$4:Z$377,O$2,FALSE),0)</f>
        <v>0</v>
      </c>
      <c r="P13" s="627">
        <f>IFERROR(VLOOKUP($B13,'Trial Blc'!$B$4:AA$377,P$2,FALSE),0)</f>
        <v>0</v>
      </c>
      <c r="Q13" s="627">
        <f>IFERROR(VLOOKUP($B13,'Trial Blc'!$B$4:AB$377,Q$2,FALSE),0)</f>
        <v>0</v>
      </c>
      <c r="R13" s="627">
        <f>IFERROR(VLOOKUP($B13,'Trial Blc'!$B$4:AC$377,R$2,FALSE),0)</f>
        <v>0</v>
      </c>
      <c r="S13" s="627">
        <f>IFERROR(VLOOKUP($B13,'Trial Blc'!$B$4:AD$377,S$2,FALSE),0)</f>
        <v>0</v>
      </c>
      <c r="T13" s="627">
        <f t="shared" si="7"/>
        <v>0</v>
      </c>
      <c r="U13" s="1536">
        <v>1885</v>
      </c>
      <c r="V13" s="87" t="s">
        <v>1549</v>
      </c>
      <c r="W13" s="1670">
        <f>-IFERROR(VLOOKUP($U13,'Trial Blc'!$B$4:AH$377,W$2,FALSE),0)</f>
        <v>0</v>
      </c>
      <c r="X13" s="627"/>
      <c r="Y13" s="627"/>
      <c r="Z13" s="627">
        <f t="shared" si="8"/>
        <v>0</v>
      </c>
      <c r="AA13" s="627">
        <f>-IFERROR(VLOOKUP($U13,'Trial Blc'!$B$4:AL$377,AA$2,FALSE),0)</f>
        <v>0</v>
      </c>
      <c r="AB13" s="627">
        <f>-IFERROR(VLOOKUP($U13,'Trial Blc'!$B$4:AM$377,AB$2,FALSE),0)</f>
        <v>0</v>
      </c>
      <c r="AC13" s="627">
        <f>-IFERROR(VLOOKUP($U13,'Trial Blc'!$B$4:AN$377,AC$2,FALSE),0)</f>
        <v>0</v>
      </c>
      <c r="AD13" s="627">
        <f>-IFERROR(VLOOKUP($U13,'Trial Blc'!$B$4:AO$377,AD$2,FALSE),0)</f>
        <v>0</v>
      </c>
      <c r="AE13" s="627">
        <f>-IFERROR(VLOOKUP($U13,'Trial Blc'!$B$4:AP$377,AE$2,FALSE),0)</f>
        <v>0</v>
      </c>
      <c r="AF13" s="627">
        <f>-IFERROR(VLOOKUP($U13,'Trial Blc'!$B$4:AQ$377,AF$2,FALSE),0)</f>
        <v>0</v>
      </c>
      <c r="AG13" s="627">
        <f>-IFERROR(VLOOKUP($U13,'Trial Blc'!$B$4:AR$377,AG$2,FALSE),0)</f>
        <v>0</v>
      </c>
      <c r="AH13" s="627">
        <f>-IFERROR(VLOOKUP($U13,'Trial Blc'!$B$4:AS$377,AH$2,FALSE),0)</f>
        <v>0</v>
      </c>
      <c r="AI13" s="627">
        <f>-IFERROR(VLOOKUP($U13,'Trial Blc'!$B$4:AT$377,AI$2,FALSE),0)</f>
        <v>0</v>
      </c>
      <c r="AJ13" s="627">
        <f>-IFERROR(VLOOKUP($U13,'Trial Blc'!$B$4:AU$377,AJ$2,FALSE),0)</f>
        <v>0</v>
      </c>
      <c r="AK13" s="627">
        <f>-IFERROR(VLOOKUP($U13,'Trial Blc'!$B$4:AV$377,AK$2,FALSE),0)</f>
        <v>0</v>
      </c>
      <c r="AL13" s="627">
        <f>-IFERROR(VLOOKUP($U13,'Trial Blc'!$B$4:AW$377,AL$2,FALSE),0)</f>
        <v>0</v>
      </c>
      <c r="AM13" s="627">
        <f t="shared" si="9"/>
        <v>0</v>
      </c>
    </row>
    <row r="14" spans="1:40" s="87" customFormat="1">
      <c r="A14" s="87" t="s">
        <v>853</v>
      </c>
      <c r="B14" s="1531">
        <v>1095</v>
      </c>
      <c r="C14" s="111" t="s">
        <v>2112</v>
      </c>
      <c r="D14" s="627">
        <f>IFERROR(VLOOKUP($B14,'Trial Blc'!$B$4:O$377,D$2,FALSE),0)</f>
        <v>0</v>
      </c>
      <c r="E14" s="627"/>
      <c r="F14" s="627"/>
      <c r="G14" s="627">
        <f t="shared" si="6"/>
        <v>0</v>
      </c>
      <c r="H14" s="627">
        <f>IFERROR(VLOOKUP($B14,'Trial Blc'!$B$4:S$377,H$2,FALSE),0)</f>
        <v>0</v>
      </c>
      <c r="I14" s="627">
        <f>IFERROR(VLOOKUP($B14,'Trial Blc'!$B$4:T$377,I$2,FALSE),0)</f>
        <v>0</v>
      </c>
      <c r="J14" s="627">
        <f>IFERROR(VLOOKUP($B14,'Trial Blc'!$B$4:U$377,J$2,FALSE),0)</f>
        <v>0</v>
      </c>
      <c r="K14" s="627">
        <f>IFERROR(VLOOKUP($B14,'Trial Blc'!$B$4:V$377,K$2,FALSE),0)</f>
        <v>0</v>
      </c>
      <c r="L14" s="627">
        <f>IFERROR(VLOOKUP($B14,'Trial Blc'!$B$4:W$377,L$2,FALSE),0)</f>
        <v>0</v>
      </c>
      <c r="M14" s="627">
        <f>IFERROR(VLOOKUP($B14,'Trial Blc'!$B$4:X$377,M$2,FALSE),0)</f>
        <v>0</v>
      </c>
      <c r="N14" s="627">
        <f>IFERROR(VLOOKUP($B14,'Trial Blc'!$B$4:Y$377,N$2,FALSE),0)</f>
        <v>0</v>
      </c>
      <c r="O14" s="627">
        <f>IFERROR(VLOOKUP($B14,'Trial Blc'!$B$4:Z$377,O$2,FALSE),0)</f>
        <v>0</v>
      </c>
      <c r="P14" s="627">
        <f>IFERROR(VLOOKUP($B14,'Trial Blc'!$B$4:AA$377,P$2,FALSE),0)</f>
        <v>0</v>
      </c>
      <c r="Q14" s="627">
        <f>IFERROR(VLOOKUP($B14,'Trial Blc'!$B$4:AB$377,Q$2,FALSE),0)</f>
        <v>0</v>
      </c>
      <c r="R14" s="627">
        <f>IFERROR(VLOOKUP($B14,'Trial Blc'!$B$4:AC$377,R$2,FALSE),0)</f>
        <v>0</v>
      </c>
      <c r="S14" s="627">
        <f>IFERROR(VLOOKUP($B14,'Trial Blc'!$B$4:AD$377,S$2,FALSE),0)</f>
        <v>0</v>
      </c>
      <c r="T14" s="627">
        <f t="shared" si="7"/>
        <v>0</v>
      </c>
      <c r="U14" s="1536">
        <v>1890</v>
      </c>
      <c r="V14" s="87" t="s">
        <v>178</v>
      </c>
      <c r="W14" s="1670">
        <f>-IFERROR(VLOOKUP($U14,'Trial Blc'!$B$4:AH$377,W$2,FALSE),0)</f>
        <v>0</v>
      </c>
      <c r="X14" s="627"/>
      <c r="Y14" s="627"/>
      <c r="Z14" s="627">
        <f t="shared" si="8"/>
        <v>0</v>
      </c>
      <c r="AA14" s="627">
        <f>-IFERROR(VLOOKUP($U14,'Trial Blc'!$B$4:AL$377,AA$2,FALSE),0)</f>
        <v>0</v>
      </c>
      <c r="AB14" s="627">
        <f>-IFERROR(VLOOKUP($U14,'Trial Blc'!$B$4:AM$377,AB$2,FALSE),0)</f>
        <v>0</v>
      </c>
      <c r="AC14" s="627">
        <f>-IFERROR(VLOOKUP($U14,'Trial Blc'!$B$4:AN$377,AC$2,FALSE),0)</f>
        <v>0</v>
      </c>
      <c r="AD14" s="627">
        <f>-IFERROR(VLOOKUP($U14,'Trial Blc'!$B$4:AO$377,AD$2,FALSE),0)</f>
        <v>0</v>
      </c>
      <c r="AE14" s="627">
        <f>-IFERROR(VLOOKUP($U14,'Trial Blc'!$B$4:AP$377,AE$2,FALSE),0)</f>
        <v>0</v>
      </c>
      <c r="AF14" s="627">
        <f>-IFERROR(VLOOKUP($U14,'Trial Blc'!$B$4:AQ$377,AF$2,FALSE),0)</f>
        <v>0</v>
      </c>
      <c r="AG14" s="627">
        <f>-IFERROR(VLOOKUP($U14,'Trial Blc'!$B$4:AR$377,AG$2,FALSE),0)</f>
        <v>0</v>
      </c>
      <c r="AH14" s="627">
        <f>-IFERROR(VLOOKUP($U14,'Trial Blc'!$B$4:AS$377,AH$2,FALSE),0)</f>
        <v>0</v>
      </c>
      <c r="AI14" s="627">
        <f>-IFERROR(VLOOKUP($U14,'Trial Blc'!$B$4:AT$377,AI$2,FALSE),0)</f>
        <v>0</v>
      </c>
      <c r="AJ14" s="627">
        <f>-IFERROR(VLOOKUP($U14,'Trial Blc'!$B$4:AU$377,AJ$2,FALSE),0)</f>
        <v>0</v>
      </c>
      <c r="AK14" s="627">
        <f>-IFERROR(VLOOKUP($U14,'Trial Blc'!$B$4:AV$377,AK$2,FALSE),0)</f>
        <v>0</v>
      </c>
      <c r="AL14" s="627">
        <f>-IFERROR(VLOOKUP($U14,'Trial Blc'!$B$4:AW$377,AL$2,FALSE),0)</f>
        <v>0</v>
      </c>
      <c r="AM14" s="627">
        <f t="shared" si="9"/>
        <v>0</v>
      </c>
    </row>
    <row r="15" spans="1:40" s="87" customFormat="1">
      <c r="A15" s="87" t="s">
        <v>854</v>
      </c>
      <c r="B15" s="1531">
        <v>1100</v>
      </c>
      <c r="C15" s="111" t="s">
        <v>2113</v>
      </c>
      <c r="D15" s="627">
        <f>IFERROR(VLOOKUP($B15,'Trial Blc'!$B$4:O$377,D$2,FALSE),0)</f>
        <v>0</v>
      </c>
      <c r="E15" s="627"/>
      <c r="F15" s="627"/>
      <c r="G15" s="627">
        <f t="shared" si="6"/>
        <v>0</v>
      </c>
      <c r="H15" s="627">
        <f>IFERROR(VLOOKUP($B15,'Trial Blc'!$B$4:S$377,H$2,FALSE),0)</f>
        <v>0</v>
      </c>
      <c r="I15" s="627">
        <f>IFERROR(VLOOKUP($B15,'Trial Blc'!$B$4:T$377,I$2,FALSE),0)</f>
        <v>0</v>
      </c>
      <c r="J15" s="627">
        <f>IFERROR(VLOOKUP($B15,'Trial Blc'!$B$4:U$377,J$2,FALSE),0)</f>
        <v>0</v>
      </c>
      <c r="K15" s="627">
        <f>IFERROR(VLOOKUP($B15,'Trial Blc'!$B$4:V$377,K$2,FALSE),0)</f>
        <v>0</v>
      </c>
      <c r="L15" s="627">
        <f>IFERROR(VLOOKUP($B15,'Trial Blc'!$B$4:W$377,L$2,FALSE),0)</f>
        <v>0</v>
      </c>
      <c r="M15" s="627">
        <f>IFERROR(VLOOKUP($B15,'Trial Blc'!$B$4:X$377,M$2,FALSE),0)</f>
        <v>0</v>
      </c>
      <c r="N15" s="627">
        <f>IFERROR(VLOOKUP($B15,'Trial Blc'!$B$4:Y$377,N$2,FALSE),0)</f>
        <v>0</v>
      </c>
      <c r="O15" s="627">
        <f>IFERROR(VLOOKUP($B15,'Trial Blc'!$B$4:Z$377,O$2,FALSE),0)</f>
        <v>0</v>
      </c>
      <c r="P15" s="627">
        <f>IFERROR(VLOOKUP($B15,'Trial Blc'!$B$4:AA$377,P$2,FALSE),0)</f>
        <v>0</v>
      </c>
      <c r="Q15" s="627">
        <f>IFERROR(VLOOKUP($B15,'Trial Blc'!$B$4:AB$377,Q$2,FALSE),0)</f>
        <v>0</v>
      </c>
      <c r="R15" s="627">
        <f>IFERROR(VLOOKUP($B15,'Trial Blc'!$B$4:AC$377,R$2,FALSE),0)</f>
        <v>0</v>
      </c>
      <c r="S15" s="627">
        <f>IFERROR(VLOOKUP($B15,'Trial Blc'!$B$4:AD$377,S$2,FALSE),0)</f>
        <v>0</v>
      </c>
      <c r="T15" s="627">
        <f t="shared" si="7"/>
        <v>0</v>
      </c>
      <c r="U15" s="1536">
        <v>1895</v>
      </c>
      <c r="V15" s="87" t="s">
        <v>165</v>
      </c>
      <c r="W15" s="1670">
        <f>-IFERROR(VLOOKUP($U15,'Trial Blc'!$B$4:AH$377,W$2,FALSE),0)</f>
        <v>0</v>
      </c>
      <c r="X15" s="627"/>
      <c r="Y15" s="627"/>
      <c r="Z15" s="627">
        <f t="shared" si="8"/>
        <v>0</v>
      </c>
      <c r="AA15" s="627">
        <f>-IFERROR(VLOOKUP($U15,'Trial Blc'!$B$4:AL$377,AA$2,FALSE),0)</f>
        <v>0</v>
      </c>
      <c r="AB15" s="627">
        <f>-IFERROR(VLOOKUP($U15,'Trial Blc'!$B$4:AM$377,AB$2,FALSE),0)</f>
        <v>0</v>
      </c>
      <c r="AC15" s="627">
        <f>-IFERROR(VLOOKUP($U15,'Trial Blc'!$B$4:AN$377,AC$2,FALSE),0)</f>
        <v>0</v>
      </c>
      <c r="AD15" s="627">
        <f>-IFERROR(VLOOKUP($U15,'Trial Blc'!$B$4:AO$377,AD$2,FALSE),0)</f>
        <v>0</v>
      </c>
      <c r="AE15" s="627">
        <f>-IFERROR(VLOOKUP($U15,'Trial Blc'!$B$4:AP$377,AE$2,FALSE),0)</f>
        <v>0</v>
      </c>
      <c r="AF15" s="627">
        <f>-IFERROR(VLOOKUP($U15,'Trial Blc'!$B$4:AQ$377,AF$2,FALSE),0)</f>
        <v>0</v>
      </c>
      <c r="AG15" s="627">
        <f>-IFERROR(VLOOKUP($U15,'Trial Blc'!$B$4:AR$377,AG$2,FALSE),0)</f>
        <v>0</v>
      </c>
      <c r="AH15" s="627">
        <f>-IFERROR(VLOOKUP($U15,'Trial Blc'!$B$4:AS$377,AH$2,FALSE),0)</f>
        <v>0</v>
      </c>
      <c r="AI15" s="627">
        <f>-IFERROR(VLOOKUP($U15,'Trial Blc'!$B$4:AT$377,AI$2,FALSE),0)</f>
        <v>0</v>
      </c>
      <c r="AJ15" s="627">
        <f>-IFERROR(VLOOKUP($U15,'Trial Blc'!$B$4:AU$377,AJ$2,FALSE),0)</f>
        <v>0</v>
      </c>
      <c r="AK15" s="627">
        <f>-IFERROR(VLOOKUP($U15,'Trial Blc'!$B$4:AV$377,AK$2,FALSE),0)</f>
        <v>0</v>
      </c>
      <c r="AL15" s="627">
        <f>-IFERROR(VLOOKUP($U15,'Trial Blc'!$B$4:AW$377,AL$2,FALSE),0)</f>
        <v>0</v>
      </c>
      <c r="AM15" s="627">
        <f t="shared" si="9"/>
        <v>0</v>
      </c>
    </row>
    <row r="16" spans="1:40" s="87" customFormat="1">
      <c r="A16" s="87" t="s">
        <v>775</v>
      </c>
      <c r="B16" s="1531"/>
      <c r="C16" s="111"/>
      <c r="D16" s="627"/>
      <c r="E16" s="627"/>
      <c r="F16" s="111"/>
      <c r="G16" s="627"/>
      <c r="H16" s="627"/>
      <c r="I16" s="627"/>
      <c r="J16" s="627"/>
      <c r="K16" s="627"/>
      <c r="L16" s="627"/>
      <c r="M16" s="627"/>
      <c r="N16" s="627"/>
      <c r="O16" s="627"/>
      <c r="P16" s="627"/>
      <c r="Q16" s="627"/>
      <c r="R16" s="627"/>
      <c r="S16" s="627"/>
      <c r="T16" s="627"/>
      <c r="U16" s="1552"/>
      <c r="V16" s="89"/>
      <c r="W16" s="627"/>
      <c r="X16" s="111"/>
      <c r="Y16" s="627"/>
      <c r="Z16" s="627"/>
      <c r="AA16" s="627"/>
      <c r="AB16" s="627"/>
      <c r="AC16" s="627"/>
      <c r="AD16" s="627"/>
      <c r="AE16" s="627"/>
      <c r="AF16" s="627"/>
      <c r="AG16" s="627"/>
      <c r="AH16" s="627"/>
      <c r="AI16" s="627"/>
      <c r="AJ16" s="627"/>
      <c r="AK16" s="627"/>
      <c r="AL16" s="627"/>
      <c r="AM16" s="89"/>
      <c r="AN16" s="89"/>
    </row>
    <row r="17" spans="1:40" s="87" customFormat="1">
      <c r="A17" s="90" t="s">
        <v>855</v>
      </c>
      <c r="B17" s="1531"/>
      <c r="C17" s="111"/>
      <c r="D17" s="627"/>
      <c r="E17" s="627"/>
      <c r="F17" s="111"/>
      <c r="G17" s="627"/>
      <c r="H17" s="627"/>
      <c r="I17" s="627"/>
      <c r="J17" s="627"/>
      <c r="K17" s="627"/>
      <c r="L17" s="627"/>
      <c r="M17" s="627"/>
      <c r="N17" s="627"/>
      <c r="O17" s="627"/>
      <c r="P17" s="627"/>
      <c r="Q17" s="627"/>
      <c r="R17" s="627"/>
      <c r="S17" s="627"/>
      <c r="T17" s="627"/>
      <c r="U17" s="1551"/>
      <c r="V17" s="692" t="s">
        <v>855</v>
      </c>
      <c r="W17" s="627"/>
      <c r="X17" s="113"/>
      <c r="Y17" s="627"/>
      <c r="Z17" s="627"/>
      <c r="AA17" s="627"/>
      <c r="AB17" s="627"/>
      <c r="AC17" s="627"/>
      <c r="AD17" s="627"/>
      <c r="AE17" s="627"/>
      <c r="AF17" s="627"/>
      <c r="AG17" s="627"/>
      <c r="AH17" s="627"/>
      <c r="AI17" s="627"/>
      <c r="AJ17" s="627"/>
      <c r="AK17" s="627"/>
      <c r="AL17" s="627"/>
      <c r="AM17" s="89"/>
      <c r="AN17" s="89"/>
    </row>
    <row r="18" spans="1:40" s="87" customFormat="1">
      <c r="A18" s="87" t="s">
        <v>856</v>
      </c>
      <c r="B18" s="1531">
        <v>1035</v>
      </c>
      <c r="C18" s="111" t="s">
        <v>2114</v>
      </c>
      <c r="D18" s="627">
        <f>IFERROR(VLOOKUP($B18,'Trial Blc'!$B$4:O$377,D$2,FALSE),0)</f>
        <v>0</v>
      </c>
      <c r="E18" s="627"/>
      <c r="F18" s="627"/>
      <c r="G18" s="627">
        <f t="shared" ref="G18:G22" si="10">+D18+E18+F18</f>
        <v>0</v>
      </c>
      <c r="H18" s="627">
        <f>IFERROR(VLOOKUP($B18,'Trial Blc'!$B$4:S$377,H$2,FALSE),0)</f>
        <v>0</v>
      </c>
      <c r="I18" s="627">
        <f>IFERROR(VLOOKUP($B18,'Trial Blc'!$B$4:T$377,I$2,FALSE),0)</f>
        <v>0</v>
      </c>
      <c r="J18" s="627">
        <f>IFERROR(VLOOKUP($B18,'Trial Blc'!$B$4:U$377,J$2,FALSE),0)</f>
        <v>0</v>
      </c>
      <c r="K18" s="627">
        <f>IFERROR(VLOOKUP($B18,'Trial Blc'!$B$4:V$377,K$2,FALSE),0)</f>
        <v>0</v>
      </c>
      <c r="L18" s="627">
        <f>IFERROR(VLOOKUP($B18,'Trial Blc'!$B$4:W$377,L$2,FALSE),0)</f>
        <v>0</v>
      </c>
      <c r="M18" s="627">
        <f>IFERROR(VLOOKUP($B18,'Trial Blc'!$B$4:X$377,M$2,FALSE),0)</f>
        <v>0</v>
      </c>
      <c r="N18" s="627">
        <f>IFERROR(VLOOKUP($B18,'Trial Blc'!$B$4:Y$377,N$2,FALSE),0)</f>
        <v>0</v>
      </c>
      <c r="O18" s="627">
        <f>IFERROR(VLOOKUP($B18,'Trial Blc'!$B$4:Z$377,O$2,FALSE),0)</f>
        <v>0</v>
      </c>
      <c r="P18" s="627">
        <f>IFERROR(VLOOKUP($B18,'Trial Blc'!$B$4:AA$377,P$2,FALSE),0)</f>
        <v>0</v>
      </c>
      <c r="Q18" s="627">
        <f>IFERROR(VLOOKUP($B18,'Trial Blc'!$B$4:AB$377,Q$2,FALSE),0)</f>
        <v>0</v>
      </c>
      <c r="R18" s="627">
        <f>IFERROR(VLOOKUP($B18,'Trial Blc'!$B$4:AC$377,R$2,FALSE),0)</f>
        <v>0</v>
      </c>
      <c r="S18" s="627">
        <f>IFERROR(VLOOKUP($B18,'Trial Blc'!$B$4:AD$377,S$2,FALSE),0)</f>
        <v>0</v>
      </c>
      <c r="T18" s="627">
        <f t="shared" ref="T18:T22" si="11">AVERAGE(G18:S18)</f>
        <v>0</v>
      </c>
      <c r="U18" s="1536"/>
      <c r="W18" s="627"/>
      <c r="X18" s="111"/>
      <c r="Y18" s="627"/>
      <c r="Z18" s="627">
        <f>SUM(W18:Y18)</f>
        <v>0</v>
      </c>
      <c r="AA18" s="627"/>
      <c r="AB18" s="627"/>
      <c r="AC18" s="627"/>
      <c r="AD18" s="627"/>
      <c r="AE18" s="627"/>
      <c r="AF18" s="627"/>
      <c r="AG18" s="627"/>
      <c r="AH18" s="627"/>
      <c r="AI18" s="627"/>
      <c r="AJ18" s="627"/>
      <c r="AK18" s="627"/>
      <c r="AL18" s="627"/>
      <c r="AM18" s="89"/>
      <c r="AN18" s="89"/>
    </row>
    <row r="19" spans="1:40" s="87" customFormat="1">
      <c r="A19" s="87" t="s">
        <v>857</v>
      </c>
      <c r="B19" s="1531">
        <v>1055</v>
      </c>
      <c r="C19" s="111" t="s">
        <v>2115</v>
      </c>
      <c r="D19" s="627">
        <f>IFERROR(VLOOKUP($B19,'Trial Blc'!$B$4:O$377,D$2,FALSE),0)</f>
        <v>0</v>
      </c>
      <c r="E19" s="627"/>
      <c r="F19" s="627"/>
      <c r="G19" s="627">
        <f t="shared" si="10"/>
        <v>0</v>
      </c>
      <c r="H19" s="627">
        <f>IFERROR(VLOOKUP($B19,'Trial Blc'!$B$4:S$377,H$2,FALSE),0)</f>
        <v>0</v>
      </c>
      <c r="I19" s="627">
        <f>IFERROR(VLOOKUP($B19,'Trial Blc'!$B$4:T$377,I$2,FALSE),0)</f>
        <v>0</v>
      </c>
      <c r="J19" s="627">
        <f>IFERROR(VLOOKUP($B19,'Trial Blc'!$B$4:U$377,J$2,FALSE),0)</f>
        <v>0</v>
      </c>
      <c r="K19" s="627">
        <f>IFERROR(VLOOKUP($B19,'Trial Blc'!$B$4:V$377,K$2,FALSE),0)</f>
        <v>0</v>
      </c>
      <c r="L19" s="627">
        <f>IFERROR(VLOOKUP($B19,'Trial Blc'!$B$4:W$377,L$2,FALSE),0)</f>
        <v>0</v>
      </c>
      <c r="M19" s="627">
        <f>IFERROR(VLOOKUP($B19,'Trial Blc'!$B$4:X$377,M$2,FALSE),0)</f>
        <v>0</v>
      </c>
      <c r="N19" s="627">
        <f>IFERROR(VLOOKUP($B19,'Trial Blc'!$B$4:Y$377,N$2,FALSE),0)</f>
        <v>0</v>
      </c>
      <c r="O19" s="627">
        <f>IFERROR(VLOOKUP($B19,'Trial Blc'!$B$4:Z$377,O$2,FALSE),0)</f>
        <v>0</v>
      </c>
      <c r="P19" s="627">
        <f>IFERROR(VLOOKUP($B19,'Trial Blc'!$B$4:AA$377,P$2,FALSE),0)</f>
        <v>0</v>
      </c>
      <c r="Q19" s="627">
        <f>IFERROR(VLOOKUP($B19,'Trial Blc'!$B$4:AB$377,Q$2,FALSE),0)</f>
        <v>0</v>
      </c>
      <c r="R19" s="627">
        <f>IFERROR(VLOOKUP($B19,'Trial Blc'!$B$4:AC$377,R$2,FALSE),0)</f>
        <v>0</v>
      </c>
      <c r="S19" s="627">
        <f>IFERROR(VLOOKUP($B19,'Trial Blc'!$B$4:AD$377,S$2,FALSE),0)</f>
        <v>0</v>
      </c>
      <c r="T19" s="627">
        <f t="shared" si="11"/>
        <v>0</v>
      </c>
      <c r="U19" s="1552">
        <v>1850</v>
      </c>
      <c r="V19" s="89" t="s">
        <v>167</v>
      </c>
      <c r="W19" s="1670">
        <f>-IFERROR(VLOOKUP($U19,'Trial Blc'!$B$4:AH$377,W$2,FALSE),0)</f>
        <v>0</v>
      </c>
      <c r="X19" s="627"/>
      <c r="Y19" s="627"/>
      <c r="Z19" s="627">
        <f t="shared" ref="Z19:Z22" si="12">+W19+X19+Y19</f>
        <v>0</v>
      </c>
      <c r="AA19" s="627">
        <f>-IFERROR(VLOOKUP($U19,'Trial Blc'!$B$4:AL$377,AA$2,FALSE),0)</f>
        <v>0</v>
      </c>
      <c r="AB19" s="627">
        <f>-IFERROR(VLOOKUP($U19,'Trial Blc'!$B$4:AM$377,AB$2,FALSE),0)</f>
        <v>0</v>
      </c>
      <c r="AC19" s="627">
        <f>-IFERROR(VLOOKUP($U19,'Trial Blc'!$B$4:AN$377,AC$2,FALSE),0)</f>
        <v>0</v>
      </c>
      <c r="AD19" s="627">
        <f>-IFERROR(VLOOKUP($U19,'Trial Blc'!$B$4:AO$377,AD$2,FALSE),0)</f>
        <v>0</v>
      </c>
      <c r="AE19" s="627">
        <f>-IFERROR(VLOOKUP($U19,'Trial Blc'!$B$4:AP$377,AE$2,FALSE),0)</f>
        <v>0</v>
      </c>
      <c r="AF19" s="627">
        <f>-IFERROR(VLOOKUP($U19,'Trial Blc'!$B$4:AQ$377,AF$2,FALSE),0)</f>
        <v>0</v>
      </c>
      <c r="AG19" s="627">
        <f>-IFERROR(VLOOKUP($U19,'Trial Blc'!$B$4:AR$377,AG$2,FALSE),0)</f>
        <v>0</v>
      </c>
      <c r="AH19" s="627">
        <f>-IFERROR(VLOOKUP($U19,'Trial Blc'!$B$4:AS$377,AH$2,FALSE),0)</f>
        <v>0</v>
      </c>
      <c r="AI19" s="627">
        <f>-IFERROR(VLOOKUP($U19,'Trial Blc'!$B$4:AT$377,AI$2,FALSE),0)</f>
        <v>0</v>
      </c>
      <c r="AJ19" s="627">
        <f>-IFERROR(VLOOKUP($U19,'Trial Blc'!$B$4:AU$377,AJ$2,FALSE),0)</f>
        <v>0</v>
      </c>
      <c r="AK19" s="627">
        <f>-IFERROR(VLOOKUP($U19,'Trial Blc'!$B$4:AV$377,AK$2,FALSE),0)</f>
        <v>0</v>
      </c>
      <c r="AL19" s="627">
        <f>-IFERROR(VLOOKUP($U19,'Trial Blc'!$B$4:AW$377,AL$2,FALSE),0)</f>
        <v>0</v>
      </c>
      <c r="AM19" s="627">
        <f t="shared" ref="AM19:AM22" si="13">AVERAGE(Z19:AL19)</f>
        <v>0</v>
      </c>
    </row>
    <row r="20" spans="1:40" s="87" customFormat="1" ht="14.25" customHeight="1">
      <c r="A20" s="87" t="s">
        <v>153</v>
      </c>
      <c r="B20" s="1531">
        <v>1105</v>
      </c>
      <c r="C20" s="111" t="s">
        <v>2116</v>
      </c>
      <c r="D20" s="627">
        <f>IFERROR(VLOOKUP($B20,'Trial Blc'!$B$4:O$377,D$2,FALSE),0)</f>
        <v>0</v>
      </c>
      <c r="E20" s="627"/>
      <c r="F20" s="627"/>
      <c r="G20" s="627">
        <f t="shared" si="10"/>
        <v>0</v>
      </c>
      <c r="H20" s="627">
        <f>IFERROR(VLOOKUP($B20,'Trial Blc'!$B$4:S$377,H$2,FALSE),0)</f>
        <v>0</v>
      </c>
      <c r="I20" s="627">
        <f>IFERROR(VLOOKUP($B20,'Trial Blc'!$B$4:T$377,I$2,FALSE),0)</f>
        <v>0</v>
      </c>
      <c r="J20" s="627">
        <f>IFERROR(VLOOKUP($B20,'Trial Blc'!$B$4:U$377,J$2,FALSE),0)</f>
        <v>0</v>
      </c>
      <c r="K20" s="627">
        <f>IFERROR(VLOOKUP($B20,'Trial Blc'!$B$4:V$377,K$2,FALSE),0)</f>
        <v>0</v>
      </c>
      <c r="L20" s="627">
        <f>IFERROR(VLOOKUP($B20,'Trial Blc'!$B$4:W$377,L$2,FALSE),0)</f>
        <v>0</v>
      </c>
      <c r="M20" s="627">
        <f>IFERROR(VLOOKUP($B20,'Trial Blc'!$B$4:X$377,M$2,FALSE),0)</f>
        <v>0</v>
      </c>
      <c r="N20" s="627">
        <f>IFERROR(VLOOKUP($B20,'Trial Blc'!$B$4:Y$377,N$2,FALSE),0)</f>
        <v>0</v>
      </c>
      <c r="O20" s="627">
        <f>IFERROR(VLOOKUP($B20,'Trial Blc'!$B$4:Z$377,O$2,FALSE),0)</f>
        <v>0</v>
      </c>
      <c r="P20" s="627">
        <f>IFERROR(VLOOKUP($B20,'Trial Blc'!$B$4:AA$377,P$2,FALSE),0)</f>
        <v>0</v>
      </c>
      <c r="Q20" s="627">
        <f>IFERROR(VLOOKUP($B20,'Trial Blc'!$B$4:AB$377,Q$2,FALSE),0)</f>
        <v>0</v>
      </c>
      <c r="R20" s="627">
        <f>IFERROR(VLOOKUP($B20,'Trial Blc'!$B$4:AC$377,R$2,FALSE),0)</f>
        <v>0</v>
      </c>
      <c r="S20" s="627">
        <f>IFERROR(VLOOKUP($B20,'Trial Blc'!$B$4:AD$377,S$2,FALSE),0)</f>
        <v>0</v>
      </c>
      <c r="T20" s="627">
        <f t="shared" si="11"/>
        <v>0</v>
      </c>
      <c r="U20" s="1536">
        <v>1900</v>
      </c>
      <c r="V20" s="87" t="s">
        <v>166</v>
      </c>
      <c r="W20" s="1670">
        <f>-IFERROR(VLOOKUP($U20,'Trial Blc'!$B$4:AH$377,W$2,FALSE),0)</f>
        <v>0</v>
      </c>
      <c r="X20" s="627"/>
      <c r="Y20" s="627"/>
      <c r="Z20" s="627">
        <f t="shared" si="12"/>
        <v>0</v>
      </c>
      <c r="AA20" s="627">
        <f>-IFERROR(VLOOKUP($U20,'Trial Blc'!$B$4:AL$377,AA$2,FALSE),0)</f>
        <v>0</v>
      </c>
      <c r="AB20" s="627">
        <f>-IFERROR(VLOOKUP($U20,'Trial Blc'!$B$4:AM$377,AB$2,FALSE),0)</f>
        <v>0</v>
      </c>
      <c r="AC20" s="627">
        <f>-IFERROR(VLOOKUP($U20,'Trial Blc'!$B$4:AN$377,AC$2,FALSE),0)</f>
        <v>0</v>
      </c>
      <c r="AD20" s="627">
        <f>-IFERROR(VLOOKUP($U20,'Trial Blc'!$B$4:AO$377,AD$2,FALSE),0)</f>
        <v>0</v>
      </c>
      <c r="AE20" s="627">
        <f>-IFERROR(VLOOKUP($U20,'Trial Blc'!$B$4:AP$377,AE$2,FALSE),0)</f>
        <v>0</v>
      </c>
      <c r="AF20" s="627">
        <f>-IFERROR(VLOOKUP($U20,'Trial Blc'!$B$4:AQ$377,AF$2,FALSE),0)</f>
        <v>0</v>
      </c>
      <c r="AG20" s="627">
        <f>-IFERROR(VLOOKUP($U20,'Trial Blc'!$B$4:AR$377,AG$2,FALSE),0)</f>
        <v>0</v>
      </c>
      <c r="AH20" s="627">
        <f>-IFERROR(VLOOKUP($U20,'Trial Blc'!$B$4:AS$377,AH$2,FALSE),0)</f>
        <v>0</v>
      </c>
      <c r="AI20" s="627">
        <f>-IFERROR(VLOOKUP($U20,'Trial Blc'!$B$4:AT$377,AI$2,FALSE),0)</f>
        <v>0</v>
      </c>
      <c r="AJ20" s="627">
        <f>-IFERROR(VLOOKUP($U20,'Trial Blc'!$B$4:AU$377,AJ$2,FALSE),0)</f>
        <v>0</v>
      </c>
      <c r="AK20" s="627">
        <f>-IFERROR(VLOOKUP($U20,'Trial Blc'!$B$4:AV$377,AK$2,FALSE),0)</f>
        <v>0</v>
      </c>
      <c r="AL20" s="627">
        <f>-IFERROR(VLOOKUP($U20,'Trial Blc'!$B$4:AW$377,AL$2,FALSE),0)</f>
        <v>0</v>
      </c>
      <c r="AM20" s="627">
        <f t="shared" si="13"/>
        <v>0</v>
      </c>
    </row>
    <row r="21" spans="1:40" s="87" customFormat="1">
      <c r="A21" s="87" t="s">
        <v>50</v>
      </c>
      <c r="B21" s="1531">
        <v>1115</v>
      </c>
      <c r="C21" s="111" t="s">
        <v>2117</v>
      </c>
      <c r="D21" s="627">
        <f>IFERROR(VLOOKUP($B21,'Trial Blc'!$B$4:O$377,D$2,FALSE),0)</f>
        <v>0</v>
      </c>
      <c r="E21" s="627"/>
      <c r="F21" s="627"/>
      <c r="G21" s="627">
        <f t="shared" si="10"/>
        <v>0</v>
      </c>
      <c r="H21" s="627">
        <f>IFERROR(VLOOKUP($B21,'Trial Blc'!$B$4:S$377,H$2,FALSE),0)</f>
        <v>0</v>
      </c>
      <c r="I21" s="627">
        <f>IFERROR(VLOOKUP($B21,'Trial Blc'!$B$4:T$377,I$2,FALSE),0)</f>
        <v>0</v>
      </c>
      <c r="J21" s="627">
        <f>IFERROR(VLOOKUP($B21,'Trial Blc'!$B$4:U$377,J$2,FALSE),0)</f>
        <v>0</v>
      </c>
      <c r="K21" s="627">
        <f>IFERROR(VLOOKUP($B21,'Trial Blc'!$B$4:V$377,K$2,FALSE),0)</f>
        <v>0</v>
      </c>
      <c r="L21" s="627">
        <f>IFERROR(VLOOKUP($B21,'Trial Blc'!$B$4:W$377,L$2,FALSE),0)</f>
        <v>0</v>
      </c>
      <c r="M21" s="627">
        <f>IFERROR(VLOOKUP($B21,'Trial Blc'!$B$4:X$377,M$2,FALSE),0)</f>
        <v>0</v>
      </c>
      <c r="N21" s="627">
        <f>IFERROR(VLOOKUP($B21,'Trial Blc'!$B$4:Y$377,N$2,FALSE),0)</f>
        <v>0</v>
      </c>
      <c r="O21" s="627">
        <f>IFERROR(VLOOKUP($B21,'Trial Blc'!$B$4:Z$377,O$2,FALSE),0)</f>
        <v>0</v>
      </c>
      <c r="P21" s="627">
        <f>IFERROR(VLOOKUP($B21,'Trial Blc'!$B$4:AA$377,P$2,FALSE),0)</f>
        <v>0</v>
      </c>
      <c r="Q21" s="627">
        <f>IFERROR(VLOOKUP($B21,'Trial Blc'!$B$4:AB$377,Q$2,FALSE),0)</f>
        <v>0</v>
      </c>
      <c r="R21" s="627">
        <f>IFERROR(VLOOKUP($B21,'Trial Blc'!$B$4:AC$377,R$2,FALSE),0)</f>
        <v>0</v>
      </c>
      <c r="S21" s="627">
        <f>IFERROR(VLOOKUP($B21,'Trial Blc'!$B$4:AD$377,S$2,FALSE),0)</f>
        <v>0</v>
      </c>
      <c r="T21" s="627">
        <f t="shared" si="11"/>
        <v>0</v>
      </c>
      <c r="U21" s="1536">
        <v>1910</v>
      </c>
      <c r="V21" s="87" t="s">
        <v>168</v>
      </c>
      <c r="W21" s="1670">
        <f>-IFERROR(VLOOKUP($U21,'Trial Blc'!$B$4:AH$377,W$2,FALSE),0)</f>
        <v>0</v>
      </c>
      <c r="X21" s="627"/>
      <c r="Y21" s="627"/>
      <c r="Z21" s="627">
        <f t="shared" si="12"/>
        <v>0</v>
      </c>
      <c r="AA21" s="627">
        <f>-IFERROR(VLOOKUP($U21,'Trial Blc'!$B$4:AL$377,AA$2,FALSE),0)</f>
        <v>0</v>
      </c>
      <c r="AB21" s="627">
        <f>-IFERROR(VLOOKUP($U21,'Trial Blc'!$B$4:AM$377,AB$2,FALSE),0)</f>
        <v>0</v>
      </c>
      <c r="AC21" s="627">
        <f>-IFERROR(VLOOKUP($U21,'Trial Blc'!$B$4:AN$377,AC$2,FALSE),0)</f>
        <v>0</v>
      </c>
      <c r="AD21" s="627">
        <f>-IFERROR(VLOOKUP($U21,'Trial Blc'!$B$4:AO$377,AD$2,FALSE),0)</f>
        <v>0</v>
      </c>
      <c r="AE21" s="627">
        <f>-IFERROR(VLOOKUP($U21,'Trial Blc'!$B$4:AP$377,AE$2,FALSE),0)</f>
        <v>0</v>
      </c>
      <c r="AF21" s="627">
        <f>-IFERROR(VLOOKUP($U21,'Trial Blc'!$B$4:AQ$377,AF$2,FALSE),0)</f>
        <v>0</v>
      </c>
      <c r="AG21" s="627">
        <f>-IFERROR(VLOOKUP($U21,'Trial Blc'!$B$4:AR$377,AG$2,FALSE),0)</f>
        <v>0</v>
      </c>
      <c r="AH21" s="627">
        <f>-IFERROR(VLOOKUP($U21,'Trial Blc'!$B$4:AS$377,AH$2,FALSE),0)</f>
        <v>0</v>
      </c>
      <c r="AI21" s="627">
        <f>-IFERROR(VLOOKUP($U21,'Trial Blc'!$B$4:AT$377,AI$2,FALSE),0)</f>
        <v>0</v>
      </c>
      <c r="AJ21" s="627">
        <f>-IFERROR(VLOOKUP($U21,'Trial Blc'!$B$4:AU$377,AJ$2,FALSE),0)</f>
        <v>0</v>
      </c>
      <c r="AK21" s="627">
        <f>-IFERROR(VLOOKUP($U21,'Trial Blc'!$B$4:AV$377,AK$2,FALSE),0)</f>
        <v>0</v>
      </c>
      <c r="AL21" s="627">
        <f>-IFERROR(VLOOKUP($U21,'Trial Blc'!$B$4:AW$377,AL$2,FALSE),0)</f>
        <v>0</v>
      </c>
      <c r="AM21" s="627">
        <f t="shared" si="13"/>
        <v>0</v>
      </c>
    </row>
    <row r="22" spans="1:40" s="87" customFormat="1">
      <c r="A22" s="87" t="s">
        <v>1026</v>
      </c>
      <c r="B22" s="1531">
        <v>1165</v>
      </c>
      <c r="C22" s="111" t="s">
        <v>2118</v>
      </c>
      <c r="D22" s="627">
        <f>IFERROR(VLOOKUP($B22,'Trial Blc'!$B$4:O$377,D$2,FALSE),0)</f>
        <v>0</v>
      </c>
      <c r="E22" s="627"/>
      <c r="F22" s="627"/>
      <c r="G22" s="627">
        <f t="shared" si="10"/>
        <v>0</v>
      </c>
      <c r="H22" s="627">
        <f>IFERROR(VLOOKUP($B22,'Trial Blc'!$B$4:S$377,H$2,FALSE),0)</f>
        <v>0</v>
      </c>
      <c r="I22" s="627">
        <f>IFERROR(VLOOKUP($B22,'Trial Blc'!$B$4:T$377,I$2,FALSE),0)</f>
        <v>0</v>
      </c>
      <c r="J22" s="627">
        <f>IFERROR(VLOOKUP($B22,'Trial Blc'!$B$4:U$377,J$2,FALSE),0)</f>
        <v>0</v>
      </c>
      <c r="K22" s="627">
        <f>IFERROR(VLOOKUP($B22,'Trial Blc'!$B$4:V$377,K$2,FALSE),0)</f>
        <v>0</v>
      </c>
      <c r="L22" s="627">
        <f>IFERROR(VLOOKUP($B22,'Trial Blc'!$B$4:W$377,L$2,FALSE),0)</f>
        <v>0</v>
      </c>
      <c r="M22" s="627">
        <f>IFERROR(VLOOKUP($B22,'Trial Blc'!$B$4:X$377,M$2,FALSE),0)</f>
        <v>0</v>
      </c>
      <c r="N22" s="627">
        <f>IFERROR(VLOOKUP($B22,'Trial Blc'!$B$4:Y$377,N$2,FALSE),0)</f>
        <v>0</v>
      </c>
      <c r="O22" s="627">
        <f>IFERROR(VLOOKUP($B22,'Trial Blc'!$B$4:Z$377,O$2,FALSE),0)</f>
        <v>0</v>
      </c>
      <c r="P22" s="627">
        <f>IFERROR(VLOOKUP($B22,'Trial Blc'!$B$4:AA$377,P$2,FALSE),0)</f>
        <v>0</v>
      </c>
      <c r="Q22" s="627">
        <f>IFERROR(VLOOKUP($B22,'Trial Blc'!$B$4:AB$377,Q$2,FALSE),0)</f>
        <v>0</v>
      </c>
      <c r="R22" s="627">
        <f>IFERROR(VLOOKUP($B22,'Trial Blc'!$B$4:AC$377,R$2,FALSE),0)</f>
        <v>0</v>
      </c>
      <c r="S22" s="627">
        <f>IFERROR(VLOOKUP($B22,'Trial Blc'!$B$4:AD$377,S$2,FALSE),0)</f>
        <v>0</v>
      </c>
      <c r="T22" s="627">
        <f t="shared" si="11"/>
        <v>0</v>
      </c>
      <c r="U22" s="1536">
        <v>1960</v>
      </c>
      <c r="V22" s="87" t="s">
        <v>183</v>
      </c>
      <c r="W22" s="1670">
        <f>-IFERROR(VLOOKUP($U22,'Trial Blc'!$B$4:AH$377,W$2,FALSE),0)</f>
        <v>0</v>
      </c>
      <c r="X22" s="627"/>
      <c r="Y22" s="627"/>
      <c r="Z22" s="627">
        <f t="shared" si="12"/>
        <v>0</v>
      </c>
      <c r="AA22" s="627">
        <f>-IFERROR(VLOOKUP($U22,'Trial Blc'!$B$4:AL$377,AA$2,FALSE),0)</f>
        <v>0</v>
      </c>
      <c r="AB22" s="627">
        <f>-IFERROR(VLOOKUP($U22,'Trial Blc'!$B$4:AM$377,AB$2,FALSE),0)</f>
        <v>0</v>
      </c>
      <c r="AC22" s="627">
        <f>-IFERROR(VLOOKUP($U22,'Trial Blc'!$B$4:AN$377,AC$2,FALSE),0)</f>
        <v>0</v>
      </c>
      <c r="AD22" s="627">
        <f>-IFERROR(VLOOKUP($U22,'Trial Blc'!$B$4:AO$377,AD$2,FALSE),0)</f>
        <v>0</v>
      </c>
      <c r="AE22" s="627">
        <f>-IFERROR(VLOOKUP($U22,'Trial Blc'!$B$4:AP$377,AE$2,FALSE),0)</f>
        <v>0</v>
      </c>
      <c r="AF22" s="627">
        <f>-IFERROR(VLOOKUP($U22,'Trial Blc'!$B$4:AQ$377,AF$2,FALSE),0)</f>
        <v>0</v>
      </c>
      <c r="AG22" s="627">
        <f>-IFERROR(VLOOKUP($U22,'Trial Blc'!$B$4:AR$377,AG$2,FALSE),0)</f>
        <v>0</v>
      </c>
      <c r="AH22" s="627">
        <f>-IFERROR(VLOOKUP($U22,'Trial Blc'!$B$4:AS$377,AH$2,FALSE),0)</f>
        <v>0</v>
      </c>
      <c r="AI22" s="627">
        <f>-IFERROR(VLOOKUP($U22,'Trial Blc'!$B$4:AT$377,AI$2,FALSE),0)</f>
        <v>0</v>
      </c>
      <c r="AJ22" s="627">
        <f>-IFERROR(VLOOKUP($U22,'Trial Blc'!$B$4:AU$377,AJ$2,FALSE),0)</f>
        <v>0</v>
      </c>
      <c r="AK22" s="627">
        <f>-IFERROR(VLOOKUP($U22,'Trial Blc'!$B$4:AV$377,AK$2,FALSE),0)</f>
        <v>0</v>
      </c>
      <c r="AL22" s="627">
        <f>-IFERROR(VLOOKUP($U22,'Trial Blc'!$B$4:AW$377,AL$2,FALSE),0)</f>
        <v>0</v>
      </c>
      <c r="AM22" s="627">
        <f t="shared" si="13"/>
        <v>0</v>
      </c>
    </row>
    <row r="23" spans="1:40" s="87" customFormat="1">
      <c r="A23" s="90" t="s">
        <v>1081</v>
      </c>
      <c r="B23" s="1531"/>
      <c r="C23" s="111"/>
      <c r="D23" s="627"/>
      <c r="E23" s="627"/>
      <c r="F23" s="111"/>
      <c r="G23" s="627"/>
      <c r="H23" s="627"/>
      <c r="I23" s="627"/>
      <c r="J23" s="627"/>
      <c r="K23" s="627"/>
      <c r="L23" s="627"/>
      <c r="M23" s="627"/>
      <c r="N23" s="627"/>
      <c r="O23" s="627"/>
      <c r="P23" s="627"/>
      <c r="Q23" s="627"/>
      <c r="R23" s="627"/>
      <c r="S23" s="627"/>
      <c r="T23" s="627"/>
      <c r="U23" s="1550"/>
      <c r="V23" s="90" t="s">
        <v>1081</v>
      </c>
      <c r="W23" s="627"/>
      <c r="X23" s="111"/>
      <c r="Y23" s="627"/>
      <c r="Z23" s="627"/>
      <c r="AA23" s="627"/>
      <c r="AB23" s="627"/>
      <c r="AC23" s="627"/>
      <c r="AD23" s="627"/>
      <c r="AE23" s="627"/>
      <c r="AF23" s="627"/>
      <c r="AG23" s="627"/>
      <c r="AH23" s="627"/>
      <c r="AI23" s="627"/>
      <c r="AJ23" s="627"/>
      <c r="AK23" s="627"/>
      <c r="AL23" s="627"/>
      <c r="AM23" s="89"/>
      <c r="AN23" s="89"/>
    </row>
    <row r="24" spans="1:40" s="87" customFormat="1">
      <c r="A24" s="87" t="s">
        <v>1082</v>
      </c>
      <c r="B24" s="1531"/>
      <c r="C24" s="111"/>
      <c r="D24" s="627"/>
      <c r="E24" s="627"/>
      <c r="F24" s="111"/>
      <c r="G24" s="627"/>
      <c r="H24" s="627"/>
      <c r="I24" s="627"/>
      <c r="J24" s="627"/>
      <c r="K24" s="627"/>
      <c r="L24" s="627"/>
      <c r="M24" s="627"/>
      <c r="N24" s="627"/>
      <c r="O24" s="627"/>
      <c r="P24" s="627"/>
      <c r="Q24" s="627"/>
      <c r="R24" s="627"/>
      <c r="S24" s="627"/>
      <c r="T24" s="627"/>
      <c r="U24" s="1536"/>
      <c r="W24" s="627"/>
      <c r="X24" s="111"/>
      <c r="Y24" s="627"/>
      <c r="Z24" s="627"/>
      <c r="AA24" s="627"/>
      <c r="AB24" s="627"/>
      <c r="AC24" s="627"/>
      <c r="AD24" s="627"/>
      <c r="AE24" s="627"/>
      <c r="AF24" s="627"/>
      <c r="AG24" s="627"/>
      <c r="AH24" s="627"/>
      <c r="AI24" s="627"/>
      <c r="AJ24" s="627"/>
      <c r="AK24" s="627"/>
      <c r="AL24" s="627"/>
      <c r="AM24" s="89"/>
      <c r="AN24" s="89"/>
    </row>
    <row r="25" spans="1:40" s="87" customFormat="1">
      <c r="A25" s="87" t="s">
        <v>1083</v>
      </c>
      <c r="B25" s="1531"/>
      <c r="C25" s="111"/>
      <c r="D25" s="627"/>
      <c r="E25" s="627"/>
      <c r="F25" s="111"/>
      <c r="G25" s="627"/>
      <c r="H25" s="627"/>
      <c r="I25" s="627"/>
      <c r="J25" s="627"/>
      <c r="K25" s="627"/>
      <c r="L25" s="627"/>
      <c r="M25" s="627"/>
      <c r="N25" s="627"/>
      <c r="O25" s="627"/>
      <c r="P25" s="627"/>
      <c r="Q25" s="627"/>
      <c r="R25" s="627"/>
      <c r="S25" s="627"/>
      <c r="T25" s="627"/>
      <c r="U25" s="1536"/>
      <c r="W25" s="627"/>
      <c r="X25" s="111"/>
      <c r="Y25" s="627"/>
      <c r="Z25" s="627"/>
      <c r="AA25" s="627"/>
      <c r="AB25" s="627"/>
      <c r="AC25" s="627"/>
      <c r="AD25" s="627"/>
      <c r="AE25" s="627"/>
      <c r="AF25" s="627"/>
      <c r="AG25" s="627"/>
      <c r="AH25" s="627"/>
      <c r="AI25" s="627"/>
      <c r="AJ25" s="627"/>
      <c r="AK25" s="627"/>
      <c r="AL25" s="627"/>
      <c r="AM25" s="89"/>
      <c r="AN25" s="89"/>
    </row>
    <row r="26" spans="1:40" s="87" customFormat="1">
      <c r="A26" s="87" t="s">
        <v>154</v>
      </c>
      <c r="B26" s="1531">
        <v>1110</v>
      </c>
      <c r="C26" s="111" t="s">
        <v>2119</v>
      </c>
      <c r="D26" s="627">
        <f>IFERROR(VLOOKUP($B26,'Trial Blc'!$B$4:O$377,D$2,FALSE),0)</f>
        <v>0</v>
      </c>
      <c r="E26" s="627"/>
      <c r="F26" s="627"/>
      <c r="G26" s="627">
        <f t="shared" ref="G26:G29" si="14">+D26+E26+F26</f>
        <v>0</v>
      </c>
      <c r="H26" s="627">
        <f>IFERROR(VLOOKUP($B26,'Trial Blc'!$B$4:S$377,H$2,FALSE),0)</f>
        <v>0</v>
      </c>
      <c r="I26" s="627">
        <f>IFERROR(VLOOKUP($B26,'Trial Blc'!$B$4:T$377,I$2,FALSE),0)</f>
        <v>0</v>
      </c>
      <c r="J26" s="627">
        <f>IFERROR(VLOOKUP($B26,'Trial Blc'!$B$4:U$377,J$2,FALSE),0)</f>
        <v>0</v>
      </c>
      <c r="K26" s="627">
        <f>IFERROR(VLOOKUP($B26,'Trial Blc'!$B$4:V$377,K$2,FALSE),0)</f>
        <v>0</v>
      </c>
      <c r="L26" s="627">
        <f>IFERROR(VLOOKUP($B26,'Trial Blc'!$B$4:W$377,L$2,FALSE),0)</f>
        <v>0</v>
      </c>
      <c r="M26" s="627">
        <f>IFERROR(VLOOKUP($B26,'Trial Blc'!$B$4:X$377,M$2,FALSE),0)</f>
        <v>0</v>
      </c>
      <c r="N26" s="627">
        <f>IFERROR(VLOOKUP($B26,'Trial Blc'!$B$4:Y$377,N$2,FALSE),0)</f>
        <v>0</v>
      </c>
      <c r="O26" s="627">
        <f>IFERROR(VLOOKUP($B26,'Trial Blc'!$B$4:Z$377,O$2,FALSE),0)</f>
        <v>0</v>
      </c>
      <c r="P26" s="627">
        <f>IFERROR(VLOOKUP($B26,'Trial Blc'!$B$4:AA$377,P$2,FALSE),0)</f>
        <v>0</v>
      </c>
      <c r="Q26" s="627">
        <f>IFERROR(VLOOKUP($B26,'Trial Blc'!$B$4:AB$377,Q$2,FALSE),0)</f>
        <v>0</v>
      </c>
      <c r="R26" s="627">
        <f>IFERROR(VLOOKUP($B26,'Trial Blc'!$B$4:AC$377,R$2,FALSE),0)</f>
        <v>0</v>
      </c>
      <c r="S26" s="627">
        <f>IFERROR(VLOOKUP($B26,'Trial Blc'!$B$4:AD$377,S$2,FALSE),0)</f>
        <v>0</v>
      </c>
      <c r="T26" s="627">
        <f t="shared" ref="T26:T29" si="15">AVERAGE(G26:S26)</f>
        <v>0</v>
      </c>
      <c r="U26" s="1536">
        <v>1905</v>
      </c>
      <c r="V26" s="87" t="s">
        <v>179</v>
      </c>
      <c r="W26" s="1670">
        <f>-IFERROR(VLOOKUP($U26,'Trial Blc'!$B$4:AH$377,W$2,FALSE),0)</f>
        <v>0</v>
      </c>
      <c r="X26" s="627"/>
      <c r="Y26" s="627"/>
      <c r="Z26" s="627">
        <f t="shared" ref="Z26:Z32" si="16">+W26+X26+Y26</f>
        <v>0</v>
      </c>
      <c r="AA26" s="627">
        <f>-IFERROR(VLOOKUP($U26,'Trial Blc'!$B$4:AL$377,AA$2,FALSE),0)</f>
        <v>0</v>
      </c>
      <c r="AB26" s="627">
        <f>-IFERROR(VLOOKUP($U26,'Trial Blc'!$B$4:AM$377,AB$2,FALSE),0)</f>
        <v>0</v>
      </c>
      <c r="AC26" s="627">
        <f>-IFERROR(VLOOKUP($U26,'Trial Blc'!$B$4:AN$377,AC$2,FALSE),0)</f>
        <v>0</v>
      </c>
      <c r="AD26" s="627">
        <f>-IFERROR(VLOOKUP($U26,'Trial Blc'!$B$4:AO$377,AD$2,FALSE),0)</f>
        <v>0</v>
      </c>
      <c r="AE26" s="627">
        <f>-IFERROR(VLOOKUP($U26,'Trial Blc'!$B$4:AP$377,AE$2,FALSE),0)</f>
        <v>0</v>
      </c>
      <c r="AF26" s="627">
        <f>-IFERROR(VLOOKUP($U26,'Trial Blc'!$B$4:AQ$377,AF$2,FALSE),0)</f>
        <v>0</v>
      </c>
      <c r="AG26" s="627">
        <f>-IFERROR(VLOOKUP($U26,'Trial Blc'!$B$4:AR$377,AG$2,FALSE),0)</f>
        <v>0</v>
      </c>
      <c r="AH26" s="627">
        <f>-IFERROR(VLOOKUP($U26,'Trial Blc'!$B$4:AS$377,AH$2,FALSE),0)</f>
        <v>0</v>
      </c>
      <c r="AI26" s="627">
        <f>-IFERROR(VLOOKUP($U26,'Trial Blc'!$B$4:AT$377,AI$2,FALSE),0)</f>
        <v>0</v>
      </c>
      <c r="AJ26" s="627">
        <f>-IFERROR(VLOOKUP($U26,'Trial Blc'!$B$4:AU$377,AJ$2,FALSE),0)</f>
        <v>0</v>
      </c>
      <c r="AK26" s="627">
        <f>-IFERROR(VLOOKUP($U26,'Trial Blc'!$B$4:AV$377,AK$2,FALSE),0)</f>
        <v>0</v>
      </c>
      <c r="AL26" s="627">
        <f>-IFERROR(VLOOKUP($U26,'Trial Blc'!$B$4:AW$377,AL$2,FALSE),0)</f>
        <v>0</v>
      </c>
      <c r="AM26" s="627">
        <f t="shared" ref="AM26:AM32" si="17">AVERAGE(Z26:AL26)</f>
        <v>0</v>
      </c>
    </row>
    <row r="27" spans="1:40" s="87" customFormat="1">
      <c r="A27" s="87" t="s">
        <v>1084</v>
      </c>
      <c r="B27" s="1531">
        <v>1120</v>
      </c>
      <c r="C27" s="111" t="s">
        <v>2120</v>
      </c>
      <c r="D27" s="627">
        <f>IFERROR(VLOOKUP($B27,'Trial Blc'!$B$4:O$377,D$2,FALSE),0)</f>
        <v>0</v>
      </c>
      <c r="E27" s="627"/>
      <c r="F27" s="627"/>
      <c r="G27" s="627">
        <f t="shared" si="14"/>
        <v>0</v>
      </c>
      <c r="H27" s="627">
        <f>IFERROR(VLOOKUP($B27,'Trial Blc'!$B$4:S$377,H$2,FALSE),0)</f>
        <v>0</v>
      </c>
      <c r="I27" s="627">
        <f>IFERROR(VLOOKUP($B27,'Trial Blc'!$B$4:T$377,I$2,FALSE),0)</f>
        <v>0</v>
      </c>
      <c r="J27" s="627">
        <f>IFERROR(VLOOKUP($B27,'Trial Blc'!$B$4:U$377,J$2,FALSE),0)</f>
        <v>0</v>
      </c>
      <c r="K27" s="627">
        <f>IFERROR(VLOOKUP($B27,'Trial Blc'!$B$4:V$377,K$2,FALSE),0)</f>
        <v>0</v>
      </c>
      <c r="L27" s="627">
        <f>IFERROR(VLOOKUP($B27,'Trial Blc'!$B$4:W$377,L$2,FALSE),0)</f>
        <v>0</v>
      </c>
      <c r="M27" s="627">
        <f>IFERROR(VLOOKUP($B27,'Trial Blc'!$B$4:X$377,M$2,FALSE),0)</f>
        <v>0</v>
      </c>
      <c r="N27" s="627">
        <f>IFERROR(VLOOKUP($B27,'Trial Blc'!$B$4:Y$377,N$2,FALSE),0)</f>
        <v>0</v>
      </c>
      <c r="O27" s="627">
        <f>IFERROR(VLOOKUP($B27,'Trial Blc'!$B$4:Z$377,O$2,FALSE),0)</f>
        <v>0</v>
      </c>
      <c r="P27" s="627">
        <f>IFERROR(VLOOKUP($B27,'Trial Blc'!$B$4:AA$377,P$2,FALSE),0)</f>
        <v>0</v>
      </c>
      <c r="Q27" s="627">
        <f>IFERROR(VLOOKUP($B27,'Trial Blc'!$B$4:AB$377,Q$2,FALSE),0)</f>
        <v>0</v>
      </c>
      <c r="R27" s="627">
        <f>IFERROR(VLOOKUP($B27,'Trial Blc'!$B$4:AC$377,R$2,FALSE),0)</f>
        <v>0</v>
      </c>
      <c r="S27" s="627">
        <f>IFERROR(VLOOKUP($B27,'Trial Blc'!$B$4:AD$377,S$2,FALSE),0)</f>
        <v>0</v>
      </c>
      <c r="T27" s="627">
        <f t="shared" si="15"/>
        <v>0</v>
      </c>
      <c r="U27" s="1536">
        <v>1915</v>
      </c>
      <c r="V27" s="87" t="s">
        <v>386</v>
      </c>
      <c r="W27" s="1670">
        <f>-IFERROR(VLOOKUP($U27,'Trial Blc'!$B$4:AH$377,W$2,FALSE),0)</f>
        <v>0</v>
      </c>
      <c r="X27" s="627"/>
      <c r="Y27" s="627"/>
      <c r="Z27" s="627">
        <f t="shared" si="16"/>
        <v>0</v>
      </c>
      <c r="AA27" s="627">
        <f>-IFERROR(VLOOKUP($U27,'Trial Blc'!$B$4:AL$377,AA$2,FALSE),0)</f>
        <v>0</v>
      </c>
      <c r="AB27" s="627">
        <f>-IFERROR(VLOOKUP($U27,'Trial Blc'!$B$4:AM$377,AB$2,FALSE),0)</f>
        <v>0</v>
      </c>
      <c r="AC27" s="627">
        <f>-IFERROR(VLOOKUP($U27,'Trial Blc'!$B$4:AN$377,AC$2,FALSE),0)</f>
        <v>0</v>
      </c>
      <c r="AD27" s="627">
        <f>-IFERROR(VLOOKUP($U27,'Trial Blc'!$B$4:AO$377,AD$2,FALSE),0)</f>
        <v>0</v>
      </c>
      <c r="AE27" s="627">
        <f>-IFERROR(VLOOKUP($U27,'Trial Blc'!$B$4:AP$377,AE$2,FALSE),0)</f>
        <v>0</v>
      </c>
      <c r="AF27" s="627">
        <f>-IFERROR(VLOOKUP($U27,'Trial Blc'!$B$4:AQ$377,AF$2,FALSE),0)</f>
        <v>0</v>
      </c>
      <c r="AG27" s="627">
        <f>-IFERROR(VLOOKUP($U27,'Trial Blc'!$B$4:AR$377,AG$2,FALSE),0)</f>
        <v>0</v>
      </c>
      <c r="AH27" s="627">
        <f>-IFERROR(VLOOKUP($U27,'Trial Blc'!$B$4:AS$377,AH$2,FALSE),0)</f>
        <v>0</v>
      </c>
      <c r="AI27" s="627">
        <f>-IFERROR(VLOOKUP($U27,'Trial Blc'!$B$4:AT$377,AI$2,FALSE),0)</f>
        <v>0</v>
      </c>
      <c r="AJ27" s="627">
        <f>-IFERROR(VLOOKUP($U27,'Trial Blc'!$B$4:AU$377,AJ$2,FALSE),0)</f>
        <v>0</v>
      </c>
      <c r="AK27" s="627">
        <f>-IFERROR(VLOOKUP($U27,'Trial Blc'!$B$4:AV$377,AK$2,FALSE),0)</f>
        <v>0</v>
      </c>
      <c r="AL27" s="627">
        <f>-IFERROR(VLOOKUP($U27,'Trial Blc'!$B$4:AW$377,AL$2,FALSE),0)</f>
        <v>0</v>
      </c>
      <c r="AM27" s="627">
        <f t="shared" si="17"/>
        <v>0</v>
      </c>
    </row>
    <row r="28" spans="1:40" s="87" customFormat="1">
      <c r="A28" s="87" t="s">
        <v>1028</v>
      </c>
      <c r="B28" s="1531">
        <v>1125</v>
      </c>
      <c r="C28" s="111" t="s">
        <v>2121</v>
      </c>
      <c r="D28" s="627">
        <f>IFERROR(VLOOKUP($B28,'Trial Blc'!$B$4:O$377,D$2,FALSE),0)</f>
        <v>0</v>
      </c>
      <c r="E28" s="627"/>
      <c r="F28" s="627"/>
      <c r="G28" s="627">
        <f t="shared" si="14"/>
        <v>0</v>
      </c>
      <c r="H28" s="627">
        <f>IFERROR(VLOOKUP($B28,'Trial Blc'!$B$4:S$377,H$2,FALSE),0)</f>
        <v>0</v>
      </c>
      <c r="I28" s="627">
        <f>IFERROR(VLOOKUP($B28,'Trial Blc'!$B$4:T$377,I$2,FALSE),0)</f>
        <v>0</v>
      </c>
      <c r="J28" s="627">
        <f>IFERROR(VLOOKUP($B28,'Trial Blc'!$B$4:U$377,J$2,FALSE),0)</f>
        <v>0</v>
      </c>
      <c r="K28" s="627">
        <f>IFERROR(VLOOKUP($B28,'Trial Blc'!$B$4:V$377,K$2,FALSE),0)</f>
        <v>0</v>
      </c>
      <c r="L28" s="627">
        <f>IFERROR(VLOOKUP($B28,'Trial Blc'!$B$4:W$377,L$2,FALSE),0)</f>
        <v>0</v>
      </c>
      <c r="M28" s="627">
        <f>IFERROR(VLOOKUP($B28,'Trial Blc'!$B$4:X$377,M$2,FALSE),0)</f>
        <v>0</v>
      </c>
      <c r="N28" s="627">
        <f>IFERROR(VLOOKUP($B28,'Trial Blc'!$B$4:Y$377,N$2,FALSE),0)</f>
        <v>0</v>
      </c>
      <c r="O28" s="627">
        <f>IFERROR(VLOOKUP($B28,'Trial Blc'!$B$4:Z$377,O$2,FALSE),0)</f>
        <v>0</v>
      </c>
      <c r="P28" s="627">
        <f>IFERROR(VLOOKUP($B28,'Trial Blc'!$B$4:AA$377,P$2,FALSE),0)</f>
        <v>0</v>
      </c>
      <c r="Q28" s="627">
        <f>IFERROR(VLOOKUP($B28,'Trial Blc'!$B$4:AB$377,Q$2,FALSE),0)</f>
        <v>0</v>
      </c>
      <c r="R28" s="627">
        <f>IFERROR(VLOOKUP($B28,'Trial Blc'!$B$4:AC$377,R$2,FALSE),0)</f>
        <v>0</v>
      </c>
      <c r="S28" s="627">
        <f>IFERROR(VLOOKUP($B28,'Trial Blc'!$B$4:AD$377,S$2,FALSE),0)</f>
        <v>0</v>
      </c>
      <c r="T28" s="627">
        <f t="shared" si="15"/>
        <v>0</v>
      </c>
      <c r="U28" s="1536">
        <v>1920</v>
      </c>
      <c r="V28" s="87" t="s">
        <v>169</v>
      </c>
      <c r="W28" s="1670">
        <f>-IFERROR(VLOOKUP($U28,'Trial Blc'!$B$4:AH$377,W$2,FALSE),0)</f>
        <v>0</v>
      </c>
      <c r="X28" s="627"/>
      <c r="Y28" s="627"/>
      <c r="Z28" s="627">
        <f t="shared" si="16"/>
        <v>0</v>
      </c>
      <c r="AA28" s="627">
        <f>-IFERROR(VLOOKUP($U28,'Trial Blc'!$B$4:AL$377,AA$2,FALSE),0)</f>
        <v>0</v>
      </c>
      <c r="AB28" s="627">
        <f>-IFERROR(VLOOKUP($U28,'Trial Blc'!$B$4:AM$377,AB$2,FALSE),0)</f>
        <v>0</v>
      </c>
      <c r="AC28" s="627">
        <f>-IFERROR(VLOOKUP($U28,'Trial Blc'!$B$4:AN$377,AC$2,FALSE),0)</f>
        <v>0</v>
      </c>
      <c r="AD28" s="627">
        <f>-IFERROR(VLOOKUP($U28,'Trial Blc'!$B$4:AO$377,AD$2,FALSE),0)</f>
        <v>0</v>
      </c>
      <c r="AE28" s="627">
        <f>-IFERROR(VLOOKUP($U28,'Trial Blc'!$B$4:AP$377,AE$2,FALSE),0)</f>
        <v>0</v>
      </c>
      <c r="AF28" s="627">
        <f>-IFERROR(VLOOKUP($U28,'Trial Blc'!$B$4:AQ$377,AF$2,FALSE),0)</f>
        <v>0</v>
      </c>
      <c r="AG28" s="627">
        <f>-IFERROR(VLOOKUP($U28,'Trial Blc'!$B$4:AR$377,AG$2,FALSE),0)</f>
        <v>0</v>
      </c>
      <c r="AH28" s="627">
        <f>-IFERROR(VLOOKUP($U28,'Trial Blc'!$B$4:AS$377,AH$2,FALSE),0)</f>
        <v>0</v>
      </c>
      <c r="AI28" s="627">
        <f>-IFERROR(VLOOKUP($U28,'Trial Blc'!$B$4:AT$377,AI$2,FALSE),0)</f>
        <v>0</v>
      </c>
      <c r="AJ28" s="627">
        <f>-IFERROR(VLOOKUP($U28,'Trial Blc'!$B$4:AU$377,AJ$2,FALSE),0)</f>
        <v>0</v>
      </c>
      <c r="AK28" s="627">
        <f>-IFERROR(VLOOKUP($U28,'Trial Blc'!$B$4:AV$377,AK$2,FALSE),0)</f>
        <v>0</v>
      </c>
      <c r="AL28" s="627">
        <f>-IFERROR(VLOOKUP($U28,'Trial Blc'!$B$4:AW$377,AL$2,FALSE),0)</f>
        <v>0</v>
      </c>
      <c r="AM28" s="627">
        <f t="shared" si="17"/>
        <v>0</v>
      </c>
    </row>
    <row r="29" spans="1:40" s="87" customFormat="1">
      <c r="A29" s="87" t="s">
        <v>173</v>
      </c>
      <c r="B29" s="1531">
        <v>1130</v>
      </c>
      <c r="C29" s="111" t="s">
        <v>2122</v>
      </c>
      <c r="D29" s="627">
        <f>IFERROR(VLOOKUP($B29,'Trial Blc'!$B$4:O$377,D$2,FALSE),0)</f>
        <v>0</v>
      </c>
      <c r="E29" s="627"/>
      <c r="F29" s="627"/>
      <c r="G29" s="627">
        <f t="shared" si="14"/>
        <v>0</v>
      </c>
      <c r="H29" s="627">
        <f>IFERROR(VLOOKUP($B29,'Trial Blc'!$B$4:S$377,H$2,FALSE),0)</f>
        <v>0</v>
      </c>
      <c r="I29" s="627">
        <f>IFERROR(VLOOKUP($B29,'Trial Blc'!$B$4:T$377,I$2,FALSE),0)</f>
        <v>0</v>
      </c>
      <c r="J29" s="627">
        <f>IFERROR(VLOOKUP($B29,'Trial Blc'!$B$4:U$377,J$2,FALSE),0)</f>
        <v>0</v>
      </c>
      <c r="K29" s="627">
        <f>IFERROR(VLOOKUP($B29,'Trial Blc'!$B$4:V$377,K$2,FALSE),0)</f>
        <v>0</v>
      </c>
      <c r="L29" s="627">
        <f>IFERROR(VLOOKUP($B29,'Trial Blc'!$B$4:W$377,L$2,FALSE),0)</f>
        <v>0</v>
      </c>
      <c r="M29" s="627">
        <f>IFERROR(VLOOKUP($B29,'Trial Blc'!$B$4:X$377,M$2,FALSE),0)</f>
        <v>0</v>
      </c>
      <c r="N29" s="627">
        <f>IFERROR(VLOOKUP($B29,'Trial Blc'!$B$4:Y$377,N$2,FALSE),0)</f>
        <v>0</v>
      </c>
      <c r="O29" s="627">
        <f>IFERROR(VLOOKUP($B29,'Trial Blc'!$B$4:Z$377,O$2,FALSE),0)</f>
        <v>0</v>
      </c>
      <c r="P29" s="627">
        <f>IFERROR(VLOOKUP($B29,'Trial Blc'!$B$4:AA$377,P$2,FALSE),0)</f>
        <v>0</v>
      </c>
      <c r="Q29" s="627">
        <f>IFERROR(VLOOKUP($B29,'Trial Blc'!$B$4:AB$377,Q$2,FALSE),0)</f>
        <v>0</v>
      </c>
      <c r="R29" s="627">
        <f>IFERROR(VLOOKUP($B29,'Trial Blc'!$B$4:AC$377,R$2,FALSE),0)</f>
        <v>0</v>
      </c>
      <c r="S29" s="627">
        <f>IFERROR(VLOOKUP($B29,'Trial Blc'!$B$4:AD$377,S$2,FALSE),0)</f>
        <v>0</v>
      </c>
      <c r="T29" s="627">
        <f t="shared" si="15"/>
        <v>0</v>
      </c>
      <c r="U29" s="1536">
        <v>1925</v>
      </c>
      <c r="V29" s="87" t="s">
        <v>170</v>
      </c>
      <c r="W29" s="1670">
        <f>-IFERROR(VLOOKUP($U29,'Trial Blc'!$B$4:AH$377,W$2,FALSE),0)</f>
        <v>0</v>
      </c>
      <c r="X29" s="627"/>
      <c r="Y29" s="627"/>
      <c r="Z29" s="627">
        <f t="shared" si="16"/>
        <v>0</v>
      </c>
      <c r="AA29" s="627">
        <f>-IFERROR(VLOOKUP($U29,'Trial Blc'!$B$4:AL$377,AA$2,FALSE),0)</f>
        <v>0</v>
      </c>
      <c r="AB29" s="627">
        <f>-IFERROR(VLOOKUP($U29,'Trial Blc'!$B$4:AM$377,AB$2,FALSE),0)</f>
        <v>0</v>
      </c>
      <c r="AC29" s="627">
        <f>-IFERROR(VLOOKUP($U29,'Trial Blc'!$B$4:AN$377,AC$2,FALSE),0)</f>
        <v>0</v>
      </c>
      <c r="AD29" s="627">
        <f>-IFERROR(VLOOKUP($U29,'Trial Blc'!$B$4:AO$377,AD$2,FALSE),0)</f>
        <v>0</v>
      </c>
      <c r="AE29" s="627">
        <f>-IFERROR(VLOOKUP($U29,'Trial Blc'!$B$4:AP$377,AE$2,FALSE),0)</f>
        <v>0</v>
      </c>
      <c r="AF29" s="627">
        <f>-IFERROR(VLOOKUP($U29,'Trial Blc'!$B$4:AQ$377,AF$2,FALSE),0)</f>
        <v>0</v>
      </c>
      <c r="AG29" s="627">
        <f>-IFERROR(VLOOKUP($U29,'Trial Blc'!$B$4:AR$377,AG$2,FALSE),0)</f>
        <v>0</v>
      </c>
      <c r="AH29" s="627">
        <f>-IFERROR(VLOOKUP($U29,'Trial Blc'!$B$4:AS$377,AH$2,FALSE),0)</f>
        <v>0</v>
      </c>
      <c r="AI29" s="627">
        <f>-IFERROR(VLOOKUP($U29,'Trial Blc'!$B$4:AT$377,AI$2,FALSE),0)</f>
        <v>0</v>
      </c>
      <c r="AJ29" s="627">
        <f>-IFERROR(VLOOKUP($U29,'Trial Blc'!$B$4:AU$377,AJ$2,FALSE),0)</f>
        <v>0</v>
      </c>
      <c r="AK29" s="627">
        <f>-IFERROR(VLOOKUP($U29,'Trial Blc'!$B$4:AV$377,AK$2,FALSE),0)</f>
        <v>0</v>
      </c>
      <c r="AL29" s="627">
        <f>-IFERROR(VLOOKUP($U29,'Trial Blc'!$B$4:AW$377,AL$2,FALSE),0)</f>
        <v>0</v>
      </c>
      <c r="AM29" s="627">
        <f t="shared" si="17"/>
        <v>0</v>
      </c>
    </row>
    <row r="30" spans="1:40" s="87" customFormat="1">
      <c r="B30" s="1531"/>
      <c r="C30" s="111"/>
      <c r="D30" s="627"/>
      <c r="E30" s="627"/>
      <c r="F30" s="111"/>
      <c r="G30" s="627"/>
      <c r="H30" s="627"/>
      <c r="I30" s="627"/>
      <c r="J30" s="627"/>
      <c r="K30" s="627"/>
      <c r="L30" s="627"/>
      <c r="M30" s="627"/>
      <c r="N30" s="627"/>
      <c r="O30" s="627"/>
      <c r="P30" s="627"/>
      <c r="Q30" s="627"/>
      <c r="R30" s="627"/>
      <c r="S30" s="627"/>
      <c r="T30" s="627"/>
      <c r="U30" s="1536"/>
      <c r="W30" s="1670">
        <f>-IFERROR(VLOOKUP($U30,'Trial Blc'!$B$4:AH$377,W$2,FALSE),0)</f>
        <v>0</v>
      </c>
      <c r="X30" s="627"/>
      <c r="Y30" s="627"/>
      <c r="Z30" s="627">
        <f t="shared" si="16"/>
        <v>0</v>
      </c>
      <c r="AA30" s="627">
        <f>-IFERROR(VLOOKUP($U30,'Trial Blc'!$B$4:AL$377,AA$2,FALSE),0)</f>
        <v>0</v>
      </c>
      <c r="AB30" s="627">
        <f>-IFERROR(VLOOKUP($U30,'Trial Blc'!$B$4:AM$377,AB$2,FALSE),0)</f>
        <v>0</v>
      </c>
      <c r="AC30" s="627">
        <f>-IFERROR(VLOOKUP($U30,'Trial Blc'!$B$4:AN$377,AC$2,FALSE),0)</f>
        <v>0</v>
      </c>
      <c r="AD30" s="627">
        <f>-IFERROR(VLOOKUP($U30,'Trial Blc'!$B$4:AO$377,AD$2,FALSE),0)</f>
        <v>0</v>
      </c>
      <c r="AE30" s="627">
        <f>-IFERROR(VLOOKUP($U30,'Trial Blc'!$B$4:AP$377,AE$2,FALSE),0)</f>
        <v>0</v>
      </c>
      <c r="AF30" s="627">
        <f>-IFERROR(VLOOKUP($U30,'Trial Blc'!$B$4:AQ$377,AF$2,FALSE),0)</f>
        <v>0</v>
      </c>
      <c r="AG30" s="627">
        <f>-IFERROR(VLOOKUP($U30,'Trial Blc'!$B$4:AR$377,AG$2,FALSE),0)</f>
        <v>0</v>
      </c>
      <c r="AH30" s="627">
        <f>-IFERROR(VLOOKUP($U30,'Trial Blc'!$B$4:AS$377,AH$2,FALSE),0)</f>
        <v>0</v>
      </c>
      <c r="AI30" s="627">
        <f>-IFERROR(VLOOKUP($U30,'Trial Blc'!$B$4:AT$377,AI$2,FALSE),0)</f>
        <v>0</v>
      </c>
      <c r="AJ30" s="627">
        <f>-IFERROR(VLOOKUP($U30,'Trial Blc'!$B$4:AU$377,AJ$2,FALSE),0)</f>
        <v>0</v>
      </c>
      <c r="AK30" s="627">
        <f>-IFERROR(VLOOKUP($U30,'Trial Blc'!$B$4:AV$377,AK$2,FALSE),0)</f>
        <v>0</v>
      </c>
      <c r="AL30" s="627">
        <f>-IFERROR(VLOOKUP($U30,'Trial Blc'!$B$4:AW$377,AL$2,FALSE),0)</f>
        <v>0</v>
      </c>
      <c r="AM30" s="627">
        <f t="shared" si="17"/>
        <v>0</v>
      </c>
      <c r="AN30" s="89"/>
    </row>
    <row r="31" spans="1:40" s="87" customFormat="1">
      <c r="A31" s="87" t="s">
        <v>172</v>
      </c>
      <c r="B31" s="1531">
        <v>1135</v>
      </c>
      <c r="C31" s="111" t="s">
        <v>2123</v>
      </c>
      <c r="D31" s="627">
        <f>IFERROR(VLOOKUP($B31,'Trial Blc'!$B$4:O$377,D$2,FALSE),0)</f>
        <v>0</v>
      </c>
      <c r="E31" s="627"/>
      <c r="F31" s="627"/>
      <c r="G31" s="627">
        <f t="shared" ref="G31:G32" si="18">+D31+E31+F31</f>
        <v>0</v>
      </c>
      <c r="H31" s="627">
        <f>IFERROR(VLOOKUP($B31,'Trial Blc'!$B$4:S$377,H$2,FALSE),0)</f>
        <v>0</v>
      </c>
      <c r="I31" s="627">
        <f>IFERROR(VLOOKUP($B31,'Trial Blc'!$B$4:T$377,I$2,FALSE),0)</f>
        <v>0</v>
      </c>
      <c r="J31" s="627">
        <f>IFERROR(VLOOKUP($B31,'Trial Blc'!$B$4:U$377,J$2,FALSE),0)</f>
        <v>0</v>
      </c>
      <c r="K31" s="627">
        <f>IFERROR(VLOOKUP($B31,'Trial Blc'!$B$4:V$377,K$2,FALSE),0)</f>
        <v>0</v>
      </c>
      <c r="L31" s="627">
        <f>IFERROR(VLOOKUP($B31,'Trial Blc'!$B$4:W$377,L$2,FALSE),0)</f>
        <v>0</v>
      </c>
      <c r="M31" s="627">
        <f>IFERROR(VLOOKUP($B31,'Trial Blc'!$B$4:X$377,M$2,FALSE),0)</f>
        <v>0</v>
      </c>
      <c r="N31" s="627">
        <f>IFERROR(VLOOKUP($B31,'Trial Blc'!$B$4:Y$377,N$2,FALSE),0)</f>
        <v>0</v>
      </c>
      <c r="O31" s="627">
        <f>IFERROR(VLOOKUP($B31,'Trial Blc'!$B$4:Z$377,O$2,FALSE),0)</f>
        <v>0</v>
      </c>
      <c r="P31" s="627">
        <f>IFERROR(VLOOKUP($B31,'Trial Blc'!$B$4:AA$377,P$2,FALSE),0)</f>
        <v>0</v>
      </c>
      <c r="Q31" s="627">
        <f>IFERROR(VLOOKUP($B31,'Trial Blc'!$B$4:AB$377,Q$2,FALSE),0)</f>
        <v>0</v>
      </c>
      <c r="R31" s="627">
        <f>IFERROR(VLOOKUP($B31,'Trial Blc'!$B$4:AC$377,R$2,FALSE),0)</f>
        <v>0</v>
      </c>
      <c r="S31" s="627">
        <f>IFERROR(VLOOKUP($B31,'Trial Blc'!$B$4:AD$377,S$2,FALSE),0)</f>
        <v>0</v>
      </c>
      <c r="T31" s="627">
        <f t="shared" ref="T31:T32" si="19">AVERAGE(G31:S31)</f>
        <v>0</v>
      </c>
      <c r="U31" s="1536">
        <v>1930</v>
      </c>
      <c r="V31" s="87" t="s">
        <v>171</v>
      </c>
      <c r="W31" s="1670">
        <f>-IFERROR(VLOOKUP($U31,'Trial Blc'!$B$4:AH$377,W$2,FALSE),0)</f>
        <v>0</v>
      </c>
      <c r="X31" s="627"/>
      <c r="Y31" s="627"/>
      <c r="Z31" s="627">
        <f t="shared" si="16"/>
        <v>0</v>
      </c>
      <c r="AA31" s="627">
        <f>-IFERROR(VLOOKUP($U31,'Trial Blc'!$B$4:AL$377,AA$2,FALSE),0)</f>
        <v>0</v>
      </c>
      <c r="AB31" s="627">
        <f>-IFERROR(VLOOKUP($U31,'Trial Blc'!$B$4:AM$377,AB$2,FALSE),0)</f>
        <v>0</v>
      </c>
      <c r="AC31" s="627">
        <f>-IFERROR(VLOOKUP($U31,'Trial Blc'!$B$4:AN$377,AC$2,FALSE),0)</f>
        <v>0</v>
      </c>
      <c r="AD31" s="627">
        <f>-IFERROR(VLOOKUP($U31,'Trial Blc'!$B$4:AO$377,AD$2,FALSE),0)</f>
        <v>0</v>
      </c>
      <c r="AE31" s="627">
        <f>-IFERROR(VLOOKUP($U31,'Trial Blc'!$B$4:AP$377,AE$2,FALSE),0)</f>
        <v>0</v>
      </c>
      <c r="AF31" s="627">
        <f>-IFERROR(VLOOKUP($U31,'Trial Blc'!$B$4:AQ$377,AF$2,FALSE),0)</f>
        <v>0</v>
      </c>
      <c r="AG31" s="627">
        <f>-IFERROR(VLOOKUP($U31,'Trial Blc'!$B$4:AR$377,AG$2,FALSE),0)</f>
        <v>0</v>
      </c>
      <c r="AH31" s="627">
        <f>-IFERROR(VLOOKUP($U31,'Trial Blc'!$B$4:AS$377,AH$2,FALSE),0)</f>
        <v>0</v>
      </c>
      <c r="AI31" s="627">
        <f>-IFERROR(VLOOKUP($U31,'Trial Blc'!$B$4:AT$377,AI$2,FALSE),0)</f>
        <v>0</v>
      </c>
      <c r="AJ31" s="627">
        <f>-IFERROR(VLOOKUP($U31,'Trial Blc'!$B$4:AU$377,AJ$2,FALSE),0)</f>
        <v>0</v>
      </c>
      <c r="AK31" s="627">
        <f>-IFERROR(VLOOKUP($U31,'Trial Blc'!$B$4:AV$377,AK$2,FALSE),0)</f>
        <v>0</v>
      </c>
      <c r="AL31" s="627">
        <f>-IFERROR(VLOOKUP($U31,'Trial Blc'!$B$4:AW$377,AL$2,FALSE),0)</f>
        <v>0</v>
      </c>
      <c r="AM31" s="627">
        <f t="shared" si="17"/>
        <v>0</v>
      </c>
    </row>
    <row r="32" spans="1:40" s="87" customFormat="1">
      <c r="B32" s="1531">
        <v>1140</v>
      </c>
      <c r="C32" s="111" t="s">
        <v>2124</v>
      </c>
      <c r="D32" s="627">
        <f>IFERROR(VLOOKUP($B32,'Trial Blc'!$B$4:O$377,D$2,FALSE),0)</f>
        <v>0</v>
      </c>
      <c r="E32" s="627"/>
      <c r="F32" s="627"/>
      <c r="G32" s="627">
        <f t="shared" si="18"/>
        <v>0</v>
      </c>
      <c r="H32" s="627">
        <f>IFERROR(VLOOKUP($B32,'Trial Blc'!$B$4:S$377,H$2,FALSE),0)</f>
        <v>0</v>
      </c>
      <c r="I32" s="627">
        <f>IFERROR(VLOOKUP($B32,'Trial Blc'!$B$4:T$377,I$2,FALSE),0)</f>
        <v>0</v>
      </c>
      <c r="J32" s="627">
        <f>IFERROR(VLOOKUP($B32,'Trial Blc'!$B$4:U$377,J$2,FALSE),0)</f>
        <v>0</v>
      </c>
      <c r="K32" s="627">
        <f>IFERROR(VLOOKUP($B32,'Trial Blc'!$B$4:V$377,K$2,FALSE),0)</f>
        <v>0</v>
      </c>
      <c r="L32" s="627">
        <f>IFERROR(VLOOKUP($B32,'Trial Blc'!$B$4:W$377,L$2,FALSE),0)</f>
        <v>0</v>
      </c>
      <c r="M32" s="627">
        <f>IFERROR(VLOOKUP($B32,'Trial Blc'!$B$4:X$377,M$2,FALSE),0)</f>
        <v>0</v>
      </c>
      <c r="N32" s="627">
        <f>IFERROR(VLOOKUP($B32,'Trial Blc'!$B$4:Y$377,N$2,FALSE),0)</f>
        <v>0</v>
      </c>
      <c r="O32" s="627">
        <f>IFERROR(VLOOKUP($B32,'Trial Blc'!$B$4:Z$377,O$2,FALSE),0)</f>
        <v>0</v>
      </c>
      <c r="P32" s="627">
        <f>IFERROR(VLOOKUP($B32,'Trial Blc'!$B$4:AA$377,P$2,FALSE),0)</f>
        <v>0</v>
      </c>
      <c r="Q32" s="627">
        <f>IFERROR(VLOOKUP($B32,'Trial Blc'!$B$4:AB$377,Q$2,FALSE),0)</f>
        <v>0</v>
      </c>
      <c r="R32" s="627">
        <f>IFERROR(VLOOKUP($B32,'Trial Blc'!$B$4:AC$377,R$2,FALSE),0)</f>
        <v>0</v>
      </c>
      <c r="S32" s="627">
        <f>IFERROR(VLOOKUP($B32,'Trial Blc'!$B$4:AD$377,S$2,FALSE),0)</f>
        <v>0</v>
      </c>
      <c r="T32" s="627">
        <f t="shared" si="19"/>
        <v>0</v>
      </c>
      <c r="U32" s="1536">
        <v>1935</v>
      </c>
      <c r="V32" s="87" t="s">
        <v>174</v>
      </c>
      <c r="W32" s="1670">
        <f>-IFERROR(VLOOKUP($U32,'Trial Blc'!$B$4:AH$377,W$2,FALSE),0)</f>
        <v>0</v>
      </c>
      <c r="X32" s="627"/>
      <c r="Y32" s="627"/>
      <c r="Z32" s="627">
        <f t="shared" si="16"/>
        <v>0</v>
      </c>
      <c r="AA32" s="627">
        <f>-IFERROR(VLOOKUP($U32,'Trial Blc'!$B$4:AL$377,AA$2,FALSE),0)</f>
        <v>0</v>
      </c>
      <c r="AB32" s="627">
        <f>-IFERROR(VLOOKUP($U32,'Trial Blc'!$B$4:AM$377,AB$2,FALSE),0)</f>
        <v>0</v>
      </c>
      <c r="AC32" s="627">
        <f>-IFERROR(VLOOKUP($U32,'Trial Blc'!$B$4:AN$377,AC$2,FALSE),0)</f>
        <v>0</v>
      </c>
      <c r="AD32" s="627">
        <f>-IFERROR(VLOOKUP($U32,'Trial Blc'!$B$4:AO$377,AD$2,FALSE),0)</f>
        <v>0</v>
      </c>
      <c r="AE32" s="627">
        <f>-IFERROR(VLOOKUP($U32,'Trial Blc'!$B$4:AP$377,AE$2,FALSE),0)</f>
        <v>0</v>
      </c>
      <c r="AF32" s="627">
        <f>-IFERROR(VLOOKUP($U32,'Trial Blc'!$B$4:AQ$377,AF$2,FALSE),0)</f>
        <v>0</v>
      </c>
      <c r="AG32" s="627">
        <f>-IFERROR(VLOOKUP($U32,'Trial Blc'!$B$4:AR$377,AG$2,FALSE),0)</f>
        <v>0</v>
      </c>
      <c r="AH32" s="627">
        <f>-IFERROR(VLOOKUP($U32,'Trial Blc'!$B$4:AS$377,AH$2,FALSE),0)</f>
        <v>0</v>
      </c>
      <c r="AI32" s="627">
        <f>-IFERROR(VLOOKUP($U32,'Trial Blc'!$B$4:AT$377,AI$2,FALSE),0)</f>
        <v>0</v>
      </c>
      <c r="AJ32" s="627">
        <f>-IFERROR(VLOOKUP($U32,'Trial Blc'!$B$4:AU$377,AJ$2,FALSE),0)</f>
        <v>0</v>
      </c>
      <c r="AK32" s="627">
        <f>-IFERROR(VLOOKUP($U32,'Trial Blc'!$B$4:AV$377,AK$2,FALSE),0)</f>
        <v>0</v>
      </c>
      <c r="AL32" s="627">
        <f>-IFERROR(VLOOKUP($U32,'Trial Blc'!$B$4:AW$377,AL$2,FALSE),0)</f>
        <v>0</v>
      </c>
      <c r="AM32" s="627">
        <f t="shared" si="17"/>
        <v>0</v>
      </c>
    </row>
    <row r="33" spans="1:40" s="90" customFormat="1">
      <c r="A33" s="1540" t="s">
        <v>1085</v>
      </c>
      <c r="B33" s="1528"/>
      <c r="C33" s="112" t="s">
        <v>763</v>
      </c>
      <c r="D33" s="1541">
        <f>SUM(D31:D32)</f>
        <v>0</v>
      </c>
      <c r="E33" s="632"/>
      <c r="F33" s="1541">
        <f t="shared" ref="F33:T33" si="20">SUM(F31:F32)</f>
        <v>0</v>
      </c>
      <c r="G33" s="1541">
        <f t="shared" si="20"/>
        <v>0</v>
      </c>
      <c r="H33" s="1541">
        <f t="shared" si="20"/>
        <v>0</v>
      </c>
      <c r="I33" s="1541">
        <f t="shared" si="20"/>
        <v>0</v>
      </c>
      <c r="J33" s="1541">
        <f t="shared" si="20"/>
        <v>0</v>
      </c>
      <c r="K33" s="1541">
        <f t="shared" si="20"/>
        <v>0</v>
      </c>
      <c r="L33" s="1541">
        <f t="shared" si="20"/>
        <v>0</v>
      </c>
      <c r="M33" s="1541">
        <f t="shared" si="20"/>
        <v>0</v>
      </c>
      <c r="N33" s="1541">
        <f t="shared" si="20"/>
        <v>0</v>
      </c>
      <c r="O33" s="1541">
        <f t="shared" si="20"/>
        <v>0</v>
      </c>
      <c r="P33" s="1541">
        <f t="shared" si="20"/>
        <v>0</v>
      </c>
      <c r="Q33" s="1541">
        <f t="shared" si="20"/>
        <v>0</v>
      </c>
      <c r="R33" s="1541">
        <f t="shared" si="20"/>
        <v>0</v>
      </c>
      <c r="S33" s="1541">
        <f t="shared" si="20"/>
        <v>0</v>
      </c>
      <c r="T33" s="1541">
        <f t="shared" si="20"/>
        <v>0</v>
      </c>
      <c r="U33" s="1550"/>
      <c r="V33" s="91" t="s">
        <v>763</v>
      </c>
      <c r="W33" s="632">
        <f>SUM(W31:W32)</f>
        <v>0</v>
      </c>
      <c r="X33" s="1541">
        <f>SUM(X31:X32)</f>
        <v>0</v>
      </c>
      <c r="Y33" s="632"/>
      <c r="Z33" s="1541">
        <f>SUM(Z31:Z32)</f>
        <v>0</v>
      </c>
      <c r="AA33" s="632">
        <f t="shared" ref="AA33:AK33" si="21">SUM(AA31:AA32)</f>
        <v>0</v>
      </c>
      <c r="AB33" s="632">
        <f t="shared" si="21"/>
        <v>0</v>
      </c>
      <c r="AC33" s="632">
        <f t="shared" si="21"/>
        <v>0</v>
      </c>
      <c r="AD33" s="632">
        <f t="shared" si="21"/>
        <v>0</v>
      </c>
      <c r="AE33" s="632">
        <f t="shared" si="21"/>
        <v>0</v>
      </c>
      <c r="AF33" s="632">
        <f t="shared" si="21"/>
        <v>0</v>
      </c>
      <c r="AG33" s="632">
        <f t="shared" si="21"/>
        <v>0</v>
      </c>
      <c r="AH33" s="632">
        <f t="shared" si="21"/>
        <v>0</v>
      </c>
      <c r="AI33" s="632">
        <f t="shared" si="21"/>
        <v>0</v>
      </c>
      <c r="AJ33" s="632">
        <f t="shared" si="21"/>
        <v>0</v>
      </c>
      <c r="AK33" s="632">
        <f t="shared" si="21"/>
        <v>0</v>
      </c>
      <c r="AL33" s="632">
        <f>SUM(AL31:AL32)</f>
        <v>0</v>
      </c>
      <c r="AM33" s="90">
        <f t="shared" ref="AM33:AM36" si="22">AVERAGE(Z33:AL33)</f>
        <v>0</v>
      </c>
    </row>
    <row r="34" spans="1:40" s="87" customFormat="1">
      <c r="A34" s="87" t="s">
        <v>1086</v>
      </c>
      <c r="B34" s="1531">
        <v>1145</v>
      </c>
      <c r="C34" s="111" t="s">
        <v>2125</v>
      </c>
      <c r="D34" s="627">
        <f>IFERROR(VLOOKUP($B34,'Trial Blc'!$B$4:O$377,D$2,FALSE),0)</f>
        <v>0</v>
      </c>
      <c r="E34" s="627"/>
      <c r="F34" s="627"/>
      <c r="G34" s="627">
        <f t="shared" ref="G34:G36" si="23">+D34+E34+F34</f>
        <v>0</v>
      </c>
      <c r="H34" s="627">
        <f>IFERROR(VLOOKUP($B34,'Trial Blc'!$B$4:S$377,H$2,FALSE),0)</f>
        <v>0</v>
      </c>
      <c r="I34" s="627">
        <f>IFERROR(VLOOKUP($B34,'Trial Blc'!$B$4:T$377,I$2,FALSE),0)</f>
        <v>0</v>
      </c>
      <c r="J34" s="627">
        <f>IFERROR(VLOOKUP($B34,'Trial Blc'!$B$4:U$377,J$2,FALSE),0)</f>
        <v>0</v>
      </c>
      <c r="K34" s="627">
        <f>IFERROR(VLOOKUP($B34,'Trial Blc'!$B$4:V$377,K$2,FALSE),0)</f>
        <v>0</v>
      </c>
      <c r="L34" s="627">
        <f>IFERROR(VLOOKUP($B34,'Trial Blc'!$B$4:W$377,L$2,FALSE),0)</f>
        <v>0</v>
      </c>
      <c r="M34" s="627">
        <f>IFERROR(VLOOKUP($B34,'Trial Blc'!$B$4:X$377,M$2,FALSE),0)</f>
        <v>0</v>
      </c>
      <c r="N34" s="627">
        <f>IFERROR(VLOOKUP($B34,'Trial Blc'!$B$4:Y$377,N$2,FALSE),0)</f>
        <v>0</v>
      </c>
      <c r="O34" s="627">
        <f>IFERROR(VLOOKUP($B34,'Trial Blc'!$B$4:Z$377,O$2,FALSE),0)</f>
        <v>0</v>
      </c>
      <c r="P34" s="627">
        <f>IFERROR(VLOOKUP($B34,'Trial Blc'!$B$4:AA$377,P$2,FALSE),0)</f>
        <v>0</v>
      </c>
      <c r="Q34" s="627">
        <f>IFERROR(VLOOKUP($B34,'Trial Blc'!$B$4:AB$377,Q$2,FALSE),0)</f>
        <v>0</v>
      </c>
      <c r="R34" s="627">
        <f>IFERROR(VLOOKUP($B34,'Trial Blc'!$B$4:AC$377,R$2,FALSE),0)</f>
        <v>0</v>
      </c>
      <c r="S34" s="627">
        <f>IFERROR(VLOOKUP($B34,'Trial Blc'!$B$4:AD$377,S$2,FALSE),0)</f>
        <v>0</v>
      </c>
      <c r="T34" s="627">
        <f t="shared" ref="T34:T36" si="24">AVERAGE(G34:S34)</f>
        <v>0</v>
      </c>
      <c r="U34" s="1536">
        <v>1940</v>
      </c>
      <c r="V34" s="87" t="s">
        <v>175</v>
      </c>
      <c r="W34" s="1670">
        <f>-IFERROR(VLOOKUP($U34,'Trial Blc'!$B$4:AH$377,W$2,FALSE),0)</f>
        <v>0</v>
      </c>
      <c r="X34" s="627"/>
      <c r="Y34" s="627"/>
      <c r="Z34" s="627">
        <f t="shared" ref="Z34:Z36" si="25">+W34+X34+Y34</f>
        <v>0</v>
      </c>
      <c r="AA34" s="627">
        <f>-IFERROR(VLOOKUP($U34,'Trial Blc'!$B$4:AL$377,AA$2,FALSE),0)</f>
        <v>0</v>
      </c>
      <c r="AB34" s="627">
        <f>-IFERROR(VLOOKUP($U34,'Trial Blc'!$B$4:AM$377,AB$2,FALSE),0)</f>
        <v>0</v>
      </c>
      <c r="AC34" s="627">
        <f>-IFERROR(VLOOKUP($U34,'Trial Blc'!$B$4:AN$377,AC$2,FALSE),0)</f>
        <v>0</v>
      </c>
      <c r="AD34" s="627">
        <f>-IFERROR(VLOOKUP($U34,'Trial Blc'!$B$4:AO$377,AD$2,FALSE),0)</f>
        <v>0</v>
      </c>
      <c r="AE34" s="627">
        <f>-IFERROR(VLOOKUP($U34,'Trial Blc'!$B$4:AP$377,AE$2,FALSE),0)</f>
        <v>0</v>
      </c>
      <c r="AF34" s="627">
        <f>-IFERROR(VLOOKUP($U34,'Trial Blc'!$B$4:AQ$377,AF$2,FALSE),0)</f>
        <v>0</v>
      </c>
      <c r="AG34" s="627">
        <f>-IFERROR(VLOOKUP($U34,'Trial Blc'!$B$4:AR$377,AG$2,FALSE),0)</f>
        <v>0</v>
      </c>
      <c r="AH34" s="627">
        <f>-IFERROR(VLOOKUP($U34,'Trial Blc'!$B$4:AS$377,AH$2,FALSE),0)</f>
        <v>0</v>
      </c>
      <c r="AI34" s="627">
        <f>-IFERROR(VLOOKUP($U34,'Trial Blc'!$B$4:AT$377,AI$2,FALSE),0)</f>
        <v>0</v>
      </c>
      <c r="AJ34" s="627">
        <f>-IFERROR(VLOOKUP($U34,'Trial Blc'!$B$4:AU$377,AJ$2,FALSE),0)</f>
        <v>0</v>
      </c>
      <c r="AK34" s="627">
        <f>-IFERROR(VLOOKUP($U34,'Trial Blc'!$B$4:AV$377,AK$2,FALSE),0)</f>
        <v>0</v>
      </c>
      <c r="AL34" s="627">
        <f>-IFERROR(VLOOKUP($U34,'Trial Blc'!$B$4:AW$377,AL$2,FALSE),0)</f>
        <v>0</v>
      </c>
      <c r="AM34" s="627">
        <f t="shared" si="22"/>
        <v>0</v>
      </c>
    </row>
    <row r="35" spans="1:40" s="87" customFormat="1">
      <c r="A35" s="87" t="s">
        <v>155</v>
      </c>
      <c r="B35" s="1531">
        <v>1150</v>
      </c>
      <c r="C35" s="111" t="s">
        <v>2126</v>
      </c>
      <c r="D35" s="627">
        <f>IFERROR(VLOOKUP($B35,'Trial Blc'!$B$4:O$377,D$2,FALSE),0)</f>
        <v>0</v>
      </c>
      <c r="E35" s="627"/>
      <c r="F35" s="627"/>
      <c r="G35" s="627">
        <f t="shared" si="23"/>
        <v>0</v>
      </c>
      <c r="H35" s="627">
        <f>IFERROR(VLOOKUP($B35,'Trial Blc'!$B$4:S$377,H$2,FALSE),0)</f>
        <v>0</v>
      </c>
      <c r="I35" s="627">
        <f>IFERROR(VLOOKUP($B35,'Trial Blc'!$B$4:T$377,I$2,FALSE),0)</f>
        <v>0</v>
      </c>
      <c r="J35" s="627">
        <f>IFERROR(VLOOKUP($B35,'Trial Blc'!$B$4:U$377,J$2,FALSE),0)</f>
        <v>0</v>
      </c>
      <c r="K35" s="627">
        <f>IFERROR(VLOOKUP($B35,'Trial Blc'!$B$4:V$377,K$2,FALSE),0)</f>
        <v>0</v>
      </c>
      <c r="L35" s="627">
        <f>IFERROR(VLOOKUP($B35,'Trial Blc'!$B$4:W$377,L$2,FALSE),0)</f>
        <v>0</v>
      </c>
      <c r="M35" s="627">
        <f>IFERROR(VLOOKUP($B35,'Trial Blc'!$B$4:X$377,M$2,FALSE),0)</f>
        <v>0</v>
      </c>
      <c r="N35" s="627">
        <f>IFERROR(VLOOKUP($B35,'Trial Blc'!$B$4:Y$377,N$2,FALSE),0)</f>
        <v>0</v>
      </c>
      <c r="O35" s="627">
        <f>IFERROR(VLOOKUP($B35,'Trial Blc'!$B$4:Z$377,O$2,FALSE),0)</f>
        <v>0</v>
      </c>
      <c r="P35" s="627">
        <f>IFERROR(VLOOKUP($B35,'Trial Blc'!$B$4:AA$377,P$2,FALSE),0)</f>
        <v>0</v>
      </c>
      <c r="Q35" s="627">
        <f>IFERROR(VLOOKUP($B35,'Trial Blc'!$B$4:AB$377,Q$2,FALSE),0)</f>
        <v>0</v>
      </c>
      <c r="R35" s="627">
        <f>IFERROR(VLOOKUP($B35,'Trial Blc'!$B$4:AC$377,R$2,FALSE),0)</f>
        <v>0</v>
      </c>
      <c r="S35" s="627">
        <f>IFERROR(VLOOKUP($B35,'Trial Blc'!$B$4:AD$377,S$2,FALSE),0)</f>
        <v>0</v>
      </c>
      <c r="T35" s="627">
        <f t="shared" si="24"/>
        <v>0</v>
      </c>
      <c r="U35" s="1536">
        <v>1945</v>
      </c>
      <c r="V35" s="87" t="s">
        <v>180</v>
      </c>
      <c r="W35" s="1670">
        <f>-IFERROR(VLOOKUP($U35,'Trial Blc'!$B$4:AH$377,W$2,FALSE),0)</f>
        <v>0</v>
      </c>
      <c r="X35" s="627"/>
      <c r="Y35" s="627"/>
      <c r="Z35" s="627">
        <f t="shared" si="25"/>
        <v>0</v>
      </c>
      <c r="AA35" s="627">
        <f>-IFERROR(VLOOKUP($U35,'Trial Blc'!$B$4:AL$377,AA$2,FALSE),0)</f>
        <v>0</v>
      </c>
      <c r="AB35" s="627">
        <f>-IFERROR(VLOOKUP($U35,'Trial Blc'!$B$4:AM$377,AB$2,FALSE),0)</f>
        <v>0</v>
      </c>
      <c r="AC35" s="627">
        <f>-IFERROR(VLOOKUP($U35,'Trial Blc'!$B$4:AN$377,AC$2,FALSE),0)</f>
        <v>0</v>
      </c>
      <c r="AD35" s="627">
        <f>-IFERROR(VLOOKUP($U35,'Trial Blc'!$B$4:AO$377,AD$2,FALSE),0)</f>
        <v>0</v>
      </c>
      <c r="AE35" s="627">
        <f>-IFERROR(VLOOKUP($U35,'Trial Blc'!$B$4:AP$377,AE$2,FALSE),0)</f>
        <v>0</v>
      </c>
      <c r="AF35" s="627">
        <f>-IFERROR(VLOOKUP($U35,'Trial Blc'!$B$4:AQ$377,AF$2,FALSE),0)</f>
        <v>0</v>
      </c>
      <c r="AG35" s="627">
        <f>-IFERROR(VLOOKUP($U35,'Trial Blc'!$B$4:AR$377,AG$2,FALSE),0)</f>
        <v>0</v>
      </c>
      <c r="AH35" s="627">
        <f>-IFERROR(VLOOKUP($U35,'Trial Blc'!$B$4:AS$377,AH$2,FALSE),0)</f>
        <v>0</v>
      </c>
      <c r="AI35" s="627">
        <f>-IFERROR(VLOOKUP($U35,'Trial Blc'!$B$4:AT$377,AI$2,FALSE),0)</f>
        <v>0</v>
      </c>
      <c r="AJ35" s="627">
        <f>-IFERROR(VLOOKUP($U35,'Trial Blc'!$B$4:AU$377,AJ$2,FALSE),0)</f>
        <v>0</v>
      </c>
      <c r="AK35" s="627">
        <f>-IFERROR(VLOOKUP($U35,'Trial Blc'!$B$4:AV$377,AK$2,FALSE),0)</f>
        <v>0</v>
      </c>
      <c r="AL35" s="627">
        <f>-IFERROR(VLOOKUP($U35,'Trial Blc'!$B$4:AW$377,AL$2,FALSE),0)</f>
        <v>0</v>
      </c>
      <c r="AM35" s="627">
        <f t="shared" si="22"/>
        <v>0</v>
      </c>
    </row>
    <row r="36" spans="1:40" s="87" customFormat="1">
      <c r="A36" s="87" t="s">
        <v>1034</v>
      </c>
      <c r="B36" s="1531">
        <v>1170</v>
      </c>
      <c r="C36" s="111" t="s">
        <v>2127</v>
      </c>
      <c r="D36" s="627">
        <f>IFERROR(VLOOKUP($B36,'Trial Blc'!$B$4:O$377,D$2,FALSE),0)</f>
        <v>0</v>
      </c>
      <c r="E36" s="627"/>
      <c r="F36" s="627"/>
      <c r="G36" s="627">
        <f t="shared" si="23"/>
        <v>0</v>
      </c>
      <c r="H36" s="627">
        <f>IFERROR(VLOOKUP($B36,'Trial Blc'!$B$4:S$377,H$2,FALSE),0)</f>
        <v>0</v>
      </c>
      <c r="I36" s="627">
        <f>IFERROR(VLOOKUP($B36,'Trial Blc'!$B$4:T$377,I$2,FALSE),0)</f>
        <v>0</v>
      </c>
      <c r="J36" s="627">
        <f>IFERROR(VLOOKUP($B36,'Trial Blc'!$B$4:U$377,J$2,FALSE),0)</f>
        <v>0</v>
      </c>
      <c r="K36" s="627">
        <f>IFERROR(VLOOKUP($B36,'Trial Blc'!$B$4:V$377,K$2,FALSE),0)</f>
        <v>0</v>
      </c>
      <c r="L36" s="627">
        <f>IFERROR(VLOOKUP($B36,'Trial Blc'!$B$4:W$377,L$2,FALSE),0)</f>
        <v>0</v>
      </c>
      <c r="M36" s="627">
        <f>IFERROR(VLOOKUP($B36,'Trial Blc'!$B$4:X$377,M$2,FALSE),0)</f>
        <v>0</v>
      </c>
      <c r="N36" s="627">
        <f>IFERROR(VLOOKUP($B36,'Trial Blc'!$B$4:Y$377,N$2,FALSE),0)</f>
        <v>0</v>
      </c>
      <c r="O36" s="627">
        <f>IFERROR(VLOOKUP($B36,'Trial Blc'!$B$4:Z$377,O$2,FALSE),0)</f>
        <v>0</v>
      </c>
      <c r="P36" s="627">
        <f>IFERROR(VLOOKUP($B36,'Trial Blc'!$B$4:AA$377,P$2,FALSE),0)</f>
        <v>0</v>
      </c>
      <c r="Q36" s="627">
        <f>IFERROR(VLOOKUP($B36,'Trial Blc'!$B$4:AB$377,Q$2,FALSE),0)</f>
        <v>0</v>
      </c>
      <c r="R36" s="627">
        <f>IFERROR(VLOOKUP($B36,'Trial Blc'!$B$4:AC$377,R$2,FALSE),0)</f>
        <v>0</v>
      </c>
      <c r="S36" s="627">
        <f>IFERROR(VLOOKUP($B36,'Trial Blc'!$B$4:AD$377,S$2,FALSE),0)</f>
        <v>0</v>
      </c>
      <c r="T36" s="627">
        <f t="shared" si="24"/>
        <v>0</v>
      </c>
      <c r="U36" s="1536">
        <v>1965</v>
      </c>
      <c r="V36" s="87" t="s">
        <v>182</v>
      </c>
      <c r="W36" s="1670">
        <f>-IFERROR(VLOOKUP($U36,'Trial Blc'!$B$4:AH$377,W$2,FALSE),0)</f>
        <v>0</v>
      </c>
      <c r="X36" s="627"/>
      <c r="Y36" s="627"/>
      <c r="Z36" s="627">
        <f t="shared" si="25"/>
        <v>0</v>
      </c>
      <c r="AA36" s="627">
        <f>-IFERROR(VLOOKUP($U36,'Trial Blc'!$B$4:AL$377,AA$2,FALSE),0)</f>
        <v>0</v>
      </c>
      <c r="AB36" s="627">
        <f>-IFERROR(VLOOKUP($U36,'Trial Blc'!$B$4:AM$377,AB$2,FALSE),0)</f>
        <v>0</v>
      </c>
      <c r="AC36" s="627">
        <f>-IFERROR(VLOOKUP($U36,'Trial Blc'!$B$4:AN$377,AC$2,FALSE),0)</f>
        <v>0</v>
      </c>
      <c r="AD36" s="627">
        <f>-IFERROR(VLOOKUP($U36,'Trial Blc'!$B$4:AO$377,AD$2,FALSE),0)</f>
        <v>0</v>
      </c>
      <c r="AE36" s="627">
        <f>-IFERROR(VLOOKUP($U36,'Trial Blc'!$B$4:AP$377,AE$2,FALSE),0)</f>
        <v>0</v>
      </c>
      <c r="AF36" s="627">
        <f>-IFERROR(VLOOKUP($U36,'Trial Blc'!$B$4:AQ$377,AF$2,FALSE),0)</f>
        <v>0</v>
      </c>
      <c r="AG36" s="627">
        <f>-IFERROR(VLOOKUP($U36,'Trial Blc'!$B$4:AR$377,AG$2,FALSE),0)</f>
        <v>0</v>
      </c>
      <c r="AH36" s="627">
        <f>-IFERROR(VLOOKUP($U36,'Trial Blc'!$B$4:AS$377,AH$2,FALSE),0)</f>
        <v>0</v>
      </c>
      <c r="AI36" s="627">
        <f>-IFERROR(VLOOKUP($U36,'Trial Blc'!$B$4:AT$377,AI$2,FALSE),0)</f>
        <v>0</v>
      </c>
      <c r="AJ36" s="627">
        <f>-IFERROR(VLOOKUP($U36,'Trial Blc'!$B$4:AU$377,AJ$2,FALSE),0)</f>
        <v>0</v>
      </c>
      <c r="AK36" s="627">
        <f>-IFERROR(VLOOKUP($U36,'Trial Blc'!$B$4:AV$377,AK$2,FALSE),0)</f>
        <v>0</v>
      </c>
      <c r="AL36" s="627">
        <f>-IFERROR(VLOOKUP($U36,'Trial Blc'!$B$4:AW$377,AL$2,FALSE),0)</f>
        <v>0</v>
      </c>
      <c r="AM36" s="627">
        <f t="shared" si="22"/>
        <v>0</v>
      </c>
    </row>
    <row r="37" spans="1:40" s="87" customFormat="1">
      <c r="A37" s="90" t="s">
        <v>1172</v>
      </c>
      <c r="B37" s="1531"/>
      <c r="C37" s="111"/>
      <c r="D37" s="627"/>
      <c r="E37" s="627"/>
      <c r="F37" s="111"/>
      <c r="G37" s="627"/>
      <c r="H37" s="627"/>
      <c r="I37" s="627"/>
      <c r="J37" s="627"/>
      <c r="K37" s="627"/>
      <c r="L37" s="627"/>
      <c r="M37" s="627"/>
      <c r="N37" s="627"/>
      <c r="O37" s="627"/>
      <c r="P37" s="627"/>
      <c r="Q37" s="627"/>
      <c r="R37" s="627"/>
      <c r="S37" s="627"/>
      <c r="T37" s="627"/>
      <c r="U37" s="1550"/>
      <c r="V37" s="90" t="s">
        <v>1172</v>
      </c>
      <c r="W37" s="627"/>
      <c r="X37" s="111"/>
      <c r="Y37" s="627"/>
      <c r="Z37" s="627"/>
      <c r="AA37" s="627"/>
      <c r="AB37" s="627"/>
      <c r="AC37" s="627"/>
      <c r="AD37" s="627"/>
      <c r="AE37" s="627"/>
      <c r="AF37" s="627"/>
      <c r="AG37" s="627"/>
      <c r="AH37" s="627"/>
      <c r="AI37" s="627"/>
      <c r="AJ37" s="627"/>
      <c r="AK37" s="627"/>
      <c r="AL37" s="627"/>
      <c r="AM37" s="89"/>
      <c r="AN37" s="89"/>
    </row>
    <row r="38" spans="1:40" s="87" customFormat="1">
      <c r="A38" s="87" t="s">
        <v>833</v>
      </c>
      <c r="B38" s="1531">
        <v>1045</v>
      </c>
      <c r="C38" s="111" t="s">
        <v>158</v>
      </c>
      <c r="D38" s="1670">
        <f>IFERROR(VLOOKUP($B38,'Trial Blc'!$B$4:O$377,D$2,FALSE),0)</f>
        <v>1180.1300000000001</v>
      </c>
      <c r="E38" s="627"/>
      <c r="F38" s="627"/>
      <c r="G38" s="627">
        <f>+D38+E38+F38</f>
        <v>1180.1300000000001</v>
      </c>
      <c r="H38" s="627">
        <f>IFERROR(VLOOKUP($B38,'Trial Blc'!$B$4:S$377,H$2,FALSE),0)</f>
        <v>1179.57</v>
      </c>
      <c r="I38" s="627">
        <f>IFERROR(VLOOKUP($B38,'Trial Blc'!$B$4:T$377,I$2,FALSE),0)</f>
        <v>1167.67</v>
      </c>
      <c r="J38" s="627">
        <f>IFERROR(VLOOKUP($B38,'Trial Blc'!$B$4:U$377,J$2,FALSE),0)</f>
        <v>1165.6500000000001</v>
      </c>
      <c r="K38" s="627">
        <f>IFERROR(VLOOKUP($B38,'Trial Blc'!$B$4:V$377,K$2,FALSE),0)</f>
        <v>1168.97</v>
      </c>
      <c r="L38" s="627">
        <f>IFERROR(VLOOKUP($B38,'Trial Blc'!$B$4:W$377,L$2,FALSE),0)</f>
        <v>1167.5</v>
      </c>
      <c r="M38" s="627">
        <f>IFERROR(VLOOKUP($B38,'Trial Blc'!$B$4:X$377,M$2,FALSE),0)</f>
        <v>1167.6500000000001</v>
      </c>
      <c r="N38" s="627">
        <f>IFERROR(VLOOKUP($B38,'Trial Blc'!$B$4:Y$377,N$2,FALSE),0)</f>
        <v>1166.07</v>
      </c>
      <c r="O38" s="627">
        <f>IFERROR(VLOOKUP($B38,'Trial Blc'!$B$4:Z$377,O$2,FALSE),0)</f>
        <v>1164.4000000000001</v>
      </c>
      <c r="P38" s="627">
        <f>IFERROR(VLOOKUP($B38,'Trial Blc'!$B$4:AA$377,P$2,FALSE),0)</f>
        <v>1153.57</v>
      </c>
      <c r="Q38" s="627">
        <f>IFERROR(VLOOKUP($B38,'Trial Blc'!$B$4:AB$377,Q$2,FALSE),0)</f>
        <v>1153.3</v>
      </c>
      <c r="R38" s="627">
        <f>IFERROR(VLOOKUP($B38,'Trial Blc'!$B$4:AC$377,R$2,FALSE),0)</f>
        <v>1151.8</v>
      </c>
      <c r="S38" s="627">
        <f>IFERROR(VLOOKUP($B38,'Trial Blc'!$B$4:AD$377,S$2,FALSE),0)</f>
        <v>1150.73</v>
      </c>
      <c r="T38" s="627">
        <f>AVERAGE(G38:S38)</f>
        <v>1164.3853846153845</v>
      </c>
      <c r="U38" s="1536"/>
      <c r="W38" s="627"/>
      <c r="X38" s="111"/>
      <c r="Y38" s="627"/>
      <c r="Z38" s="627">
        <f>SUM(W38:Y38)</f>
        <v>0</v>
      </c>
      <c r="AA38" s="627"/>
      <c r="AB38" s="627"/>
      <c r="AC38" s="627"/>
      <c r="AD38" s="627"/>
      <c r="AE38" s="627"/>
      <c r="AF38" s="627"/>
      <c r="AG38" s="627"/>
      <c r="AH38" s="627"/>
      <c r="AI38" s="627"/>
      <c r="AJ38" s="627"/>
      <c r="AK38" s="627"/>
      <c r="AL38" s="627"/>
      <c r="AM38" s="89"/>
      <c r="AN38" s="89"/>
    </row>
    <row r="39" spans="1:40" s="87" customFormat="1">
      <c r="B39" s="1532"/>
      <c r="C39" s="113"/>
      <c r="D39" s="627"/>
      <c r="E39" s="627"/>
      <c r="F39" s="111"/>
      <c r="G39" s="627"/>
      <c r="H39" s="627"/>
      <c r="I39" s="627"/>
      <c r="J39" s="627"/>
      <c r="K39" s="627"/>
      <c r="L39" s="627"/>
      <c r="M39" s="627"/>
      <c r="N39" s="627"/>
      <c r="O39" s="627"/>
      <c r="P39" s="627"/>
      <c r="Q39" s="627"/>
      <c r="R39" s="627"/>
      <c r="S39" s="627"/>
      <c r="T39" s="627"/>
      <c r="U39" s="1536"/>
      <c r="W39" s="627"/>
      <c r="X39" s="111"/>
      <c r="Y39" s="627"/>
      <c r="Z39" s="627"/>
      <c r="AA39" s="627"/>
      <c r="AB39" s="627"/>
      <c r="AC39" s="627"/>
      <c r="AD39" s="627"/>
      <c r="AE39" s="627"/>
      <c r="AF39" s="627"/>
      <c r="AG39" s="627"/>
      <c r="AH39" s="627"/>
      <c r="AI39" s="627"/>
      <c r="AJ39" s="627"/>
      <c r="AK39" s="627"/>
      <c r="AL39" s="627"/>
      <c r="AM39" s="89"/>
      <c r="AN39" s="89"/>
    </row>
    <row r="40" spans="1:40" s="87" customFormat="1">
      <c r="A40" s="87" t="s">
        <v>834</v>
      </c>
      <c r="B40" s="1531"/>
      <c r="C40" s="111"/>
      <c r="D40" s="627"/>
      <c r="E40" s="627"/>
      <c r="F40" s="111"/>
      <c r="G40" s="627"/>
      <c r="H40" s="627"/>
      <c r="I40" s="627"/>
      <c r="J40" s="627"/>
      <c r="K40" s="627"/>
      <c r="L40" s="627"/>
      <c r="M40" s="627"/>
      <c r="N40" s="627"/>
      <c r="O40" s="627"/>
      <c r="P40" s="627"/>
      <c r="Q40" s="627"/>
      <c r="R40" s="627"/>
      <c r="S40" s="627"/>
      <c r="T40" s="627"/>
      <c r="U40" s="1536"/>
      <c r="W40" s="627"/>
      <c r="X40" s="111"/>
      <c r="Y40" s="627"/>
      <c r="Z40" s="627"/>
      <c r="AA40" s="627"/>
      <c r="AB40" s="627"/>
      <c r="AC40" s="627"/>
      <c r="AD40" s="627"/>
      <c r="AE40" s="627"/>
      <c r="AF40" s="627"/>
      <c r="AG40" s="627"/>
      <c r="AH40" s="627"/>
      <c r="AI40" s="627"/>
      <c r="AJ40" s="627"/>
      <c r="AK40" s="627"/>
      <c r="AL40" s="627"/>
      <c r="AM40" s="89"/>
      <c r="AN40" s="89"/>
    </row>
    <row r="41" spans="1:40" s="87" customFormat="1">
      <c r="B41" s="1531">
        <v>1065</v>
      </c>
      <c r="C41" s="111" t="s">
        <v>142</v>
      </c>
      <c r="D41" s="627">
        <f>IFERROR(VLOOKUP($B41,'Trial Blc'!$B$4:O$377,D$2,FALSE),0)</f>
        <v>0</v>
      </c>
      <c r="E41" s="627"/>
      <c r="F41" s="627"/>
      <c r="G41" s="627">
        <f t="shared" ref="G41:G42" si="26">+D41+E41+F41</f>
        <v>0</v>
      </c>
      <c r="H41" s="627">
        <f>IFERROR(VLOOKUP($B41,'Trial Blc'!$B$4:S$377,H$2,FALSE),0)</f>
        <v>0</v>
      </c>
      <c r="I41" s="627">
        <f>IFERROR(VLOOKUP($B41,'Trial Blc'!$B$4:T$377,I$2,FALSE),0)</f>
        <v>0</v>
      </c>
      <c r="J41" s="627">
        <f>IFERROR(VLOOKUP($B41,'Trial Blc'!$B$4:U$377,J$2,FALSE),0)</f>
        <v>0</v>
      </c>
      <c r="K41" s="627">
        <f>IFERROR(VLOOKUP($B41,'Trial Blc'!$B$4:V$377,K$2,FALSE),0)</f>
        <v>0</v>
      </c>
      <c r="L41" s="627">
        <f>IFERROR(VLOOKUP($B41,'Trial Blc'!$B$4:W$377,L$2,FALSE),0)</f>
        <v>0</v>
      </c>
      <c r="M41" s="627">
        <f>IFERROR(VLOOKUP($B41,'Trial Blc'!$B$4:X$377,M$2,FALSE),0)</f>
        <v>0</v>
      </c>
      <c r="N41" s="627">
        <f>IFERROR(VLOOKUP($B41,'Trial Blc'!$B$4:Y$377,N$2,FALSE),0)</f>
        <v>0</v>
      </c>
      <c r="O41" s="627">
        <f>IFERROR(VLOOKUP($B41,'Trial Blc'!$B$4:Z$377,O$2,FALSE),0)</f>
        <v>0</v>
      </c>
      <c r="P41" s="627">
        <f>IFERROR(VLOOKUP($B41,'Trial Blc'!$B$4:AA$377,P$2,FALSE),0)</f>
        <v>0</v>
      </c>
      <c r="Q41" s="627">
        <f>IFERROR(VLOOKUP($B41,'Trial Blc'!$B$4:AB$377,Q$2,FALSE),0)</f>
        <v>0</v>
      </c>
      <c r="R41" s="627">
        <f>IFERROR(VLOOKUP($B41,'Trial Blc'!$B$4:AC$377,R$2,FALSE),0)</f>
        <v>0</v>
      </c>
      <c r="S41" s="627">
        <f>IFERROR(VLOOKUP($B41,'Trial Blc'!$B$4:AD$377,S$2,FALSE),0)</f>
        <v>0</v>
      </c>
      <c r="T41" s="627">
        <f t="shared" ref="T41:T42" si="27">AVERAGE(G41:S41)</f>
        <v>0</v>
      </c>
      <c r="U41" s="1536">
        <v>1860</v>
      </c>
      <c r="V41" s="87" t="s">
        <v>176</v>
      </c>
      <c r="W41" s="1670">
        <f>-IFERROR(VLOOKUP($U41,'Trial Blc'!$B$4:AH$377,W$2,FALSE),0)</f>
        <v>0</v>
      </c>
      <c r="X41" s="627"/>
      <c r="Y41" s="627"/>
      <c r="Z41" s="627">
        <f t="shared" ref="Z41:Z42" si="28">+W41+X41+Y41</f>
        <v>0</v>
      </c>
      <c r="AA41" s="627">
        <f>-IFERROR(VLOOKUP($U41,'Trial Blc'!$B$4:AL$377,AA$2,FALSE),0)</f>
        <v>0</v>
      </c>
      <c r="AB41" s="627">
        <f>-IFERROR(VLOOKUP($U41,'Trial Blc'!$B$4:AM$377,AB$2,FALSE),0)</f>
        <v>0</v>
      </c>
      <c r="AC41" s="627">
        <f>-IFERROR(VLOOKUP($U41,'Trial Blc'!$B$4:AN$377,AC$2,FALSE),0)</f>
        <v>0</v>
      </c>
      <c r="AD41" s="627">
        <f>-IFERROR(VLOOKUP($U41,'Trial Blc'!$B$4:AO$377,AD$2,FALSE),0)</f>
        <v>0</v>
      </c>
      <c r="AE41" s="627">
        <f>-IFERROR(VLOOKUP($U41,'Trial Blc'!$B$4:AP$377,AE$2,FALSE),0)</f>
        <v>0</v>
      </c>
      <c r="AF41" s="627">
        <f>-IFERROR(VLOOKUP($U41,'Trial Blc'!$B$4:AQ$377,AF$2,FALSE),0)</f>
        <v>0</v>
      </c>
      <c r="AG41" s="627">
        <f>-IFERROR(VLOOKUP($U41,'Trial Blc'!$B$4:AR$377,AG$2,FALSE),0)</f>
        <v>0</v>
      </c>
      <c r="AH41" s="627">
        <f>-IFERROR(VLOOKUP($U41,'Trial Blc'!$B$4:AS$377,AH$2,FALSE),0)</f>
        <v>0</v>
      </c>
      <c r="AI41" s="627">
        <f>-IFERROR(VLOOKUP($U41,'Trial Blc'!$B$4:AT$377,AI$2,FALSE),0)</f>
        <v>0</v>
      </c>
      <c r="AJ41" s="627">
        <f>-IFERROR(VLOOKUP($U41,'Trial Blc'!$B$4:AU$377,AJ$2,FALSE),0)</f>
        <v>0</v>
      </c>
      <c r="AK41" s="627">
        <f>-IFERROR(VLOOKUP($U41,'Trial Blc'!$B$4:AV$377,AK$2,FALSE),0)</f>
        <v>0</v>
      </c>
      <c r="AL41" s="627">
        <f>-IFERROR(VLOOKUP($U41,'Trial Blc'!$B$4:AW$377,AL$2,FALSE),0)</f>
        <v>0</v>
      </c>
      <c r="AM41" s="627">
        <f t="shared" ref="AM41:AM42" si="29">AVERAGE(Z41:AL41)</f>
        <v>0</v>
      </c>
    </row>
    <row r="42" spans="1:40" s="87" customFormat="1">
      <c r="A42" s="507" t="s">
        <v>834</v>
      </c>
      <c r="B42" s="1531">
        <v>1175</v>
      </c>
      <c r="C42" s="111" t="s">
        <v>143</v>
      </c>
      <c r="D42" s="627">
        <f>IFERROR(VLOOKUP($B42,'Trial Blc'!$B$4:O$377,D$2,FALSE),0)</f>
        <v>87159.05</v>
      </c>
      <c r="E42" s="627"/>
      <c r="F42" s="627"/>
      <c r="G42" s="627">
        <f t="shared" si="26"/>
        <v>87159.05</v>
      </c>
      <c r="H42" s="627">
        <f>IFERROR(VLOOKUP($B42,'Trial Blc'!$B$4:S$377,H$2,FALSE),0)</f>
        <v>87099.96</v>
      </c>
      <c r="I42" s="627">
        <f>IFERROR(VLOOKUP($B42,'Trial Blc'!$B$4:T$377,I$2,FALSE),0)</f>
        <v>86652.18</v>
      </c>
      <c r="J42" s="627">
        <f>IFERROR(VLOOKUP($B42,'Trial Blc'!$B$4:U$377,J$2,FALSE),0)</f>
        <v>86535.9</v>
      </c>
      <c r="K42" s="627">
        <f>IFERROR(VLOOKUP($B42,'Trial Blc'!$B$4:V$377,K$2,FALSE),0)</f>
        <v>86599.96</v>
      </c>
      <c r="L42" s="627">
        <f>IFERROR(VLOOKUP($B42,'Trial Blc'!$B$4:W$377,L$2,FALSE),0)</f>
        <v>86479.8</v>
      </c>
      <c r="M42" s="627">
        <f>IFERROR(VLOOKUP($B42,'Trial Blc'!$B$4:X$377,M$2,FALSE),0)</f>
        <v>86605.59</v>
      </c>
      <c r="N42" s="627">
        <f>IFERROR(VLOOKUP($B42,'Trial Blc'!$B$4:Y$377,N$2,FALSE),0)</f>
        <v>86857.7</v>
      </c>
      <c r="O42" s="627">
        <f>IFERROR(VLOOKUP($B42,'Trial Blc'!$B$4:Z$377,O$2,FALSE),0)</f>
        <v>86766.66</v>
      </c>
      <c r="P42" s="627">
        <f>IFERROR(VLOOKUP($B42,'Trial Blc'!$B$4:AA$377,P$2,FALSE),0)</f>
        <v>86448.06</v>
      </c>
      <c r="Q42" s="627">
        <f>IFERROR(VLOOKUP($B42,'Trial Blc'!$B$4:AB$377,Q$2,FALSE),0)</f>
        <v>86414.81</v>
      </c>
      <c r="R42" s="627">
        <f>IFERROR(VLOOKUP($B42,'Trial Blc'!$B$4:AC$377,R$2,FALSE),0)</f>
        <v>86648.73</v>
      </c>
      <c r="S42" s="627">
        <f>IFERROR(VLOOKUP($B42,'Trial Blc'!$B$4:AD$377,S$2,FALSE),0)</f>
        <v>86814.98</v>
      </c>
      <c r="T42" s="627">
        <f t="shared" si="27"/>
        <v>86698.721538461527</v>
      </c>
      <c r="U42" s="1536">
        <v>1970</v>
      </c>
      <c r="V42" s="87" t="s">
        <v>184</v>
      </c>
      <c r="W42" s="1784">
        <f>-IFERROR(VLOOKUP($U42,'Trial Blc'!$B$4:AH$377,W$2,FALSE),0)</f>
        <v>36841.06</v>
      </c>
      <c r="X42" s="1658"/>
      <c r="Y42" s="1658"/>
      <c r="Z42" s="1658">
        <f t="shared" si="28"/>
        <v>36841.06</v>
      </c>
      <c r="AA42" s="1658">
        <f>-IFERROR(VLOOKUP($U42,'Trial Blc'!$B$4:AL$377,AA$2,FALSE),0)</f>
        <v>36966.92</v>
      </c>
      <c r="AB42" s="1658">
        <f>-IFERROR(VLOOKUP($U42,'Trial Blc'!$B$4:AM$377,AB$2,FALSE),0)</f>
        <v>36897.589999999997</v>
      </c>
      <c r="AC42" s="1658">
        <f>-IFERROR(VLOOKUP($U42,'Trial Blc'!$B$4:AN$377,AC$2,FALSE),0)</f>
        <v>36944.660000000003</v>
      </c>
      <c r="AD42" s="1658">
        <f>-IFERROR(VLOOKUP($U42,'Trial Blc'!$B$4:AO$377,AD$2,FALSE),0)</f>
        <v>37131.129999999997</v>
      </c>
      <c r="AE42" s="1658">
        <f>-IFERROR(VLOOKUP($U42,'Trial Blc'!$B$4:AP$377,AE$2,FALSE),0)</f>
        <v>37227.519999999997</v>
      </c>
      <c r="AF42" s="1658">
        <f>-IFERROR(VLOOKUP($U42,'Trial Blc'!$B$4:AQ$377,AF$2,FALSE),0)</f>
        <v>37364.019999999997</v>
      </c>
      <c r="AG42" s="1658">
        <f>-IFERROR(VLOOKUP($U42,'Trial Blc'!$B$4:AR$377,AG$2,FALSE),0)</f>
        <v>37477.74</v>
      </c>
      <c r="AH42" s="1658">
        <f>-IFERROR(VLOOKUP($U42,'Trial Blc'!$B$4:AS$377,AH$2,FALSE),0)</f>
        <v>37572.61</v>
      </c>
      <c r="AI42" s="1658">
        <f>-IFERROR(VLOOKUP($U42,'Trial Blc'!$B$4:AT$377,AI$2,FALSE),0)</f>
        <v>37527.599999999999</v>
      </c>
      <c r="AJ42" s="1658">
        <f>-IFERROR(VLOOKUP($U42,'Trial Blc'!$B$4:AU$377,AJ$2,FALSE),0)</f>
        <v>37662.25</v>
      </c>
      <c r="AK42" s="1658">
        <f>-IFERROR(VLOOKUP($U42,'Trial Blc'!$B$4:AV$377,AK$2,FALSE),0)</f>
        <v>37757.99</v>
      </c>
      <c r="AL42" s="1658">
        <f>-IFERROR(VLOOKUP($U42,'Trial Blc'!$B$4:AW$377,AL$2,FALSE),0)</f>
        <v>37881.11</v>
      </c>
      <c r="AM42" s="1658">
        <f t="shared" si="29"/>
        <v>37327.092307692299</v>
      </c>
    </row>
    <row r="43" spans="1:40" s="90" customFormat="1">
      <c r="A43" s="1540"/>
      <c r="B43" s="1528"/>
      <c r="C43" s="112" t="s">
        <v>763</v>
      </c>
      <c r="D43" s="1541">
        <f>SUM(D41:D42)</f>
        <v>87159.05</v>
      </c>
      <c r="E43" s="632"/>
      <c r="F43" s="1541">
        <f>SUM(F41:F42)</f>
        <v>0</v>
      </c>
      <c r="G43" s="1541">
        <f>SUM(G41:G42)</f>
        <v>87159.05</v>
      </c>
      <c r="H43" s="1541">
        <f>SUM(H41:H42)</f>
        <v>87099.96</v>
      </c>
      <c r="I43" s="1541">
        <f t="shared" ref="I43:S43" si="30">SUM(I41:I42)</f>
        <v>86652.18</v>
      </c>
      <c r="J43" s="1541">
        <f t="shared" si="30"/>
        <v>86535.9</v>
      </c>
      <c r="K43" s="1541">
        <f t="shared" si="30"/>
        <v>86599.96</v>
      </c>
      <c r="L43" s="1541">
        <f t="shared" si="30"/>
        <v>86479.8</v>
      </c>
      <c r="M43" s="1541">
        <f t="shared" si="30"/>
        <v>86605.59</v>
      </c>
      <c r="N43" s="1541">
        <f t="shared" si="30"/>
        <v>86857.7</v>
      </c>
      <c r="O43" s="1541">
        <f t="shared" si="30"/>
        <v>86766.66</v>
      </c>
      <c r="P43" s="1541">
        <f t="shared" si="30"/>
        <v>86448.06</v>
      </c>
      <c r="Q43" s="1541">
        <f t="shared" si="30"/>
        <v>86414.81</v>
      </c>
      <c r="R43" s="1541">
        <f t="shared" si="30"/>
        <v>86648.73</v>
      </c>
      <c r="S43" s="1541">
        <f t="shared" si="30"/>
        <v>86814.98</v>
      </c>
      <c r="T43" s="1541">
        <f>AVERAGE(G43:S43)</f>
        <v>86698.721538461527</v>
      </c>
      <c r="U43" s="1550"/>
      <c r="V43" s="91" t="s">
        <v>763</v>
      </c>
      <c r="W43" s="632">
        <f t="shared" ref="W43:AL43" si="31">SUM(W41:W42)</f>
        <v>36841.06</v>
      </c>
      <c r="X43" s="632">
        <f>SUM(X41:X42)</f>
        <v>0</v>
      </c>
      <c r="Y43" s="632"/>
      <c r="Z43" s="632">
        <f>SUM(Z41:Z42)</f>
        <v>36841.06</v>
      </c>
      <c r="AA43" s="632">
        <f t="shared" si="31"/>
        <v>36966.92</v>
      </c>
      <c r="AB43" s="632">
        <f t="shared" si="31"/>
        <v>36897.589999999997</v>
      </c>
      <c r="AC43" s="632">
        <f t="shared" si="31"/>
        <v>36944.660000000003</v>
      </c>
      <c r="AD43" s="632">
        <f t="shared" si="31"/>
        <v>37131.129999999997</v>
      </c>
      <c r="AE43" s="632">
        <f t="shared" si="31"/>
        <v>37227.519999999997</v>
      </c>
      <c r="AF43" s="632">
        <f t="shared" si="31"/>
        <v>37364.019999999997</v>
      </c>
      <c r="AG43" s="632">
        <f t="shared" si="31"/>
        <v>37477.74</v>
      </c>
      <c r="AH43" s="632">
        <f t="shared" si="31"/>
        <v>37572.61</v>
      </c>
      <c r="AI43" s="632">
        <f t="shared" si="31"/>
        <v>37527.599999999999</v>
      </c>
      <c r="AJ43" s="632">
        <f t="shared" si="31"/>
        <v>37662.25</v>
      </c>
      <c r="AK43" s="632">
        <f t="shared" si="31"/>
        <v>37757.99</v>
      </c>
      <c r="AL43" s="632">
        <f t="shared" si="31"/>
        <v>37881.11</v>
      </c>
      <c r="AM43" s="90">
        <f t="shared" ref="AM43" si="32">AVERAGE(Z43:AL43)</f>
        <v>37327.092307692299</v>
      </c>
    </row>
    <row r="44" spans="1:40" s="89" customFormat="1">
      <c r="A44" s="109"/>
      <c r="B44" s="1532"/>
      <c r="C44" s="113"/>
      <c r="D44" s="627"/>
      <c r="E44" s="627"/>
      <c r="F44" s="627"/>
      <c r="G44" s="627"/>
      <c r="H44" s="627"/>
      <c r="I44" s="627"/>
      <c r="J44" s="627"/>
      <c r="K44" s="627"/>
      <c r="L44" s="627"/>
      <c r="M44" s="627"/>
      <c r="N44" s="627"/>
      <c r="O44" s="627"/>
      <c r="P44" s="627"/>
      <c r="Q44" s="627"/>
      <c r="R44" s="627"/>
      <c r="S44" s="627"/>
      <c r="T44" s="627"/>
      <c r="U44" s="1551"/>
      <c r="V44" s="852"/>
      <c r="W44" s="627"/>
      <c r="X44" s="627"/>
      <c r="Y44" s="627"/>
      <c r="Z44" s="627"/>
      <c r="AA44" s="627"/>
      <c r="AB44" s="627"/>
      <c r="AC44" s="627"/>
      <c r="AD44" s="627"/>
      <c r="AE44" s="627"/>
      <c r="AF44" s="627"/>
      <c r="AG44" s="627"/>
      <c r="AH44" s="627"/>
      <c r="AI44" s="627"/>
      <c r="AJ44" s="627"/>
      <c r="AK44" s="627"/>
      <c r="AL44" s="627"/>
    </row>
    <row r="45" spans="1:40" s="87" customFormat="1">
      <c r="A45" s="87" t="s">
        <v>145</v>
      </c>
      <c r="B45" s="1531">
        <v>1180</v>
      </c>
      <c r="C45" s="111" t="s">
        <v>144</v>
      </c>
      <c r="D45" s="627">
        <f>IFERROR(VLOOKUP($B45,'Trial Blc'!$B$4:O$377,D$2,FALSE),0)</f>
        <v>29121.16</v>
      </c>
      <c r="E45" s="627"/>
      <c r="F45" s="627"/>
      <c r="G45" s="627">
        <f>+D45+E45+F45</f>
        <v>29121.16</v>
      </c>
      <c r="H45" s="627">
        <f>IFERROR(VLOOKUP($B45,'Trial Blc'!$B$4:S$377,H$2,FALSE),0)</f>
        <v>29159.439999999999</v>
      </c>
      <c r="I45" s="627">
        <f>IFERROR(VLOOKUP($B45,'Trial Blc'!$B$4:T$377,I$2,FALSE),0)</f>
        <v>28989.57</v>
      </c>
      <c r="J45" s="627">
        <f>IFERROR(VLOOKUP($B45,'Trial Blc'!$B$4:U$377,J$2,FALSE),0)</f>
        <v>28932.07</v>
      </c>
      <c r="K45" s="627">
        <f>IFERROR(VLOOKUP($B45,'Trial Blc'!$B$4:V$377,K$2,FALSE),0)</f>
        <v>28974.400000000001</v>
      </c>
      <c r="L45" s="627">
        <f>IFERROR(VLOOKUP($B45,'Trial Blc'!$B$4:W$377,L$2,FALSE),0)</f>
        <v>29116.97</v>
      </c>
      <c r="M45" s="627">
        <f>IFERROR(VLOOKUP($B45,'Trial Blc'!$B$4:X$377,M$2,FALSE),0)</f>
        <v>29185.63</v>
      </c>
      <c r="N45" s="627">
        <f>IFERROR(VLOOKUP($B45,'Trial Blc'!$B$4:Y$377,N$2,FALSE),0)</f>
        <v>29187.15</v>
      </c>
      <c r="O45" s="627">
        <f>IFERROR(VLOOKUP($B45,'Trial Blc'!$B$4:Z$377,O$2,FALSE),0)</f>
        <v>29145.18</v>
      </c>
      <c r="P45" s="627">
        <f>IFERROR(VLOOKUP($B45,'Trial Blc'!$B$4:AA$377,P$2,FALSE),0)</f>
        <v>28945.9</v>
      </c>
      <c r="Q45" s="627">
        <f>IFERROR(VLOOKUP($B45,'Trial Blc'!$B$4:AB$377,Q$2,FALSE),0)</f>
        <v>28967.62</v>
      </c>
      <c r="R45" s="627">
        <f>IFERROR(VLOOKUP($B45,'Trial Blc'!$B$4:AC$377,R$2,FALSE),0)</f>
        <v>28936.31</v>
      </c>
      <c r="S45" s="627">
        <f>IFERROR(VLOOKUP($B45,'Trial Blc'!$B$4:AD$377,S$2,FALSE),0)</f>
        <v>29027.1</v>
      </c>
      <c r="T45" s="627">
        <f>AVERAGE(G45:S45)</f>
        <v>29052.961538461535</v>
      </c>
      <c r="U45" s="1536">
        <v>1975</v>
      </c>
      <c r="V45" s="87" t="s">
        <v>185</v>
      </c>
      <c r="W45" s="1670">
        <f>-IFERROR(VLOOKUP($U45,'Trial Blc'!$B$4:AH$377,W$2,FALSE),0)</f>
        <v>25158.47</v>
      </c>
      <c r="X45" s="627"/>
      <c r="Y45" s="627"/>
      <c r="Z45" s="627">
        <f t="shared" ref="Z45" si="33">+W45+X45+Y45</f>
        <v>25158.47</v>
      </c>
      <c r="AA45" s="627">
        <f>-IFERROR(VLOOKUP($U45,'Trial Blc'!$B$4:AL$377,AA$2,FALSE),0)</f>
        <v>25233.83</v>
      </c>
      <c r="AB45" s="627">
        <f>-IFERROR(VLOOKUP($U45,'Trial Blc'!$B$4:AM$377,AB$2,FALSE),0)</f>
        <v>25153.919999999998</v>
      </c>
      <c r="AC45" s="627">
        <f>-IFERROR(VLOOKUP($U45,'Trial Blc'!$B$4:AN$377,AC$2,FALSE),0)</f>
        <v>25179.919999999998</v>
      </c>
      <c r="AD45" s="627">
        <f>-IFERROR(VLOOKUP($U45,'Trial Blc'!$B$4:AO$377,AD$2,FALSE),0)</f>
        <v>25304.89</v>
      </c>
      <c r="AE45" s="627">
        <f>-IFERROR(VLOOKUP($U45,'Trial Blc'!$B$4:AP$377,AE$2,FALSE),0)</f>
        <v>25360.91</v>
      </c>
      <c r="AF45" s="627">
        <f>-IFERROR(VLOOKUP($U45,'Trial Blc'!$B$4:AQ$377,AF$2,FALSE),0)</f>
        <v>25446.01</v>
      </c>
      <c r="AG45" s="627">
        <f>-IFERROR(VLOOKUP($U45,'Trial Blc'!$B$4:AR$377,AG$2,FALSE),0)</f>
        <v>25511.200000000001</v>
      </c>
      <c r="AH45" s="627">
        <f>-IFERROR(VLOOKUP($U45,'Trial Blc'!$B$4:AS$377,AH$2,FALSE),0)</f>
        <v>25565.63</v>
      </c>
      <c r="AI45" s="627">
        <f>-IFERROR(VLOOKUP($U45,'Trial Blc'!$B$4:AT$377,AI$2,FALSE),0)</f>
        <v>25504.15</v>
      </c>
      <c r="AJ45" s="627">
        <f>-IFERROR(VLOOKUP($U45,'Trial Blc'!$B$4:AU$377,AJ$2,FALSE),0)</f>
        <v>25586.27</v>
      </c>
      <c r="AK45" s="627">
        <f>-IFERROR(VLOOKUP($U45,'Trial Blc'!$B$4:AV$377,AK$2,FALSE),0)</f>
        <v>25641.55</v>
      </c>
      <c r="AL45" s="627">
        <f>-IFERROR(VLOOKUP($U45,'Trial Blc'!$B$4:AW$377,AL$2,FALSE),0)</f>
        <v>25714.16</v>
      </c>
      <c r="AM45" s="627">
        <f t="shared" ref="AM45" si="34">AVERAGE(Z45:AL45)</f>
        <v>25412.377692307691</v>
      </c>
    </row>
    <row r="46" spans="1:40" s="87" customFormat="1">
      <c r="B46" s="1533"/>
      <c r="C46" s="686"/>
      <c r="D46" s="627"/>
      <c r="E46" s="627"/>
      <c r="F46" s="111"/>
      <c r="G46" s="627"/>
      <c r="H46" s="627"/>
      <c r="I46" s="627"/>
      <c r="J46" s="627"/>
      <c r="K46" s="627"/>
      <c r="L46" s="627"/>
      <c r="M46" s="627"/>
      <c r="N46" s="627"/>
      <c r="O46" s="627"/>
      <c r="P46" s="627"/>
      <c r="Q46" s="627"/>
      <c r="R46" s="627"/>
      <c r="S46" s="627"/>
      <c r="T46" s="627"/>
      <c r="U46" s="1536"/>
      <c r="W46" s="627"/>
      <c r="X46" s="111"/>
      <c r="Y46" s="627"/>
      <c r="Z46" s="627">
        <f>+W46+X46</f>
        <v>0</v>
      </c>
      <c r="AA46" s="627"/>
      <c r="AB46" s="627"/>
      <c r="AC46" s="627"/>
      <c r="AD46" s="627"/>
      <c r="AE46" s="627"/>
      <c r="AF46" s="627"/>
      <c r="AG46" s="627"/>
      <c r="AH46" s="627"/>
      <c r="AI46" s="627"/>
      <c r="AJ46" s="627"/>
      <c r="AK46" s="627"/>
      <c r="AL46" s="627"/>
      <c r="AM46" s="89"/>
      <c r="AN46" s="89"/>
    </row>
    <row r="47" spans="1:40" s="685" customFormat="1">
      <c r="A47" s="685" t="s">
        <v>145</v>
      </c>
      <c r="B47" s="1533">
        <v>1575</v>
      </c>
      <c r="C47" s="686" t="s">
        <v>2128</v>
      </c>
      <c r="D47" s="627">
        <f>IFERROR(VLOOKUP($B47,'Trial Blc'!$B$4:O$377,D$2,FALSE),0)</f>
        <v>-191</v>
      </c>
      <c r="E47" s="627"/>
      <c r="F47" s="627"/>
      <c r="G47" s="627">
        <f t="shared" ref="G47:G51" si="35">+D47+E47+F47</f>
        <v>-191</v>
      </c>
      <c r="H47" s="627">
        <f>IFERROR(VLOOKUP($B47,'Trial Blc'!$B$4:S$377,H$2,FALSE),0)</f>
        <v>-191</v>
      </c>
      <c r="I47" s="627">
        <f>IFERROR(VLOOKUP($B47,'Trial Blc'!$B$4:T$377,I$2,FALSE),0)</f>
        <v>-191</v>
      </c>
      <c r="J47" s="627">
        <f>IFERROR(VLOOKUP($B47,'Trial Blc'!$B$4:U$377,J$2,FALSE),0)</f>
        <v>-191</v>
      </c>
      <c r="K47" s="627">
        <f>IFERROR(VLOOKUP($B47,'Trial Blc'!$B$4:V$377,K$2,FALSE),0)</f>
        <v>-191</v>
      </c>
      <c r="L47" s="627">
        <f>IFERROR(VLOOKUP($B47,'Trial Blc'!$B$4:W$377,L$2,FALSE),0)</f>
        <v>-191</v>
      </c>
      <c r="M47" s="627">
        <f>IFERROR(VLOOKUP($B47,'Trial Blc'!$B$4:X$377,M$2,FALSE),0)</f>
        <v>-191</v>
      </c>
      <c r="N47" s="627">
        <f>IFERROR(VLOOKUP($B47,'Trial Blc'!$B$4:Y$377,N$2,FALSE),0)</f>
        <v>-191</v>
      </c>
      <c r="O47" s="627">
        <f>IFERROR(VLOOKUP($B47,'Trial Blc'!$B$4:Z$377,O$2,FALSE),0)</f>
        <v>-191</v>
      </c>
      <c r="P47" s="627">
        <f>IFERROR(VLOOKUP($B47,'Trial Blc'!$B$4:AA$377,P$2,FALSE),0)</f>
        <v>-191</v>
      </c>
      <c r="Q47" s="627">
        <f>IFERROR(VLOOKUP($B47,'Trial Blc'!$B$4:AB$377,Q$2,FALSE),0)</f>
        <v>-191</v>
      </c>
      <c r="R47" s="627">
        <f>IFERROR(VLOOKUP($B47,'Trial Blc'!$B$4:AC$377,R$2,FALSE),0)</f>
        <v>-191</v>
      </c>
      <c r="S47" s="627">
        <f>IFERROR(VLOOKUP($B47,'Trial Blc'!$B$4:AD$377,S$2,FALSE),0)</f>
        <v>-191</v>
      </c>
      <c r="T47" s="627">
        <f t="shared" ref="T47:T51" si="36">AVERAGE(G47:S47)</f>
        <v>-191</v>
      </c>
      <c r="U47" s="1553">
        <v>2315</v>
      </c>
      <c r="V47" s="685" t="s">
        <v>1559</v>
      </c>
      <c r="W47" s="1670">
        <f>-IFERROR(VLOOKUP($U47,'Trial Blc'!$B$4:AH$377,W$2,FALSE),0)</f>
        <v>-31.8</v>
      </c>
      <c r="X47" s="627"/>
      <c r="Y47" s="627"/>
      <c r="Z47" s="627">
        <f t="shared" ref="Z47:Z51" si="37">+W47+X47+Y47</f>
        <v>-31.8</v>
      </c>
      <c r="AA47" s="627">
        <f>-IFERROR(VLOOKUP($U47,'Trial Blc'!$B$4:AL$377,AA$2,FALSE),0)</f>
        <v>-34.979999999999997</v>
      </c>
      <c r="AB47" s="627">
        <f>-IFERROR(VLOOKUP($U47,'Trial Blc'!$B$4:AM$377,AB$2,FALSE),0)</f>
        <v>-38.159999999999997</v>
      </c>
      <c r="AC47" s="627">
        <f>-IFERROR(VLOOKUP($U47,'Trial Blc'!$B$4:AN$377,AC$2,FALSE),0)</f>
        <v>-41.34</v>
      </c>
      <c r="AD47" s="627">
        <f>-IFERROR(VLOOKUP($U47,'Trial Blc'!$B$4:AO$377,AD$2,FALSE),0)</f>
        <v>-54.17</v>
      </c>
      <c r="AE47" s="627">
        <f>-IFERROR(VLOOKUP($U47,'Trial Blc'!$B$4:AP$377,AE$2,FALSE),0)</f>
        <v>-57.36</v>
      </c>
      <c r="AF47" s="627">
        <f>-IFERROR(VLOOKUP($U47,'Trial Blc'!$B$4:AQ$377,AF$2,FALSE),0)</f>
        <v>-60.54</v>
      </c>
      <c r="AG47" s="627">
        <f>-IFERROR(VLOOKUP($U47,'Trial Blc'!$B$4:AR$377,AG$2,FALSE),0)</f>
        <v>-63.72</v>
      </c>
      <c r="AH47" s="627">
        <f>-IFERROR(VLOOKUP($U47,'Trial Blc'!$B$4:AS$377,AH$2,FALSE),0)</f>
        <v>-66.91</v>
      </c>
      <c r="AI47" s="627">
        <f>-IFERROR(VLOOKUP($U47,'Trial Blc'!$B$4:AT$377,AI$2,FALSE),0)</f>
        <v>-70.09</v>
      </c>
      <c r="AJ47" s="627">
        <f>-IFERROR(VLOOKUP($U47,'Trial Blc'!$B$4:AU$377,AJ$2,FALSE),0)</f>
        <v>-73.27</v>
      </c>
      <c r="AK47" s="627">
        <f>-IFERROR(VLOOKUP($U47,'Trial Blc'!$B$4:AV$377,AK$2,FALSE),0)</f>
        <v>-76.459999999999994</v>
      </c>
      <c r="AL47" s="627">
        <f>-IFERROR(VLOOKUP($U47,'Trial Blc'!$B$4:AW$377,AL$2,FALSE),0)</f>
        <v>-79.64</v>
      </c>
      <c r="AM47" s="627">
        <f t="shared" ref="AM47:AM51" si="38">AVERAGE(Z47:AL47)</f>
        <v>-57.572307692307696</v>
      </c>
      <c r="AN47" s="89"/>
    </row>
    <row r="48" spans="1:40" s="685" customFormat="1">
      <c r="B48" s="1533">
        <v>1580</v>
      </c>
      <c r="C48" s="686" t="s">
        <v>2129</v>
      </c>
      <c r="D48" s="627">
        <f>IFERROR(VLOOKUP($B48,'Trial Blc'!$B$4:O$377,D$2,FALSE),0)</f>
        <v>14588.19</v>
      </c>
      <c r="E48" s="627"/>
      <c r="F48" s="627"/>
      <c r="G48" s="627">
        <f t="shared" si="35"/>
        <v>14588.19</v>
      </c>
      <c r="H48" s="627">
        <f>IFERROR(VLOOKUP($B48,'Trial Blc'!$B$4:S$377,H$2,FALSE),0)</f>
        <v>14580.88</v>
      </c>
      <c r="I48" s="627">
        <f>IFERROR(VLOOKUP($B48,'Trial Blc'!$B$4:T$377,I$2,FALSE),0)</f>
        <v>14443.09</v>
      </c>
      <c r="J48" s="627">
        <f>IFERROR(VLOOKUP($B48,'Trial Blc'!$B$4:U$377,J$2,FALSE),0)</f>
        <v>14415.89</v>
      </c>
      <c r="K48" s="627">
        <f>IFERROR(VLOOKUP($B48,'Trial Blc'!$B$4:V$377,K$2,FALSE),0)</f>
        <v>14452.84</v>
      </c>
      <c r="L48" s="627">
        <f>IFERROR(VLOOKUP($B48,'Trial Blc'!$B$4:W$377,L$2,FALSE),0)</f>
        <v>14434.32</v>
      </c>
      <c r="M48" s="627">
        <f>IFERROR(VLOOKUP($B48,'Trial Blc'!$B$4:X$377,M$2,FALSE),0)</f>
        <v>14435.17</v>
      </c>
      <c r="N48" s="627">
        <f>IFERROR(VLOOKUP($B48,'Trial Blc'!$B$4:Y$377,N$2,FALSE),0)</f>
        <v>14420.92</v>
      </c>
      <c r="O48" s="627">
        <f>IFERROR(VLOOKUP($B48,'Trial Blc'!$B$4:Z$377,O$2,FALSE),0)</f>
        <v>14400.28</v>
      </c>
      <c r="P48" s="627">
        <f>IFERROR(VLOOKUP($B48,'Trial Blc'!$B$4:AA$377,P$2,FALSE),0)</f>
        <v>14275.42</v>
      </c>
      <c r="Q48" s="627">
        <f>IFERROR(VLOOKUP($B48,'Trial Blc'!$B$4:AB$377,Q$2,FALSE),0)</f>
        <v>14271.76</v>
      </c>
      <c r="R48" s="627">
        <f>IFERROR(VLOOKUP($B48,'Trial Blc'!$B$4:AC$377,R$2,FALSE),0)</f>
        <v>14252.97</v>
      </c>
      <c r="S48" s="627">
        <f>IFERROR(VLOOKUP($B48,'Trial Blc'!$B$4:AD$377,S$2,FALSE),0)</f>
        <v>14240.29</v>
      </c>
      <c r="T48" s="627">
        <f t="shared" si="36"/>
        <v>14400.924615384616</v>
      </c>
      <c r="U48" s="1553">
        <v>2320</v>
      </c>
      <c r="V48" s="685" t="s">
        <v>1560</v>
      </c>
      <c r="W48" s="1670">
        <f>-IFERROR(VLOOKUP($U48,'Trial Blc'!$B$4:AH$377,W$2,FALSE),0)</f>
        <v>14567.72</v>
      </c>
      <c r="X48" s="627"/>
      <c r="Y48" s="627"/>
      <c r="Z48" s="627">
        <f t="shared" si="37"/>
        <v>14567.72</v>
      </c>
      <c r="AA48" s="627">
        <f>-IFERROR(VLOOKUP($U48,'Trial Blc'!$B$4:AL$377,AA$2,FALSE),0)</f>
        <v>14561.79</v>
      </c>
      <c r="AB48" s="627">
        <f>-IFERROR(VLOOKUP($U48,'Trial Blc'!$B$4:AM$377,AB$2,FALSE),0)</f>
        <v>14425.55</v>
      </c>
      <c r="AC48" s="627">
        <f>-IFERROR(VLOOKUP($U48,'Trial Blc'!$B$4:AN$377,AC$2,FALSE),0)</f>
        <v>14399.72</v>
      </c>
      <c r="AD48" s="627">
        <f>-IFERROR(VLOOKUP($U48,'Trial Blc'!$B$4:AO$377,AD$2,FALSE),0)</f>
        <v>14437.99</v>
      </c>
      <c r="AE48" s="627">
        <f>-IFERROR(VLOOKUP($U48,'Trial Blc'!$B$4:AP$377,AE$2,FALSE),0)</f>
        <v>14420.84</v>
      </c>
      <c r="AF48" s="627">
        <f>-IFERROR(VLOOKUP($U48,'Trial Blc'!$B$4:AQ$377,AF$2,FALSE),0)</f>
        <v>14423.04</v>
      </c>
      <c r="AG48" s="627">
        <f>-IFERROR(VLOOKUP($U48,'Trial Blc'!$B$4:AR$377,AG$2,FALSE),0)</f>
        <v>14405.87</v>
      </c>
      <c r="AH48" s="627">
        <f>-IFERROR(VLOOKUP($U48,'Trial Blc'!$B$4:AS$377,AH$2,FALSE),0)</f>
        <v>14386.67</v>
      </c>
      <c r="AI48" s="627">
        <f>-IFERROR(VLOOKUP($U48,'Trial Blc'!$B$4:AT$377,AI$2,FALSE),0)</f>
        <v>14263.36</v>
      </c>
      <c r="AJ48" s="627">
        <f>-IFERROR(VLOOKUP($U48,'Trial Blc'!$B$4:AU$377,AJ$2,FALSE),0)</f>
        <v>14261.11</v>
      </c>
      <c r="AK48" s="627">
        <f>-IFERROR(VLOOKUP($U48,'Trial Blc'!$B$4:AV$377,AK$2,FALSE),0)</f>
        <v>14243.73</v>
      </c>
      <c r="AL48" s="627">
        <f>-IFERROR(VLOOKUP($U48,'Trial Blc'!$B$4:AW$377,AL$2,FALSE),0)</f>
        <v>14232.47</v>
      </c>
      <c r="AM48" s="627">
        <f t="shared" si="38"/>
        <v>14386.912307692306</v>
      </c>
      <c r="AN48" s="87"/>
    </row>
    <row r="49" spans="1:40" s="685" customFormat="1">
      <c r="B49" s="1533">
        <v>1585</v>
      </c>
      <c r="C49" s="686" t="s">
        <v>2130</v>
      </c>
      <c r="D49" s="627">
        <f>IFERROR(VLOOKUP($B49,'Trial Blc'!$B$4:O$377,D$2,FALSE),0)</f>
        <v>64041.77</v>
      </c>
      <c r="E49" s="627"/>
      <c r="F49" s="627"/>
      <c r="G49" s="627">
        <f t="shared" si="35"/>
        <v>64041.77</v>
      </c>
      <c r="H49" s="627">
        <f>IFERROR(VLOOKUP($B49,'Trial Blc'!$B$4:S$377,H$2,FALSE),0)</f>
        <v>63726.86</v>
      </c>
      <c r="I49" s="627">
        <f>IFERROR(VLOOKUP($B49,'Trial Blc'!$B$4:T$377,I$2,FALSE),0)</f>
        <v>63503.67</v>
      </c>
      <c r="J49" s="627">
        <f>IFERROR(VLOOKUP($B49,'Trial Blc'!$B$4:U$377,J$2,FALSE),0)</f>
        <v>63875.360000000001</v>
      </c>
      <c r="K49" s="627">
        <f>IFERROR(VLOOKUP($B49,'Trial Blc'!$B$4:V$377,K$2,FALSE),0)</f>
        <v>64274.84</v>
      </c>
      <c r="L49" s="627">
        <f>IFERROR(VLOOKUP($B49,'Trial Blc'!$B$4:W$377,L$2,FALSE),0)</f>
        <v>64319.8</v>
      </c>
      <c r="M49" s="627">
        <f>IFERROR(VLOOKUP($B49,'Trial Blc'!$B$4:X$377,M$2,FALSE),0)</f>
        <v>66068.710000000006</v>
      </c>
      <c r="N49" s="627">
        <f>IFERROR(VLOOKUP($B49,'Trial Blc'!$B$4:Y$377,N$2,FALSE),0)</f>
        <v>66910.45</v>
      </c>
      <c r="O49" s="627">
        <f>IFERROR(VLOOKUP($B49,'Trial Blc'!$B$4:Z$377,O$2,FALSE),0)</f>
        <v>68325.08</v>
      </c>
      <c r="P49" s="627">
        <f>IFERROR(VLOOKUP($B49,'Trial Blc'!$B$4:AA$377,P$2,FALSE),0)</f>
        <v>68294.59</v>
      </c>
      <c r="Q49" s="627">
        <f>IFERROR(VLOOKUP($B49,'Trial Blc'!$B$4:AB$377,Q$2,FALSE),0)</f>
        <v>68292.91</v>
      </c>
      <c r="R49" s="627">
        <f>IFERROR(VLOOKUP($B49,'Trial Blc'!$B$4:AC$377,R$2,FALSE),0)</f>
        <v>68248.78</v>
      </c>
      <c r="S49" s="627">
        <f>IFERROR(VLOOKUP($B49,'Trial Blc'!$B$4:AD$377,S$2,FALSE),0)</f>
        <v>68976.55</v>
      </c>
      <c r="T49" s="627">
        <f t="shared" si="36"/>
        <v>66066.105384615395</v>
      </c>
      <c r="U49" s="1553">
        <v>2325</v>
      </c>
      <c r="V49" s="685" t="s">
        <v>1561</v>
      </c>
      <c r="W49" s="1670">
        <f>-IFERROR(VLOOKUP($U49,'Trial Blc'!$B$4:AH$377,W$2,FALSE),0)</f>
        <v>47268.82</v>
      </c>
      <c r="X49" s="627"/>
      <c r="Y49" s="627"/>
      <c r="Z49" s="627">
        <f t="shared" si="37"/>
        <v>47268.82</v>
      </c>
      <c r="AA49" s="627">
        <f>-IFERROR(VLOOKUP($U49,'Trial Blc'!$B$4:AL$377,AA$2,FALSE),0)</f>
        <v>47779.78</v>
      </c>
      <c r="AB49" s="627">
        <f>-IFERROR(VLOOKUP($U49,'Trial Blc'!$B$4:AM$377,AB$2,FALSE),0)</f>
        <v>48074.35</v>
      </c>
      <c r="AC49" s="627">
        <f>-IFERROR(VLOOKUP($U49,'Trial Blc'!$B$4:AN$377,AC$2,FALSE),0)</f>
        <v>48536.480000000003</v>
      </c>
      <c r="AD49" s="627">
        <f>-IFERROR(VLOOKUP($U49,'Trial Blc'!$B$4:AO$377,AD$2,FALSE),0)</f>
        <v>49136.81</v>
      </c>
      <c r="AE49" s="627">
        <f>-IFERROR(VLOOKUP($U49,'Trial Blc'!$B$4:AP$377,AE$2,FALSE),0)</f>
        <v>49663.33</v>
      </c>
      <c r="AF49" s="627">
        <f>-IFERROR(VLOOKUP($U49,'Trial Blc'!$B$4:AQ$377,AF$2,FALSE),0)</f>
        <v>50290.93</v>
      </c>
      <c r="AG49" s="627">
        <f>-IFERROR(VLOOKUP($U49,'Trial Blc'!$B$4:AR$377,AG$2,FALSE),0)</f>
        <v>50899.09</v>
      </c>
      <c r="AH49" s="627">
        <f>-IFERROR(VLOOKUP($U49,'Trial Blc'!$B$4:AS$377,AH$2,FALSE),0)</f>
        <v>51526.93</v>
      </c>
      <c r="AI49" s="627">
        <f>-IFERROR(VLOOKUP($U49,'Trial Blc'!$B$4:AT$377,AI$2,FALSE),0)</f>
        <v>51940.56</v>
      </c>
      <c r="AJ49" s="627">
        <f>-IFERROR(VLOOKUP($U49,'Trial Blc'!$B$4:AU$377,AJ$2,FALSE),0)</f>
        <v>52623.69</v>
      </c>
      <c r="AK49" s="627">
        <f>-IFERROR(VLOOKUP($U49,'Trial Blc'!$B$4:AV$377,AK$2,FALSE),0)</f>
        <v>53252.74</v>
      </c>
      <c r="AL49" s="627">
        <f>-IFERROR(VLOOKUP($U49,'Trial Blc'!$B$4:AW$377,AL$2,FALSE),0)</f>
        <v>53937.74</v>
      </c>
      <c r="AM49" s="627">
        <f t="shared" si="38"/>
        <v>50379.326923076922</v>
      </c>
      <c r="AN49" s="87"/>
    </row>
    <row r="50" spans="1:40" s="685" customFormat="1">
      <c r="B50" s="1533">
        <v>1590</v>
      </c>
      <c r="C50" s="686" t="s">
        <v>2131</v>
      </c>
      <c r="D50" s="627">
        <f>IFERROR(VLOOKUP($B50,'Trial Blc'!$B$4:O$377,D$2,FALSE),0)</f>
        <v>310828.56</v>
      </c>
      <c r="E50" s="627"/>
      <c r="F50" s="627"/>
      <c r="G50" s="627">
        <f t="shared" si="35"/>
        <v>310828.56</v>
      </c>
      <c r="H50" s="627">
        <f>IFERROR(VLOOKUP($B50,'Trial Blc'!$B$4:S$377,H$2,FALSE),0)</f>
        <v>310680.28000000003</v>
      </c>
      <c r="I50" s="627">
        <f>IFERROR(VLOOKUP($B50,'Trial Blc'!$B$4:T$377,I$2,FALSE),0)</f>
        <v>307762.78000000003</v>
      </c>
      <c r="J50" s="627">
        <f>IFERROR(VLOOKUP($B50,'Trial Blc'!$B$4:U$377,J$2,FALSE),0)</f>
        <v>307310.75</v>
      </c>
      <c r="K50" s="627">
        <f>IFERROR(VLOOKUP($B50,'Trial Blc'!$B$4:V$377,K$2,FALSE),0)</f>
        <v>308176.98</v>
      </c>
      <c r="L50" s="627">
        <f>IFERROR(VLOOKUP($B50,'Trial Blc'!$B$4:W$377,L$2,FALSE),0)</f>
        <v>307844.53000000003</v>
      </c>
      <c r="M50" s="627">
        <f>IFERROR(VLOOKUP($B50,'Trial Blc'!$B$4:X$377,M$2,FALSE),0)</f>
        <v>307888.64000000001</v>
      </c>
      <c r="N50" s="627">
        <f>IFERROR(VLOOKUP($B50,'Trial Blc'!$B$4:Y$377,N$2,FALSE),0)</f>
        <v>307581.15999999997</v>
      </c>
      <c r="O50" s="627">
        <f>IFERROR(VLOOKUP($B50,'Trial Blc'!$B$4:Z$377,O$2,FALSE),0)</f>
        <v>307234.57</v>
      </c>
      <c r="P50" s="627">
        <f>IFERROR(VLOOKUP($B50,'Trial Blc'!$B$4:AA$377,P$2,FALSE),0)</f>
        <v>304639.57</v>
      </c>
      <c r="Q50" s="627">
        <f>IFERROR(VLOOKUP($B50,'Trial Blc'!$B$4:AB$377,Q$2,FALSE),0)</f>
        <v>304566.77</v>
      </c>
      <c r="R50" s="627">
        <f>IFERROR(VLOOKUP($B50,'Trial Blc'!$B$4:AC$377,R$2,FALSE),0)</f>
        <v>304169.92</v>
      </c>
      <c r="S50" s="627">
        <f>IFERROR(VLOOKUP($B50,'Trial Blc'!$B$4:AD$377,S$2,FALSE),0)</f>
        <v>303889.07</v>
      </c>
      <c r="T50" s="627">
        <f t="shared" si="36"/>
        <v>307121.0446153846</v>
      </c>
      <c r="U50" s="1553">
        <v>2330</v>
      </c>
      <c r="V50" s="685" t="s">
        <v>1562</v>
      </c>
      <c r="W50" s="1670">
        <f>-IFERROR(VLOOKUP($U50,'Trial Blc'!$B$4:AH$377,W$2,FALSE),0)</f>
        <v>252348.51</v>
      </c>
      <c r="X50" s="627"/>
      <c r="Y50" s="627"/>
      <c r="Z50" s="627">
        <f t="shared" si="37"/>
        <v>252348.51</v>
      </c>
      <c r="AA50" s="627">
        <f>-IFERROR(VLOOKUP($U50,'Trial Blc'!$B$4:AL$377,AA$2,FALSE),0)</f>
        <v>255435.86</v>
      </c>
      <c r="AB50" s="627">
        <f>-IFERROR(VLOOKUP($U50,'Trial Blc'!$B$4:AM$377,AB$2,FALSE),0)</f>
        <v>256050.83</v>
      </c>
      <c r="AC50" s="627">
        <f>-IFERROR(VLOOKUP($U50,'Trial Blc'!$B$4:AN$377,AC$2,FALSE),0)</f>
        <v>258779.87</v>
      </c>
      <c r="AD50" s="627">
        <f>-IFERROR(VLOOKUP($U50,'Trial Blc'!$B$4:AO$377,AD$2,FALSE),0)</f>
        <v>263160.90000000002</v>
      </c>
      <c r="AE50" s="627">
        <f>-IFERROR(VLOOKUP($U50,'Trial Blc'!$B$4:AP$377,AE$2,FALSE),0)</f>
        <v>266045.52</v>
      </c>
      <c r="AF50" s="627">
        <f>-IFERROR(VLOOKUP($U50,'Trial Blc'!$B$4:AQ$377,AF$2,FALSE),0)</f>
        <v>269009.09000000003</v>
      </c>
      <c r="AG50" s="627">
        <f>-IFERROR(VLOOKUP($U50,'Trial Blc'!$B$4:AR$377,AG$2,FALSE),0)</f>
        <v>271889.96000000002</v>
      </c>
      <c r="AH50" s="627">
        <f>-IFERROR(VLOOKUP($U50,'Trial Blc'!$B$4:AS$377,AH$2,FALSE),0)</f>
        <v>274801.07</v>
      </c>
      <c r="AI50" s="627">
        <f>-IFERROR(VLOOKUP($U50,'Trial Blc'!$B$4:AT$377,AI$2,FALSE),0)</f>
        <v>275485.74</v>
      </c>
      <c r="AJ50" s="627">
        <f>-IFERROR(VLOOKUP($U50,'Trial Blc'!$B$4:AU$377,AJ$2,FALSE),0)</f>
        <v>278642.68</v>
      </c>
      <c r="AK50" s="627">
        <f>-IFERROR(VLOOKUP($U50,'Trial Blc'!$B$4:AV$377,AK$2,FALSE),0)</f>
        <v>281498.21000000002</v>
      </c>
      <c r="AL50" s="627">
        <f>-IFERROR(VLOOKUP($U50,'Trial Blc'!$B$4:AW$377,AL$2,FALSE),0)</f>
        <v>284270.92</v>
      </c>
      <c r="AM50" s="627">
        <f t="shared" si="38"/>
        <v>268263.01230769226</v>
      </c>
      <c r="AN50" s="87"/>
    </row>
    <row r="51" spans="1:40" s="685" customFormat="1">
      <c r="B51" s="1533">
        <v>1595</v>
      </c>
      <c r="C51" s="686" t="s">
        <v>2132</v>
      </c>
      <c r="D51" s="627">
        <f>IFERROR(VLOOKUP($B51,'Trial Blc'!$B$4:O$377,D$2,FALSE),0)</f>
        <v>7944.06</v>
      </c>
      <c r="E51" s="627"/>
      <c r="F51" s="627"/>
      <c r="G51" s="627">
        <f t="shared" si="35"/>
        <v>7944.06</v>
      </c>
      <c r="H51" s="627">
        <f>IFERROR(VLOOKUP($B51,'Trial Blc'!$B$4:S$377,H$2,FALSE),0)</f>
        <v>7939.95</v>
      </c>
      <c r="I51" s="627">
        <f>IFERROR(VLOOKUP($B51,'Trial Blc'!$B$4:T$377,I$2,FALSE),0)</f>
        <v>7868.05</v>
      </c>
      <c r="J51" s="627">
        <f>IFERROR(VLOOKUP($B51,'Trial Blc'!$B$4:U$377,J$2,FALSE),0)</f>
        <v>7852.46</v>
      </c>
      <c r="K51" s="627">
        <f>IFERROR(VLOOKUP($B51,'Trial Blc'!$B$4:V$377,K$2,FALSE),0)</f>
        <v>7871.24</v>
      </c>
      <c r="L51" s="627">
        <f>IFERROR(VLOOKUP($B51,'Trial Blc'!$B$4:W$377,L$2,FALSE),0)</f>
        <v>7861.05</v>
      </c>
      <c r="M51" s="627">
        <f>IFERROR(VLOOKUP($B51,'Trial Blc'!$B$4:X$377,M$2,FALSE),0)</f>
        <v>7861.18</v>
      </c>
      <c r="N51" s="627">
        <f>IFERROR(VLOOKUP($B51,'Trial Blc'!$B$4:Y$377,N$2,FALSE),0)</f>
        <v>7851.34</v>
      </c>
      <c r="O51" s="627">
        <f>IFERROR(VLOOKUP($B51,'Trial Blc'!$B$4:Z$377,O$2,FALSE),0)</f>
        <v>7840.1</v>
      </c>
      <c r="P51" s="627">
        <f>IFERROR(VLOOKUP($B51,'Trial Blc'!$B$4:AA$377,P$2,FALSE),0)</f>
        <v>7775.16</v>
      </c>
      <c r="Q51" s="627">
        <f>IFERROR(VLOOKUP($B51,'Trial Blc'!$B$4:AB$377,Q$2,FALSE),0)</f>
        <v>7773.07</v>
      </c>
      <c r="R51" s="627">
        <f>IFERROR(VLOOKUP($B51,'Trial Blc'!$B$4:AC$377,R$2,FALSE),0)</f>
        <v>7762.75</v>
      </c>
      <c r="S51" s="627">
        <f>IFERROR(VLOOKUP($B51,'Trial Blc'!$B$4:AD$377,S$2,FALSE),0)</f>
        <v>7756.03</v>
      </c>
      <c r="T51" s="627">
        <f t="shared" si="36"/>
        <v>7842.8030769230772</v>
      </c>
      <c r="U51" s="1553">
        <v>2335</v>
      </c>
      <c r="V51" s="685" t="s">
        <v>1563</v>
      </c>
      <c r="W51" s="1784">
        <f>-IFERROR(VLOOKUP($U51,'Trial Blc'!$B$4:AH$377,W$2,FALSE),0)</f>
        <v>7944.06</v>
      </c>
      <c r="X51" s="1658"/>
      <c r="Y51" s="1658"/>
      <c r="Z51" s="1658">
        <f t="shared" si="37"/>
        <v>7944.06</v>
      </c>
      <c r="AA51" s="1658">
        <f>-IFERROR(VLOOKUP($U51,'Trial Blc'!$B$4:AL$377,AA$2,FALSE),0)</f>
        <v>7939.95</v>
      </c>
      <c r="AB51" s="1658">
        <f>-IFERROR(VLOOKUP($U51,'Trial Blc'!$B$4:AM$377,AB$2,FALSE),0)</f>
        <v>7868.05</v>
      </c>
      <c r="AC51" s="1658">
        <f>-IFERROR(VLOOKUP($U51,'Trial Blc'!$B$4:AN$377,AC$2,FALSE),0)</f>
        <v>7852.46</v>
      </c>
      <c r="AD51" s="1658">
        <f>-IFERROR(VLOOKUP($U51,'Trial Blc'!$B$4:AO$377,AD$2,FALSE),0)</f>
        <v>7871.24</v>
      </c>
      <c r="AE51" s="1658">
        <f>-IFERROR(VLOOKUP($U51,'Trial Blc'!$B$4:AP$377,AE$2,FALSE),0)</f>
        <v>7861.05</v>
      </c>
      <c r="AF51" s="1658">
        <f>-IFERROR(VLOOKUP($U51,'Trial Blc'!$B$4:AQ$377,AF$2,FALSE),0)</f>
        <v>7861.18</v>
      </c>
      <c r="AG51" s="1658">
        <f>-IFERROR(VLOOKUP($U51,'Trial Blc'!$B$4:AR$377,AG$2,FALSE),0)</f>
        <v>7851.34</v>
      </c>
      <c r="AH51" s="1658">
        <f>-IFERROR(VLOOKUP($U51,'Trial Blc'!$B$4:AS$377,AH$2,FALSE),0)</f>
        <v>7840.1</v>
      </c>
      <c r="AI51" s="1658">
        <f>-IFERROR(VLOOKUP($U51,'Trial Blc'!$B$4:AT$377,AI$2,FALSE),0)</f>
        <v>7775.16</v>
      </c>
      <c r="AJ51" s="1658">
        <f>-IFERROR(VLOOKUP($U51,'Trial Blc'!$B$4:AU$377,AJ$2,FALSE),0)</f>
        <v>7773.07</v>
      </c>
      <c r="AK51" s="1658">
        <f>-IFERROR(VLOOKUP($U51,'Trial Blc'!$B$4:AV$377,AK$2,FALSE),0)</f>
        <v>7762.75</v>
      </c>
      <c r="AL51" s="1658">
        <f>-IFERROR(VLOOKUP($U51,'Trial Blc'!$B$4:AW$377,AL$2,FALSE),0)</f>
        <v>7756.03</v>
      </c>
      <c r="AM51" s="1658">
        <f t="shared" si="38"/>
        <v>7842.8030769230772</v>
      </c>
      <c r="AN51" s="87"/>
    </row>
    <row r="52" spans="1:40" s="1543" customFormat="1">
      <c r="B52" s="1528"/>
      <c r="C52" s="112" t="s">
        <v>763</v>
      </c>
      <c r="D52" s="1544">
        <f>SUM(D45:D51)</f>
        <v>426332.74</v>
      </c>
      <c r="E52" s="1544">
        <f t="shared" ref="E52:T52" si="39">SUM(E45:E51)</f>
        <v>0</v>
      </c>
      <c r="F52" s="1544">
        <f t="shared" si="39"/>
        <v>0</v>
      </c>
      <c r="G52" s="1544">
        <f t="shared" si="39"/>
        <v>426332.74</v>
      </c>
      <c r="H52" s="1544">
        <f t="shared" si="39"/>
        <v>425896.41000000003</v>
      </c>
      <c r="I52" s="1544">
        <f t="shared" si="39"/>
        <v>422376.16000000003</v>
      </c>
      <c r="J52" s="1544">
        <f t="shared" si="39"/>
        <v>422195.53</v>
      </c>
      <c r="K52" s="1544">
        <f t="shared" si="39"/>
        <v>423559.3</v>
      </c>
      <c r="L52" s="1544">
        <f t="shared" si="39"/>
        <v>423385.67</v>
      </c>
      <c r="M52" s="1544">
        <f t="shared" si="39"/>
        <v>425248.33</v>
      </c>
      <c r="N52" s="1544">
        <f t="shared" si="39"/>
        <v>425760.01999999996</v>
      </c>
      <c r="O52" s="1544">
        <f t="shared" si="39"/>
        <v>426754.20999999996</v>
      </c>
      <c r="P52" s="1544">
        <f t="shared" si="39"/>
        <v>423739.63999999996</v>
      </c>
      <c r="Q52" s="1544">
        <f t="shared" si="39"/>
        <v>423681.13000000006</v>
      </c>
      <c r="R52" s="1544">
        <f t="shared" si="39"/>
        <v>423179.73</v>
      </c>
      <c r="S52" s="1544">
        <f t="shared" si="39"/>
        <v>423698.04000000004</v>
      </c>
      <c r="T52" s="1544">
        <f t="shared" si="39"/>
        <v>424292.8392307692</v>
      </c>
      <c r="U52" s="1550"/>
      <c r="V52" s="91" t="s">
        <v>763</v>
      </c>
      <c r="W52" s="1544">
        <f>SUM(W45:W51)</f>
        <v>347255.77999999997</v>
      </c>
      <c r="X52" s="1544">
        <f>SUM(X47:X51)</f>
        <v>0</v>
      </c>
      <c r="Y52" s="1544"/>
      <c r="Z52" s="1544">
        <f t="shared" ref="Z52:AM52" si="40">SUM(Z45:Z51)</f>
        <v>347255.77999999997</v>
      </c>
      <c r="AA52" s="1544">
        <f t="shared" si="40"/>
        <v>350916.23</v>
      </c>
      <c r="AB52" s="1544">
        <f t="shared" si="40"/>
        <v>351534.54</v>
      </c>
      <c r="AC52" s="1544">
        <f t="shared" si="40"/>
        <v>354707.11000000004</v>
      </c>
      <c r="AD52" s="1544">
        <f t="shared" si="40"/>
        <v>359857.66000000003</v>
      </c>
      <c r="AE52" s="1544">
        <f t="shared" si="40"/>
        <v>363294.29</v>
      </c>
      <c r="AF52" s="1544">
        <f t="shared" si="40"/>
        <v>366969.71</v>
      </c>
      <c r="AG52" s="1544">
        <f t="shared" si="40"/>
        <v>370493.74000000005</v>
      </c>
      <c r="AH52" s="1544">
        <f t="shared" si="40"/>
        <v>374053.49</v>
      </c>
      <c r="AI52" s="1544">
        <f t="shared" si="40"/>
        <v>374898.87999999995</v>
      </c>
      <c r="AJ52" s="1544">
        <f t="shared" si="40"/>
        <v>378813.55</v>
      </c>
      <c r="AK52" s="1544">
        <f t="shared" si="40"/>
        <v>382322.52</v>
      </c>
      <c r="AL52" s="1544">
        <f t="shared" si="40"/>
        <v>385831.67999999999</v>
      </c>
      <c r="AM52" s="1544">
        <f t="shared" si="40"/>
        <v>366226.85999999993</v>
      </c>
      <c r="AN52" s="90"/>
    </row>
    <row r="53" spans="1:40" s="685" customFormat="1">
      <c r="A53" s="685" t="s">
        <v>835</v>
      </c>
      <c r="B53" s="1533">
        <v>1555</v>
      </c>
      <c r="C53" s="686" t="s">
        <v>146</v>
      </c>
      <c r="D53" s="627">
        <f>IFERROR(VLOOKUP($B53,'Trial Blc'!$B$4:O$377,D$2,FALSE),0)</f>
        <v>152091.85</v>
      </c>
      <c r="E53" s="627"/>
      <c r="F53" s="627"/>
      <c r="G53" s="627">
        <f t="shared" ref="G53:G54" si="41">+D53+E53+F53</f>
        <v>152091.85</v>
      </c>
      <c r="H53" s="627">
        <f>IFERROR(VLOOKUP($B53,'Trial Blc'!$B$4:S$377,H$2,FALSE),0)</f>
        <v>151972.64000000001</v>
      </c>
      <c r="I53" s="627">
        <f>IFERROR(VLOOKUP($B53,'Trial Blc'!$B$4:T$377,I$2,FALSE),0)</f>
        <v>151738.21</v>
      </c>
      <c r="J53" s="627">
        <f>IFERROR(VLOOKUP($B53,'Trial Blc'!$B$4:U$377,J$2,FALSE),0)</f>
        <v>161379.59</v>
      </c>
      <c r="K53" s="627">
        <f>IFERROR(VLOOKUP($B53,'Trial Blc'!$B$4:V$377,K$2,FALSE),0)</f>
        <v>159793.66</v>
      </c>
      <c r="L53" s="627">
        <f>IFERROR(VLOOKUP($B53,'Trial Blc'!$B$4:W$377,L$2,FALSE),0)</f>
        <v>159546.72</v>
      </c>
      <c r="M53" s="627">
        <f>IFERROR(VLOOKUP($B53,'Trial Blc'!$B$4:X$377,M$2,FALSE),0)</f>
        <v>159842.43</v>
      </c>
      <c r="N53" s="627">
        <f>IFERROR(VLOOKUP($B53,'Trial Blc'!$B$4:Y$377,N$2,FALSE),0)</f>
        <v>155418.75</v>
      </c>
      <c r="O53" s="627">
        <f>IFERROR(VLOOKUP($B53,'Trial Blc'!$B$4:Z$377,O$2,FALSE),0)</f>
        <v>154904.70000000001</v>
      </c>
      <c r="P53" s="627">
        <f>IFERROR(VLOOKUP($B53,'Trial Blc'!$B$4:AA$377,P$2,FALSE),0)</f>
        <v>156782.95000000001</v>
      </c>
      <c r="Q53" s="627">
        <f>IFERROR(VLOOKUP($B53,'Trial Blc'!$B$4:AB$377,Q$2,FALSE),0)</f>
        <v>156710.44</v>
      </c>
      <c r="R53" s="627">
        <f>IFERROR(VLOOKUP($B53,'Trial Blc'!$B$4:AC$377,R$2,FALSE),0)</f>
        <v>156501.63</v>
      </c>
      <c r="S53" s="627">
        <f>IFERROR(VLOOKUP($B53,'Trial Blc'!$B$4:AD$377,S$2,FALSE),0)</f>
        <v>156433.26</v>
      </c>
      <c r="T53" s="627">
        <f t="shared" ref="T53:T54" si="42">AVERAGE(G53:S53)</f>
        <v>156393.60230769229</v>
      </c>
      <c r="U53" s="1553">
        <v>2300</v>
      </c>
      <c r="V53" s="685" t="s">
        <v>271</v>
      </c>
      <c r="W53" s="1670">
        <f>-IFERROR(VLOOKUP($U53,'Trial Blc'!$B$4:AH$377,W$2,FALSE),0)</f>
        <v>122304.84</v>
      </c>
      <c r="X53" s="627"/>
      <c r="Y53" s="627"/>
      <c r="Z53" s="627">
        <f t="shared" ref="Z53:Z54" si="43">+W53+X53+Y53</f>
        <v>122304.84</v>
      </c>
      <c r="AA53" s="627">
        <f>-IFERROR(VLOOKUP($U53,'Trial Blc'!$B$4:AL$377,AA$2,FALSE),0)</f>
        <v>123876.87</v>
      </c>
      <c r="AB53" s="627">
        <f>-IFERROR(VLOOKUP($U53,'Trial Blc'!$B$4:AM$377,AB$2,FALSE),0)</f>
        <v>124537.96</v>
      </c>
      <c r="AC53" s="627">
        <f>-IFERROR(VLOOKUP($U53,'Trial Blc'!$B$4:AN$377,AC$2,FALSE),0)</f>
        <v>129844.48</v>
      </c>
      <c r="AD53" s="627">
        <f>-IFERROR(VLOOKUP($U53,'Trial Blc'!$B$4:AO$377,AD$2,FALSE),0)</f>
        <v>129315.44</v>
      </c>
      <c r="AE53" s="627">
        <f>-IFERROR(VLOOKUP($U53,'Trial Blc'!$B$4:AP$377,AE$2,FALSE),0)</f>
        <v>130164.48</v>
      </c>
      <c r="AF53" s="627">
        <f>-IFERROR(VLOOKUP($U53,'Trial Blc'!$B$4:AQ$377,AF$2,FALSE),0)</f>
        <v>131106.56</v>
      </c>
      <c r="AG53" s="627">
        <f>-IFERROR(VLOOKUP($U53,'Trial Blc'!$B$4:AR$377,AG$2,FALSE),0)</f>
        <v>117821.51</v>
      </c>
      <c r="AH53" s="627">
        <f>-IFERROR(VLOOKUP($U53,'Trial Blc'!$B$4:AS$377,AH$2,FALSE),0)</f>
        <v>118708.26</v>
      </c>
      <c r="AI53" s="627">
        <f>-IFERROR(VLOOKUP($U53,'Trial Blc'!$B$4:AT$377,AI$2,FALSE),0)</f>
        <v>119757.57</v>
      </c>
      <c r="AJ53" s="627">
        <f>-IFERROR(VLOOKUP($U53,'Trial Blc'!$B$4:AU$377,AJ$2,FALSE),0)</f>
        <v>120925.9</v>
      </c>
      <c r="AK53" s="627">
        <f>-IFERROR(VLOOKUP($U53,'Trial Blc'!$B$4:AV$377,AK$2,FALSE),0)</f>
        <v>121859.65</v>
      </c>
      <c r="AL53" s="627">
        <f>-IFERROR(VLOOKUP($U53,'Trial Blc'!$B$4:AW$377,AL$2,FALSE),0)</f>
        <v>123096.91</v>
      </c>
      <c r="AM53" s="627">
        <f t="shared" ref="AM53:AM54" si="44">AVERAGE(Z53:AL53)</f>
        <v>124101.57153846152</v>
      </c>
      <c r="AN53" s="87"/>
    </row>
    <row r="54" spans="1:40" s="87" customFormat="1">
      <c r="A54" s="87" t="s">
        <v>836</v>
      </c>
      <c r="B54" s="1531">
        <v>1190</v>
      </c>
      <c r="C54" s="111" t="s">
        <v>159</v>
      </c>
      <c r="D54" s="627">
        <f>IFERROR(VLOOKUP($B54,'Trial Blc'!$B$4:O$377,D$2,FALSE),0)</f>
        <v>11728.18</v>
      </c>
      <c r="E54" s="627"/>
      <c r="F54" s="627"/>
      <c r="G54" s="627">
        <f t="shared" si="41"/>
        <v>11728.18</v>
      </c>
      <c r="H54" s="627">
        <f>IFERROR(VLOOKUP($B54,'Trial Blc'!$B$4:S$377,H$2,FALSE),0)</f>
        <v>11718.58</v>
      </c>
      <c r="I54" s="627">
        <f>IFERROR(VLOOKUP($B54,'Trial Blc'!$B$4:T$377,I$2,FALSE),0)</f>
        <v>11698.56</v>
      </c>
      <c r="J54" s="627">
        <f>IFERROR(VLOOKUP($B54,'Trial Blc'!$B$4:U$377,J$2,FALSE),0)</f>
        <v>11654.36</v>
      </c>
      <c r="K54" s="627">
        <f>IFERROR(VLOOKUP($B54,'Trial Blc'!$B$4:V$377,K$2,FALSE),0)</f>
        <v>11645.19</v>
      </c>
      <c r="L54" s="627">
        <f>IFERROR(VLOOKUP($B54,'Trial Blc'!$B$4:W$377,L$2,FALSE),0)</f>
        <v>11627.13</v>
      </c>
      <c r="M54" s="627">
        <f>IFERROR(VLOOKUP($B54,'Trial Blc'!$B$4:X$377,M$2,FALSE),0)</f>
        <v>11618.08</v>
      </c>
      <c r="N54" s="627">
        <f>IFERROR(VLOOKUP($B54,'Trial Blc'!$B$4:Y$377,N$2,FALSE),0)</f>
        <v>11611.77</v>
      </c>
      <c r="O54" s="627">
        <f>IFERROR(VLOOKUP($B54,'Trial Blc'!$B$4:Z$377,O$2,FALSE),0)</f>
        <v>11594.94</v>
      </c>
      <c r="P54" s="627">
        <f>IFERROR(VLOOKUP($B54,'Trial Blc'!$B$4:AA$377,P$2,FALSE),0)</f>
        <v>11582.37</v>
      </c>
      <c r="Q54" s="627">
        <f>IFERROR(VLOOKUP($B54,'Trial Blc'!$B$4:AB$377,Q$2,FALSE),0)</f>
        <v>11576.72</v>
      </c>
      <c r="R54" s="627">
        <f>IFERROR(VLOOKUP($B54,'Trial Blc'!$B$4:AC$377,R$2,FALSE),0)</f>
        <v>11559.31</v>
      </c>
      <c r="S54" s="627">
        <f>IFERROR(VLOOKUP($B54,'Trial Blc'!$B$4:AD$377,S$2,FALSE),0)</f>
        <v>11554.13</v>
      </c>
      <c r="T54" s="627">
        <f t="shared" si="42"/>
        <v>11628.409230769232</v>
      </c>
      <c r="U54" s="1536">
        <v>1985</v>
      </c>
      <c r="V54" s="87" t="s">
        <v>186</v>
      </c>
      <c r="W54" s="1670">
        <f>-IFERROR(VLOOKUP($U54,'Trial Blc'!$B$4:AH$377,W$2,FALSE),0)</f>
        <v>12575.51</v>
      </c>
      <c r="X54" s="627"/>
      <c r="Y54" s="627"/>
      <c r="Z54" s="627">
        <f t="shared" si="43"/>
        <v>12575.51</v>
      </c>
      <c r="AA54" s="627">
        <f>-IFERROR(VLOOKUP($U54,'Trial Blc'!$B$4:AL$377,AA$2,FALSE),0)</f>
        <v>12624.88</v>
      </c>
      <c r="AB54" s="627">
        <f>-IFERROR(VLOOKUP($U54,'Trial Blc'!$B$4:AM$377,AB$2,FALSE),0)</f>
        <v>12663.19</v>
      </c>
      <c r="AC54" s="627">
        <f>-IFERROR(VLOOKUP($U54,'Trial Blc'!$B$4:AN$377,AC$2,FALSE),0)</f>
        <v>12674.64</v>
      </c>
      <c r="AD54" s="627">
        <f>-IFERROR(VLOOKUP($U54,'Trial Blc'!$B$4:AO$377,AD$2,FALSE),0)</f>
        <v>12724.17</v>
      </c>
      <c r="AE54" s="627">
        <f>-IFERROR(VLOOKUP($U54,'Trial Blc'!$B$4:AP$377,AE$2,FALSE),0)</f>
        <v>12763.95</v>
      </c>
      <c r="AF54" s="627">
        <f>-IFERROR(VLOOKUP($U54,'Trial Blc'!$B$4:AQ$377,AF$2,FALSE),0)</f>
        <v>12813.47</v>
      </c>
      <c r="AG54" s="627">
        <f>-IFERROR(VLOOKUP($U54,'Trial Blc'!$B$4:AR$377,AG$2,FALSE),0)</f>
        <v>12866.01</v>
      </c>
      <c r="AH54" s="627">
        <f>-IFERROR(VLOOKUP($U54,'Trial Blc'!$B$4:AS$377,AH$2,FALSE),0)</f>
        <v>12906.73</v>
      </c>
      <c r="AI54" s="627">
        <f>-IFERROR(VLOOKUP($U54,'Trial Blc'!$B$4:AT$377,AI$2,FALSE),0)</f>
        <v>12952.41</v>
      </c>
      <c r="AJ54" s="627">
        <f>-IFERROR(VLOOKUP($U54,'Trial Blc'!$B$4:AU$377,AJ$2,FALSE),0)</f>
        <v>13005.37</v>
      </c>
      <c r="AK54" s="627">
        <f>-IFERROR(VLOOKUP($U54,'Trial Blc'!$B$4:AV$377,AK$2,FALSE),0)</f>
        <v>13044.99</v>
      </c>
      <c r="AL54" s="627">
        <f>-IFERROR(VLOOKUP($U54,'Trial Blc'!$B$4:AW$377,AL$2,FALSE),0)</f>
        <v>13098.35</v>
      </c>
      <c r="AM54" s="627">
        <f t="shared" si="44"/>
        <v>12824.128461538461</v>
      </c>
    </row>
    <row r="55" spans="1:40" s="89" customFormat="1">
      <c r="B55" s="1532"/>
      <c r="C55" s="113"/>
      <c r="D55" s="627"/>
      <c r="E55" s="627"/>
      <c r="F55" s="113"/>
      <c r="G55" s="627"/>
      <c r="H55" s="627"/>
      <c r="I55" s="627"/>
      <c r="J55" s="627"/>
      <c r="K55" s="627"/>
      <c r="L55" s="627"/>
      <c r="M55" s="627"/>
      <c r="N55" s="627"/>
      <c r="O55" s="627"/>
      <c r="P55" s="627"/>
      <c r="Q55" s="627"/>
      <c r="R55" s="627"/>
      <c r="S55" s="627"/>
      <c r="T55" s="627"/>
      <c r="U55" s="1552"/>
      <c r="W55" s="627"/>
      <c r="X55" s="113"/>
      <c r="Y55" s="627"/>
      <c r="Z55" s="627"/>
      <c r="AA55" s="627"/>
      <c r="AB55" s="627"/>
      <c r="AC55" s="627"/>
      <c r="AD55" s="627"/>
      <c r="AE55" s="627"/>
      <c r="AF55" s="627"/>
      <c r="AG55" s="627"/>
      <c r="AH55" s="627"/>
      <c r="AI55" s="627"/>
      <c r="AJ55" s="627"/>
      <c r="AK55" s="627"/>
      <c r="AL55" s="627"/>
    </row>
    <row r="56" spans="1:40" s="87" customFormat="1" ht="10.5" customHeight="1">
      <c r="A56" s="87" t="s">
        <v>837</v>
      </c>
      <c r="B56" s="1531">
        <v>1195</v>
      </c>
      <c r="C56" s="111" t="s">
        <v>147</v>
      </c>
      <c r="D56" s="627">
        <f>IFERROR(VLOOKUP($B56,'Trial Blc'!$B$4:O$377,D$2,FALSE),0)</f>
        <v>0</v>
      </c>
      <c r="E56" s="627"/>
      <c r="F56" s="627"/>
      <c r="G56" s="627">
        <f t="shared" ref="G56:G62" si="45">+D56+E56+F56</f>
        <v>0</v>
      </c>
      <c r="H56" s="627">
        <f>IFERROR(VLOOKUP($B56,'Trial Blc'!$B$4:S$377,H$2,FALSE),0)</f>
        <v>0</v>
      </c>
      <c r="I56" s="627">
        <f>IFERROR(VLOOKUP($B56,'Trial Blc'!$B$4:T$377,I$2,FALSE),0)</f>
        <v>0</v>
      </c>
      <c r="J56" s="627">
        <f>IFERROR(VLOOKUP($B56,'Trial Blc'!$B$4:U$377,J$2,FALSE),0)</f>
        <v>0</v>
      </c>
      <c r="K56" s="627">
        <f>IFERROR(VLOOKUP($B56,'Trial Blc'!$B$4:V$377,K$2,FALSE),0)</f>
        <v>0</v>
      </c>
      <c r="L56" s="627">
        <f>IFERROR(VLOOKUP($B56,'Trial Blc'!$B$4:W$377,L$2,FALSE),0)</f>
        <v>0</v>
      </c>
      <c r="M56" s="627">
        <f>IFERROR(VLOOKUP($B56,'Trial Blc'!$B$4:X$377,M$2,FALSE),0)</f>
        <v>0</v>
      </c>
      <c r="N56" s="627">
        <f>IFERROR(VLOOKUP($B56,'Trial Blc'!$B$4:Y$377,N$2,FALSE),0)</f>
        <v>0</v>
      </c>
      <c r="O56" s="627">
        <f>IFERROR(VLOOKUP($B56,'Trial Blc'!$B$4:Z$377,O$2,FALSE),0)</f>
        <v>0</v>
      </c>
      <c r="P56" s="627">
        <f>IFERROR(VLOOKUP($B56,'Trial Blc'!$B$4:AA$377,P$2,FALSE),0)</f>
        <v>0</v>
      </c>
      <c r="Q56" s="627">
        <f>IFERROR(VLOOKUP($B56,'Trial Blc'!$B$4:AB$377,Q$2,FALSE),0)</f>
        <v>0</v>
      </c>
      <c r="R56" s="627">
        <f>IFERROR(VLOOKUP($B56,'Trial Blc'!$B$4:AC$377,R$2,FALSE),0)</f>
        <v>0</v>
      </c>
      <c r="S56" s="627">
        <f>IFERROR(VLOOKUP($B56,'Trial Blc'!$B$4:AD$377,S$2,FALSE),0)</f>
        <v>0</v>
      </c>
      <c r="T56" s="627">
        <f t="shared" ref="T56:T62" si="46">AVERAGE(G56:S56)</f>
        <v>0</v>
      </c>
      <c r="U56" s="1552">
        <v>1990</v>
      </c>
      <c r="V56" s="89" t="s">
        <v>187</v>
      </c>
      <c r="W56" s="1670">
        <f>-IFERROR(VLOOKUP($U56,'Trial Blc'!$B$4:AH$377,W$2,FALSE),0)</f>
        <v>0</v>
      </c>
      <c r="X56" s="627"/>
      <c r="Y56" s="627"/>
      <c r="Z56" s="627">
        <f t="shared" ref="Z56:Z60" si="47">+W56+X56+Y56</f>
        <v>0</v>
      </c>
      <c r="AA56" s="627">
        <f>-IFERROR(VLOOKUP($U56,'Trial Blc'!$B$4:AL$377,AA$2,FALSE),0)</f>
        <v>0</v>
      </c>
      <c r="AB56" s="627">
        <f>-IFERROR(VLOOKUP($U56,'Trial Blc'!$B$4:AM$377,AB$2,FALSE),0)</f>
        <v>0</v>
      </c>
      <c r="AC56" s="627">
        <f>-IFERROR(VLOOKUP($U56,'Trial Blc'!$B$4:AN$377,AC$2,FALSE),0)</f>
        <v>0</v>
      </c>
      <c r="AD56" s="627">
        <f>-IFERROR(VLOOKUP($U56,'Trial Blc'!$B$4:AO$377,AD$2,FALSE),0)</f>
        <v>0</v>
      </c>
      <c r="AE56" s="627">
        <f>-IFERROR(VLOOKUP($U56,'Trial Blc'!$B$4:AP$377,AE$2,FALSE),0)</f>
        <v>0</v>
      </c>
      <c r="AF56" s="627">
        <f>-IFERROR(VLOOKUP($U56,'Trial Blc'!$B$4:AQ$377,AF$2,FALSE),0)</f>
        <v>0</v>
      </c>
      <c r="AG56" s="627">
        <f>-IFERROR(VLOOKUP($U56,'Trial Blc'!$B$4:AR$377,AG$2,FALSE),0)</f>
        <v>0</v>
      </c>
      <c r="AH56" s="627">
        <f>-IFERROR(VLOOKUP($U56,'Trial Blc'!$B$4:AS$377,AH$2,FALSE),0)</f>
        <v>0</v>
      </c>
      <c r="AI56" s="627">
        <f>-IFERROR(VLOOKUP($U56,'Trial Blc'!$B$4:AT$377,AI$2,FALSE),0)</f>
        <v>0</v>
      </c>
      <c r="AJ56" s="627">
        <f>-IFERROR(VLOOKUP($U56,'Trial Blc'!$B$4:AU$377,AJ$2,FALSE),0)</f>
        <v>0</v>
      </c>
      <c r="AK56" s="627">
        <f>-IFERROR(VLOOKUP($U56,'Trial Blc'!$B$4:AV$377,AK$2,FALSE),0)</f>
        <v>0</v>
      </c>
      <c r="AL56" s="627">
        <f>-IFERROR(VLOOKUP($U56,'Trial Blc'!$B$4:AW$377,AL$2,FALSE),0)</f>
        <v>0</v>
      </c>
      <c r="AM56" s="627">
        <f t="shared" ref="AM56:AM60" si="48">AVERAGE(Z56:AL56)</f>
        <v>0</v>
      </c>
    </row>
    <row r="57" spans="1:40" s="87" customFormat="1">
      <c r="A57" s="87" t="s">
        <v>1408</v>
      </c>
      <c r="B57" s="1531">
        <v>1200</v>
      </c>
      <c r="C57" s="111" t="s">
        <v>156</v>
      </c>
      <c r="D57" s="627">
        <f>IFERROR(VLOOKUP($B57,'Trial Blc'!$B$4:O$377,D$2,FALSE),0)</f>
        <v>0</v>
      </c>
      <c r="E57" s="627"/>
      <c r="F57" s="627"/>
      <c r="G57" s="627">
        <f t="shared" si="45"/>
        <v>0</v>
      </c>
      <c r="H57" s="627">
        <f>IFERROR(VLOOKUP($B57,'Trial Blc'!$B$4:S$377,H$2,FALSE),0)</f>
        <v>0</v>
      </c>
      <c r="I57" s="627">
        <f>IFERROR(VLOOKUP($B57,'Trial Blc'!$B$4:T$377,I$2,FALSE),0)</f>
        <v>0</v>
      </c>
      <c r="J57" s="627">
        <f>IFERROR(VLOOKUP($B57,'Trial Blc'!$B$4:U$377,J$2,FALSE),0)</f>
        <v>0</v>
      </c>
      <c r="K57" s="627">
        <f>IFERROR(VLOOKUP($B57,'Trial Blc'!$B$4:V$377,K$2,FALSE),0)</f>
        <v>0</v>
      </c>
      <c r="L57" s="627">
        <f>IFERROR(VLOOKUP($B57,'Trial Blc'!$B$4:W$377,L$2,FALSE),0)</f>
        <v>0</v>
      </c>
      <c r="M57" s="627">
        <f>IFERROR(VLOOKUP($B57,'Trial Blc'!$B$4:X$377,M$2,FALSE),0)</f>
        <v>0</v>
      </c>
      <c r="N57" s="627">
        <f>IFERROR(VLOOKUP($B57,'Trial Blc'!$B$4:Y$377,N$2,FALSE),0)</f>
        <v>0</v>
      </c>
      <c r="O57" s="627">
        <f>IFERROR(VLOOKUP($B57,'Trial Blc'!$B$4:Z$377,O$2,FALSE),0)</f>
        <v>0</v>
      </c>
      <c r="P57" s="627">
        <f>IFERROR(VLOOKUP($B57,'Trial Blc'!$B$4:AA$377,P$2,FALSE),0)</f>
        <v>0</v>
      </c>
      <c r="Q57" s="627">
        <f>IFERROR(VLOOKUP($B57,'Trial Blc'!$B$4:AB$377,Q$2,FALSE),0)</f>
        <v>0</v>
      </c>
      <c r="R57" s="627">
        <f>IFERROR(VLOOKUP($B57,'Trial Blc'!$B$4:AC$377,R$2,FALSE),0)</f>
        <v>0</v>
      </c>
      <c r="S57" s="627">
        <f>IFERROR(VLOOKUP($B57,'Trial Blc'!$B$4:AD$377,S$2,FALSE),0)</f>
        <v>0</v>
      </c>
      <c r="T57" s="627">
        <f t="shared" si="46"/>
        <v>0</v>
      </c>
      <c r="U57" s="1552">
        <v>1995</v>
      </c>
      <c r="V57" s="89" t="s">
        <v>1550</v>
      </c>
      <c r="W57" s="1670">
        <f>-IFERROR(VLOOKUP($U57,'Trial Blc'!$B$4:AH$377,W$2,FALSE),0)</f>
        <v>0</v>
      </c>
      <c r="X57" s="627"/>
      <c r="Y57" s="627"/>
      <c r="Z57" s="627">
        <f t="shared" si="47"/>
        <v>0</v>
      </c>
      <c r="AA57" s="627">
        <f>-IFERROR(VLOOKUP($U57,'Trial Blc'!$B$4:AL$377,AA$2,FALSE),0)</f>
        <v>0</v>
      </c>
      <c r="AB57" s="627">
        <f>-IFERROR(VLOOKUP($U57,'Trial Blc'!$B$4:AM$377,AB$2,FALSE),0)</f>
        <v>0</v>
      </c>
      <c r="AC57" s="627">
        <f>-IFERROR(VLOOKUP($U57,'Trial Blc'!$B$4:AN$377,AC$2,FALSE),0)</f>
        <v>0</v>
      </c>
      <c r="AD57" s="627">
        <f>-IFERROR(VLOOKUP($U57,'Trial Blc'!$B$4:AO$377,AD$2,FALSE),0)</f>
        <v>0</v>
      </c>
      <c r="AE57" s="627">
        <f>-IFERROR(VLOOKUP($U57,'Trial Blc'!$B$4:AP$377,AE$2,FALSE),0)</f>
        <v>0</v>
      </c>
      <c r="AF57" s="627">
        <f>-IFERROR(VLOOKUP($U57,'Trial Blc'!$B$4:AQ$377,AF$2,FALSE),0)</f>
        <v>0</v>
      </c>
      <c r="AG57" s="627">
        <f>-IFERROR(VLOOKUP($U57,'Trial Blc'!$B$4:AR$377,AG$2,FALSE),0)</f>
        <v>0</v>
      </c>
      <c r="AH57" s="627">
        <f>-IFERROR(VLOOKUP($U57,'Trial Blc'!$B$4:AS$377,AH$2,FALSE),0)</f>
        <v>0</v>
      </c>
      <c r="AI57" s="627">
        <f>-IFERROR(VLOOKUP($U57,'Trial Blc'!$B$4:AT$377,AI$2,FALSE),0)</f>
        <v>0</v>
      </c>
      <c r="AJ57" s="627">
        <f>-IFERROR(VLOOKUP($U57,'Trial Blc'!$B$4:AU$377,AJ$2,FALSE),0)</f>
        <v>0</v>
      </c>
      <c r="AK57" s="627">
        <f>-IFERROR(VLOOKUP($U57,'Trial Blc'!$B$4:AV$377,AK$2,FALSE),0)</f>
        <v>0</v>
      </c>
      <c r="AL57" s="627">
        <f>-IFERROR(VLOOKUP($U57,'Trial Blc'!$B$4:AW$377,AL$2,FALSE),0)</f>
        <v>0</v>
      </c>
      <c r="AM57" s="627">
        <f t="shared" si="48"/>
        <v>0</v>
      </c>
    </row>
    <row r="58" spans="1:40" s="87" customFormat="1">
      <c r="A58" s="87" t="s">
        <v>1411</v>
      </c>
      <c r="B58" s="1531">
        <v>1205</v>
      </c>
      <c r="C58" s="111" t="s">
        <v>181</v>
      </c>
      <c r="D58" s="627">
        <f>IFERROR(VLOOKUP($B58,'Trial Blc'!$B$4:O$377,D$2,FALSE),0)</f>
        <v>4407.46</v>
      </c>
      <c r="E58" s="627"/>
      <c r="F58" s="627"/>
      <c r="G58" s="627">
        <f t="shared" si="45"/>
        <v>4407.46</v>
      </c>
      <c r="H58" s="627">
        <f>IFERROR(VLOOKUP($B58,'Trial Blc'!$B$4:S$377,H$2,FALSE),0)</f>
        <v>4405.37</v>
      </c>
      <c r="I58" s="627">
        <f>IFERROR(VLOOKUP($B58,'Trial Blc'!$B$4:T$377,I$2,FALSE),0)</f>
        <v>4360.91</v>
      </c>
      <c r="J58" s="627">
        <f>IFERROR(VLOOKUP($B58,'Trial Blc'!$B$4:U$377,J$2,FALSE),0)</f>
        <v>4353.3900000000003</v>
      </c>
      <c r="K58" s="627">
        <f>IFERROR(VLOOKUP($B58,'Trial Blc'!$B$4:V$377,K$2,FALSE),0)</f>
        <v>4365.76</v>
      </c>
      <c r="L58" s="627">
        <f>IFERROR(VLOOKUP($B58,'Trial Blc'!$B$4:W$377,L$2,FALSE),0)</f>
        <v>4360.2700000000004</v>
      </c>
      <c r="M58" s="627">
        <f>IFERROR(VLOOKUP($B58,'Trial Blc'!$B$4:X$377,M$2,FALSE),0)</f>
        <v>4360.82</v>
      </c>
      <c r="N58" s="627">
        <f>IFERROR(VLOOKUP($B58,'Trial Blc'!$B$4:Y$377,N$2,FALSE),0)</f>
        <v>4354.93</v>
      </c>
      <c r="O58" s="627">
        <f>IFERROR(VLOOKUP($B58,'Trial Blc'!$B$4:Z$377,O$2,FALSE),0)</f>
        <v>4348.7</v>
      </c>
      <c r="P58" s="627">
        <f>IFERROR(VLOOKUP($B58,'Trial Blc'!$B$4:AA$377,P$2,FALSE),0)</f>
        <v>4308.2700000000004</v>
      </c>
      <c r="Q58" s="627">
        <f>IFERROR(VLOOKUP($B58,'Trial Blc'!$B$4:AB$377,Q$2,FALSE),0)</f>
        <v>4307.24</v>
      </c>
      <c r="R58" s="627">
        <f>IFERROR(VLOOKUP($B58,'Trial Blc'!$B$4:AC$377,R$2,FALSE),0)</f>
        <v>4301.6400000000003</v>
      </c>
      <c r="S58" s="627">
        <f>IFERROR(VLOOKUP($B58,'Trial Blc'!$B$4:AD$377,S$2,FALSE),0)</f>
        <v>4297.6499999999996</v>
      </c>
      <c r="T58" s="627">
        <f t="shared" si="46"/>
        <v>4348.6469230769235</v>
      </c>
      <c r="U58" s="1536">
        <v>2000</v>
      </c>
      <c r="V58" s="87" t="s">
        <v>188</v>
      </c>
      <c r="W58" s="1670">
        <f>-IFERROR(VLOOKUP($U58,'Trial Blc'!$B$4:AH$377,W$2,FALSE),0)</f>
        <v>2135.73</v>
      </c>
      <c r="X58" s="627"/>
      <c r="Y58" s="627"/>
      <c r="Z58" s="627">
        <f t="shared" si="47"/>
        <v>2135.73</v>
      </c>
      <c r="AA58" s="627">
        <f>-IFERROR(VLOOKUP($U58,'Trial Blc'!$B$4:AL$377,AA$2,FALSE),0)</f>
        <v>2171.42</v>
      </c>
      <c r="AB58" s="627">
        <f>-IFERROR(VLOOKUP($U58,'Trial Blc'!$B$4:AM$377,AB$2,FALSE),0)</f>
        <v>2185.85</v>
      </c>
      <c r="AC58" s="627">
        <f>-IFERROR(VLOOKUP($U58,'Trial Blc'!$B$4:AN$377,AC$2,FALSE),0)</f>
        <v>2218.36</v>
      </c>
      <c r="AD58" s="627">
        <f>-IFERROR(VLOOKUP($U58,'Trial Blc'!$B$4:AO$377,AD$2,FALSE),0)</f>
        <v>2261.0500000000002</v>
      </c>
      <c r="AE58" s="627">
        <f>-IFERROR(VLOOKUP($U58,'Trial Blc'!$B$4:AP$377,AE$2,FALSE),0)</f>
        <v>2294.54</v>
      </c>
      <c r="AF58" s="627">
        <f>-IFERROR(VLOOKUP($U58,'Trial Blc'!$B$4:AQ$377,AF$2,FALSE),0)</f>
        <v>2331.17</v>
      </c>
      <c r="AG58" s="627">
        <f>-IFERROR(VLOOKUP($U58,'Trial Blc'!$B$4:AR$377,AG$2,FALSE),0)</f>
        <v>2364.31</v>
      </c>
      <c r="AH58" s="627">
        <f>-IFERROR(VLOOKUP($U58,'Trial Blc'!$B$4:AS$377,AH$2,FALSE),0)</f>
        <v>2397.17</v>
      </c>
      <c r="AI58" s="627">
        <f>-IFERROR(VLOOKUP($U58,'Trial Blc'!$B$4:AT$377,AI$2,FALSE),0)</f>
        <v>2410.7800000000002</v>
      </c>
      <c r="AJ58" s="627">
        <f>-IFERROR(VLOOKUP($U58,'Trial Blc'!$B$4:AU$377,AJ$2,FALSE),0)</f>
        <v>2446.1</v>
      </c>
      <c r="AK58" s="627">
        <f>-IFERROR(VLOOKUP($U58,'Trial Blc'!$B$4:AV$377,AK$2,FALSE),0)</f>
        <v>2478.77</v>
      </c>
      <c r="AL58" s="627">
        <f>-IFERROR(VLOOKUP($U58,'Trial Blc'!$B$4:AW$377,AL$2,FALSE),0)</f>
        <v>2512.2800000000002</v>
      </c>
      <c r="AM58" s="627">
        <f t="shared" si="48"/>
        <v>2323.6561538461533</v>
      </c>
    </row>
    <row r="59" spans="1:40" s="89" customFormat="1">
      <c r="A59" s="89" t="s">
        <v>1412</v>
      </c>
      <c r="B59" s="1532">
        <v>1210</v>
      </c>
      <c r="C59" s="113" t="s">
        <v>269</v>
      </c>
      <c r="D59" s="627">
        <f>IFERROR(VLOOKUP($B59,'Trial Blc'!$B$4:O$377,D$2,FALSE),0)</f>
        <v>0</v>
      </c>
      <c r="E59" s="627"/>
      <c r="F59" s="627"/>
      <c r="G59" s="627">
        <f t="shared" si="45"/>
        <v>0</v>
      </c>
      <c r="H59" s="627">
        <f>IFERROR(VLOOKUP($B59,'Trial Blc'!$B$4:S$377,H$2,FALSE),0)</f>
        <v>0</v>
      </c>
      <c r="I59" s="627">
        <f>IFERROR(VLOOKUP($B59,'Trial Blc'!$B$4:T$377,I$2,FALSE),0)</f>
        <v>0</v>
      </c>
      <c r="J59" s="627">
        <f>IFERROR(VLOOKUP($B59,'Trial Blc'!$B$4:U$377,J$2,FALSE),0)</f>
        <v>0</v>
      </c>
      <c r="K59" s="627">
        <f>IFERROR(VLOOKUP($B59,'Trial Blc'!$B$4:V$377,K$2,FALSE),0)</f>
        <v>0</v>
      </c>
      <c r="L59" s="627">
        <f>IFERROR(VLOOKUP($B59,'Trial Blc'!$B$4:W$377,L$2,FALSE),0)</f>
        <v>0</v>
      </c>
      <c r="M59" s="627">
        <f>IFERROR(VLOOKUP($B59,'Trial Blc'!$B$4:X$377,M$2,FALSE),0)</f>
        <v>0</v>
      </c>
      <c r="N59" s="627">
        <f>IFERROR(VLOOKUP($B59,'Trial Blc'!$B$4:Y$377,N$2,FALSE),0)</f>
        <v>0</v>
      </c>
      <c r="O59" s="627">
        <f>IFERROR(VLOOKUP($B59,'Trial Blc'!$B$4:Z$377,O$2,FALSE),0)</f>
        <v>0</v>
      </c>
      <c r="P59" s="627">
        <f>IFERROR(VLOOKUP($B59,'Trial Blc'!$B$4:AA$377,P$2,FALSE),0)</f>
        <v>0</v>
      </c>
      <c r="Q59" s="627">
        <f>IFERROR(VLOOKUP($B59,'Trial Blc'!$B$4:AB$377,Q$2,FALSE),0)</f>
        <v>0</v>
      </c>
      <c r="R59" s="627">
        <f>IFERROR(VLOOKUP($B59,'Trial Blc'!$B$4:AC$377,R$2,FALSE),0)</f>
        <v>0</v>
      </c>
      <c r="S59" s="627">
        <f>IFERROR(VLOOKUP($B59,'Trial Blc'!$B$4:AD$377,S$2,FALSE),0)</f>
        <v>0</v>
      </c>
      <c r="T59" s="627">
        <f t="shared" si="46"/>
        <v>0</v>
      </c>
      <c r="U59" s="1552">
        <v>2005</v>
      </c>
      <c r="V59" s="89" t="s">
        <v>190</v>
      </c>
      <c r="W59" s="1670">
        <f>-IFERROR(VLOOKUP($U59,'Trial Blc'!$B$4:AH$377,W$2,FALSE),0)</f>
        <v>0</v>
      </c>
      <c r="X59" s="627"/>
      <c r="Y59" s="627"/>
      <c r="Z59" s="627">
        <f t="shared" si="47"/>
        <v>0</v>
      </c>
      <c r="AA59" s="627">
        <f>-IFERROR(VLOOKUP($U59,'Trial Blc'!$B$4:AL$377,AA$2,FALSE),0)</f>
        <v>0</v>
      </c>
      <c r="AB59" s="627">
        <f>-IFERROR(VLOOKUP($U59,'Trial Blc'!$B$4:AM$377,AB$2,FALSE),0)</f>
        <v>0</v>
      </c>
      <c r="AC59" s="627">
        <f>-IFERROR(VLOOKUP($U59,'Trial Blc'!$B$4:AN$377,AC$2,FALSE),0)</f>
        <v>0</v>
      </c>
      <c r="AD59" s="627">
        <f>-IFERROR(VLOOKUP($U59,'Trial Blc'!$B$4:AO$377,AD$2,FALSE),0)</f>
        <v>0</v>
      </c>
      <c r="AE59" s="627">
        <f>-IFERROR(VLOOKUP($U59,'Trial Blc'!$B$4:AP$377,AE$2,FALSE),0)</f>
        <v>0</v>
      </c>
      <c r="AF59" s="627">
        <f>-IFERROR(VLOOKUP($U59,'Trial Blc'!$B$4:AQ$377,AF$2,FALSE),0)</f>
        <v>0</v>
      </c>
      <c r="AG59" s="627">
        <f>-IFERROR(VLOOKUP($U59,'Trial Blc'!$B$4:AR$377,AG$2,FALSE),0)</f>
        <v>0</v>
      </c>
      <c r="AH59" s="627">
        <f>-IFERROR(VLOOKUP($U59,'Trial Blc'!$B$4:AS$377,AH$2,FALSE),0)</f>
        <v>0</v>
      </c>
      <c r="AI59" s="627">
        <f>-IFERROR(VLOOKUP($U59,'Trial Blc'!$B$4:AT$377,AI$2,FALSE),0)</f>
        <v>0</v>
      </c>
      <c r="AJ59" s="627">
        <f>-IFERROR(VLOOKUP($U59,'Trial Blc'!$B$4:AU$377,AJ$2,FALSE),0)</f>
        <v>0</v>
      </c>
      <c r="AK59" s="627">
        <f>-IFERROR(VLOOKUP($U59,'Trial Blc'!$B$4:AV$377,AK$2,FALSE),0)</f>
        <v>0</v>
      </c>
      <c r="AL59" s="627">
        <f>-IFERROR(VLOOKUP($U59,'Trial Blc'!$B$4:AW$377,AL$2,FALSE),0)</f>
        <v>0</v>
      </c>
      <c r="AM59" s="627">
        <f t="shared" si="48"/>
        <v>0</v>
      </c>
      <c r="AN59" s="87"/>
    </row>
    <row r="60" spans="1:40" s="89" customFormat="1">
      <c r="A60" s="89" t="s">
        <v>469</v>
      </c>
      <c r="B60" s="1532">
        <v>1215</v>
      </c>
      <c r="C60" s="113" t="s">
        <v>148</v>
      </c>
      <c r="D60" s="627">
        <f>IFERROR(VLOOKUP($B60,'Trial Blc'!$B$4:O$377,D$2,FALSE),0)</f>
        <v>0</v>
      </c>
      <c r="E60" s="627"/>
      <c r="F60" s="627"/>
      <c r="G60" s="627">
        <f t="shared" si="45"/>
        <v>0</v>
      </c>
      <c r="H60" s="627">
        <f>IFERROR(VLOOKUP($B60,'Trial Blc'!$B$4:S$377,H$2,FALSE),0)</f>
        <v>0</v>
      </c>
      <c r="I60" s="627">
        <f>IFERROR(VLOOKUP($B60,'Trial Blc'!$B$4:T$377,I$2,FALSE),0)</f>
        <v>0</v>
      </c>
      <c r="J60" s="627">
        <f>IFERROR(VLOOKUP($B60,'Trial Blc'!$B$4:U$377,J$2,FALSE),0)</f>
        <v>0</v>
      </c>
      <c r="K60" s="627">
        <f>IFERROR(VLOOKUP($B60,'Trial Blc'!$B$4:V$377,K$2,FALSE),0)</f>
        <v>0</v>
      </c>
      <c r="L60" s="627">
        <f>IFERROR(VLOOKUP($B60,'Trial Blc'!$B$4:W$377,L$2,FALSE),0)</f>
        <v>0</v>
      </c>
      <c r="M60" s="627">
        <f>IFERROR(VLOOKUP($B60,'Trial Blc'!$B$4:X$377,M$2,FALSE),0)</f>
        <v>0</v>
      </c>
      <c r="N60" s="627">
        <f>IFERROR(VLOOKUP($B60,'Trial Blc'!$B$4:Y$377,N$2,FALSE),0)</f>
        <v>0</v>
      </c>
      <c r="O60" s="627">
        <f>IFERROR(VLOOKUP($B60,'Trial Blc'!$B$4:Z$377,O$2,FALSE),0)</f>
        <v>0</v>
      </c>
      <c r="P60" s="627">
        <f>IFERROR(VLOOKUP($B60,'Trial Blc'!$B$4:AA$377,P$2,FALSE),0)</f>
        <v>0</v>
      </c>
      <c r="Q60" s="627">
        <f>IFERROR(VLOOKUP($B60,'Trial Blc'!$B$4:AB$377,Q$2,FALSE),0)</f>
        <v>0</v>
      </c>
      <c r="R60" s="627">
        <f>IFERROR(VLOOKUP($B60,'Trial Blc'!$B$4:AC$377,R$2,FALSE),0)</f>
        <v>0</v>
      </c>
      <c r="S60" s="627">
        <f>IFERROR(VLOOKUP($B60,'Trial Blc'!$B$4:AD$377,S$2,FALSE),0)</f>
        <v>0</v>
      </c>
      <c r="T60" s="627">
        <f t="shared" si="46"/>
        <v>0</v>
      </c>
      <c r="U60" s="1552">
        <v>2010</v>
      </c>
      <c r="V60" s="89" t="s">
        <v>189</v>
      </c>
      <c r="W60" s="1670">
        <f>-IFERROR(VLOOKUP($U60,'Trial Blc'!$B$4:AH$377,W$2,FALSE),0)</f>
        <v>0</v>
      </c>
      <c r="X60" s="627"/>
      <c r="Y60" s="627"/>
      <c r="Z60" s="627">
        <f t="shared" si="47"/>
        <v>0</v>
      </c>
      <c r="AA60" s="627">
        <f>-IFERROR(VLOOKUP($U60,'Trial Blc'!$B$4:AL$377,AA$2,FALSE),0)</f>
        <v>0</v>
      </c>
      <c r="AB60" s="627">
        <f>-IFERROR(VLOOKUP($U60,'Trial Blc'!$B$4:AM$377,AB$2,FALSE),0)</f>
        <v>0</v>
      </c>
      <c r="AC60" s="627">
        <f>-IFERROR(VLOOKUP($U60,'Trial Blc'!$B$4:AN$377,AC$2,FALSE),0)</f>
        <v>0</v>
      </c>
      <c r="AD60" s="627">
        <f>-IFERROR(VLOOKUP($U60,'Trial Blc'!$B$4:AO$377,AD$2,FALSE),0)</f>
        <v>0</v>
      </c>
      <c r="AE60" s="627">
        <f>-IFERROR(VLOOKUP($U60,'Trial Blc'!$B$4:AP$377,AE$2,FALSE),0)</f>
        <v>0</v>
      </c>
      <c r="AF60" s="627">
        <f>-IFERROR(VLOOKUP($U60,'Trial Blc'!$B$4:AQ$377,AF$2,FALSE),0)</f>
        <v>0</v>
      </c>
      <c r="AG60" s="627">
        <f>-IFERROR(VLOOKUP($U60,'Trial Blc'!$B$4:AR$377,AG$2,FALSE),0)</f>
        <v>0</v>
      </c>
      <c r="AH60" s="627">
        <f>-IFERROR(VLOOKUP($U60,'Trial Blc'!$B$4:AS$377,AH$2,FALSE),0)</f>
        <v>0</v>
      </c>
      <c r="AI60" s="627">
        <f>-IFERROR(VLOOKUP($U60,'Trial Blc'!$B$4:AT$377,AI$2,FALSE),0)</f>
        <v>0</v>
      </c>
      <c r="AJ60" s="627">
        <f>-IFERROR(VLOOKUP($U60,'Trial Blc'!$B$4:AU$377,AJ$2,FALSE),0)</f>
        <v>0</v>
      </c>
      <c r="AK60" s="627">
        <f>-IFERROR(VLOOKUP($U60,'Trial Blc'!$B$4:AV$377,AK$2,FALSE),0)</f>
        <v>0</v>
      </c>
      <c r="AL60" s="627">
        <f>-IFERROR(VLOOKUP($U60,'Trial Blc'!$B$4:AW$377,AL$2,FALSE),0)</f>
        <v>0</v>
      </c>
      <c r="AM60" s="627">
        <f t="shared" si="48"/>
        <v>0</v>
      </c>
      <c r="AN60" s="87"/>
    </row>
    <row r="61" spans="1:40" s="89" customFormat="1">
      <c r="B61" s="1532">
        <v>1640</v>
      </c>
      <c r="C61" s="113" t="s">
        <v>270</v>
      </c>
      <c r="D61" s="627">
        <f>IFERROR(VLOOKUP($B61,'Trial Blc'!$B$4:O$377,D$2,FALSE),0)</f>
        <v>0</v>
      </c>
      <c r="E61" s="627"/>
      <c r="F61" s="627"/>
      <c r="G61" s="627">
        <f t="shared" si="45"/>
        <v>0</v>
      </c>
      <c r="H61" s="627">
        <f>IFERROR(VLOOKUP($B61,'Trial Blc'!$B$4:S$377,H$2,FALSE),0)</f>
        <v>0</v>
      </c>
      <c r="I61" s="627">
        <f>IFERROR(VLOOKUP($B61,'Trial Blc'!$B$4:T$377,I$2,FALSE),0)</f>
        <v>0</v>
      </c>
      <c r="J61" s="627">
        <f>IFERROR(VLOOKUP($B61,'Trial Blc'!$B$4:U$377,J$2,FALSE),0)</f>
        <v>0</v>
      </c>
      <c r="K61" s="627">
        <f>IFERROR(VLOOKUP($B61,'Trial Blc'!$B$4:V$377,K$2,FALSE),0)</f>
        <v>0</v>
      </c>
      <c r="L61" s="627">
        <f>IFERROR(VLOOKUP($B61,'Trial Blc'!$B$4:W$377,L$2,FALSE),0)</f>
        <v>0</v>
      </c>
      <c r="M61" s="627">
        <f>IFERROR(VLOOKUP($B61,'Trial Blc'!$B$4:X$377,M$2,FALSE),0)</f>
        <v>0</v>
      </c>
      <c r="N61" s="627">
        <f>IFERROR(VLOOKUP($B61,'Trial Blc'!$B$4:Y$377,N$2,FALSE),0)</f>
        <v>0</v>
      </c>
      <c r="O61" s="627">
        <f>IFERROR(VLOOKUP($B61,'Trial Blc'!$B$4:Z$377,O$2,FALSE),0)</f>
        <v>0</v>
      </c>
      <c r="P61" s="627">
        <f>IFERROR(VLOOKUP($B61,'Trial Blc'!$B$4:AA$377,P$2,FALSE),0)</f>
        <v>0</v>
      </c>
      <c r="Q61" s="627">
        <f>IFERROR(VLOOKUP($B61,'Trial Blc'!$B$4:AB$377,Q$2,FALSE),0)</f>
        <v>0</v>
      </c>
      <c r="R61" s="627">
        <f>IFERROR(VLOOKUP($B61,'Trial Blc'!$B$4:AC$377,R$2,FALSE),0)</f>
        <v>0</v>
      </c>
      <c r="S61" s="627">
        <f>IFERROR(VLOOKUP($B61,'Trial Blc'!$B$4:AD$377,S$2,FALSE),0)</f>
        <v>0</v>
      </c>
      <c r="T61" s="627">
        <f t="shared" si="46"/>
        <v>0</v>
      </c>
      <c r="U61" s="1552"/>
      <c r="W61" s="627"/>
      <c r="X61" s="113"/>
      <c r="Y61" s="627"/>
      <c r="Z61" s="627">
        <f t="shared" ref="Z61:Z62" si="49">SUM(W61:Y61)</f>
        <v>0</v>
      </c>
      <c r="AA61" s="627"/>
      <c r="AB61" s="627"/>
      <c r="AC61" s="627"/>
      <c r="AD61" s="627"/>
      <c r="AE61" s="627"/>
      <c r="AF61" s="627"/>
      <c r="AG61" s="627"/>
      <c r="AH61" s="627"/>
      <c r="AI61" s="627"/>
      <c r="AJ61" s="627"/>
      <c r="AK61" s="627"/>
      <c r="AL61" s="627"/>
      <c r="AM61" s="87">
        <f t="shared" ref="AM61:AM65" si="50">AVERAGE(Z61:AL61)</f>
        <v>0</v>
      </c>
      <c r="AN61" s="87"/>
    </row>
    <row r="62" spans="1:40" s="87" customFormat="1">
      <c r="B62" s="1531">
        <v>1220</v>
      </c>
      <c r="C62" s="111" t="s">
        <v>2133</v>
      </c>
      <c r="D62" s="1658">
        <f>IFERROR(VLOOKUP($B62,'Trial Blc'!$B$4:O$377,D$2,FALSE),0)</f>
        <v>0</v>
      </c>
      <c r="E62" s="627"/>
      <c r="F62" s="627"/>
      <c r="G62" s="627">
        <f t="shared" si="45"/>
        <v>0</v>
      </c>
      <c r="H62" s="627">
        <f>IFERROR(VLOOKUP($B62,'Trial Blc'!$B$4:S$377,H$2,FALSE),0)</f>
        <v>0</v>
      </c>
      <c r="I62" s="627">
        <f>IFERROR(VLOOKUP($B62,'Trial Blc'!$B$4:T$377,I$2,FALSE),0)</f>
        <v>0</v>
      </c>
      <c r="J62" s="627">
        <f>IFERROR(VLOOKUP($B62,'Trial Blc'!$B$4:U$377,J$2,FALSE),0)</f>
        <v>0</v>
      </c>
      <c r="K62" s="627">
        <f>IFERROR(VLOOKUP($B62,'Trial Blc'!$B$4:V$377,K$2,FALSE),0)</f>
        <v>0</v>
      </c>
      <c r="L62" s="627">
        <f>IFERROR(VLOOKUP($B62,'Trial Blc'!$B$4:W$377,L$2,FALSE),0)</f>
        <v>0</v>
      </c>
      <c r="M62" s="627">
        <f>IFERROR(VLOOKUP($B62,'Trial Blc'!$B$4:X$377,M$2,FALSE),0)</f>
        <v>0</v>
      </c>
      <c r="N62" s="627">
        <f>IFERROR(VLOOKUP($B62,'Trial Blc'!$B$4:Y$377,N$2,FALSE),0)</f>
        <v>0</v>
      </c>
      <c r="O62" s="627">
        <f>IFERROR(VLOOKUP($B62,'Trial Blc'!$B$4:Z$377,O$2,FALSE),0)</f>
        <v>0</v>
      </c>
      <c r="P62" s="627">
        <f>IFERROR(VLOOKUP($B62,'Trial Blc'!$B$4:AA$377,P$2,FALSE),0)</f>
        <v>0</v>
      </c>
      <c r="Q62" s="627">
        <f>IFERROR(VLOOKUP($B62,'Trial Blc'!$B$4:AB$377,Q$2,FALSE),0)</f>
        <v>0</v>
      </c>
      <c r="R62" s="627">
        <f>IFERROR(VLOOKUP($B62,'Trial Blc'!$B$4:AC$377,R$2,FALSE),0)</f>
        <v>0</v>
      </c>
      <c r="S62" s="627">
        <f>IFERROR(VLOOKUP($B62,'Trial Blc'!$B$4:AD$377,S$2,FALSE),0)</f>
        <v>0</v>
      </c>
      <c r="T62" s="627">
        <f t="shared" si="46"/>
        <v>0</v>
      </c>
      <c r="U62" s="1536"/>
      <c r="W62" s="627"/>
      <c r="X62" s="111"/>
      <c r="Y62" s="627"/>
      <c r="Z62" s="627">
        <f t="shared" si="49"/>
        <v>0</v>
      </c>
      <c r="AA62" s="627">
        <f t="shared" ref="AA62:AD62" si="51">+$X62</f>
        <v>0</v>
      </c>
      <c r="AB62" s="627">
        <f t="shared" si="51"/>
        <v>0</v>
      </c>
      <c r="AC62" s="627">
        <f t="shared" si="51"/>
        <v>0</v>
      </c>
      <c r="AD62" s="627">
        <f t="shared" si="51"/>
        <v>0</v>
      </c>
      <c r="AE62" s="627"/>
      <c r="AF62" s="627"/>
      <c r="AG62" s="627"/>
      <c r="AH62" s="627"/>
      <c r="AI62" s="627"/>
      <c r="AJ62" s="627"/>
      <c r="AK62" s="627"/>
      <c r="AL62" s="627"/>
      <c r="AM62" s="87">
        <f t="shared" si="50"/>
        <v>0</v>
      </c>
    </row>
    <row r="63" spans="1:40" s="90" customFormat="1">
      <c r="A63" s="1540" t="s">
        <v>157</v>
      </c>
      <c r="B63" s="1528"/>
      <c r="C63" s="112" t="s">
        <v>763</v>
      </c>
      <c r="D63" s="632">
        <f t="shared" ref="D63:S63" si="52">SUM(D60:D62)</f>
        <v>0</v>
      </c>
      <c r="E63" s="1542">
        <f t="shared" si="52"/>
        <v>0</v>
      </c>
      <c r="F63" s="1541">
        <f t="shared" si="52"/>
        <v>0</v>
      </c>
      <c r="G63" s="1541">
        <f t="shared" si="52"/>
        <v>0</v>
      </c>
      <c r="H63" s="1541">
        <f t="shared" si="52"/>
        <v>0</v>
      </c>
      <c r="I63" s="1541">
        <f t="shared" si="52"/>
        <v>0</v>
      </c>
      <c r="J63" s="1541">
        <f t="shared" si="52"/>
        <v>0</v>
      </c>
      <c r="K63" s="1541">
        <f t="shared" si="52"/>
        <v>0</v>
      </c>
      <c r="L63" s="1541">
        <f t="shared" si="52"/>
        <v>0</v>
      </c>
      <c r="M63" s="1541">
        <f t="shared" si="52"/>
        <v>0</v>
      </c>
      <c r="N63" s="1541">
        <f t="shared" si="52"/>
        <v>0</v>
      </c>
      <c r="O63" s="1541">
        <f t="shared" si="52"/>
        <v>0</v>
      </c>
      <c r="P63" s="1541">
        <f t="shared" si="52"/>
        <v>0</v>
      </c>
      <c r="Q63" s="1541">
        <f t="shared" si="52"/>
        <v>0</v>
      </c>
      <c r="R63" s="1541">
        <f t="shared" si="52"/>
        <v>0</v>
      </c>
      <c r="S63" s="1541">
        <f t="shared" si="52"/>
        <v>0</v>
      </c>
      <c r="T63" s="1541">
        <f t="shared" ref="T63" si="53">AVERAGE(G63:S63)</f>
        <v>0</v>
      </c>
      <c r="U63" s="1550"/>
      <c r="V63" s="91" t="s">
        <v>763</v>
      </c>
      <c r="W63" s="632">
        <f t="shared" ref="W63:AL63" si="54">SUM(W60:W62)</f>
        <v>0</v>
      </c>
      <c r="X63" s="1541">
        <f t="shared" si="54"/>
        <v>0</v>
      </c>
      <c r="Y63" s="1542">
        <f t="shared" si="54"/>
        <v>0</v>
      </c>
      <c r="Z63" s="1541">
        <f t="shared" si="54"/>
        <v>0</v>
      </c>
      <c r="AA63" s="1541">
        <f t="shared" si="54"/>
        <v>0</v>
      </c>
      <c r="AB63" s="1541">
        <f t="shared" si="54"/>
        <v>0</v>
      </c>
      <c r="AC63" s="1541">
        <f t="shared" si="54"/>
        <v>0</v>
      </c>
      <c r="AD63" s="1541">
        <f t="shared" si="54"/>
        <v>0</v>
      </c>
      <c r="AE63" s="1541">
        <f t="shared" si="54"/>
        <v>0</v>
      </c>
      <c r="AF63" s="1541">
        <f t="shared" si="54"/>
        <v>0</v>
      </c>
      <c r="AG63" s="1541">
        <f t="shared" si="54"/>
        <v>0</v>
      </c>
      <c r="AH63" s="1541">
        <f t="shared" si="54"/>
        <v>0</v>
      </c>
      <c r="AI63" s="1541">
        <f t="shared" si="54"/>
        <v>0</v>
      </c>
      <c r="AJ63" s="1541">
        <f t="shared" si="54"/>
        <v>0</v>
      </c>
      <c r="AK63" s="1541">
        <f t="shared" si="54"/>
        <v>0</v>
      </c>
      <c r="AL63" s="1541">
        <f t="shared" si="54"/>
        <v>0</v>
      </c>
      <c r="AM63" s="90">
        <f t="shared" si="50"/>
        <v>0</v>
      </c>
    </row>
    <row r="64" spans="1:40" s="87" customFormat="1">
      <c r="B64" s="1531"/>
      <c r="C64" s="111"/>
      <c r="D64" s="627"/>
      <c r="E64" s="627"/>
      <c r="F64" s="111"/>
      <c r="G64" s="627"/>
      <c r="H64" s="627"/>
      <c r="I64" s="627"/>
      <c r="J64" s="627"/>
      <c r="K64" s="627"/>
      <c r="L64" s="627"/>
      <c r="M64" s="627"/>
      <c r="N64" s="627"/>
      <c r="O64" s="627"/>
      <c r="P64" s="627"/>
      <c r="Q64" s="627"/>
      <c r="R64" s="627"/>
      <c r="S64" s="627"/>
      <c r="T64" s="627"/>
      <c r="U64" s="1536"/>
      <c r="W64" s="627"/>
      <c r="X64" s="111"/>
      <c r="Y64" s="627"/>
      <c r="Z64" s="627"/>
      <c r="AA64" s="627"/>
      <c r="AB64" s="627"/>
      <c r="AC64" s="627"/>
      <c r="AD64" s="627"/>
      <c r="AE64" s="627"/>
      <c r="AF64" s="627"/>
      <c r="AG64" s="627"/>
      <c r="AH64" s="627"/>
      <c r="AI64" s="627"/>
      <c r="AJ64" s="627"/>
      <c r="AK64" s="627"/>
      <c r="AL64" s="627"/>
      <c r="AM64" s="89"/>
      <c r="AN64" s="89"/>
    </row>
    <row r="65" spans="1:40" s="87" customFormat="1">
      <c r="A65" s="90" t="s">
        <v>390</v>
      </c>
      <c r="B65" s="1531"/>
      <c r="C65" s="111"/>
      <c r="D65" s="689">
        <f>SUM(D3:D64)-D33-D63-D43-D52</f>
        <v>683003.77</v>
      </c>
      <c r="E65" s="689">
        <f t="shared" ref="E65:T65" si="55">SUM(E3:E64)-E33-E63-E43-E52</f>
        <v>0</v>
      </c>
      <c r="F65" s="689">
        <f t="shared" si="55"/>
        <v>0</v>
      </c>
      <c r="G65" s="689">
        <f t="shared" si="55"/>
        <v>683003.77</v>
      </c>
      <c r="H65" s="689">
        <f t="shared" si="55"/>
        <v>682376.81000000017</v>
      </c>
      <c r="I65" s="689">
        <f t="shared" si="55"/>
        <v>678097.81000000017</v>
      </c>
      <c r="J65" s="689">
        <f t="shared" si="55"/>
        <v>687388.14000000013</v>
      </c>
      <c r="K65" s="689">
        <f t="shared" si="55"/>
        <v>687236.46999999974</v>
      </c>
      <c r="L65" s="689">
        <f t="shared" si="55"/>
        <v>686670.56</v>
      </c>
      <c r="M65" s="689">
        <f t="shared" si="55"/>
        <v>688946.29</v>
      </c>
      <c r="N65" s="689">
        <f t="shared" si="55"/>
        <v>685272.56999999983</v>
      </c>
      <c r="O65" s="689">
        <f t="shared" si="55"/>
        <v>685636.79</v>
      </c>
      <c r="P65" s="689">
        <f t="shared" si="55"/>
        <v>684117.95000000019</v>
      </c>
      <c r="Q65" s="689">
        <f t="shared" si="55"/>
        <v>683946.6799999997</v>
      </c>
      <c r="R65" s="689">
        <f t="shared" si="55"/>
        <v>683445.72</v>
      </c>
      <c r="S65" s="689">
        <f t="shared" si="55"/>
        <v>684051.62999999989</v>
      </c>
      <c r="T65" s="689">
        <f t="shared" si="55"/>
        <v>684630.09153846127</v>
      </c>
      <c r="U65" s="1550"/>
      <c r="V65" s="90" t="s">
        <v>391</v>
      </c>
      <c r="W65" s="689">
        <f t="shared" ref="W65:Z65" si="56">SUM(W4:W64)-W33-W63-W43-W52</f>
        <v>521131.41</v>
      </c>
      <c r="X65" s="689">
        <f t="shared" si="56"/>
        <v>0</v>
      </c>
      <c r="Y65" s="689">
        <f t="shared" si="56"/>
        <v>0</v>
      </c>
      <c r="Z65" s="689">
        <f t="shared" si="56"/>
        <v>521131.41</v>
      </c>
      <c r="AA65" s="689">
        <f>SUM(AA4:AA64)-AA33-AA63-AA43-AA52</f>
        <v>526575.01</v>
      </c>
      <c r="AB65" s="689">
        <f t="shared" ref="AB65:AL65" si="57">SUM(AB4:AB64)-AB33-AB63-AB43-AB52</f>
        <v>527838.00999999978</v>
      </c>
      <c r="AC65" s="689">
        <f t="shared" si="57"/>
        <v>536408.27</v>
      </c>
      <c r="AD65" s="689">
        <f t="shared" si="57"/>
        <v>541308.67000000004</v>
      </c>
      <c r="AE65" s="689">
        <f t="shared" si="57"/>
        <v>545764.18999999994</v>
      </c>
      <c r="AF65" s="689">
        <f t="shared" si="57"/>
        <v>550604.54</v>
      </c>
      <c r="AG65" s="689">
        <f t="shared" si="57"/>
        <v>541043.12000000011</v>
      </c>
      <c r="AH65" s="689">
        <f t="shared" si="57"/>
        <v>545658.26</v>
      </c>
      <c r="AI65" s="689">
        <f t="shared" si="57"/>
        <v>547567.44000000018</v>
      </c>
      <c r="AJ65" s="689">
        <f t="shared" si="57"/>
        <v>552873.57000000007</v>
      </c>
      <c r="AK65" s="689">
        <f t="shared" si="57"/>
        <v>557484.51</v>
      </c>
      <c r="AL65" s="689">
        <f t="shared" si="57"/>
        <v>562441.12000000011</v>
      </c>
      <c r="AM65" s="87">
        <f t="shared" si="50"/>
        <v>542822.93230769236</v>
      </c>
    </row>
    <row r="66" spans="1:40" s="87" customFormat="1">
      <c r="B66" s="1531"/>
      <c r="C66" s="111"/>
      <c r="D66" s="627"/>
      <c r="E66" s="627"/>
      <c r="F66" s="111"/>
      <c r="G66" s="627"/>
      <c r="H66" s="630"/>
      <c r="I66" s="630"/>
      <c r="J66" s="630"/>
      <c r="K66" s="630"/>
      <c r="L66" s="630"/>
      <c r="M66" s="630"/>
      <c r="N66" s="630"/>
      <c r="O66" s="630"/>
      <c r="P66" s="630"/>
      <c r="Q66" s="630"/>
      <c r="R66" s="630"/>
      <c r="S66" s="630"/>
      <c r="T66" s="630"/>
      <c r="U66" s="1536"/>
      <c r="W66" s="627"/>
      <c r="X66" s="111"/>
      <c r="Y66" s="627"/>
      <c r="Z66" s="627"/>
      <c r="AA66" s="627"/>
      <c r="AB66" s="627"/>
      <c r="AC66" s="627"/>
      <c r="AD66" s="627"/>
      <c r="AE66" s="627"/>
      <c r="AF66" s="627"/>
      <c r="AG66" s="627"/>
      <c r="AH66" s="627"/>
      <c r="AI66" s="627"/>
      <c r="AJ66" s="627"/>
      <c r="AK66" s="627"/>
      <c r="AL66" s="627"/>
      <c r="AM66" s="89"/>
      <c r="AN66" s="89"/>
    </row>
    <row r="67" spans="1:40" ht="15" customHeight="1" thickBot="1">
      <c r="A67" s="90" t="s">
        <v>389</v>
      </c>
      <c r="D67" s="688">
        <f>+D65</f>
        <v>683003.77</v>
      </c>
      <c r="E67" s="688">
        <f>+E65</f>
        <v>0</v>
      </c>
      <c r="F67" s="688">
        <f>+F65</f>
        <v>0</v>
      </c>
      <c r="G67" s="688">
        <f>+G65</f>
        <v>683003.77</v>
      </c>
      <c r="H67" s="688">
        <f t="shared" ref="H67:S67" si="58">+H65</f>
        <v>682376.81000000017</v>
      </c>
      <c r="I67" s="688">
        <f t="shared" si="58"/>
        <v>678097.81000000017</v>
      </c>
      <c r="J67" s="688">
        <f t="shared" si="58"/>
        <v>687388.14000000013</v>
      </c>
      <c r="K67" s="688">
        <f t="shared" si="58"/>
        <v>687236.46999999974</v>
      </c>
      <c r="L67" s="688">
        <f t="shared" si="58"/>
        <v>686670.56</v>
      </c>
      <c r="M67" s="688">
        <f t="shared" si="58"/>
        <v>688946.29</v>
      </c>
      <c r="N67" s="688">
        <f t="shared" si="58"/>
        <v>685272.56999999983</v>
      </c>
      <c r="O67" s="688">
        <f t="shared" si="58"/>
        <v>685636.79</v>
      </c>
      <c r="P67" s="688">
        <f t="shared" si="58"/>
        <v>684117.95000000019</v>
      </c>
      <c r="Q67" s="688">
        <f t="shared" si="58"/>
        <v>683946.6799999997</v>
      </c>
      <c r="R67" s="688">
        <f t="shared" si="58"/>
        <v>683445.72</v>
      </c>
      <c r="S67" s="688">
        <f t="shared" si="58"/>
        <v>684051.62999999989</v>
      </c>
      <c r="T67" s="688"/>
      <c r="U67" s="1550"/>
      <c r="V67" s="90" t="s">
        <v>392</v>
      </c>
      <c r="W67" s="688">
        <f t="shared" ref="W67:AL67" si="59">+W65</f>
        <v>521131.41</v>
      </c>
      <c r="X67" s="688">
        <f>+X65</f>
        <v>0</v>
      </c>
      <c r="Y67" s="688">
        <f>+Y65</f>
        <v>0</v>
      </c>
      <c r="Z67" s="688">
        <f>+Z65</f>
        <v>521131.41</v>
      </c>
      <c r="AA67" s="688">
        <f t="shared" si="59"/>
        <v>526575.01</v>
      </c>
      <c r="AB67" s="688">
        <f t="shared" si="59"/>
        <v>527838.00999999978</v>
      </c>
      <c r="AC67" s="688">
        <f t="shared" si="59"/>
        <v>536408.27</v>
      </c>
      <c r="AD67" s="688">
        <f t="shared" si="59"/>
        <v>541308.67000000004</v>
      </c>
      <c r="AE67" s="688">
        <f t="shared" si="59"/>
        <v>545764.18999999994</v>
      </c>
      <c r="AF67" s="688">
        <f t="shared" si="59"/>
        <v>550604.54</v>
      </c>
      <c r="AG67" s="688">
        <f t="shared" si="59"/>
        <v>541043.12000000011</v>
      </c>
      <c r="AH67" s="688">
        <f t="shared" si="59"/>
        <v>545658.26</v>
      </c>
      <c r="AI67" s="688">
        <f t="shared" si="59"/>
        <v>547567.44000000018</v>
      </c>
      <c r="AJ67" s="688">
        <f t="shared" si="59"/>
        <v>552873.57000000007</v>
      </c>
      <c r="AK67" s="688">
        <f t="shared" si="59"/>
        <v>557484.51</v>
      </c>
      <c r="AL67" s="688">
        <f t="shared" si="59"/>
        <v>562441.12000000011</v>
      </c>
    </row>
    <row r="68" spans="1:40" s="501" customFormat="1" thickTop="1">
      <c r="A68" s="591" t="s">
        <v>378</v>
      </c>
      <c r="B68" s="1535"/>
      <c r="D68" s="631"/>
      <c r="E68" s="631"/>
      <c r="F68" s="631"/>
      <c r="G68" s="631"/>
      <c r="H68" s="626"/>
      <c r="I68" s="626"/>
      <c r="J68" s="626"/>
      <c r="K68" s="626"/>
      <c r="L68" s="626"/>
      <c r="M68" s="626"/>
      <c r="N68" s="626"/>
      <c r="O68" s="626"/>
      <c r="P68" s="626"/>
      <c r="Q68" s="626"/>
      <c r="R68" s="626"/>
      <c r="S68" s="626"/>
      <c r="T68" s="626"/>
      <c r="U68" s="1554"/>
      <c r="V68" s="493" t="s">
        <v>132</v>
      </c>
      <c r="W68" s="631"/>
      <c r="X68" s="631"/>
      <c r="Y68" s="631"/>
      <c r="Z68" s="631"/>
      <c r="AA68" s="631"/>
      <c r="AB68" s="631"/>
      <c r="AC68" s="631"/>
      <c r="AD68" s="631"/>
      <c r="AE68" s="631"/>
      <c r="AF68" s="631"/>
      <c r="AG68" s="631"/>
      <c r="AH68" s="631"/>
      <c r="AI68" s="631"/>
      <c r="AJ68" s="631"/>
      <c r="AK68" s="631"/>
      <c r="AL68" s="631"/>
      <c r="AM68" s="502"/>
      <c r="AN68" s="502"/>
    </row>
    <row r="69" spans="1:40" s="501" customFormat="1">
      <c r="A69" s="591" t="s">
        <v>133</v>
      </c>
      <c r="B69" s="1535"/>
      <c r="D69" s="631"/>
      <c r="E69" s="631"/>
      <c r="F69" s="631"/>
      <c r="G69" s="627">
        <f t="shared" ref="G69" si="60">SUM(D69:F69)</f>
        <v>0</v>
      </c>
      <c r="H69" s="626"/>
      <c r="I69" s="626"/>
      <c r="J69" s="626"/>
      <c r="K69" s="626"/>
      <c r="L69" s="626"/>
      <c r="M69" s="626"/>
      <c r="N69" s="626"/>
      <c r="O69" s="626"/>
      <c r="P69" s="626"/>
      <c r="Q69" s="626"/>
      <c r="R69" s="626"/>
      <c r="S69" s="626"/>
      <c r="T69" s="626"/>
      <c r="U69" s="1554"/>
      <c r="V69" s="497" t="s">
        <v>136</v>
      </c>
      <c r="W69" s="631"/>
      <c r="X69" s="631"/>
      <c r="Y69" s="631"/>
      <c r="Z69" s="631">
        <f>SUM(W69:Y69)</f>
        <v>0</v>
      </c>
      <c r="AA69" s="631"/>
      <c r="AB69" s="631"/>
      <c r="AC69" s="631"/>
      <c r="AD69" s="631"/>
      <c r="AE69" s="631"/>
      <c r="AF69" s="631"/>
      <c r="AG69" s="631"/>
      <c r="AH69" s="631"/>
      <c r="AI69" s="631"/>
      <c r="AJ69" s="631"/>
      <c r="AK69" s="631"/>
      <c r="AL69" s="631"/>
      <c r="AM69" s="502"/>
      <c r="AN69" s="502"/>
    </row>
    <row r="70" spans="1:40" s="501" customFormat="1" ht="10.5">
      <c r="A70" s="591" t="s">
        <v>1716</v>
      </c>
      <c r="B70" s="1535"/>
      <c r="C70" s="591"/>
      <c r="D70" s="631"/>
      <c r="E70" s="631"/>
      <c r="F70" s="631">
        <f>-F67</f>
        <v>0</v>
      </c>
      <c r="G70" s="631"/>
      <c r="H70" s="626"/>
      <c r="I70" s="626"/>
      <c r="J70" s="626"/>
      <c r="K70" s="626"/>
      <c r="L70" s="626"/>
      <c r="M70" s="626"/>
      <c r="N70" s="626"/>
      <c r="O70" s="626"/>
      <c r="P70" s="626"/>
      <c r="Q70" s="626"/>
      <c r="R70" s="626"/>
      <c r="S70" s="626"/>
      <c r="T70" s="626"/>
      <c r="U70" s="1554"/>
      <c r="V70" s="493"/>
      <c r="W70" s="631"/>
      <c r="X70" s="631">
        <f>-X67</f>
        <v>0</v>
      </c>
      <c r="Y70" s="631">
        <f>-Y67</f>
        <v>0</v>
      </c>
      <c r="Z70" s="631">
        <f>SUM(W70:Y70)</f>
        <v>0</v>
      </c>
      <c r="AA70" s="631"/>
      <c r="AB70" s="631"/>
      <c r="AC70" s="631"/>
      <c r="AD70" s="631"/>
      <c r="AE70" s="631"/>
      <c r="AF70" s="631"/>
      <c r="AG70" s="631"/>
      <c r="AH70" s="631"/>
      <c r="AI70" s="631"/>
      <c r="AJ70" s="631"/>
      <c r="AK70" s="631"/>
      <c r="AL70" s="631"/>
      <c r="AM70" s="502"/>
      <c r="AN70" s="502"/>
    </row>
    <row r="71" spans="1:40" s="501" customFormat="1" ht="10.5">
      <c r="A71" s="843" t="s">
        <v>1838</v>
      </c>
      <c r="B71" s="1535"/>
      <c r="D71" s="631"/>
      <c r="E71" s="631"/>
      <c r="F71" s="631">
        <f>+F67-F69+F70</f>
        <v>0</v>
      </c>
      <c r="G71" s="631">
        <f>+G69-G67</f>
        <v>-683003.77</v>
      </c>
      <c r="H71" s="626"/>
      <c r="I71" s="626"/>
      <c r="J71" s="626"/>
      <c r="K71" s="626"/>
      <c r="L71" s="626"/>
      <c r="M71" s="626"/>
      <c r="N71" s="626"/>
      <c r="O71" s="626"/>
      <c r="P71" s="626"/>
      <c r="Q71" s="626"/>
      <c r="R71" s="626"/>
      <c r="S71" s="631"/>
      <c r="T71" s="631"/>
      <c r="U71" s="1554"/>
      <c r="V71" s="493" t="s">
        <v>1839</v>
      </c>
      <c r="W71" s="631">
        <f>+W69-W67</f>
        <v>-521131.41</v>
      </c>
      <c r="X71" s="631">
        <f>+X67-X69+X70</f>
        <v>0</v>
      </c>
      <c r="Y71" s="631"/>
      <c r="Z71" s="631">
        <f>+Z69-Z67</f>
        <v>-521131.41</v>
      </c>
      <c r="AA71" s="631">
        <f t="shared" ref="AA71:AL71" si="61">+AA69-AA67</f>
        <v>-526575.01</v>
      </c>
      <c r="AB71" s="631">
        <f t="shared" si="61"/>
        <v>-527838.00999999978</v>
      </c>
      <c r="AC71" s="631">
        <f t="shared" si="61"/>
        <v>-536408.27</v>
      </c>
      <c r="AD71" s="631">
        <f t="shared" si="61"/>
        <v>-541308.67000000004</v>
      </c>
      <c r="AE71" s="631">
        <f t="shared" si="61"/>
        <v>-545764.18999999994</v>
      </c>
      <c r="AF71" s="631">
        <f t="shared" si="61"/>
        <v>-550604.54</v>
      </c>
      <c r="AG71" s="631">
        <f t="shared" si="61"/>
        <v>-541043.12000000011</v>
      </c>
      <c r="AH71" s="631">
        <f t="shared" si="61"/>
        <v>-545658.26</v>
      </c>
      <c r="AI71" s="631">
        <f t="shared" si="61"/>
        <v>-547567.44000000018</v>
      </c>
      <c r="AJ71" s="631">
        <f t="shared" si="61"/>
        <v>-552873.57000000007</v>
      </c>
      <c r="AK71" s="631">
        <f t="shared" si="61"/>
        <v>-557484.51</v>
      </c>
      <c r="AL71" s="631">
        <f t="shared" si="61"/>
        <v>-562441.12000000011</v>
      </c>
      <c r="AM71" s="502"/>
      <c r="AN71" s="502"/>
    </row>
    <row r="72" spans="1:40" s="89" customFormat="1">
      <c r="B72" s="1532"/>
      <c r="C72" s="114"/>
      <c r="F72" s="114"/>
      <c r="U72" s="1552"/>
      <c r="V72" s="109"/>
      <c r="X72" s="114"/>
    </row>
    <row r="73" spans="1:40" s="90" customFormat="1" ht="26.25" customHeight="1">
      <c r="A73" s="107" t="s">
        <v>705</v>
      </c>
      <c r="B73" s="1530"/>
      <c r="C73" s="1547" t="s">
        <v>706</v>
      </c>
      <c r="D73" s="208" t="s">
        <v>1893</v>
      </c>
      <c r="E73" s="208" t="s">
        <v>1719</v>
      </c>
      <c r="F73" s="106" t="s">
        <v>1717</v>
      </c>
      <c r="G73" s="208" t="s">
        <v>1894</v>
      </c>
      <c r="H73" s="207">
        <v>42014</v>
      </c>
      <c r="I73" s="208">
        <v>42036</v>
      </c>
      <c r="J73" s="208">
        <v>42064</v>
      </c>
      <c r="K73" s="208">
        <v>42095</v>
      </c>
      <c r="L73" s="208">
        <v>42125</v>
      </c>
      <c r="M73" s="208">
        <v>42156</v>
      </c>
      <c r="N73" s="208">
        <v>42186</v>
      </c>
      <c r="O73" s="208">
        <v>42217</v>
      </c>
      <c r="P73" s="208">
        <v>42248</v>
      </c>
      <c r="Q73" s="208">
        <v>42278</v>
      </c>
      <c r="R73" s="208">
        <v>42309</v>
      </c>
      <c r="S73" s="208">
        <v>42339</v>
      </c>
      <c r="T73" s="208" t="s">
        <v>388</v>
      </c>
      <c r="U73" s="1530"/>
      <c r="V73" s="107" t="s">
        <v>1200</v>
      </c>
      <c r="W73" s="208">
        <v>42004</v>
      </c>
      <c r="X73" s="106" t="s">
        <v>1717</v>
      </c>
      <c r="Y73" s="208" t="s">
        <v>1825</v>
      </c>
      <c r="Z73" s="208" t="s">
        <v>1895</v>
      </c>
      <c r="AA73" s="207">
        <v>42014</v>
      </c>
      <c r="AB73" s="208">
        <v>42036</v>
      </c>
      <c r="AC73" s="208">
        <v>42064</v>
      </c>
      <c r="AD73" s="208">
        <v>42095</v>
      </c>
      <c r="AE73" s="208">
        <v>42125</v>
      </c>
      <c r="AF73" s="208">
        <v>42156</v>
      </c>
      <c r="AG73" s="208">
        <v>42186</v>
      </c>
      <c r="AH73" s="208">
        <v>42217</v>
      </c>
      <c r="AI73" s="208">
        <v>42248</v>
      </c>
      <c r="AJ73" s="208">
        <v>42278</v>
      </c>
      <c r="AK73" s="208">
        <v>42309</v>
      </c>
      <c r="AL73" s="208">
        <v>42339</v>
      </c>
      <c r="AM73" s="692"/>
      <c r="AN73" s="692"/>
    </row>
    <row r="74" spans="1:40" s="87" customFormat="1">
      <c r="B74" s="1531"/>
      <c r="C74" s="111"/>
      <c r="D74" s="627"/>
      <c r="E74" s="627"/>
      <c r="F74" s="845"/>
      <c r="G74" s="627"/>
      <c r="H74" s="627"/>
      <c r="I74" s="627"/>
      <c r="J74" s="627"/>
      <c r="K74" s="627"/>
      <c r="L74" s="627"/>
      <c r="M74" s="627"/>
      <c r="N74" s="627"/>
      <c r="O74" s="627"/>
      <c r="P74" s="627"/>
      <c r="Q74" s="627"/>
      <c r="R74" s="627"/>
      <c r="S74" s="627"/>
      <c r="T74" s="627"/>
      <c r="U74" s="1536"/>
      <c r="W74" s="89"/>
      <c r="X74" s="845"/>
      <c r="Y74" s="627"/>
      <c r="Z74" s="627"/>
      <c r="AA74" s="89"/>
      <c r="AB74" s="89"/>
      <c r="AC74" s="89"/>
      <c r="AD74" s="89"/>
      <c r="AE74" s="89"/>
      <c r="AF74" s="89"/>
      <c r="AG74" s="89"/>
      <c r="AH74" s="89"/>
      <c r="AI74" s="89"/>
      <c r="AJ74" s="89"/>
      <c r="AK74" s="89"/>
      <c r="AL74" s="89"/>
      <c r="AM74" s="89"/>
      <c r="AN74" s="89"/>
    </row>
    <row r="75" spans="1:40" s="87" customFormat="1">
      <c r="A75" s="90" t="s">
        <v>979</v>
      </c>
      <c r="B75" s="1531"/>
      <c r="C75" s="111"/>
      <c r="D75" s="627"/>
      <c r="E75" s="627"/>
      <c r="F75" s="111"/>
      <c r="G75" s="627"/>
      <c r="H75" s="627"/>
      <c r="I75" s="627"/>
      <c r="J75" s="627"/>
      <c r="K75" s="627"/>
      <c r="L75" s="627"/>
      <c r="M75" s="627"/>
      <c r="N75" s="627"/>
      <c r="O75" s="627"/>
      <c r="P75" s="627"/>
      <c r="Q75" s="627"/>
      <c r="R75" s="627"/>
      <c r="S75" s="627"/>
      <c r="T75" s="627"/>
      <c r="U75" s="1550"/>
      <c r="V75" s="90" t="s">
        <v>979</v>
      </c>
      <c r="W75" s="627"/>
      <c r="X75" s="111"/>
      <c r="Y75" s="627"/>
      <c r="Z75" s="627"/>
      <c r="AA75" s="627"/>
      <c r="AB75" s="627"/>
      <c r="AC75" s="627"/>
      <c r="AD75" s="627"/>
      <c r="AE75" s="627"/>
      <c r="AF75" s="627"/>
      <c r="AG75" s="627"/>
      <c r="AH75" s="627"/>
      <c r="AI75" s="627"/>
      <c r="AJ75" s="627"/>
      <c r="AK75" s="627"/>
      <c r="AL75" s="627"/>
      <c r="AM75" s="89"/>
      <c r="AN75" s="89"/>
    </row>
    <row r="76" spans="1:40" s="87" customFormat="1">
      <c r="A76" s="87" t="s">
        <v>563</v>
      </c>
      <c r="B76" s="1531">
        <v>1245</v>
      </c>
      <c r="C76" s="111" t="s">
        <v>2134</v>
      </c>
      <c r="D76" s="1670">
        <f>IFERROR(VLOOKUP($B76,'Trial Blc'!$B$4:O$377,D$2,FALSE),0)</f>
        <v>2350.34</v>
      </c>
      <c r="E76" s="627"/>
      <c r="F76" s="627"/>
      <c r="G76" s="627">
        <f t="shared" ref="G76:G77" si="62">+D76+E76+F76</f>
        <v>2350.34</v>
      </c>
      <c r="H76" s="627">
        <f>IFERROR(VLOOKUP($B76,'Trial Blc'!$B$4:S$377,H$2,FALSE),0)</f>
        <v>2350.34</v>
      </c>
      <c r="I76" s="627">
        <f>IFERROR(VLOOKUP($B76,'Trial Blc'!$B$4:T$377,I$2,FALSE),0)</f>
        <v>2350.34</v>
      </c>
      <c r="J76" s="627">
        <f>IFERROR(VLOOKUP($B76,'Trial Blc'!$B$4:U$377,J$2,FALSE),0)</f>
        <v>2350.34</v>
      </c>
      <c r="K76" s="627">
        <f>IFERROR(VLOOKUP($B76,'Trial Blc'!$B$4:V$377,K$2,FALSE),0)</f>
        <v>2350.34</v>
      </c>
      <c r="L76" s="627">
        <f>IFERROR(VLOOKUP($B76,'Trial Blc'!$B$4:W$377,L$2,FALSE),0)</f>
        <v>2350.34</v>
      </c>
      <c r="M76" s="627">
        <f>IFERROR(VLOOKUP($B76,'Trial Blc'!$B$4:X$377,M$2,FALSE),0)</f>
        <v>2350.34</v>
      </c>
      <c r="N76" s="627">
        <f>IFERROR(VLOOKUP($B76,'Trial Blc'!$B$4:Y$377,N$2,FALSE),0)</f>
        <v>2350.34</v>
      </c>
      <c r="O76" s="627">
        <f>IFERROR(VLOOKUP($B76,'Trial Blc'!$B$4:Z$377,O$2,FALSE),0)</f>
        <v>2350.34</v>
      </c>
      <c r="P76" s="627">
        <f>IFERROR(VLOOKUP($B76,'Trial Blc'!$B$4:AA$377,P$2,FALSE),0)</f>
        <v>2350.34</v>
      </c>
      <c r="Q76" s="627">
        <f>IFERROR(VLOOKUP($B76,'Trial Blc'!$B$4:AB$377,Q$2,FALSE),0)</f>
        <v>2350.34</v>
      </c>
      <c r="R76" s="627">
        <f>IFERROR(VLOOKUP($B76,'Trial Blc'!$B$4:AC$377,R$2,FALSE),0)</f>
        <v>2350.34</v>
      </c>
      <c r="S76" s="627">
        <f>IFERROR(VLOOKUP($B76,'Trial Blc'!$B$4:AD$377,S$2,FALSE),0)</f>
        <v>2350.34</v>
      </c>
      <c r="T76" s="627">
        <f t="shared" ref="T76:T77" si="63">AVERAGE(G76:S76)</f>
        <v>2350.34</v>
      </c>
      <c r="U76" s="1536">
        <v>2030</v>
      </c>
      <c r="V76" s="87" t="s">
        <v>191</v>
      </c>
      <c r="W76" s="1670">
        <f>-IFERROR(VLOOKUP($U76,'Trial Blc'!$B$4:AH$377,W$2,FALSE),0)</f>
        <v>-41162.269999999997</v>
      </c>
      <c r="X76" s="627"/>
      <c r="Y76" s="627"/>
      <c r="Z76" s="627">
        <f t="shared" ref="Z76" si="64">+W76+X76+Y76</f>
        <v>-41162.269999999997</v>
      </c>
      <c r="AA76" s="627">
        <f>-IFERROR(VLOOKUP($U76,'Trial Blc'!$B$4:AL$377,AA$2,FALSE),0)</f>
        <v>-41162.269999999997</v>
      </c>
      <c r="AB76" s="627">
        <f>-IFERROR(VLOOKUP($U76,'Trial Blc'!$B$4:AM$377,AB$2,FALSE),0)</f>
        <v>-41162.269999999997</v>
      </c>
      <c r="AC76" s="627">
        <f>-IFERROR(VLOOKUP($U76,'Trial Blc'!$B$4:AN$377,AC$2,FALSE),0)</f>
        <v>-41162.269999999997</v>
      </c>
      <c r="AD76" s="627">
        <f>-IFERROR(VLOOKUP($U76,'Trial Blc'!$B$4:AO$377,AD$2,FALSE),0)</f>
        <v>-41158.35</v>
      </c>
      <c r="AE76" s="627">
        <f>-IFERROR(VLOOKUP($U76,'Trial Blc'!$B$4:AP$377,AE$2,FALSE),0)</f>
        <v>-41154.43</v>
      </c>
      <c r="AF76" s="627">
        <f>-IFERROR(VLOOKUP($U76,'Trial Blc'!$B$4:AQ$377,AF$2,FALSE),0)</f>
        <v>-41150.51</v>
      </c>
      <c r="AG76" s="627">
        <f>-IFERROR(VLOOKUP($U76,'Trial Blc'!$B$4:AR$377,AG$2,FALSE),0)</f>
        <v>-41146.589999999997</v>
      </c>
      <c r="AH76" s="627">
        <f>-IFERROR(VLOOKUP($U76,'Trial Blc'!$B$4:AS$377,AH$2,FALSE),0)</f>
        <v>-41142.67</v>
      </c>
      <c r="AI76" s="627">
        <f>-IFERROR(VLOOKUP($U76,'Trial Blc'!$B$4:AT$377,AI$2,FALSE),0)</f>
        <v>-41138.75</v>
      </c>
      <c r="AJ76" s="627">
        <f>-IFERROR(VLOOKUP($U76,'Trial Blc'!$B$4:AU$377,AJ$2,FALSE),0)</f>
        <v>-41134.83</v>
      </c>
      <c r="AK76" s="627">
        <f>-IFERROR(VLOOKUP($U76,'Trial Blc'!$B$4:AV$377,AK$2,FALSE),0)</f>
        <v>-41130.910000000003</v>
      </c>
      <c r="AL76" s="627">
        <f>-IFERROR(VLOOKUP($U76,'Trial Blc'!$B$4:AW$377,AL$2,FALSE),0)</f>
        <v>-41126.99</v>
      </c>
      <c r="AM76" s="627">
        <f t="shared" ref="AM76" si="65">AVERAGE(Z76:AL76)</f>
        <v>-41148.700769230767</v>
      </c>
    </row>
    <row r="77" spans="1:40" s="87" customFormat="1">
      <c r="A77" s="87" t="s">
        <v>564</v>
      </c>
      <c r="B77" s="1531">
        <v>1250</v>
      </c>
      <c r="C77" s="111" t="s">
        <v>2135</v>
      </c>
      <c r="D77" s="627">
        <f>IFERROR(VLOOKUP($B77,'Trial Blc'!$B$4:O$377,D$2,FALSE),0)</f>
        <v>0</v>
      </c>
      <c r="E77" s="627"/>
      <c r="F77" s="627"/>
      <c r="G77" s="627">
        <f t="shared" si="62"/>
        <v>0</v>
      </c>
      <c r="H77" s="627">
        <f>IFERROR(VLOOKUP($B77,'Trial Blc'!$B$4:S$377,H$2,FALSE),0)</f>
        <v>0</v>
      </c>
      <c r="I77" s="627">
        <f>IFERROR(VLOOKUP($B77,'Trial Blc'!$B$4:T$377,I$2,FALSE),0)</f>
        <v>0</v>
      </c>
      <c r="J77" s="627">
        <f>IFERROR(VLOOKUP($B77,'Trial Blc'!$B$4:U$377,J$2,FALSE),0)</f>
        <v>0</v>
      </c>
      <c r="K77" s="627">
        <f>IFERROR(VLOOKUP($B77,'Trial Blc'!$B$4:V$377,K$2,FALSE),0)</f>
        <v>0</v>
      </c>
      <c r="L77" s="627">
        <f>IFERROR(VLOOKUP($B77,'Trial Blc'!$B$4:W$377,L$2,FALSE),0)</f>
        <v>0</v>
      </c>
      <c r="M77" s="627">
        <f>IFERROR(VLOOKUP($B77,'Trial Blc'!$B$4:X$377,M$2,FALSE),0)</f>
        <v>0</v>
      </c>
      <c r="N77" s="627">
        <f>IFERROR(VLOOKUP($B77,'Trial Blc'!$B$4:Y$377,N$2,FALSE),0)</f>
        <v>0</v>
      </c>
      <c r="O77" s="627">
        <f>IFERROR(VLOOKUP($B77,'Trial Blc'!$B$4:Z$377,O$2,FALSE),0)</f>
        <v>0</v>
      </c>
      <c r="P77" s="627">
        <f>IFERROR(VLOOKUP($B77,'Trial Blc'!$B$4:AA$377,P$2,FALSE),0)</f>
        <v>0</v>
      </c>
      <c r="Q77" s="627">
        <f>IFERROR(VLOOKUP($B77,'Trial Blc'!$B$4:AB$377,Q$2,FALSE),0)</f>
        <v>0</v>
      </c>
      <c r="R77" s="627">
        <f>IFERROR(VLOOKUP($B77,'Trial Blc'!$B$4:AC$377,R$2,FALSE),0)</f>
        <v>0</v>
      </c>
      <c r="S77" s="627">
        <f>IFERROR(VLOOKUP($B77,'Trial Blc'!$B$4:AD$377,S$2,FALSE),0)</f>
        <v>0</v>
      </c>
      <c r="T77" s="627">
        <f t="shared" si="63"/>
        <v>0</v>
      </c>
      <c r="U77" s="1536">
        <v>2040</v>
      </c>
      <c r="V77" s="87" t="s">
        <v>192</v>
      </c>
      <c r="W77" s="627">
        <f>-IFERROR(VLOOKUP($U77,'Trial Blc'!$B$4:AH$377,W$2,FALSE),0)</f>
        <v>0</v>
      </c>
      <c r="X77" s="627"/>
      <c r="Y77" s="627"/>
      <c r="Z77" s="627">
        <f t="shared" ref="Z77" si="66">+W77+X77+Y77</f>
        <v>0</v>
      </c>
      <c r="AA77" s="627">
        <f>-IFERROR(VLOOKUP($U77,'Trial Blc'!$B$4:AL$377,AA$2,FALSE),0)</f>
        <v>0</v>
      </c>
      <c r="AB77" s="627">
        <f>-IFERROR(VLOOKUP($U77,'Trial Blc'!$B$4:AM$377,AB$2,FALSE),0)</f>
        <v>0</v>
      </c>
      <c r="AC77" s="627">
        <f>-IFERROR(VLOOKUP($U77,'Trial Blc'!$B$4:AN$377,AC$2,FALSE),0)</f>
        <v>0</v>
      </c>
      <c r="AD77" s="627">
        <f>-IFERROR(VLOOKUP($U77,'Trial Blc'!$B$4:AO$377,AD$2,FALSE),0)</f>
        <v>0</v>
      </c>
      <c r="AE77" s="627">
        <f>-IFERROR(VLOOKUP($U77,'Trial Blc'!$B$4:AP$377,AE$2,FALSE),0)</f>
        <v>0</v>
      </c>
      <c r="AF77" s="627">
        <f>-IFERROR(VLOOKUP($U77,'Trial Blc'!$B$4:AQ$377,AF$2,FALSE),0)</f>
        <v>0</v>
      </c>
      <c r="AG77" s="627">
        <f>-IFERROR(VLOOKUP($U77,'Trial Blc'!$B$4:AR$377,AG$2,FALSE),0)</f>
        <v>0</v>
      </c>
      <c r="AH77" s="627">
        <f>-IFERROR(VLOOKUP($U77,'Trial Blc'!$B$4:AS$377,AH$2,FALSE),0)</f>
        <v>0</v>
      </c>
      <c r="AI77" s="627">
        <f>-IFERROR(VLOOKUP($U77,'Trial Blc'!$B$4:AT$377,AI$2,FALSE),0)</f>
        <v>0</v>
      </c>
      <c r="AJ77" s="627">
        <f>-IFERROR(VLOOKUP($U77,'Trial Blc'!$B$4:AU$377,AJ$2,FALSE),0)</f>
        <v>0</v>
      </c>
      <c r="AK77" s="627">
        <f>-IFERROR(VLOOKUP($U77,'Trial Blc'!$B$4:AV$377,AK$2,FALSE),0)</f>
        <v>0</v>
      </c>
      <c r="AL77" s="627">
        <f>-IFERROR(VLOOKUP($U77,'Trial Blc'!$B$4:AW$377,AL$2,FALSE),0)</f>
        <v>0</v>
      </c>
      <c r="AM77" s="627">
        <f t="shared" ref="AM77" si="67">AVERAGE(Z77:AL77)</f>
        <v>0</v>
      </c>
    </row>
    <row r="78" spans="1:40" s="87" customFormat="1">
      <c r="A78" s="87" t="s">
        <v>565</v>
      </c>
      <c r="B78" s="1531"/>
      <c r="C78" s="111"/>
      <c r="D78" s="627"/>
      <c r="E78" s="627"/>
      <c r="F78" s="111"/>
      <c r="G78" s="627"/>
      <c r="H78" s="627"/>
      <c r="I78" s="627"/>
      <c r="J78" s="627"/>
      <c r="K78" s="627"/>
      <c r="L78" s="627"/>
      <c r="M78" s="627"/>
      <c r="N78" s="627"/>
      <c r="O78" s="627"/>
      <c r="P78" s="627"/>
      <c r="Q78" s="627"/>
      <c r="R78" s="627"/>
      <c r="S78" s="627"/>
      <c r="T78" s="627"/>
      <c r="U78" s="1536"/>
      <c r="W78" s="627"/>
      <c r="X78" s="111"/>
      <c r="Y78" s="627"/>
      <c r="Z78" s="627"/>
      <c r="AA78" s="627"/>
      <c r="AB78" s="627"/>
      <c r="AC78" s="627"/>
      <c r="AD78" s="627"/>
      <c r="AE78" s="627"/>
      <c r="AF78" s="627"/>
      <c r="AG78" s="627"/>
      <c r="AH78" s="627"/>
      <c r="AI78" s="627"/>
      <c r="AJ78" s="627"/>
      <c r="AK78" s="627"/>
      <c r="AL78" s="627"/>
      <c r="AM78" s="89"/>
      <c r="AN78" s="89"/>
    </row>
    <row r="79" spans="1:40" s="87" customFormat="1">
      <c r="A79" s="90" t="s">
        <v>566</v>
      </c>
      <c r="B79" s="1531"/>
      <c r="C79" s="111"/>
      <c r="D79" s="627"/>
      <c r="E79" s="627"/>
      <c r="F79" s="111"/>
      <c r="G79" s="627"/>
      <c r="H79" s="627"/>
      <c r="I79" s="627"/>
      <c r="J79" s="627"/>
      <c r="K79" s="627"/>
      <c r="L79" s="627"/>
      <c r="M79" s="627"/>
      <c r="N79" s="627"/>
      <c r="O79" s="627"/>
      <c r="P79" s="627"/>
      <c r="Q79" s="627"/>
      <c r="R79" s="627"/>
      <c r="S79" s="627"/>
      <c r="T79" s="627"/>
      <c r="U79" s="1550"/>
      <c r="V79" s="90" t="s">
        <v>566</v>
      </c>
      <c r="W79" s="627"/>
      <c r="X79" s="111"/>
      <c r="Y79" s="627"/>
      <c r="Z79" s="627"/>
      <c r="AA79" s="627"/>
      <c r="AB79" s="627"/>
      <c r="AC79" s="627"/>
      <c r="AD79" s="627"/>
      <c r="AE79" s="627"/>
      <c r="AF79" s="627"/>
      <c r="AG79" s="627"/>
      <c r="AH79" s="627"/>
      <c r="AI79" s="627"/>
      <c r="AJ79" s="627"/>
      <c r="AK79" s="627"/>
      <c r="AL79" s="627"/>
      <c r="AM79" s="89"/>
      <c r="AN79" s="89"/>
    </row>
    <row r="80" spans="1:40" s="87" customFormat="1">
      <c r="A80" s="87" t="s">
        <v>567</v>
      </c>
      <c r="B80" s="1531">
        <v>1285</v>
      </c>
      <c r="C80" s="111" t="s">
        <v>2136</v>
      </c>
      <c r="D80" s="627">
        <f>IFERROR(VLOOKUP($B80,'Trial Blc'!$B$4:O$377,D$2,FALSE),0)</f>
        <v>0</v>
      </c>
      <c r="E80" s="627"/>
      <c r="F80" s="627"/>
      <c r="G80" s="627">
        <f t="shared" ref="G80:G83" si="68">+D80+E80+F80</f>
        <v>0</v>
      </c>
      <c r="H80" s="627">
        <f>IFERROR(VLOOKUP($B80,'Trial Blc'!$B$4:S$377,H$2,FALSE),0)</f>
        <v>0</v>
      </c>
      <c r="I80" s="627">
        <f>IFERROR(VLOOKUP($B80,'Trial Blc'!$B$4:T$377,I$2,FALSE),0)</f>
        <v>0</v>
      </c>
      <c r="J80" s="627">
        <f>IFERROR(VLOOKUP($B80,'Trial Blc'!$B$4:U$377,J$2,FALSE),0)</f>
        <v>0</v>
      </c>
      <c r="K80" s="627">
        <f>IFERROR(VLOOKUP($B80,'Trial Blc'!$B$4:V$377,K$2,FALSE),0)</f>
        <v>0</v>
      </c>
      <c r="L80" s="627">
        <f>IFERROR(VLOOKUP($B80,'Trial Blc'!$B$4:W$377,L$2,FALSE),0)</f>
        <v>0</v>
      </c>
      <c r="M80" s="627">
        <f>IFERROR(VLOOKUP($B80,'Trial Blc'!$B$4:X$377,M$2,FALSE),0)</f>
        <v>0</v>
      </c>
      <c r="N80" s="627">
        <f>IFERROR(VLOOKUP($B80,'Trial Blc'!$B$4:Y$377,N$2,FALSE),0)</f>
        <v>0</v>
      </c>
      <c r="O80" s="627">
        <f>IFERROR(VLOOKUP($B80,'Trial Blc'!$B$4:Z$377,O$2,FALSE),0)</f>
        <v>0</v>
      </c>
      <c r="P80" s="627">
        <f>IFERROR(VLOOKUP($B80,'Trial Blc'!$B$4:AA$377,P$2,FALSE),0)</f>
        <v>0</v>
      </c>
      <c r="Q80" s="627">
        <f>IFERROR(VLOOKUP($B80,'Trial Blc'!$B$4:AB$377,Q$2,FALSE),0)</f>
        <v>0</v>
      </c>
      <c r="R80" s="627">
        <f>IFERROR(VLOOKUP($B80,'Trial Blc'!$B$4:AC$377,R$2,FALSE),0)</f>
        <v>0</v>
      </c>
      <c r="S80" s="627">
        <f>IFERROR(VLOOKUP($B80,'Trial Blc'!$B$4:AD$377,S$2,FALSE),0)</f>
        <v>0</v>
      </c>
      <c r="T80" s="627">
        <f t="shared" ref="T80:T83" si="69">AVERAGE(G80:S80)</f>
        <v>0</v>
      </c>
      <c r="U80" s="1536"/>
      <c r="W80" s="627"/>
      <c r="X80" s="111"/>
      <c r="Y80" s="627"/>
      <c r="Z80" s="627"/>
      <c r="AA80" s="627"/>
      <c r="AB80" s="627"/>
      <c r="AC80" s="627"/>
      <c r="AD80" s="627"/>
      <c r="AE80" s="627"/>
      <c r="AF80" s="627"/>
      <c r="AG80" s="627"/>
      <c r="AH80" s="627"/>
      <c r="AI80" s="627"/>
      <c r="AJ80" s="627"/>
      <c r="AK80" s="627"/>
      <c r="AL80" s="627"/>
      <c r="AM80" s="89"/>
      <c r="AN80" s="89"/>
    </row>
    <row r="81" spans="1:40" s="87" customFormat="1">
      <c r="A81" s="87" t="s">
        <v>568</v>
      </c>
      <c r="B81" s="1531">
        <v>1290</v>
      </c>
      <c r="C81" s="111" t="s">
        <v>2137</v>
      </c>
      <c r="D81" s="627">
        <f>IFERROR(VLOOKUP($B81,'Trial Blc'!$B$4:O$377,D$2,FALSE),0)</f>
        <v>0</v>
      </c>
      <c r="E81" s="627"/>
      <c r="F81" s="627"/>
      <c r="G81" s="627">
        <f t="shared" si="68"/>
        <v>0</v>
      </c>
      <c r="H81" s="627">
        <f>IFERROR(VLOOKUP($B81,'Trial Blc'!$B$4:S$377,H$2,FALSE),0)</f>
        <v>0</v>
      </c>
      <c r="I81" s="627">
        <f>IFERROR(VLOOKUP($B81,'Trial Blc'!$B$4:T$377,I$2,FALSE),0)</f>
        <v>0</v>
      </c>
      <c r="J81" s="627">
        <f>IFERROR(VLOOKUP($B81,'Trial Blc'!$B$4:U$377,J$2,FALSE),0)</f>
        <v>0</v>
      </c>
      <c r="K81" s="627">
        <f>IFERROR(VLOOKUP($B81,'Trial Blc'!$B$4:V$377,K$2,FALSE),0)</f>
        <v>0</v>
      </c>
      <c r="L81" s="627">
        <f>IFERROR(VLOOKUP($B81,'Trial Blc'!$B$4:W$377,L$2,FALSE),0)</f>
        <v>0</v>
      </c>
      <c r="M81" s="627">
        <f>IFERROR(VLOOKUP($B81,'Trial Blc'!$B$4:X$377,M$2,FALSE),0)</f>
        <v>0</v>
      </c>
      <c r="N81" s="627">
        <f>IFERROR(VLOOKUP($B81,'Trial Blc'!$B$4:Y$377,N$2,FALSE),0)</f>
        <v>0</v>
      </c>
      <c r="O81" s="627">
        <f>IFERROR(VLOOKUP($B81,'Trial Blc'!$B$4:Z$377,O$2,FALSE),0)</f>
        <v>0</v>
      </c>
      <c r="P81" s="627">
        <f>IFERROR(VLOOKUP($B81,'Trial Blc'!$B$4:AA$377,P$2,FALSE),0)</f>
        <v>0</v>
      </c>
      <c r="Q81" s="627">
        <f>IFERROR(VLOOKUP($B81,'Trial Blc'!$B$4:AB$377,Q$2,FALSE),0)</f>
        <v>0</v>
      </c>
      <c r="R81" s="627">
        <f>IFERROR(VLOOKUP($B81,'Trial Blc'!$B$4:AC$377,R$2,FALSE),0)</f>
        <v>0</v>
      </c>
      <c r="S81" s="627">
        <f>IFERROR(VLOOKUP($B81,'Trial Blc'!$B$4:AD$377,S$2,FALSE),0)</f>
        <v>0</v>
      </c>
      <c r="T81" s="627">
        <f t="shared" si="69"/>
        <v>0</v>
      </c>
      <c r="U81" s="1536">
        <v>2050</v>
      </c>
      <c r="V81" s="87" t="s">
        <v>1551</v>
      </c>
      <c r="W81" s="627">
        <f>-IFERROR(VLOOKUP($U81,'Trial Blc'!$B$4:AH$377,W$2,FALSE),0)</f>
        <v>0</v>
      </c>
      <c r="X81" s="627"/>
      <c r="Y81" s="627"/>
      <c r="Z81" s="627">
        <f t="shared" ref="Z81:Z83" si="70">+W81+X81+Y81</f>
        <v>0</v>
      </c>
      <c r="AA81" s="627">
        <f>-IFERROR(VLOOKUP($U81,'Trial Blc'!$B$4:AL$377,AA$2,FALSE),0)</f>
        <v>0</v>
      </c>
      <c r="AB81" s="627">
        <f>-IFERROR(VLOOKUP($U81,'Trial Blc'!$B$4:AM$377,AB$2,FALSE),0)</f>
        <v>0</v>
      </c>
      <c r="AC81" s="627">
        <f>-IFERROR(VLOOKUP($U81,'Trial Blc'!$B$4:AN$377,AC$2,FALSE),0)</f>
        <v>0</v>
      </c>
      <c r="AD81" s="627">
        <f>-IFERROR(VLOOKUP($U81,'Trial Blc'!$B$4:AO$377,AD$2,FALSE),0)</f>
        <v>0</v>
      </c>
      <c r="AE81" s="627">
        <f>-IFERROR(VLOOKUP($U81,'Trial Blc'!$B$4:AP$377,AE$2,FALSE),0)</f>
        <v>0</v>
      </c>
      <c r="AF81" s="627">
        <f>-IFERROR(VLOOKUP($U81,'Trial Blc'!$B$4:AQ$377,AF$2,FALSE),0)</f>
        <v>0</v>
      </c>
      <c r="AG81" s="627">
        <f>-IFERROR(VLOOKUP($U81,'Trial Blc'!$B$4:AR$377,AG$2,FALSE),0)</f>
        <v>0</v>
      </c>
      <c r="AH81" s="627">
        <f>-IFERROR(VLOOKUP($U81,'Trial Blc'!$B$4:AS$377,AH$2,FALSE),0)</f>
        <v>0</v>
      </c>
      <c r="AI81" s="627">
        <f>-IFERROR(VLOOKUP($U81,'Trial Blc'!$B$4:AT$377,AI$2,FALSE),0)</f>
        <v>0</v>
      </c>
      <c r="AJ81" s="627">
        <f>-IFERROR(VLOOKUP($U81,'Trial Blc'!$B$4:AU$377,AJ$2,FALSE),0)</f>
        <v>0</v>
      </c>
      <c r="AK81" s="627">
        <f>-IFERROR(VLOOKUP($U81,'Trial Blc'!$B$4:AV$377,AK$2,FALSE),0)</f>
        <v>0</v>
      </c>
      <c r="AL81" s="627">
        <f>-IFERROR(VLOOKUP($U81,'Trial Blc'!$B$4:AW$377,AL$2,FALSE),0)</f>
        <v>0</v>
      </c>
      <c r="AM81" s="627">
        <f t="shared" ref="AM81:AM83" si="71">AVERAGE(Z81:AL81)</f>
        <v>0</v>
      </c>
    </row>
    <row r="82" spans="1:40" s="87" customFormat="1">
      <c r="A82" s="87" t="s">
        <v>160</v>
      </c>
      <c r="B82" s="1531">
        <v>1320</v>
      </c>
      <c r="C82" s="111" t="s">
        <v>2138</v>
      </c>
      <c r="D82" s="627">
        <f>IFERROR(VLOOKUP($B82,'Trial Blc'!$B$4:O$377,D$2,FALSE),0)</f>
        <v>0</v>
      </c>
      <c r="E82" s="627"/>
      <c r="F82" s="627"/>
      <c r="G82" s="627">
        <f t="shared" si="68"/>
        <v>0</v>
      </c>
      <c r="H82" s="627">
        <f>IFERROR(VLOOKUP($B82,'Trial Blc'!$B$4:S$377,H$2,FALSE),0)</f>
        <v>0</v>
      </c>
      <c r="I82" s="627">
        <f>IFERROR(VLOOKUP($B82,'Trial Blc'!$B$4:T$377,I$2,FALSE),0)</f>
        <v>0</v>
      </c>
      <c r="J82" s="627">
        <f>IFERROR(VLOOKUP($B82,'Trial Blc'!$B$4:U$377,J$2,FALSE),0)</f>
        <v>0</v>
      </c>
      <c r="K82" s="627">
        <f>IFERROR(VLOOKUP($B82,'Trial Blc'!$B$4:V$377,K$2,FALSE),0)</f>
        <v>0</v>
      </c>
      <c r="L82" s="627">
        <f>IFERROR(VLOOKUP($B82,'Trial Blc'!$B$4:W$377,L$2,FALSE),0)</f>
        <v>0</v>
      </c>
      <c r="M82" s="627">
        <f>IFERROR(VLOOKUP($B82,'Trial Blc'!$B$4:X$377,M$2,FALSE),0)</f>
        <v>0</v>
      </c>
      <c r="N82" s="627">
        <f>IFERROR(VLOOKUP($B82,'Trial Blc'!$B$4:Y$377,N$2,FALSE),0)</f>
        <v>0</v>
      </c>
      <c r="O82" s="627">
        <f>IFERROR(VLOOKUP($B82,'Trial Blc'!$B$4:Z$377,O$2,FALSE),0)</f>
        <v>0</v>
      </c>
      <c r="P82" s="627">
        <f>IFERROR(VLOOKUP($B82,'Trial Blc'!$B$4:AA$377,P$2,FALSE),0)</f>
        <v>0</v>
      </c>
      <c r="Q82" s="627">
        <f>IFERROR(VLOOKUP($B82,'Trial Blc'!$B$4:AB$377,Q$2,FALSE),0)</f>
        <v>0</v>
      </c>
      <c r="R82" s="627">
        <f>IFERROR(VLOOKUP($B82,'Trial Blc'!$B$4:AC$377,R$2,FALSE),0)</f>
        <v>0</v>
      </c>
      <c r="S82" s="627">
        <f>IFERROR(VLOOKUP($B82,'Trial Blc'!$B$4:AD$377,S$2,FALSE),0)</f>
        <v>0</v>
      </c>
      <c r="T82" s="627">
        <f t="shared" si="69"/>
        <v>0</v>
      </c>
      <c r="U82" s="1536">
        <v>2080</v>
      </c>
      <c r="V82" s="87" t="s">
        <v>194</v>
      </c>
      <c r="W82" s="627">
        <f>-IFERROR(VLOOKUP($U82,'Trial Blc'!$B$4:AH$377,W$2,FALSE),0)</f>
        <v>0</v>
      </c>
      <c r="X82" s="627"/>
      <c r="Y82" s="627"/>
      <c r="Z82" s="627">
        <f t="shared" si="70"/>
        <v>0</v>
      </c>
      <c r="AA82" s="627">
        <f>-IFERROR(VLOOKUP($U82,'Trial Blc'!$B$4:AL$377,AA$2,FALSE),0)</f>
        <v>0</v>
      </c>
      <c r="AB82" s="627">
        <f>-IFERROR(VLOOKUP($U82,'Trial Blc'!$B$4:AM$377,AB$2,FALSE),0)</f>
        <v>0</v>
      </c>
      <c r="AC82" s="627">
        <f>-IFERROR(VLOOKUP($U82,'Trial Blc'!$B$4:AN$377,AC$2,FALSE),0)</f>
        <v>0</v>
      </c>
      <c r="AD82" s="627">
        <f>-IFERROR(VLOOKUP($U82,'Trial Blc'!$B$4:AO$377,AD$2,FALSE),0)</f>
        <v>0</v>
      </c>
      <c r="AE82" s="627">
        <f>-IFERROR(VLOOKUP($U82,'Trial Blc'!$B$4:AP$377,AE$2,FALSE),0)</f>
        <v>0</v>
      </c>
      <c r="AF82" s="627">
        <f>-IFERROR(VLOOKUP($U82,'Trial Blc'!$B$4:AQ$377,AF$2,FALSE),0)</f>
        <v>0</v>
      </c>
      <c r="AG82" s="627">
        <f>-IFERROR(VLOOKUP($U82,'Trial Blc'!$B$4:AR$377,AG$2,FALSE),0)</f>
        <v>0</v>
      </c>
      <c r="AH82" s="627">
        <f>-IFERROR(VLOOKUP($U82,'Trial Blc'!$B$4:AS$377,AH$2,FALSE),0)</f>
        <v>0</v>
      </c>
      <c r="AI82" s="627">
        <f>-IFERROR(VLOOKUP($U82,'Trial Blc'!$B$4:AT$377,AI$2,FALSE),0)</f>
        <v>0</v>
      </c>
      <c r="AJ82" s="627">
        <f>-IFERROR(VLOOKUP($U82,'Trial Blc'!$B$4:AU$377,AJ$2,FALSE),0)</f>
        <v>0</v>
      </c>
      <c r="AK82" s="627">
        <f>-IFERROR(VLOOKUP($U82,'Trial Blc'!$B$4:AV$377,AK$2,FALSE),0)</f>
        <v>0</v>
      </c>
      <c r="AL82" s="627">
        <f>-IFERROR(VLOOKUP($U82,'Trial Blc'!$B$4:AW$377,AL$2,FALSE),0)</f>
        <v>0</v>
      </c>
      <c r="AM82" s="627">
        <f t="shared" si="71"/>
        <v>0</v>
      </c>
    </row>
    <row r="83" spans="1:40" s="89" customFormat="1">
      <c r="A83" s="89" t="s">
        <v>569</v>
      </c>
      <c r="B83" s="1532">
        <v>1345</v>
      </c>
      <c r="C83" s="113" t="s">
        <v>2139</v>
      </c>
      <c r="D83" s="1670">
        <f>IFERROR(VLOOKUP($B83,'Trial Blc'!$B$4:O$377,D$2,FALSE),0)</f>
        <v>244274.56</v>
      </c>
      <c r="E83" s="627"/>
      <c r="F83" s="627"/>
      <c r="G83" s="627">
        <f t="shared" si="68"/>
        <v>244274.56</v>
      </c>
      <c r="H83" s="627">
        <f>IFERROR(VLOOKUP($B83,'Trial Blc'!$B$4:S$377,H$2,FALSE),0)</f>
        <v>244274.56</v>
      </c>
      <c r="I83" s="627">
        <f>IFERROR(VLOOKUP($B83,'Trial Blc'!$B$4:T$377,I$2,FALSE),0)</f>
        <v>244274.56</v>
      </c>
      <c r="J83" s="627">
        <f>IFERROR(VLOOKUP($B83,'Trial Blc'!$B$4:U$377,J$2,FALSE),0)</f>
        <v>244355.36</v>
      </c>
      <c r="K83" s="627">
        <f>IFERROR(VLOOKUP($B83,'Trial Blc'!$B$4:V$377,K$2,FALSE),0)</f>
        <v>244355.36</v>
      </c>
      <c r="L83" s="627">
        <f>IFERROR(VLOOKUP($B83,'Trial Blc'!$B$4:W$377,L$2,FALSE),0)</f>
        <v>244429.19</v>
      </c>
      <c r="M83" s="627">
        <f>IFERROR(VLOOKUP($B83,'Trial Blc'!$B$4:X$377,M$2,FALSE),0)</f>
        <v>244429.19</v>
      </c>
      <c r="N83" s="627">
        <f>IFERROR(VLOOKUP($B83,'Trial Blc'!$B$4:Y$377,N$2,FALSE),0)</f>
        <v>244429.19</v>
      </c>
      <c r="O83" s="627">
        <f>IFERROR(VLOOKUP($B83,'Trial Blc'!$B$4:Z$377,O$2,FALSE),0)</f>
        <v>244879.19</v>
      </c>
      <c r="P83" s="627">
        <f>IFERROR(VLOOKUP($B83,'Trial Blc'!$B$4:AA$377,P$2,FALSE),0)</f>
        <v>244879.19</v>
      </c>
      <c r="Q83" s="627">
        <f>IFERROR(VLOOKUP($B83,'Trial Blc'!$B$4:AB$377,Q$2,FALSE),0)</f>
        <v>244969.19</v>
      </c>
      <c r="R83" s="627">
        <f>IFERROR(VLOOKUP($B83,'Trial Blc'!$B$4:AC$377,R$2,FALSE),0)</f>
        <v>248969.19</v>
      </c>
      <c r="S83" s="627">
        <f>IFERROR(VLOOKUP($B83,'Trial Blc'!$B$4:AD$377,S$2,FALSE),0)</f>
        <v>248969.19</v>
      </c>
      <c r="T83" s="627">
        <f t="shared" si="69"/>
        <v>245191.37846153841</v>
      </c>
      <c r="U83" s="1552">
        <v>2105</v>
      </c>
      <c r="V83" s="89" t="s">
        <v>195</v>
      </c>
      <c r="W83" s="1670">
        <f>-IFERROR(VLOOKUP($U83,'Trial Blc'!$B$4:AH$377,W$2,FALSE),0)</f>
        <v>158184.42000000001</v>
      </c>
      <c r="X83" s="627"/>
      <c r="Y83" s="627"/>
      <c r="Z83" s="627">
        <f t="shared" si="70"/>
        <v>158184.42000000001</v>
      </c>
      <c r="AA83" s="627">
        <f>-IFERROR(VLOOKUP($U83,'Trial Blc'!$B$4:AL$377,AA$2,FALSE),0)</f>
        <v>158862.96</v>
      </c>
      <c r="AB83" s="627">
        <f>-IFERROR(VLOOKUP($U83,'Trial Blc'!$B$4:AM$377,AB$2,FALSE),0)</f>
        <v>159541.5</v>
      </c>
      <c r="AC83" s="627">
        <f>-IFERROR(VLOOKUP($U83,'Trial Blc'!$B$4:AN$377,AC$2,FALSE),0)</f>
        <v>160220.26</v>
      </c>
      <c r="AD83" s="627">
        <f>-IFERROR(VLOOKUP($U83,'Trial Blc'!$B$4:AO$377,AD$2,FALSE),0)</f>
        <v>160899.01999999999</v>
      </c>
      <c r="AE83" s="627">
        <f>-IFERROR(VLOOKUP($U83,'Trial Blc'!$B$4:AP$377,AE$2,FALSE),0)</f>
        <v>161577.99</v>
      </c>
      <c r="AF83" s="627">
        <f>-IFERROR(VLOOKUP($U83,'Trial Blc'!$B$4:AQ$377,AF$2,FALSE),0)</f>
        <v>162256.95999999999</v>
      </c>
      <c r="AG83" s="627">
        <f>-IFERROR(VLOOKUP($U83,'Trial Blc'!$B$4:AR$377,AG$2,FALSE),0)</f>
        <v>162935.93</v>
      </c>
      <c r="AH83" s="627">
        <f>-IFERROR(VLOOKUP($U83,'Trial Blc'!$B$4:AS$377,AH$2,FALSE),0)</f>
        <v>163616.15</v>
      </c>
      <c r="AI83" s="627">
        <f>-IFERROR(VLOOKUP($U83,'Trial Blc'!$B$4:AT$377,AI$2,FALSE),0)</f>
        <v>164296.37</v>
      </c>
      <c r="AJ83" s="627">
        <f>-IFERROR(VLOOKUP($U83,'Trial Blc'!$B$4:AU$377,AJ$2,FALSE),0)</f>
        <v>164976.84</v>
      </c>
      <c r="AK83" s="627">
        <f>-IFERROR(VLOOKUP($U83,'Trial Blc'!$B$4:AV$377,AK$2,FALSE),0)</f>
        <v>165668.42000000001</v>
      </c>
      <c r="AL83" s="627">
        <f>-IFERROR(VLOOKUP($U83,'Trial Blc'!$B$4:AW$377,AL$2,FALSE),0)</f>
        <v>166360</v>
      </c>
      <c r="AM83" s="627">
        <f t="shared" si="71"/>
        <v>162261.29384615386</v>
      </c>
      <c r="AN83" s="87"/>
    </row>
    <row r="84" spans="1:40" s="87" customFormat="1">
      <c r="B84" s="1531"/>
      <c r="C84" s="1573"/>
      <c r="D84" s="627"/>
      <c r="E84" s="627"/>
      <c r="F84" s="111"/>
      <c r="G84" s="627"/>
      <c r="H84" s="627"/>
      <c r="I84" s="627"/>
      <c r="J84" s="627"/>
      <c r="K84" s="627"/>
      <c r="L84" s="627"/>
      <c r="M84" s="627"/>
      <c r="N84" s="627"/>
      <c r="O84" s="627"/>
      <c r="P84" s="627"/>
      <c r="Q84" s="627"/>
      <c r="R84" s="627"/>
      <c r="S84" s="627"/>
      <c r="T84" s="627"/>
      <c r="U84" s="1536"/>
      <c r="W84" s="627"/>
      <c r="X84" s="113"/>
      <c r="Y84" s="627"/>
      <c r="Z84" s="627"/>
      <c r="AA84" s="627"/>
      <c r="AB84" s="627"/>
      <c r="AC84" s="627"/>
      <c r="AD84" s="627"/>
      <c r="AE84" s="627"/>
      <c r="AF84" s="627"/>
      <c r="AG84" s="627"/>
      <c r="AH84" s="627"/>
      <c r="AI84" s="627"/>
      <c r="AJ84" s="627"/>
      <c r="AK84" s="627"/>
      <c r="AL84" s="627"/>
    </row>
    <row r="85" spans="1:40" s="87" customFormat="1">
      <c r="B85" s="1531">
        <v>1350</v>
      </c>
      <c r="C85" s="111" t="s">
        <v>2140</v>
      </c>
      <c r="D85" s="627">
        <f>IFERROR(VLOOKUP($B85,'Trial Blc'!$B$4:O$377,D$2,FALSE),0)</f>
        <v>2374634.36</v>
      </c>
      <c r="E85" s="627"/>
      <c r="F85" s="627"/>
      <c r="G85" s="627">
        <f t="shared" ref="G85:G86" si="72">+D85+E85+F85</f>
        <v>2374634.36</v>
      </c>
      <c r="H85" s="627">
        <f>IFERROR(VLOOKUP($B85,'Trial Blc'!$B$4:S$377,H$2,FALSE),0)</f>
        <v>2374969.6</v>
      </c>
      <c r="I85" s="627">
        <f>IFERROR(VLOOKUP($B85,'Trial Blc'!$B$4:T$377,I$2,FALSE),0)</f>
        <v>2374969.6</v>
      </c>
      <c r="J85" s="627">
        <f>IFERROR(VLOOKUP($B85,'Trial Blc'!$B$4:U$377,J$2,FALSE),0)</f>
        <v>2375131.2000000002</v>
      </c>
      <c r="K85" s="627">
        <f>IFERROR(VLOOKUP($B85,'Trial Blc'!$B$4:V$377,K$2,FALSE),0)</f>
        <v>2375131.2000000002</v>
      </c>
      <c r="L85" s="627">
        <f>IFERROR(VLOOKUP($B85,'Trial Blc'!$B$4:W$377,L$2,FALSE),0)</f>
        <v>2375261.4900000002</v>
      </c>
      <c r="M85" s="627">
        <f>IFERROR(VLOOKUP($B85,'Trial Blc'!$B$4:X$377,M$2,FALSE),0)</f>
        <v>2375351.4900000002</v>
      </c>
      <c r="N85" s="627">
        <f>IFERROR(VLOOKUP($B85,'Trial Blc'!$B$4:Y$377,N$2,FALSE),0)</f>
        <v>2375593.23</v>
      </c>
      <c r="O85" s="627">
        <f>IFERROR(VLOOKUP($B85,'Trial Blc'!$B$4:Z$377,O$2,FALSE),0)</f>
        <v>2376377.58</v>
      </c>
      <c r="P85" s="627">
        <f>IFERROR(VLOOKUP($B85,'Trial Blc'!$B$4:AA$377,P$2,FALSE),0)</f>
        <v>2381738.16</v>
      </c>
      <c r="Q85" s="627">
        <f>IFERROR(VLOOKUP($B85,'Trial Blc'!$B$4:AB$377,Q$2,FALSE),0)</f>
        <v>2384196.67</v>
      </c>
      <c r="R85" s="627">
        <f>IFERROR(VLOOKUP($B85,'Trial Blc'!$B$4:AC$377,R$2,FALSE),0)</f>
        <v>2384618.41</v>
      </c>
      <c r="S85" s="627">
        <f>IFERROR(VLOOKUP($B85,'Trial Blc'!$B$4:AD$377,S$2,FALSE),0)</f>
        <v>2386835.73</v>
      </c>
      <c r="T85" s="627">
        <f t="shared" ref="T85:T86" si="73">AVERAGE(G85:S85)</f>
        <v>2378062.209230769</v>
      </c>
      <c r="U85" s="1536">
        <v>2110</v>
      </c>
      <c r="V85" s="87" t="s">
        <v>196</v>
      </c>
      <c r="W85" s="627">
        <f>-IFERROR(VLOOKUP($U85,'Trial Blc'!$B$4:AH$377,W$2,FALSE),0)</f>
        <v>625844.66</v>
      </c>
      <c r="X85" s="627"/>
      <c r="Y85" s="627"/>
      <c r="Z85" s="627">
        <f t="shared" ref="Z85:Z86" si="74">+W85+X85+Y85</f>
        <v>625844.66</v>
      </c>
      <c r="AA85" s="627">
        <f>-IFERROR(VLOOKUP($U85,'Trial Blc'!$B$4:AL$377,AA$2,FALSE),0)</f>
        <v>630234.63</v>
      </c>
      <c r="AB85" s="627">
        <f>-IFERROR(VLOOKUP($U85,'Trial Blc'!$B$4:AM$377,AB$2,FALSE),0)</f>
        <v>634624.6</v>
      </c>
      <c r="AC85" s="627">
        <f>-IFERROR(VLOOKUP($U85,'Trial Blc'!$B$4:AN$377,AC$2,FALSE),0)</f>
        <v>639014.87</v>
      </c>
      <c r="AD85" s="627">
        <f>-IFERROR(VLOOKUP($U85,'Trial Blc'!$B$4:AO$377,AD$2,FALSE),0)</f>
        <v>643405.14</v>
      </c>
      <c r="AE85" s="627">
        <f>-IFERROR(VLOOKUP($U85,'Trial Blc'!$B$4:AP$377,AE$2,FALSE),0)</f>
        <v>647795.65</v>
      </c>
      <c r="AF85" s="627">
        <f>-IFERROR(VLOOKUP($U85,'Trial Blc'!$B$4:AQ$377,AF$2,FALSE),0)</f>
        <v>652186.31999999995</v>
      </c>
      <c r="AG85" s="627">
        <f>-IFERROR(VLOOKUP($U85,'Trial Blc'!$B$4:AR$377,AG$2,FALSE),0)</f>
        <v>656577.43999999994</v>
      </c>
      <c r="AH85" s="627">
        <f>-IFERROR(VLOOKUP($U85,'Trial Blc'!$B$4:AS$377,AH$2,FALSE),0)</f>
        <v>660970.01</v>
      </c>
      <c r="AI85" s="627">
        <f>-IFERROR(VLOOKUP($U85,'Trial Blc'!$B$4:AT$377,AI$2,FALSE),0)</f>
        <v>665372.49</v>
      </c>
      <c r="AJ85" s="627">
        <f>-IFERROR(VLOOKUP($U85,'Trial Blc'!$B$4:AU$377,AJ$2,FALSE),0)</f>
        <v>667242.72</v>
      </c>
      <c r="AK85" s="627">
        <f>-IFERROR(VLOOKUP($U85,'Trial Blc'!$B$4:AV$377,AK$2,FALSE),0)</f>
        <v>671650.52</v>
      </c>
      <c r="AL85" s="627">
        <f>-IFERROR(VLOOKUP($U85,'Trial Blc'!$B$4:AW$377,AL$2,FALSE),0)</f>
        <v>674148.28</v>
      </c>
      <c r="AM85" s="627">
        <f t="shared" ref="AM85:AM86" si="75">AVERAGE(Z85:AL85)</f>
        <v>651466.71769230766</v>
      </c>
    </row>
    <row r="86" spans="1:40" s="87" customFormat="1">
      <c r="B86" s="1531">
        <v>1353</v>
      </c>
      <c r="C86" s="111" t="s">
        <v>2141</v>
      </c>
      <c r="D86" s="627">
        <f>IFERROR(VLOOKUP($B86,'Trial Blc'!$B$4:O$377,D$2,FALSE),0)</f>
        <v>175836.59</v>
      </c>
      <c r="E86" s="627"/>
      <c r="F86" s="627"/>
      <c r="G86" s="627">
        <f t="shared" si="72"/>
        <v>175836.59</v>
      </c>
      <c r="H86" s="627">
        <f>IFERROR(VLOOKUP($B86,'Trial Blc'!$B$4:S$377,H$2,FALSE),0)</f>
        <v>175836.59</v>
      </c>
      <c r="I86" s="627">
        <f>IFERROR(VLOOKUP($B86,'Trial Blc'!$B$4:T$377,I$2,FALSE),0)</f>
        <v>179206.79</v>
      </c>
      <c r="J86" s="627">
        <f>IFERROR(VLOOKUP($B86,'Trial Blc'!$B$4:U$377,J$2,FALSE),0)</f>
        <v>180319.58</v>
      </c>
      <c r="K86" s="627">
        <f>IFERROR(VLOOKUP($B86,'Trial Blc'!$B$4:V$377,K$2,FALSE),0)</f>
        <v>180319.58</v>
      </c>
      <c r="L86" s="627">
        <f>IFERROR(VLOOKUP($B86,'Trial Blc'!$B$4:W$377,L$2,FALSE),0)</f>
        <v>180319.58</v>
      </c>
      <c r="M86" s="627">
        <f>IFERROR(VLOOKUP($B86,'Trial Blc'!$B$4:X$377,M$2,FALSE),0)</f>
        <v>180319.58</v>
      </c>
      <c r="N86" s="627">
        <f>IFERROR(VLOOKUP($B86,'Trial Blc'!$B$4:Y$377,N$2,FALSE),0)</f>
        <v>180319.58</v>
      </c>
      <c r="O86" s="627">
        <f>IFERROR(VLOOKUP($B86,'Trial Blc'!$B$4:Z$377,O$2,FALSE),0)</f>
        <v>180319.58</v>
      </c>
      <c r="P86" s="627">
        <f>IFERROR(VLOOKUP($B86,'Trial Blc'!$B$4:AA$377,P$2,FALSE),0)</f>
        <v>180319.58</v>
      </c>
      <c r="Q86" s="627">
        <f>IFERROR(VLOOKUP($B86,'Trial Blc'!$B$4:AB$377,Q$2,FALSE),0)</f>
        <v>180319.58</v>
      </c>
      <c r="R86" s="627">
        <f>IFERROR(VLOOKUP($B86,'Trial Blc'!$B$4:AC$377,R$2,FALSE),0)</f>
        <v>180319.58</v>
      </c>
      <c r="S86" s="627">
        <f>IFERROR(VLOOKUP($B86,'Trial Blc'!$B$4:AD$377,S$2,FALSE),0)</f>
        <v>180319.58</v>
      </c>
      <c r="T86" s="627">
        <f t="shared" si="73"/>
        <v>179544.29000000004</v>
      </c>
      <c r="U86" s="1536">
        <v>2113</v>
      </c>
      <c r="V86" s="87" t="s">
        <v>1555</v>
      </c>
      <c r="W86" s="627">
        <f>-IFERROR(VLOOKUP($U86,'Trial Blc'!$B$4:AH$377,W$2,FALSE),0)</f>
        <v>84828.68</v>
      </c>
      <c r="X86" s="627"/>
      <c r="Y86" s="627"/>
      <c r="Z86" s="627">
        <f t="shared" si="74"/>
        <v>84828.68</v>
      </c>
      <c r="AA86" s="627">
        <f>-IFERROR(VLOOKUP($U86,'Trial Blc'!$B$4:AL$377,AA$2,FALSE),0)</f>
        <v>85173.81</v>
      </c>
      <c r="AB86" s="627">
        <f>-IFERROR(VLOOKUP($U86,'Trial Blc'!$B$4:AM$377,AB$2,FALSE),0)</f>
        <v>84022.76</v>
      </c>
      <c r="AC86" s="627">
        <f>-IFERROR(VLOOKUP($U86,'Trial Blc'!$B$4:AN$377,AC$2,FALSE),0)</f>
        <v>83740.56</v>
      </c>
      <c r="AD86" s="627">
        <f>-IFERROR(VLOOKUP($U86,'Trial Blc'!$B$4:AO$377,AD$2,FALSE),0)</f>
        <v>84098.14</v>
      </c>
      <c r="AE86" s="627">
        <f>-IFERROR(VLOOKUP($U86,'Trial Blc'!$B$4:AP$377,AE$2,FALSE),0)</f>
        <v>84455.72</v>
      </c>
      <c r="AF86" s="627">
        <f>-IFERROR(VLOOKUP($U86,'Trial Blc'!$B$4:AQ$377,AF$2,FALSE),0)</f>
        <v>84813.3</v>
      </c>
      <c r="AG86" s="627">
        <f>-IFERROR(VLOOKUP($U86,'Trial Blc'!$B$4:AR$377,AG$2,FALSE),0)</f>
        <v>85170.880000000005</v>
      </c>
      <c r="AH86" s="627">
        <f>-IFERROR(VLOOKUP($U86,'Trial Blc'!$B$4:AS$377,AH$2,FALSE),0)</f>
        <v>85528.46</v>
      </c>
      <c r="AI86" s="627">
        <f>-IFERROR(VLOOKUP($U86,'Trial Blc'!$B$4:AT$377,AI$2,FALSE),0)</f>
        <v>85886.04</v>
      </c>
      <c r="AJ86" s="627">
        <f>-IFERROR(VLOOKUP($U86,'Trial Blc'!$B$4:AU$377,AJ$2,FALSE),0)</f>
        <v>86243.62</v>
      </c>
      <c r="AK86" s="627">
        <f>-IFERROR(VLOOKUP($U86,'Trial Blc'!$B$4:AV$377,AK$2,FALSE),0)</f>
        <v>86601.2</v>
      </c>
      <c r="AL86" s="627">
        <f>-IFERROR(VLOOKUP($U86,'Trial Blc'!$B$4:AW$377,AL$2,FALSE),0)</f>
        <v>86958.78</v>
      </c>
      <c r="AM86" s="627">
        <f t="shared" si="75"/>
        <v>85193.99615384615</v>
      </c>
    </row>
    <row r="87" spans="1:40" s="87" customFormat="1">
      <c r="B87" s="1531"/>
      <c r="C87" s="111"/>
      <c r="D87" s="628"/>
      <c r="E87" s="627"/>
      <c r="F87" s="111"/>
      <c r="G87" s="628"/>
      <c r="H87" s="628"/>
      <c r="I87" s="628"/>
      <c r="J87" s="628"/>
      <c r="K87" s="628"/>
      <c r="L87" s="628"/>
      <c r="M87" s="628"/>
      <c r="N87" s="628"/>
      <c r="O87" s="628"/>
      <c r="P87" s="628"/>
      <c r="Q87" s="628"/>
      <c r="R87" s="628"/>
      <c r="S87" s="628"/>
      <c r="T87" s="628"/>
      <c r="U87" s="1552"/>
      <c r="V87" s="89"/>
      <c r="W87" s="628"/>
      <c r="X87" s="113"/>
      <c r="Y87" s="627"/>
      <c r="Z87" s="628"/>
      <c r="AA87" s="628"/>
      <c r="AB87" s="628"/>
      <c r="AC87" s="628"/>
      <c r="AD87" s="628"/>
      <c r="AE87" s="628"/>
      <c r="AF87" s="628"/>
      <c r="AG87" s="628"/>
      <c r="AH87" s="628"/>
      <c r="AI87" s="628"/>
      <c r="AJ87" s="628"/>
      <c r="AK87" s="628"/>
      <c r="AL87" s="628"/>
    </row>
    <row r="88" spans="1:40" s="87" customFormat="1">
      <c r="A88" s="874" t="s">
        <v>570</v>
      </c>
      <c r="B88" s="1528"/>
      <c r="C88" s="112" t="s">
        <v>763</v>
      </c>
      <c r="D88" s="1670">
        <f>SUM(D85:D86)</f>
        <v>2550470.9499999997</v>
      </c>
      <c r="E88" s="629"/>
      <c r="F88" s="844">
        <f>SUM(F85:F86)</f>
        <v>0</v>
      </c>
      <c r="G88" s="627">
        <f>SUM(G85:G86)</f>
        <v>2550470.9499999997</v>
      </c>
      <c r="H88" s="627">
        <f t="shared" ref="H88:R88" si="76">SUM(H85:H86)</f>
        <v>2550806.19</v>
      </c>
      <c r="I88" s="627">
        <f t="shared" si="76"/>
        <v>2554176.39</v>
      </c>
      <c r="J88" s="627">
        <f t="shared" si="76"/>
        <v>2555450.7800000003</v>
      </c>
      <c r="K88" s="627">
        <f t="shared" si="76"/>
        <v>2555450.7800000003</v>
      </c>
      <c r="L88" s="627">
        <f t="shared" si="76"/>
        <v>2555581.0700000003</v>
      </c>
      <c r="M88" s="627">
        <f t="shared" si="76"/>
        <v>2555671.0700000003</v>
      </c>
      <c r="N88" s="627">
        <f t="shared" si="76"/>
        <v>2555912.81</v>
      </c>
      <c r="O88" s="627">
        <f t="shared" si="76"/>
        <v>2556697.16</v>
      </c>
      <c r="P88" s="627">
        <f t="shared" si="76"/>
        <v>2562057.7400000002</v>
      </c>
      <c r="Q88" s="627">
        <f t="shared" si="76"/>
        <v>2564516.25</v>
      </c>
      <c r="R88" s="627">
        <f t="shared" si="76"/>
        <v>2564937.9900000002</v>
      </c>
      <c r="S88" s="627">
        <f>SUM(S85:S86)</f>
        <v>2567155.31</v>
      </c>
      <c r="T88" s="627"/>
      <c r="U88" s="1551"/>
      <c r="V88" s="852" t="s">
        <v>763</v>
      </c>
      <c r="W88" s="1670">
        <f>SUM(W85:W86)</f>
        <v>710673.34000000008</v>
      </c>
      <c r="X88" s="844">
        <f>SUM(X85:X86)</f>
        <v>0</v>
      </c>
      <c r="Y88" s="629">
        <f>SUM(Y85:Y86)</f>
        <v>0</v>
      </c>
      <c r="Z88" s="627">
        <f>SUM(Z85:Z86)</f>
        <v>710673.34000000008</v>
      </c>
      <c r="AA88" s="627">
        <f t="shared" ref="AA88:AK88" si="77">SUM(AA85:AA86)</f>
        <v>715408.44</v>
      </c>
      <c r="AB88" s="627">
        <f t="shared" si="77"/>
        <v>718647.36</v>
      </c>
      <c r="AC88" s="627">
        <f t="shared" si="77"/>
        <v>722755.42999999993</v>
      </c>
      <c r="AD88" s="627">
        <f t="shared" si="77"/>
        <v>727503.28</v>
      </c>
      <c r="AE88" s="627">
        <f t="shared" si="77"/>
        <v>732251.37</v>
      </c>
      <c r="AF88" s="627">
        <f t="shared" si="77"/>
        <v>736999.62</v>
      </c>
      <c r="AG88" s="627">
        <f t="shared" si="77"/>
        <v>741748.32</v>
      </c>
      <c r="AH88" s="627">
        <f t="shared" si="77"/>
        <v>746498.47</v>
      </c>
      <c r="AI88" s="627">
        <f t="shared" si="77"/>
        <v>751258.53</v>
      </c>
      <c r="AJ88" s="627">
        <f t="shared" si="77"/>
        <v>753486.34</v>
      </c>
      <c r="AK88" s="627">
        <f t="shared" si="77"/>
        <v>758251.72</v>
      </c>
      <c r="AL88" s="627">
        <f>SUM(AL85:AL86)</f>
        <v>761107.06</v>
      </c>
      <c r="AM88" s="87">
        <f t="shared" ref="AM88" si="78">AVERAGE(Z88:AL88)</f>
        <v>736660.71384615393</v>
      </c>
    </row>
    <row r="89" spans="1:40" s="87" customFormat="1">
      <c r="A89" s="87" t="s">
        <v>571</v>
      </c>
      <c r="B89" s="1531"/>
      <c r="C89" s="111"/>
      <c r="D89" s="627">
        <f>IFERROR(VLOOKUP($B89,'Trial Blc'!$B$4:O$377,D$2,FALSE),0)</f>
        <v>0</v>
      </c>
      <c r="E89" s="627"/>
      <c r="F89" s="627"/>
      <c r="G89" s="627">
        <f t="shared" ref="G89:G93" si="79">+D89+E89+F89</f>
        <v>0</v>
      </c>
      <c r="H89" s="627">
        <f>IFERROR(VLOOKUP($B89,'Trial Blc'!$B$4:S$377,H$2,FALSE),0)</f>
        <v>0</v>
      </c>
      <c r="I89" s="627">
        <f>IFERROR(VLOOKUP($B89,'Trial Blc'!$B$4:T$377,I$2,FALSE),0)</f>
        <v>0</v>
      </c>
      <c r="J89" s="627">
        <f>IFERROR(VLOOKUP($B89,'Trial Blc'!$B$4:U$377,J$2,FALSE),0)</f>
        <v>0</v>
      </c>
      <c r="K89" s="627">
        <f>IFERROR(VLOOKUP($B89,'Trial Blc'!$B$4:V$377,K$2,FALSE),0)</f>
        <v>0</v>
      </c>
      <c r="L89" s="627">
        <f>IFERROR(VLOOKUP($B89,'Trial Blc'!$B$4:W$377,L$2,FALSE),0)</f>
        <v>0</v>
      </c>
      <c r="M89" s="627">
        <f>IFERROR(VLOOKUP($B89,'Trial Blc'!$B$4:X$377,M$2,FALSE),0)</f>
        <v>0</v>
      </c>
      <c r="N89" s="627">
        <f>IFERROR(VLOOKUP($B89,'Trial Blc'!$B$4:Y$377,N$2,FALSE),0)</f>
        <v>0</v>
      </c>
      <c r="O89" s="627">
        <f>IFERROR(VLOOKUP($B89,'Trial Blc'!$B$4:Z$377,O$2,FALSE),0)</f>
        <v>0</v>
      </c>
      <c r="P89" s="627">
        <f>IFERROR(VLOOKUP($B89,'Trial Blc'!$B$4:AA$377,P$2,FALSE),0)</f>
        <v>0</v>
      </c>
      <c r="Q89" s="627">
        <f>IFERROR(VLOOKUP($B89,'Trial Blc'!$B$4:AB$377,Q$2,FALSE),0)</f>
        <v>0</v>
      </c>
      <c r="R89" s="627">
        <f>IFERROR(VLOOKUP($B89,'Trial Blc'!$B$4:AC$377,R$2,FALSE),0)</f>
        <v>0</v>
      </c>
      <c r="S89" s="627">
        <f>IFERROR(VLOOKUP($B89,'Trial Blc'!$B$4:AD$377,S$2,FALSE),0)</f>
        <v>0</v>
      </c>
      <c r="T89" s="627">
        <f t="shared" ref="T89:T93" si="80">AVERAGE(G89:S89)</f>
        <v>0</v>
      </c>
      <c r="U89" s="1552"/>
      <c r="V89" s="89"/>
      <c r="W89" s="627"/>
      <c r="X89" s="113"/>
      <c r="Y89" s="627"/>
      <c r="Z89" s="627"/>
      <c r="AA89" s="627"/>
      <c r="AB89" s="627"/>
      <c r="AC89" s="627"/>
      <c r="AD89" s="627"/>
      <c r="AE89" s="627"/>
      <c r="AF89" s="627"/>
      <c r="AG89" s="627"/>
      <c r="AH89" s="627"/>
      <c r="AI89" s="627"/>
      <c r="AJ89" s="627"/>
      <c r="AK89" s="627"/>
      <c r="AL89" s="627"/>
      <c r="AM89" s="89"/>
      <c r="AN89" s="89"/>
    </row>
    <row r="90" spans="1:40" s="89" customFormat="1">
      <c r="A90" s="89" t="s">
        <v>1104</v>
      </c>
      <c r="B90" s="1532">
        <v>1360</v>
      </c>
      <c r="C90" s="113" t="s">
        <v>2142</v>
      </c>
      <c r="D90" s="1670">
        <f>IFERROR(VLOOKUP($B90,'Trial Blc'!$B$4:O$377,D$2,FALSE),0)</f>
        <v>131589.92000000001</v>
      </c>
      <c r="E90" s="627"/>
      <c r="F90" s="627"/>
      <c r="G90" s="627">
        <f t="shared" si="79"/>
        <v>131589.92000000001</v>
      </c>
      <c r="H90" s="627">
        <f>IFERROR(VLOOKUP($B90,'Trial Blc'!$B$4:S$377,H$2,FALSE),0)</f>
        <v>131589.92000000001</v>
      </c>
      <c r="I90" s="627">
        <f>IFERROR(VLOOKUP($B90,'Trial Blc'!$B$4:T$377,I$2,FALSE),0)</f>
        <v>131589.92000000001</v>
      </c>
      <c r="J90" s="627">
        <f>IFERROR(VLOOKUP($B90,'Trial Blc'!$B$4:U$377,J$2,FALSE),0)</f>
        <v>131589.92000000001</v>
      </c>
      <c r="K90" s="627">
        <f>IFERROR(VLOOKUP($B90,'Trial Blc'!$B$4:V$377,K$2,FALSE),0)</f>
        <v>131589.92000000001</v>
      </c>
      <c r="L90" s="627">
        <f>IFERROR(VLOOKUP($B90,'Trial Blc'!$B$4:W$377,L$2,FALSE),0)</f>
        <v>131589.92000000001</v>
      </c>
      <c r="M90" s="627">
        <f>IFERROR(VLOOKUP($B90,'Trial Blc'!$B$4:X$377,M$2,FALSE),0)</f>
        <v>131589.92000000001</v>
      </c>
      <c r="N90" s="627">
        <f>IFERROR(VLOOKUP($B90,'Trial Blc'!$B$4:Y$377,N$2,FALSE),0)</f>
        <v>131589.92000000001</v>
      </c>
      <c r="O90" s="627">
        <f>IFERROR(VLOOKUP($B90,'Trial Blc'!$B$4:Z$377,O$2,FALSE),0)</f>
        <v>131589.92000000001</v>
      </c>
      <c r="P90" s="627">
        <f>IFERROR(VLOOKUP($B90,'Trial Blc'!$B$4:AA$377,P$2,FALSE),0)</f>
        <v>131589.92000000001</v>
      </c>
      <c r="Q90" s="627">
        <f>IFERROR(VLOOKUP($B90,'Trial Blc'!$B$4:AB$377,Q$2,FALSE),0)</f>
        <v>131589.92000000001</v>
      </c>
      <c r="R90" s="627">
        <f>IFERROR(VLOOKUP($B90,'Trial Blc'!$B$4:AC$377,R$2,FALSE),0)</f>
        <v>131589.92000000001</v>
      </c>
      <c r="S90" s="627">
        <f>IFERROR(VLOOKUP($B90,'Trial Blc'!$B$4:AD$377,S$2,FALSE),0)</f>
        <v>135174.92000000001</v>
      </c>
      <c r="T90" s="627">
        <f t="shared" si="80"/>
        <v>131865.6892307692</v>
      </c>
      <c r="U90" s="1552">
        <v>2120</v>
      </c>
      <c r="V90" s="89" t="s">
        <v>1556</v>
      </c>
      <c r="W90" s="1670">
        <f>-IFERROR(VLOOKUP($U90,'Trial Blc'!$B$4:AH$377,W$2,FALSE),0)</f>
        <v>9706.82</v>
      </c>
      <c r="X90" s="627"/>
      <c r="Y90" s="627"/>
      <c r="Z90" s="627">
        <f t="shared" ref="Z90:Z91" si="81">+W90+X90+Y90</f>
        <v>9706.82</v>
      </c>
      <c r="AA90" s="627">
        <f>-IFERROR(VLOOKUP($U90,'Trial Blc'!$B$4:AL$377,AA$2,FALSE),0)</f>
        <v>9871.31</v>
      </c>
      <c r="AB90" s="627">
        <f>-IFERROR(VLOOKUP($U90,'Trial Blc'!$B$4:AM$377,AB$2,FALSE),0)</f>
        <v>10035.799999999999</v>
      </c>
      <c r="AC90" s="627">
        <f>-IFERROR(VLOOKUP($U90,'Trial Blc'!$B$4:AN$377,AC$2,FALSE),0)</f>
        <v>10200.290000000001</v>
      </c>
      <c r="AD90" s="627">
        <f>-IFERROR(VLOOKUP($U90,'Trial Blc'!$B$4:AO$377,AD$2,FALSE),0)</f>
        <v>10364.780000000001</v>
      </c>
      <c r="AE90" s="627">
        <f>-IFERROR(VLOOKUP($U90,'Trial Blc'!$B$4:AP$377,AE$2,FALSE),0)</f>
        <v>10529.27</v>
      </c>
      <c r="AF90" s="627">
        <f>-IFERROR(VLOOKUP($U90,'Trial Blc'!$B$4:AQ$377,AF$2,FALSE),0)</f>
        <v>10693.76</v>
      </c>
      <c r="AG90" s="627">
        <f>-IFERROR(VLOOKUP($U90,'Trial Blc'!$B$4:AR$377,AG$2,FALSE),0)</f>
        <v>10858.25</v>
      </c>
      <c r="AH90" s="627">
        <f>-IFERROR(VLOOKUP($U90,'Trial Blc'!$B$4:AS$377,AH$2,FALSE),0)</f>
        <v>11022.74</v>
      </c>
      <c r="AI90" s="627">
        <f>-IFERROR(VLOOKUP($U90,'Trial Blc'!$B$4:AT$377,AI$2,FALSE),0)</f>
        <v>11187.23</v>
      </c>
      <c r="AJ90" s="627">
        <f>-IFERROR(VLOOKUP($U90,'Trial Blc'!$B$4:AU$377,AJ$2,FALSE),0)</f>
        <v>11351.72</v>
      </c>
      <c r="AK90" s="627">
        <f>-IFERROR(VLOOKUP($U90,'Trial Blc'!$B$4:AV$377,AK$2,FALSE),0)</f>
        <v>11516.21</v>
      </c>
      <c r="AL90" s="627">
        <f>-IFERROR(VLOOKUP($U90,'Trial Blc'!$B$4:AW$377,AL$2,FALSE),0)</f>
        <v>11685.18</v>
      </c>
      <c r="AM90" s="627">
        <f t="shared" ref="AM90:AM91" si="82">AVERAGE(Z90:AL90)</f>
        <v>10694.104615384615</v>
      </c>
      <c r="AN90" s="87"/>
    </row>
    <row r="91" spans="1:40" s="87" customFormat="1">
      <c r="A91" s="87" t="s">
        <v>1105</v>
      </c>
      <c r="B91" s="1531">
        <v>1365</v>
      </c>
      <c r="C91" s="111" t="s">
        <v>2143</v>
      </c>
      <c r="D91" s="1670">
        <f>IFERROR(VLOOKUP($B91,'Trial Blc'!$B$4:O$377,D$2,FALSE),0)</f>
        <v>1028.94</v>
      </c>
      <c r="E91" s="627"/>
      <c r="F91" s="627"/>
      <c r="G91" s="627">
        <f t="shared" si="79"/>
        <v>1028.94</v>
      </c>
      <c r="H91" s="627">
        <f>IFERROR(VLOOKUP($B91,'Trial Blc'!$B$4:S$377,H$2,FALSE),0)</f>
        <v>3779.41</v>
      </c>
      <c r="I91" s="627">
        <f>IFERROR(VLOOKUP($B91,'Trial Blc'!$B$4:T$377,I$2,FALSE),0)</f>
        <v>3779.41</v>
      </c>
      <c r="J91" s="627">
        <f>IFERROR(VLOOKUP($B91,'Trial Blc'!$B$4:U$377,J$2,FALSE),0)</f>
        <v>3779.41</v>
      </c>
      <c r="K91" s="627">
        <f>IFERROR(VLOOKUP($B91,'Trial Blc'!$B$4:V$377,K$2,FALSE),0)</f>
        <v>3779.41</v>
      </c>
      <c r="L91" s="627">
        <f>IFERROR(VLOOKUP($B91,'Trial Blc'!$B$4:W$377,L$2,FALSE),0)</f>
        <v>3779.41</v>
      </c>
      <c r="M91" s="627">
        <f>IFERROR(VLOOKUP($B91,'Trial Blc'!$B$4:X$377,M$2,FALSE),0)</f>
        <v>3779.41</v>
      </c>
      <c r="N91" s="627">
        <f>IFERROR(VLOOKUP($B91,'Trial Blc'!$B$4:Y$377,N$2,FALSE),0)</f>
        <v>3779.41</v>
      </c>
      <c r="O91" s="627">
        <f>IFERROR(VLOOKUP($B91,'Trial Blc'!$B$4:Z$377,O$2,FALSE),0)</f>
        <v>3779.41</v>
      </c>
      <c r="P91" s="627">
        <f>IFERROR(VLOOKUP($B91,'Trial Blc'!$B$4:AA$377,P$2,FALSE),0)</f>
        <v>3779.41</v>
      </c>
      <c r="Q91" s="627">
        <f>IFERROR(VLOOKUP($B91,'Trial Blc'!$B$4:AB$377,Q$2,FALSE),0)</f>
        <v>5715.54</v>
      </c>
      <c r="R91" s="627">
        <f>IFERROR(VLOOKUP($B91,'Trial Blc'!$B$4:AC$377,R$2,FALSE),0)</f>
        <v>5715.54</v>
      </c>
      <c r="S91" s="627">
        <f>IFERROR(VLOOKUP($B91,'Trial Blc'!$B$4:AD$377,S$2,FALSE),0)</f>
        <v>5715.54</v>
      </c>
      <c r="T91" s="627">
        <f t="shared" si="80"/>
        <v>4014.6346153846152</v>
      </c>
      <c r="U91" s="1536">
        <v>2125</v>
      </c>
      <c r="V91" s="87" t="s">
        <v>197</v>
      </c>
      <c r="W91" s="1670">
        <f>-IFERROR(VLOOKUP($U91,'Trial Blc'!$B$4:AH$377,W$2,FALSE),0)</f>
        <v>161.09</v>
      </c>
      <c r="X91" s="627"/>
      <c r="Y91" s="627"/>
      <c r="Z91" s="627">
        <f t="shared" si="81"/>
        <v>161.09</v>
      </c>
      <c r="AA91" s="627">
        <f>-IFERROR(VLOOKUP($U91,'Trial Blc'!$B$4:AL$377,AA$2,FALSE),0)</f>
        <v>-4174.8999999999996</v>
      </c>
      <c r="AB91" s="627">
        <f>-IFERROR(VLOOKUP($U91,'Trial Blc'!$B$4:AM$377,AB$2,FALSE),0)</f>
        <v>-4111.91</v>
      </c>
      <c r="AC91" s="627">
        <f>-IFERROR(VLOOKUP($U91,'Trial Blc'!$B$4:AN$377,AC$2,FALSE),0)</f>
        <v>-4048.92</v>
      </c>
      <c r="AD91" s="627">
        <f>-IFERROR(VLOOKUP($U91,'Trial Blc'!$B$4:AO$377,AD$2,FALSE),0)</f>
        <v>-3985.93</v>
      </c>
      <c r="AE91" s="627">
        <f>-IFERROR(VLOOKUP($U91,'Trial Blc'!$B$4:AP$377,AE$2,FALSE),0)</f>
        <v>-3922.94</v>
      </c>
      <c r="AF91" s="627">
        <f>-IFERROR(VLOOKUP($U91,'Trial Blc'!$B$4:AQ$377,AF$2,FALSE),0)</f>
        <v>-3859.95</v>
      </c>
      <c r="AG91" s="627">
        <f>-IFERROR(VLOOKUP($U91,'Trial Blc'!$B$4:AR$377,AG$2,FALSE),0)</f>
        <v>-3796.96</v>
      </c>
      <c r="AH91" s="627">
        <f>-IFERROR(VLOOKUP($U91,'Trial Blc'!$B$4:AS$377,AH$2,FALSE),0)</f>
        <v>-3733.97</v>
      </c>
      <c r="AI91" s="627">
        <f>-IFERROR(VLOOKUP($U91,'Trial Blc'!$B$4:AT$377,AI$2,FALSE),0)</f>
        <v>-3670.98</v>
      </c>
      <c r="AJ91" s="627">
        <f>-IFERROR(VLOOKUP($U91,'Trial Blc'!$B$4:AU$377,AJ$2,FALSE),0)</f>
        <v>-4896.76</v>
      </c>
      <c r="AK91" s="627">
        <f>-IFERROR(VLOOKUP($U91,'Trial Blc'!$B$4:AV$377,AK$2,FALSE),0)</f>
        <v>-4801.5</v>
      </c>
      <c r="AL91" s="627">
        <f>-IFERROR(VLOOKUP($U91,'Trial Blc'!$B$4:AW$377,AL$2,FALSE),0)</f>
        <v>-4706.24</v>
      </c>
      <c r="AM91" s="627">
        <f t="shared" si="82"/>
        <v>-3811.5284615384617</v>
      </c>
    </row>
    <row r="92" spans="1:40" s="87" customFormat="1">
      <c r="A92" s="87" t="s">
        <v>1106</v>
      </c>
      <c r="B92" s="1531"/>
      <c r="C92" s="1573"/>
      <c r="D92" s="627">
        <f>IFERROR(VLOOKUP($B92,'Trial Blc'!$B$4:O$377,D$2,FALSE),0)</f>
        <v>0</v>
      </c>
      <c r="E92" s="627"/>
      <c r="F92" s="627"/>
      <c r="G92" s="627">
        <f t="shared" si="79"/>
        <v>0</v>
      </c>
      <c r="H92" s="627">
        <f>IFERROR(VLOOKUP($B92,'Trial Blc'!$B$4:S$377,H$2,FALSE),0)</f>
        <v>0</v>
      </c>
      <c r="I92" s="627">
        <f>IFERROR(VLOOKUP($B92,'Trial Blc'!$B$4:T$377,I$2,FALSE),0)</f>
        <v>0</v>
      </c>
      <c r="J92" s="627">
        <f>IFERROR(VLOOKUP($B92,'Trial Blc'!$B$4:U$377,J$2,FALSE),0)</f>
        <v>0</v>
      </c>
      <c r="K92" s="627">
        <f>IFERROR(VLOOKUP($B92,'Trial Blc'!$B$4:V$377,K$2,FALSE),0)</f>
        <v>0</v>
      </c>
      <c r="L92" s="627">
        <f>IFERROR(VLOOKUP($B92,'Trial Blc'!$B$4:W$377,L$2,FALSE),0)</f>
        <v>0</v>
      </c>
      <c r="M92" s="627">
        <f>IFERROR(VLOOKUP($B92,'Trial Blc'!$B$4:X$377,M$2,FALSE),0)</f>
        <v>0</v>
      </c>
      <c r="N92" s="627">
        <f>IFERROR(VLOOKUP($B92,'Trial Blc'!$B$4:Y$377,N$2,FALSE),0)</f>
        <v>0</v>
      </c>
      <c r="O92" s="627">
        <f>IFERROR(VLOOKUP($B92,'Trial Blc'!$B$4:Z$377,O$2,FALSE),0)</f>
        <v>0</v>
      </c>
      <c r="P92" s="627">
        <f>IFERROR(VLOOKUP($B92,'Trial Blc'!$B$4:AA$377,P$2,FALSE),0)</f>
        <v>0</v>
      </c>
      <c r="Q92" s="627">
        <f>IFERROR(VLOOKUP($B92,'Trial Blc'!$B$4:AB$377,Q$2,FALSE),0)</f>
        <v>0</v>
      </c>
      <c r="R92" s="627">
        <f>IFERROR(VLOOKUP($B92,'Trial Blc'!$B$4:AC$377,R$2,FALSE),0)</f>
        <v>0</v>
      </c>
      <c r="S92" s="627">
        <f>IFERROR(VLOOKUP($B92,'Trial Blc'!$B$4:AD$377,S$2,FALSE),0)</f>
        <v>0</v>
      </c>
      <c r="T92" s="627">
        <f t="shared" si="80"/>
        <v>0</v>
      </c>
      <c r="U92" s="1536"/>
      <c r="W92" s="627"/>
      <c r="X92" s="111"/>
      <c r="Y92" s="627"/>
      <c r="Z92" s="627"/>
      <c r="AA92" s="627"/>
      <c r="AB92" s="627"/>
      <c r="AC92" s="627"/>
      <c r="AD92" s="627"/>
      <c r="AE92" s="627"/>
      <c r="AF92" s="627"/>
      <c r="AG92" s="627"/>
      <c r="AH92" s="627"/>
      <c r="AI92" s="627"/>
      <c r="AJ92" s="627"/>
      <c r="AK92" s="627"/>
      <c r="AL92" s="627"/>
      <c r="AM92" s="89"/>
      <c r="AN92" s="89"/>
    </row>
    <row r="93" spans="1:40" s="87" customFormat="1">
      <c r="A93" s="87" t="s">
        <v>1107</v>
      </c>
      <c r="B93" s="1531">
        <v>1430</v>
      </c>
      <c r="C93" s="111" t="s">
        <v>2144</v>
      </c>
      <c r="D93" s="1670">
        <f>IFERROR(VLOOKUP($B93,'Trial Blc'!$B$4:O$377,D$2,FALSE),0)</f>
        <v>1430.57</v>
      </c>
      <c r="E93" s="627"/>
      <c r="F93" s="627"/>
      <c r="G93" s="627">
        <f t="shared" si="79"/>
        <v>1430.57</v>
      </c>
      <c r="H93" s="627">
        <f>IFERROR(VLOOKUP($B93,'Trial Blc'!$B$4:S$377,H$2,FALSE),0)</f>
        <v>1430.57</v>
      </c>
      <c r="I93" s="627">
        <f>IFERROR(VLOOKUP($B93,'Trial Blc'!$B$4:T$377,I$2,FALSE),0)</f>
        <v>1430.57</v>
      </c>
      <c r="J93" s="627">
        <f>IFERROR(VLOOKUP($B93,'Trial Blc'!$B$4:U$377,J$2,FALSE),0)</f>
        <v>1430.57</v>
      </c>
      <c r="K93" s="627">
        <f>IFERROR(VLOOKUP($B93,'Trial Blc'!$B$4:V$377,K$2,FALSE),0)</f>
        <v>1430.57</v>
      </c>
      <c r="L93" s="627">
        <f>IFERROR(VLOOKUP($B93,'Trial Blc'!$B$4:W$377,L$2,FALSE),0)</f>
        <v>1430.57</v>
      </c>
      <c r="M93" s="627">
        <f>IFERROR(VLOOKUP($B93,'Trial Blc'!$B$4:X$377,M$2,FALSE),0)</f>
        <v>1430.57</v>
      </c>
      <c r="N93" s="627">
        <f>IFERROR(VLOOKUP($B93,'Trial Blc'!$B$4:Y$377,N$2,FALSE),0)</f>
        <v>1430.57</v>
      </c>
      <c r="O93" s="627">
        <f>IFERROR(VLOOKUP($B93,'Trial Blc'!$B$4:Z$377,O$2,FALSE),0)</f>
        <v>1430.57</v>
      </c>
      <c r="P93" s="627">
        <f>IFERROR(VLOOKUP($B93,'Trial Blc'!$B$4:AA$377,P$2,FALSE),0)</f>
        <v>1430.57</v>
      </c>
      <c r="Q93" s="627">
        <f>IFERROR(VLOOKUP($B93,'Trial Blc'!$B$4:AB$377,Q$2,FALSE),0)</f>
        <v>1430.57</v>
      </c>
      <c r="R93" s="627">
        <f>IFERROR(VLOOKUP($B93,'Trial Blc'!$B$4:AC$377,R$2,FALSE),0)</f>
        <v>1430.57</v>
      </c>
      <c r="S93" s="627">
        <f>IFERROR(VLOOKUP($B93,'Trial Blc'!$B$4:AD$377,S$2,FALSE),0)</f>
        <v>1430.57</v>
      </c>
      <c r="T93" s="627">
        <f t="shared" si="80"/>
        <v>1430.57</v>
      </c>
      <c r="U93" s="1536">
        <v>2190</v>
      </c>
      <c r="V93" s="87" t="s">
        <v>202</v>
      </c>
      <c r="W93" s="1670">
        <f>-IFERROR(VLOOKUP($U93,'Trial Blc'!$B$4:AH$377,W$2,FALSE),0)</f>
        <v>-3767.36</v>
      </c>
      <c r="X93" s="627"/>
      <c r="Y93" s="627"/>
      <c r="Z93" s="627">
        <f t="shared" ref="Z93" si="83">+W93+X93+Y93</f>
        <v>-3767.36</v>
      </c>
      <c r="AA93" s="627">
        <f>-IFERROR(VLOOKUP($U93,'Trial Blc'!$B$4:AL$377,AA$2,FALSE),0)</f>
        <v>-3760.74</v>
      </c>
      <c r="AB93" s="627">
        <f>-IFERROR(VLOOKUP($U93,'Trial Blc'!$B$4:AM$377,AB$2,FALSE),0)</f>
        <v>-3754.12</v>
      </c>
      <c r="AC93" s="627">
        <f>-IFERROR(VLOOKUP($U93,'Trial Blc'!$B$4:AN$377,AC$2,FALSE),0)</f>
        <v>-3747.5</v>
      </c>
      <c r="AD93" s="627">
        <f>-IFERROR(VLOOKUP($U93,'Trial Blc'!$B$4:AO$377,AD$2,FALSE),0)</f>
        <v>-3740.88</v>
      </c>
      <c r="AE93" s="627">
        <f>-IFERROR(VLOOKUP($U93,'Trial Blc'!$B$4:AP$377,AE$2,FALSE),0)</f>
        <v>-3734.26</v>
      </c>
      <c r="AF93" s="627">
        <f>-IFERROR(VLOOKUP($U93,'Trial Blc'!$B$4:AQ$377,AF$2,FALSE),0)</f>
        <v>-3727.64</v>
      </c>
      <c r="AG93" s="627">
        <f>-IFERROR(VLOOKUP($U93,'Trial Blc'!$B$4:AR$377,AG$2,FALSE),0)</f>
        <v>-3721.02</v>
      </c>
      <c r="AH93" s="627">
        <f>-IFERROR(VLOOKUP($U93,'Trial Blc'!$B$4:AS$377,AH$2,FALSE),0)</f>
        <v>-3714.4</v>
      </c>
      <c r="AI93" s="627">
        <f>-IFERROR(VLOOKUP($U93,'Trial Blc'!$B$4:AT$377,AI$2,FALSE),0)</f>
        <v>-3707.78</v>
      </c>
      <c r="AJ93" s="627">
        <f>-IFERROR(VLOOKUP($U93,'Trial Blc'!$B$4:AU$377,AJ$2,FALSE),0)</f>
        <v>-3701.16</v>
      </c>
      <c r="AK93" s="627">
        <f>-IFERROR(VLOOKUP($U93,'Trial Blc'!$B$4:AV$377,AK$2,FALSE),0)</f>
        <v>-3694.54</v>
      </c>
      <c r="AL93" s="627">
        <f>-IFERROR(VLOOKUP($U93,'Trial Blc'!$B$4:AW$377,AL$2,FALSE),0)</f>
        <v>-3687.92</v>
      </c>
      <c r="AM93" s="627">
        <f t="shared" ref="AM93" si="84">AVERAGE(Z93:AL93)</f>
        <v>-3727.64</v>
      </c>
    </row>
    <row r="94" spans="1:40" s="87" customFormat="1">
      <c r="A94" s="90" t="s">
        <v>1108</v>
      </c>
      <c r="B94" s="1531"/>
      <c r="C94" s="111"/>
      <c r="D94" s="627"/>
      <c r="E94" s="627"/>
      <c r="F94" s="111"/>
      <c r="G94" s="627"/>
      <c r="H94" s="627"/>
      <c r="I94" s="627"/>
      <c r="J94" s="627"/>
      <c r="K94" s="627"/>
      <c r="L94" s="627"/>
      <c r="M94" s="627"/>
      <c r="N94" s="627"/>
      <c r="O94" s="627"/>
      <c r="P94" s="627"/>
      <c r="Q94" s="627"/>
      <c r="R94" s="627"/>
      <c r="S94" s="627"/>
      <c r="T94" s="627"/>
      <c r="U94" s="1550"/>
      <c r="V94" s="90" t="s">
        <v>1108</v>
      </c>
      <c r="W94" s="627"/>
      <c r="X94" s="111"/>
      <c r="Y94" s="627"/>
      <c r="Z94" s="627"/>
      <c r="AA94" s="627"/>
      <c r="AB94" s="627"/>
      <c r="AC94" s="627"/>
      <c r="AD94" s="627"/>
      <c r="AE94" s="627"/>
      <c r="AF94" s="627"/>
      <c r="AG94" s="627"/>
      <c r="AH94" s="627"/>
      <c r="AI94" s="627"/>
      <c r="AJ94" s="627"/>
      <c r="AK94" s="627"/>
      <c r="AL94" s="627"/>
      <c r="AM94" s="89"/>
      <c r="AN94" s="89"/>
    </row>
    <row r="95" spans="1:40" s="87" customFormat="1">
      <c r="A95" s="87" t="s">
        <v>1109</v>
      </c>
      <c r="B95" s="1531"/>
      <c r="C95" s="111"/>
      <c r="D95" s="627">
        <f>IFERROR(VLOOKUP($B95,'Trial Blc'!$B$4:O$377,D$2,FALSE),0)</f>
        <v>0</v>
      </c>
      <c r="E95" s="627"/>
      <c r="F95" s="627"/>
      <c r="G95" s="627">
        <f t="shared" ref="G95:G106" si="85">+D95+E95+F95</f>
        <v>0</v>
      </c>
      <c r="H95" s="627">
        <f>IFERROR(VLOOKUP($B95,'Trial Blc'!$B$4:S$377,H$2,FALSE),0)</f>
        <v>0</v>
      </c>
      <c r="I95" s="627">
        <f>IFERROR(VLOOKUP($B95,'Trial Blc'!$B$4:T$377,I$2,FALSE),0)</f>
        <v>0</v>
      </c>
      <c r="J95" s="627">
        <f>IFERROR(VLOOKUP($B95,'Trial Blc'!$B$4:U$377,J$2,FALSE),0)</f>
        <v>0</v>
      </c>
      <c r="K95" s="627">
        <f>IFERROR(VLOOKUP($B95,'Trial Blc'!$B$4:V$377,K$2,FALSE),0)</f>
        <v>0</v>
      </c>
      <c r="L95" s="627">
        <f>IFERROR(VLOOKUP($B95,'Trial Blc'!$B$4:W$377,L$2,FALSE),0)</f>
        <v>0</v>
      </c>
      <c r="M95" s="627">
        <f>IFERROR(VLOOKUP($B95,'Trial Blc'!$B$4:X$377,M$2,FALSE),0)</f>
        <v>0</v>
      </c>
      <c r="N95" s="627">
        <f>IFERROR(VLOOKUP($B95,'Trial Blc'!$B$4:Y$377,N$2,FALSE),0)</f>
        <v>0</v>
      </c>
      <c r="O95" s="627">
        <f>IFERROR(VLOOKUP($B95,'Trial Blc'!$B$4:Z$377,O$2,FALSE),0)</f>
        <v>0</v>
      </c>
      <c r="P95" s="627">
        <f>IFERROR(VLOOKUP($B95,'Trial Blc'!$B$4:AA$377,P$2,FALSE),0)</f>
        <v>0</v>
      </c>
      <c r="Q95" s="627">
        <f>IFERROR(VLOOKUP($B95,'Trial Blc'!$B$4:AB$377,Q$2,FALSE),0)</f>
        <v>0</v>
      </c>
      <c r="R95" s="627">
        <f>IFERROR(VLOOKUP($B95,'Trial Blc'!$B$4:AC$377,R$2,FALSE),0)</f>
        <v>0</v>
      </c>
      <c r="S95" s="627">
        <f>IFERROR(VLOOKUP($B95,'Trial Blc'!$B$4:AD$377,S$2,FALSE),0)</f>
        <v>0</v>
      </c>
      <c r="T95" s="627">
        <f t="shared" ref="T95:T106" si="86">AVERAGE(G95:S95)</f>
        <v>0</v>
      </c>
      <c r="U95" s="1536"/>
      <c r="W95" s="627"/>
      <c r="X95" s="111"/>
      <c r="Y95" s="627"/>
      <c r="Z95" s="627"/>
      <c r="AA95" s="627"/>
      <c r="AB95" s="627"/>
      <c r="AC95" s="627"/>
      <c r="AD95" s="627"/>
      <c r="AE95" s="627"/>
      <c r="AF95" s="627"/>
      <c r="AG95" s="627"/>
      <c r="AH95" s="627"/>
      <c r="AI95" s="627"/>
      <c r="AJ95" s="627"/>
      <c r="AK95" s="627"/>
      <c r="AL95" s="627"/>
      <c r="AM95" s="89"/>
      <c r="AN95" s="89"/>
    </row>
    <row r="96" spans="1:40" s="87" customFormat="1">
      <c r="A96" s="87" t="s">
        <v>1110</v>
      </c>
      <c r="B96" s="1531">
        <v>1295</v>
      </c>
      <c r="C96" s="111" t="s">
        <v>2145</v>
      </c>
      <c r="D96" s="1670">
        <f>IFERROR(VLOOKUP($B96,'Trial Blc'!$B$4:O$377,D$2,FALSE),0)</f>
        <v>295114.01</v>
      </c>
      <c r="E96" s="627"/>
      <c r="F96" s="627"/>
      <c r="G96" s="627">
        <f t="shared" si="85"/>
        <v>295114.01</v>
      </c>
      <c r="H96" s="627">
        <f>IFERROR(VLOOKUP($B96,'Trial Blc'!$B$4:S$377,H$2,FALSE),0)</f>
        <v>295114.01</v>
      </c>
      <c r="I96" s="627">
        <f>IFERROR(VLOOKUP($B96,'Trial Blc'!$B$4:T$377,I$2,FALSE),0)</f>
        <v>296864.01</v>
      </c>
      <c r="J96" s="627">
        <f>IFERROR(VLOOKUP($B96,'Trial Blc'!$B$4:U$377,J$2,FALSE),0)</f>
        <v>296864.01</v>
      </c>
      <c r="K96" s="627">
        <f>IFERROR(VLOOKUP($B96,'Trial Blc'!$B$4:V$377,K$2,FALSE),0)</f>
        <v>309947.96999999997</v>
      </c>
      <c r="L96" s="627">
        <f>IFERROR(VLOOKUP($B96,'Trial Blc'!$B$4:W$377,L$2,FALSE),0)</f>
        <v>305107.96999999997</v>
      </c>
      <c r="M96" s="627">
        <f>IFERROR(VLOOKUP($B96,'Trial Blc'!$B$4:X$377,M$2,FALSE),0)</f>
        <v>818281.59</v>
      </c>
      <c r="N96" s="627">
        <f>IFERROR(VLOOKUP($B96,'Trial Blc'!$B$4:Y$377,N$2,FALSE),0)</f>
        <v>854792.46</v>
      </c>
      <c r="O96" s="627">
        <f>IFERROR(VLOOKUP($B96,'Trial Blc'!$B$4:Z$377,O$2,FALSE),0)</f>
        <v>854792.46</v>
      </c>
      <c r="P96" s="627">
        <f>IFERROR(VLOOKUP($B96,'Trial Blc'!$B$4:AA$377,P$2,FALSE),0)</f>
        <v>598892.46</v>
      </c>
      <c r="Q96" s="627">
        <f>IFERROR(VLOOKUP($B96,'Trial Blc'!$B$4:AB$377,Q$2,FALSE),0)</f>
        <v>598892.46</v>
      </c>
      <c r="R96" s="627">
        <f>IFERROR(VLOOKUP($B96,'Trial Blc'!$B$4:AC$377,R$2,FALSE),0)</f>
        <v>598892.46</v>
      </c>
      <c r="S96" s="627">
        <f>IFERROR(VLOOKUP($B96,'Trial Blc'!$B$4:AD$377,S$2,FALSE),0)</f>
        <v>598892.46</v>
      </c>
      <c r="T96" s="627">
        <f t="shared" si="86"/>
        <v>517111.41000000003</v>
      </c>
      <c r="U96" s="1536">
        <v>2055</v>
      </c>
      <c r="V96" s="87" t="s">
        <v>193</v>
      </c>
      <c r="W96" s="1670">
        <f>-IFERROR(VLOOKUP($U96,'Trial Blc'!$B$4:AH$377,W$2,FALSE),0)</f>
        <v>62723.519999999997</v>
      </c>
      <c r="X96" s="627"/>
      <c r="Y96" s="627"/>
      <c r="Z96" s="627">
        <f t="shared" ref="Z96" si="87">+W96+X96+Y96</f>
        <v>62723.519999999997</v>
      </c>
      <c r="AA96" s="627">
        <f>-IFERROR(VLOOKUP($U96,'Trial Blc'!$B$4:AL$377,AA$2,FALSE),0)</f>
        <v>63707.22</v>
      </c>
      <c r="AB96" s="627">
        <f>-IFERROR(VLOOKUP($U96,'Trial Blc'!$B$4:AM$377,AB$2,FALSE),0)</f>
        <v>64696.76</v>
      </c>
      <c r="AC96" s="627">
        <f>-IFERROR(VLOOKUP($U96,'Trial Blc'!$B$4:AN$377,AC$2,FALSE),0)</f>
        <v>65686.3</v>
      </c>
      <c r="AD96" s="627">
        <f>-IFERROR(VLOOKUP($U96,'Trial Blc'!$B$4:AO$377,AD$2,FALSE),0)</f>
        <v>66719.45</v>
      </c>
      <c r="AE96" s="627">
        <f>-IFERROR(VLOOKUP($U96,'Trial Blc'!$B$4:AP$377,AE$2,FALSE),0)</f>
        <v>62832.29</v>
      </c>
      <c r="AF96" s="627">
        <f>-IFERROR(VLOOKUP($U96,'Trial Blc'!$B$4:AQ$377,AF$2,FALSE),0)</f>
        <v>3073.86</v>
      </c>
      <c r="AG96" s="627">
        <f>-IFERROR(VLOOKUP($U96,'Trial Blc'!$B$4:AR$377,AG$2,FALSE),0)</f>
        <v>5923.16</v>
      </c>
      <c r="AH96" s="627">
        <f>-IFERROR(VLOOKUP($U96,'Trial Blc'!$B$4:AS$377,AH$2,FALSE),0)</f>
        <v>8772.4599999999991</v>
      </c>
      <c r="AI96" s="627">
        <f>-IFERROR(VLOOKUP($U96,'Trial Blc'!$B$4:AT$377,AI$2,FALSE),0)</f>
        <v>10768.76</v>
      </c>
      <c r="AJ96" s="627">
        <f>-IFERROR(VLOOKUP($U96,'Trial Blc'!$B$4:AU$377,AJ$2,FALSE),0)</f>
        <v>12765.06</v>
      </c>
      <c r="AK96" s="627">
        <f>-IFERROR(VLOOKUP($U96,'Trial Blc'!$B$4:AV$377,AK$2,FALSE),0)</f>
        <v>14761.36</v>
      </c>
      <c r="AL96" s="627">
        <f>-IFERROR(VLOOKUP($U96,'Trial Blc'!$B$4:AW$377,AL$2,FALSE),0)</f>
        <v>16757.66</v>
      </c>
      <c r="AM96" s="627">
        <f t="shared" ref="AM96" si="88">AVERAGE(Z96:AL96)</f>
        <v>35322.143076923072</v>
      </c>
    </row>
    <row r="97" spans="1:40" s="87" customFormat="1">
      <c r="A97" s="87" t="s">
        <v>1111</v>
      </c>
      <c r="B97" s="1531">
        <v>1375</v>
      </c>
      <c r="C97" s="113" t="s">
        <v>2229</v>
      </c>
      <c r="D97" s="627">
        <f>IFERROR(VLOOKUP($B97,'Trial Blc'!$B$4:O$377,D$2,FALSE),0)</f>
        <v>0</v>
      </c>
      <c r="E97" s="627"/>
      <c r="F97" s="627"/>
      <c r="G97" s="627">
        <f t="shared" si="85"/>
        <v>0</v>
      </c>
      <c r="H97" s="627">
        <f>IFERROR(VLOOKUP($B97,'Trial Blc'!$B$4:S$377,H$2,FALSE),0)</f>
        <v>0</v>
      </c>
      <c r="I97" s="627">
        <f>IFERROR(VLOOKUP($B97,'Trial Blc'!$B$4:T$377,I$2,FALSE),0)</f>
        <v>0</v>
      </c>
      <c r="J97" s="627">
        <f>IFERROR(VLOOKUP($B97,'Trial Blc'!$B$4:U$377,J$2,FALSE),0)</f>
        <v>0</v>
      </c>
      <c r="K97" s="627">
        <f>IFERROR(VLOOKUP($B97,'Trial Blc'!$B$4:V$377,K$2,FALSE),0)</f>
        <v>0</v>
      </c>
      <c r="L97" s="627">
        <f>IFERROR(VLOOKUP($B97,'Trial Blc'!$B$4:W$377,L$2,FALSE),0)</f>
        <v>0</v>
      </c>
      <c r="M97" s="627">
        <f>IFERROR(VLOOKUP($B97,'Trial Blc'!$B$4:X$377,M$2,FALSE),0)</f>
        <v>0</v>
      </c>
      <c r="N97" s="627">
        <f>IFERROR(VLOOKUP($B97,'Trial Blc'!$B$4:Y$377,N$2,FALSE),0)</f>
        <v>0</v>
      </c>
      <c r="O97" s="627">
        <f>IFERROR(VLOOKUP($B97,'Trial Blc'!$B$4:Z$377,O$2,FALSE),0)</f>
        <v>0</v>
      </c>
      <c r="P97" s="627">
        <f>IFERROR(VLOOKUP($B97,'Trial Blc'!$B$4:AA$377,P$2,FALSE),0)</f>
        <v>0</v>
      </c>
      <c r="Q97" s="627">
        <f>IFERROR(VLOOKUP($B97,'Trial Blc'!$B$4:AB$377,Q$2,FALSE),0)</f>
        <v>0</v>
      </c>
      <c r="R97" s="627">
        <f>IFERROR(VLOOKUP($B97,'Trial Blc'!$B$4:AC$377,R$2,FALSE),0)</f>
        <v>0</v>
      </c>
      <c r="S97" s="627">
        <f>IFERROR(VLOOKUP($B97,'Trial Blc'!$B$4:AD$377,S$2,FALSE),0)</f>
        <v>0</v>
      </c>
      <c r="T97" s="627">
        <f t="shared" si="86"/>
        <v>0</v>
      </c>
      <c r="U97" s="1536"/>
      <c r="W97" s="627"/>
      <c r="X97" s="111"/>
      <c r="Y97" s="627"/>
      <c r="Z97" s="627"/>
      <c r="AA97" s="627"/>
      <c r="AB97" s="627"/>
      <c r="AC97" s="627"/>
      <c r="AD97" s="627"/>
      <c r="AE97" s="627"/>
      <c r="AF97" s="627"/>
      <c r="AG97" s="627"/>
      <c r="AH97" s="627"/>
      <c r="AI97" s="627"/>
      <c r="AJ97" s="627"/>
      <c r="AK97" s="627"/>
      <c r="AL97" s="627"/>
      <c r="AM97" s="89"/>
      <c r="AN97" s="89"/>
    </row>
    <row r="98" spans="1:40" s="87" customFormat="1">
      <c r="A98" s="87" t="s">
        <v>1112</v>
      </c>
      <c r="B98" s="1536">
        <v>1380</v>
      </c>
      <c r="C98" s="87" t="s">
        <v>2146</v>
      </c>
      <c r="D98" s="1670">
        <f>IFERROR(VLOOKUP($B98,'Trial Blc'!$B$4:O$377,D$2,FALSE),0)</f>
        <v>243029.37</v>
      </c>
      <c r="E98" s="627"/>
      <c r="F98" s="627"/>
      <c r="G98" s="627">
        <f t="shared" si="85"/>
        <v>243029.37</v>
      </c>
      <c r="H98" s="627">
        <f>IFERROR(VLOOKUP($B98,'Trial Blc'!$B$4:S$377,H$2,FALSE),0)</f>
        <v>243029.37</v>
      </c>
      <c r="I98" s="627">
        <f>IFERROR(VLOOKUP($B98,'Trial Blc'!$B$4:T$377,I$2,FALSE),0)</f>
        <v>245166.8</v>
      </c>
      <c r="J98" s="627">
        <f>IFERROR(VLOOKUP($B98,'Trial Blc'!$B$4:U$377,J$2,FALSE),0)</f>
        <v>245466.8</v>
      </c>
      <c r="K98" s="627">
        <f>IFERROR(VLOOKUP($B98,'Trial Blc'!$B$4:V$377,K$2,FALSE),0)</f>
        <v>256385.71</v>
      </c>
      <c r="L98" s="627">
        <f>IFERROR(VLOOKUP($B98,'Trial Blc'!$B$4:W$377,L$2,FALSE),0)</f>
        <v>247339.58</v>
      </c>
      <c r="M98" s="627">
        <f>IFERROR(VLOOKUP($B98,'Trial Blc'!$B$4:X$377,M$2,FALSE),0)</f>
        <v>247420.16</v>
      </c>
      <c r="N98" s="627">
        <f>IFERROR(VLOOKUP($B98,'Trial Blc'!$B$4:Y$377,N$2,FALSE),0)</f>
        <v>247420.16</v>
      </c>
      <c r="O98" s="627">
        <f>IFERROR(VLOOKUP($B98,'Trial Blc'!$B$4:Z$377,O$2,FALSE),0)</f>
        <v>247420.16</v>
      </c>
      <c r="P98" s="627">
        <f>IFERROR(VLOOKUP($B98,'Trial Blc'!$B$4:AA$377,P$2,FALSE),0)</f>
        <v>247420.16</v>
      </c>
      <c r="Q98" s="627">
        <f>IFERROR(VLOOKUP($B98,'Trial Blc'!$B$4:AB$377,Q$2,FALSE),0)</f>
        <v>247420.16</v>
      </c>
      <c r="R98" s="627">
        <f>IFERROR(VLOOKUP($B98,'Trial Blc'!$B$4:AC$377,R$2,FALSE),0)</f>
        <v>247420.16</v>
      </c>
      <c r="S98" s="627">
        <f>IFERROR(VLOOKUP($B98,'Trial Blc'!$B$4:AD$377,S$2,FALSE),0)</f>
        <v>247690.16</v>
      </c>
      <c r="T98" s="627">
        <f t="shared" si="86"/>
        <v>247125.2884615385</v>
      </c>
      <c r="U98" s="1536">
        <v>2140</v>
      </c>
      <c r="V98" s="87" t="s">
        <v>198</v>
      </c>
      <c r="W98" s="1670">
        <f>-IFERROR(VLOOKUP($U98,'Trial Blc'!$B$4:AH$377,W$2,FALSE),0)</f>
        <v>-22604.36</v>
      </c>
      <c r="X98" s="627"/>
      <c r="Y98" s="627"/>
      <c r="Z98" s="627">
        <f t="shared" ref="Z98:Z99" si="89">+W98+X98+Y98</f>
        <v>-22604.36</v>
      </c>
      <c r="AA98" s="627">
        <f>-IFERROR(VLOOKUP($U98,'Trial Blc'!$B$4:AL$377,AA$2,FALSE),0)</f>
        <v>-21479.22</v>
      </c>
      <c r="AB98" s="627">
        <f>-IFERROR(VLOOKUP($U98,'Trial Blc'!$B$4:AM$377,AB$2,FALSE),0)</f>
        <v>-20553.61</v>
      </c>
      <c r="AC98" s="627">
        <f>-IFERROR(VLOOKUP($U98,'Trial Blc'!$B$4:AN$377,AC$2,FALSE),0)</f>
        <v>-19417.189999999999</v>
      </c>
      <c r="AD98" s="627">
        <f>-IFERROR(VLOOKUP($U98,'Trial Blc'!$B$4:AO$377,AD$2,FALSE),0)</f>
        <v>-18230.22</v>
      </c>
      <c r="AE98" s="627">
        <f>-IFERROR(VLOOKUP($U98,'Trial Blc'!$B$4:AP$377,AE$2,FALSE),0)</f>
        <v>-26169.58</v>
      </c>
      <c r="AF98" s="627">
        <f>-IFERROR(VLOOKUP($U98,'Trial Blc'!$B$4:AQ$377,AF$2,FALSE),0)</f>
        <v>-25024.12</v>
      </c>
      <c r="AG98" s="627">
        <f>-IFERROR(VLOOKUP($U98,'Trial Blc'!$B$4:AR$377,AG$2,FALSE),0)</f>
        <v>-23878.66</v>
      </c>
      <c r="AH98" s="627">
        <f>-IFERROR(VLOOKUP($U98,'Trial Blc'!$B$4:AS$377,AH$2,FALSE),0)</f>
        <v>-22733.200000000001</v>
      </c>
      <c r="AI98" s="627">
        <f>-IFERROR(VLOOKUP($U98,'Trial Blc'!$B$4:AT$377,AI$2,FALSE),0)</f>
        <v>-21587.74</v>
      </c>
      <c r="AJ98" s="627">
        <f>-IFERROR(VLOOKUP($U98,'Trial Blc'!$B$4:AU$377,AJ$2,FALSE),0)</f>
        <v>-20442.28</v>
      </c>
      <c r="AK98" s="627">
        <f>-IFERROR(VLOOKUP($U98,'Trial Blc'!$B$4:AV$377,AK$2,FALSE),0)</f>
        <v>-19296.82</v>
      </c>
      <c r="AL98" s="627">
        <f>-IFERROR(VLOOKUP($U98,'Trial Blc'!$B$4:AW$377,AL$2,FALSE),0)</f>
        <v>-18150.11</v>
      </c>
      <c r="AM98" s="627">
        <f t="shared" ref="AM98:AM99" si="90">AVERAGE(Z98:AL98)</f>
        <v>-21505.16230769231</v>
      </c>
    </row>
    <row r="99" spans="1:40" s="87" customFormat="1">
      <c r="A99" s="87" t="s">
        <v>1113</v>
      </c>
      <c r="B99" s="1531">
        <v>1435</v>
      </c>
      <c r="C99" s="111" t="s">
        <v>2147</v>
      </c>
      <c r="D99" s="1670">
        <f>IFERROR(VLOOKUP($B99,'Trial Blc'!$B$4:O$377,D$2,FALSE),0)</f>
        <v>8716.56</v>
      </c>
      <c r="E99" s="627"/>
      <c r="F99" s="627"/>
      <c r="G99" s="627">
        <f t="shared" si="85"/>
        <v>8716.56</v>
      </c>
      <c r="H99" s="627">
        <f>IFERROR(VLOOKUP($B99,'Trial Blc'!$B$4:S$377,H$2,FALSE),0)</f>
        <v>8716.56</v>
      </c>
      <c r="I99" s="627">
        <f>IFERROR(VLOOKUP($B99,'Trial Blc'!$B$4:T$377,I$2,FALSE),0)</f>
        <v>8716.56</v>
      </c>
      <c r="J99" s="627">
        <f>IFERROR(VLOOKUP($B99,'Trial Blc'!$B$4:U$377,J$2,FALSE),0)</f>
        <v>8716.56</v>
      </c>
      <c r="K99" s="627">
        <f>IFERROR(VLOOKUP($B99,'Trial Blc'!$B$4:V$377,K$2,FALSE),0)</f>
        <v>8716.56</v>
      </c>
      <c r="L99" s="627">
        <f>IFERROR(VLOOKUP($B99,'Trial Blc'!$B$4:W$377,L$2,FALSE),0)</f>
        <v>8716.56</v>
      </c>
      <c r="M99" s="627">
        <f>IFERROR(VLOOKUP($B99,'Trial Blc'!$B$4:X$377,M$2,FALSE),0)</f>
        <v>8716.56</v>
      </c>
      <c r="N99" s="627">
        <f>IFERROR(VLOOKUP($B99,'Trial Blc'!$B$4:Y$377,N$2,FALSE),0)</f>
        <v>8716.56</v>
      </c>
      <c r="O99" s="627">
        <f>IFERROR(VLOOKUP($B99,'Trial Blc'!$B$4:Z$377,O$2,FALSE),0)</f>
        <v>8716.56</v>
      </c>
      <c r="P99" s="627">
        <f>IFERROR(VLOOKUP($B99,'Trial Blc'!$B$4:AA$377,P$2,FALSE),0)</f>
        <v>8716.56</v>
      </c>
      <c r="Q99" s="627">
        <f>IFERROR(VLOOKUP($B99,'Trial Blc'!$B$4:AB$377,Q$2,FALSE),0)</f>
        <v>8716.56</v>
      </c>
      <c r="R99" s="627">
        <f>IFERROR(VLOOKUP($B99,'Trial Blc'!$B$4:AC$377,R$2,FALSE),0)</f>
        <v>8716.56</v>
      </c>
      <c r="S99" s="627">
        <f>IFERROR(VLOOKUP($B99,'Trial Blc'!$B$4:AD$377,S$2,FALSE),0)</f>
        <v>8716.56</v>
      </c>
      <c r="T99" s="627">
        <f t="shared" si="86"/>
        <v>8716.56</v>
      </c>
      <c r="U99" s="1536">
        <v>2195</v>
      </c>
      <c r="V99" s="87" t="s">
        <v>203</v>
      </c>
      <c r="W99" s="1670">
        <f>-IFERROR(VLOOKUP($U99,'Trial Blc'!$B$4:AH$377,W$2,FALSE),0)</f>
        <v>2182.61</v>
      </c>
      <c r="X99" s="627"/>
      <c r="Y99" s="627"/>
      <c r="Z99" s="627">
        <f t="shared" si="89"/>
        <v>2182.61</v>
      </c>
      <c r="AA99" s="627">
        <f>-IFERROR(VLOOKUP($U99,'Trial Blc'!$B$4:AL$377,AA$2,FALSE),0)</f>
        <v>2222.96</v>
      </c>
      <c r="AB99" s="627">
        <f>-IFERROR(VLOOKUP($U99,'Trial Blc'!$B$4:AM$377,AB$2,FALSE),0)</f>
        <v>2263.31</v>
      </c>
      <c r="AC99" s="627">
        <f>-IFERROR(VLOOKUP($U99,'Trial Blc'!$B$4:AN$377,AC$2,FALSE),0)</f>
        <v>2303.66</v>
      </c>
      <c r="AD99" s="627">
        <f>-IFERROR(VLOOKUP($U99,'Trial Blc'!$B$4:AO$377,AD$2,FALSE),0)</f>
        <v>2344.0100000000002</v>
      </c>
      <c r="AE99" s="627">
        <f>-IFERROR(VLOOKUP($U99,'Trial Blc'!$B$4:AP$377,AE$2,FALSE),0)</f>
        <v>2384.36</v>
      </c>
      <c r="AF99" s="627">
        <f>-IFERROR(VLOOKUP($U99,'Trial Blc'!$B$4:AQ$377,AF$2,FALSE),0)</f>
        <v>2424.71</v>
      </c>
      <c r="AG99" s="627">
        <f>-IFERROR(VLOOKUP($U99,'Trial Blc'!$B$4:AR$377,AG$2,FALSE),0)</f>
        <v>2465.06</v>
      </c>
      <c r="AH99" s="627">
        <f>-IFERROR(VLOOKUP($U99,'Trial Blc'!$B$4:AS$377,AH$2,FALSE),0)</f>
        <v>2505.41</v>
      </c>
      <c r="AI99" s="627">
        <f>-IFERROR(VLOOKUP($U99,'Trial Blc'!$B$4:AT$377,AI$2,FALSE),0)</f>
        <v>2545.7600000000002</v>
      </c>
      <c r="AJ99" s="627">
        <f>-IFERROR(VLOOKUP($U99,'Trial Blc'!$B$4:AU$377,AJ$2,FALSE),0)</f>
        <v>2586.11</v>
      </c>
      <c r="AK99" s="627">
        <f>-IFERROR(VLOOKUP($U99,'Trial Blc'!$B$4:AV$377,AK$2,FALSE),0)</f>
        <v>2626.46</v>
      </c>
      <c r="AL99" s="627">
        <f>-IFERROR(VLOOKUP($U99,'Trial Blc'!$B$4:AW$377,AL$2,FALSE),0)</f>
        <v>2666.81</v>
      </c>
      <c r="AM99" s="627">
        <f t="shared" si="90"/>
        <v>2424.71</v>
      </c>
    </row>
    <row r="100" spans="1:40" s="87" customFormat="1">
      <c r="A100" s="90" t="s">
        <v>922</v>
      </c>
      <c r="B100" s="1531"/>
      <c r="C100" s="1573"/>
      <c r="D100" s="627">
        <f>IFERROR(VLOOKUP($B100,'Trial Blc'!$B$4:O$377,D$2,FALSE),0)</f>
        <v>0</v>
      </c>
      <c r="E100" s="627"/>
      <c r="F100" s="627"/>
      <c r="G100" s="627">
        <f t="shared" si="85"/>
        <v>0</v>
      </c>
      <c r="H100" s="627">
        <f>IFERROR(VLOOKUP($B100,'Trial Blc'!$B$4:S$377,H$2,FALSE),0)</f>
        <v>0</v>
      </c>
      <c r="I100" s="627">
        <f>IFERROR(VLOOKUP($B100,'Trial Blc'!$B$4:T$377,I$2,FALSE),0)</f>
        <v>0</v>
      </c>
      <c r="J100" s="627">
        <f>IFERROR(VLOOKUP($B100,'Trial Blc'!$B$4:U$377,J$2,FALSE),0)</f>
        <v>0</v>
      </c>
      <c r="K100" s="627">
        <f>IFERROR(VLOOKUP($B100,'Trial Blc'!$B$4:V$377,K$2,FALSE),0)</f>
        <v>0</v>
      </c>
      <c r="L100" s="627">
        <f>IFERROR(VLOOKUP($B100,'Trial Blc'!$B$4:W$377,L$2,FALSE),0)</f>
        <v>0</v>
      </c>
      <c r="M100" s="627">
        <f>IFERROR(VLOOKUP($B100,'Trial Blc'!$B$4:X$377,M$2,FALSE),0)</f>
        <v>0</v>
      </c>
      <c r="N100" s="627">
        <f>IFERROR(VLOOKUP($B100,'Trial Blc'!$B$4:Y$377,N$2,FALSE),0)</f>
        <v>0</v>
      </c>
      <c r="O100" s="627">
        <f>IFERROR(VLOOKUP($B100,'Trial Blc'!$B$4:Z$377,O$2,FALSE),0)</f>
        <v>0</v>
      </c>
      <c r="P100" s="627">
        <f>IFERROR(VLOOKUP($B100,'Trial Blc'!$B$4:AA$377,P$2,FALSE),0)</f>
        <v>0</v>
      </c>
      <c r="Q100" s="627">
        <f>IFERROR(VLOOKUP($B100,'Trial Blc'!$B$4:AB$377,Q$2,FALSE),0)</f>
        <v>0</v>
      </c>
      <c r="R100" s="627">
        <f>IFERROR(VLOOKUP($B100,'Trial Blc'!$B$4:AC$377,R$2,FALSE),0)</f>
        <v>0</v>
      </c>
      <c r="S100" s="627">
        <f>IFERROR(VLOOKUP($B100,'Trial Blc'!$B$4:AD$377,S$2,FALSE),0)</f>
        <v>0</v>
      </c>
      <c r="T100" s="627">
        <f t="shared" si="86"/>
        <v>0</v>
      </c>
      <c r="U100" s="1550"/>
      <c r="V100" s="90" t="s">
        <v>922</v>
      </c>
      <c r="W100" s="627"/>
      <c r="X100" s="111"/>
      <c r="Y100" s="627"/>
      <c r="Z100" s="627"/>
      <c r="AA100" s="627"/>
      <c r="AB100" s="627"/>
      <c r="AC100" s="627"/>
      <c r="AD100" s="627"/>
      <c r="AE100" s="627"/>
      <c r="AF100" s="627"/>
      <c r="AG100" s="627"/>
      <c r="AH100" s="627"/>
      <c r="AI100" s="627"/>
      <c r="AJ100" s="627"/>
      <c r="AK100" s="627"/>
      <c r="AL100" s="627"/>
      <c r="AM100" s="89"/>
      <c r="AN100" s="89"/>
    </row>
    <row r="101" spans="1:40" s="87" customFormat="1">
      <c r="A101" s="87" t="s">
        <v>791</v>
      </c>
      <c r="B101" s="1531">
        <v>1270</v>
      </c>
      <c r="C101" s="113" t="s">
        <v>2228</v>
      </c>
      <c r="D101" s="1670">
        <f>IFERROR(VLOOKUP($B101,'Trial Blc'!$B$4:O$377,D$2,FALSE),0)</f>
        <v>18403.25</v>
      </c>
      <c r="E101" s="627"/>
      <c r="F101" s="627"/>
      <c r="G101" s="627">
        <f t="shared" si="85"/>
        <v>18403.25</v>
      </c>
      <c r="H101" s="627">
        <f>IFERROR(VLOOKUP($B101,'Trial Blc'!$B$4:S$377,H$2,FALSE),0)</f>
        <v>18403.25</v>
      </c>
      <c r="I101" s="627">
        <f>IFERROR(VLOOKUP($B101,'Trial Blc'!$B$4:T$377,I$2,FALSE),0)</f>
        <v>18403.25</v>
      </c>
      <c r="J101" s="627">
        <f>IFERROR(VLOOKUP($B101,'Trial Blc'!$B$4:U$377,J$2,FALSE),0)</f>
        <v>18403.25</v>
      </c>
      <c r="K101" s="627">
        <f>IFERROR(VLOOKUP($B101,'Trial Blc'!$B$4:V$377,K$2,FALSE),0)</f>
        <v>18403.25</v>
      </c>
      <c r="L101" s="627">
        <f>IFERROR(VLOOKUP($B101,'Trial Blc'!$B$4:W$377,L$2,FALSE),0)</f>
        <v>18403.25</v>
      </c>
      <c r="M101" s="627">
        <f>IFERROR(VLOOKUP($B101,'Trial Blc'!$B$4:X$377,M$2,FALSE),0)</f>
        <v>18403.25</v>
      </c>
      <c r="N101" s="627">
        <f>IFERROR(VLOOKUP($B101,'Trial Blc'!$B$4:Y$377,N$2,FALSE),0)</f>
        <v>18403.25</v>
      </c>
      <c r="O101" s="627">
        <f>IFERROR(VLOOKUP($B101,'Trial Blc'!$B$4:Z$377,O$2,FALSE),0)</f>
        <v>18403.25</v>
      </c>
      <c r="P101" s="627">
        <f>IFERROR(VLOOKUP($B101,'Trial Blc'!$B$4:AA$377,P$2,FALSE),0)</f>
        <v>18403.25</v>
      </c>
      <c r="Q101" s="627">
        <f>IFERROR(VLOOKUP($B101,'Trial Blc'!$B$4:AB$377,Q$2,FALSE),0)</f>
        <v>18403.25</v>
      </c>
      <c r="R101" s="627">
        <f>IFERROR(VLOOKUP($B101,'Trial Blc'!$B$4:AC$377,R$2,FALSE),0)</f>
        <v>18403.25</v>
      </c>
      <c r="S101" s="627">
        <f>IFERROR(VLOOKUP($B101,'Trial Blc'!$B$4:AD$377,S$2,FALSE),0)</f>
        <v>18403.25</v>
      </c>
      <c r="T101" s="627">
        <f t="shared" si="86"/>
        <v>18403.25</v>
      </c>
      <c r="U101" s="1536"/>
      <c r="W101" s="627"/>
      <c r="X101" s="111"/>
      <c r="Y101" s="627"/>
      <c r="Z101" s="627"/>
      <c r="AA101" s="627"/>
      <c r="AB101" s="627"/>
      <c r="AC101" s="627"/>
      <c r="AD101" s="627"/>
      <c r="AE101" s="627"/>
      <c r="AF101" s="627"/>
      <c r="AG101" s="627"/>
      <c r="AH101" s="627"/>
      <c r="AI101" s="627"/>
      <c r="AJ101" s="627"/>
      <c r="AK101" s="627"/>
      <c r="AL101" s="627"/>
      <c r="AM101" s="89"/>
      <c r="AN101" s="89"/>
    </row>
    <row r="102" spans="1:40" s="87" customFormat="1">
      <c r="A102" s="87" t="s">
        <v>1542</v>
      </c>
      <c r="B102" s="1531">
        <v>1300</v>
      </c>
      <c r="C102" s="111" t="s">
        <v>2148</v>
      </c>
      <c r="D102" s="1670">
        <f>IFERROR(VLOOKUP($B102,'Trial Blc'!$B$4:O$377,D$2,FALSE),0)</f>
        <v>137954.18</v>
      </c>
      <c r="E102" s="627"/>
      <c r="F102" s="627"/>
      <c r="G102" s="627">
        <f t="shared" si="85"/>
        <v>137954.18</v>
      </c>
      <c r="H102" s="627">
        <f>IFERROR(VLOOKUP($B102,'Trial Blc'!$B$4:S$377,H$2,FALSE),0)</f>
        <v>137954.18</v>
      </c>
      <c r="I102" s="627">
        <f>IFERROR(VLOOKUP($B102,'Trial Blc'!$B$4:T$377,I$2,FALSE),0)</f>
        <v>137954.18</v>
      </c>
      <c r="J102" s="627">
        <f>IFERROR(VLOOKUP($B102,'Trial Blc'!$B$4:U$377,J$2,FALSE),0)</f>
        <v>137954.18</v>
      </c>
      <c r="K102" s="627">
        <f>IFERROR(VLOOKUP($B102,'Trial Blc'!$B$4:V$377,K$2,FALSE),0)</f>
        <v>138315.01999999999</v>
      </c>
      <c r="L102" s="627">
        <f>IFERROR(VLOOKUP($B102,'Trial Blc'!$B$4:W$377,L$2,FALSE),0)</f>
        <v>138315.01999999999</v>
      </c>
      <c r="M102" s="627">
        <f>IFERROR(VLOOKUP($B102,'Trial Blc'!$B$4:X$377,M$2,FALSE),0)</f>
        <v>138330.32</v>
      </c>
      <c r="N102" s="627">
        <f>IFERROR(VLOOKUP($B102,'Trial Blc'!$B$4:Y$377,N$2,FALSE),0)</f>
        <v>157723.32</v>
      </c>
      <c r="O102" s="627">
        <f>IFERROR(VLOOKUP($B102,'Trial Blc'!$B$4:Z$377,O$2,FALSE),0)</f>
        <v>158731.54999999999</v>
      </c>
      <c r="P102" s="627">
        <f>IFERROR(VLOOKUP($B102,'Trial Blc'!$B$4:AA$377,P$2,FALSE),0)</f>
        <v>164138.9</v>
      </c>
      <c r="Q102" s="627">
        <f>IFERROR(VLOOKUP($B102,'Trial Blc'!$B$4:AB$377,Q$2,FALSE),0)</f>
        <v>166923.98000000001</v>
      </c>
      <c r="R102" s="627">
        <f>IFERROR(VLOOKUP($B102,'Trial Blc'!$B$4:AC$377,R$2,FALSE),0)</f>
        <v>167756.37</v>
      </c>
      <c r="S102" s="627">
        <f>IFERROR(VLOOKUP($B102,'Trial Blc'!$B$4:AD$377,S$2,FALSE),0)</f>
        <v>167756.37</v>
      </c>
      <c r="T102" s="627">
        <f t="shared" si="86"/>
        <v>149985.1976923077</v>
      </c>
      <c r="U102" s="1536">
        <v>2060</v>
      </c>
      <c r="V102" s="87" t="s">
        <v>1552</v>
      </c>
      <c r="W102" s="1670">
        <f>-IFERROR(VLOOKUP($U102,'Trial Blc'!$B$4:AH$377,W$2,FALSE),0)</f>
        <v>2938.13</v>
      </c>
      <c r="X102" s="627"/>
      <c r="Y102" s="627"/>
      <c r="Z102" s="627">
        <f t="shared" ref="Z102:Z103" si="91">+W102+X102+Y102</f>
        <v>2938.13</v>
      </c>
      <c r="AA102" s="627">
        <f>-IFERROR(VLOOKUP($U102,'Trial Blc'!$B$4:AL$377,AA$2,FALSE),0)</f>
        <v>3298.33</v>
      </c>
      <c r="AB102" s="627">
        <f>-IFERROR(VLOOKUP($U102,'Trial Blc'!$B$4:AM$377,AB$2,FALSE),0)</f>
        <v>3658.53</v>
      </c>
      <c r="AC102" s="627">
        <f>-IFERROR(VLOOKUP($U102,'Trial Blc'!$B$4:AN$377,AC$2,FALSE),0)</f>
        <v>4018.73</v>
      </c>
      <c r="AD102" s="627">
        <f>-IFERROR(VLOOKUP($U102,'Trial Blc'!$B$4:AO$377,AD$2,FALSE),0)</f>
        <v>4379.87</v>
      </c>
      <c r="AE102" s="627">
        <f>-IFERROR(VLOOKUP($U102,'Trial Blc'!$B$4:AP$377,AE$2,FALSE),0)</f>
        <v>4741.01</v>
      </c>
      <c r="AF102" s="627">
        <f>-IFERROR(VLOOKUP($U102,'Trial Blc'!$B$4:AQ$377,AF$2,FALSE),0)</f>
        <v>4611.54</v>
      </c>
      <c r="AG102" s="627">
        <f>-IFERROR(VLOOKUP($U102,'Trial Blc'!$B$4:AR$377,AG$2,FALSE),0)</f>
        <v>5023.3500000000004</v>
      </c>
      <c r="AH102" s="627">
        <f>-IFERROR(VLOOKUP($U102,'Trial Blc'!$B$4:AS$377,AH$2,FALSE),0)</f>
        <v>5437.8</v>
      </c>
      <c r="AI102" s="627">
        <f>-IFERROR(VLOOKUP($U102,'Trial Blc'!$B$4:AT$377,AI$2,FALSE),0)</f>
        <v>4621.7700000000004</v>
      </c>
      <c r="AJ102" s="627">
        <f>-IFERROR(VLOOKUP($U102,'Trial Blc'!$B$4:AU$377,AJ$2,FALSE),0)</f>
        <v>5057.6099999999997</v>
      </c>
      <c r="AK102" s="627">
        <f>-IFERROR(VLOOKUP($U102,'Trial Blc'!$B$4:AV$377,AK$2,FALSE),0)</f>
        <v>5495.62</v>
      </c>
      <c r="AL102" s="627">
        <f>-IFERROR(VLOOKUP($U102,'Trial Blc'!$B$4:AW$377,AL$2,FALSE),0)</f>
        <v>5933.63</v>
      </c>
      <c r="AM102" s="627">
        <f t="shared" ref="AM102:AM103" si="92">AVERAGE(Z102:AL102)</f>
        <v>4555.0707692307687</v>
      </c>
    </row>
    <row r="103" spans="1:40" s="87" customFormat="1">
      <c r="A103" s="87" t="s">
        <v>1543</v>
      </c>
      <c r="B103" s="1531">
        <v>1330</v>
      </c>
      <c r="C103" s="111" t="s">
        <v>2149</v>
      </c>
      <c r="D103" s="1670">
        <f>IFERROR(VLOOKUP($B103,'Trial Blc'!$B$4:O$377,D$2,FALSE),0)</f>
        <v>348.93</v>
      </c>
      <c r="E103" s="627"/>
      <c r="F103" s="627"/>
      <c r="G103" s="627">
        <f t="shared" si="85"/>
        <v>348.93</v>
      </c>
      <c r="H103" s="627">
        <f>IFERROR(VLOOKUP($B103,'Trial Blc'!$B$4:S$377,H$2,FALSE),0)</f>
        <v>348.93</v>
      </c>
      <c r="I103" s="627">
        <f>IFERROR(VLOOKUP($B103,'Trial Blc'!$B$4:T$377,I$2,FALSE),0)</f>
        <v>348.93</v>
      </c>
      <c r="J103" s="627">
        <f>IFERROR(VLOOKUP($B103,'Trial Blc'!$B$4:U$377,J$2,FALSE),0)</f>
        <v>348.93</v>
      </c>
      <c r="K103" s="627">
        <f>IFERROR(VLOOKUP($B103,'Trial Blc'!$B$4:V$377,K$2,FALSE),0)</f>
        <v>348.93</v>
      </c>
      <c r="L103" s="627">
        <f>IFERROR(VLOOKUP($B103,'Trial Blc'!$B$4:W$377,L$2,FALSE),0)</f>
        <v>348.93</v>
      </c>
      <c r="M103" s="627">
        <f>IFERROR(VLOOKUP($B103,'Trial Blc'!$B$4:X$377,M$2,FALSE),0)</f>
        <v>348.93</v>
      </c>
      <c r="N103" s="627">
        <f>IFERROR(VLOOKUP($B103,'Trial Blc'!$B$4:Y$377,N$2,FALSE),0)</f>
        <v>348.93</v>
      </c>
      <c r="O103" s="627">
        <f>IFERROR(VLOOKUP($B103,'Trial Blc'!$B$4:Z$377,O$2,FALSE),0)</f>
        <v>469.8</v>
      </c>
      <c r="P103" s="627">
        <f>IFERROR(VLOOKUP($B103,'Trial Blc'!$B$4:AA$377,P$2,FALSE),0)</f>
        <v>469.8</v>
      </c>
      <c r="Q103" s="627">
        <f>IFERROR(VLOOKUP($B103,'Trial Blc'!$B$4:AB$377,Q$2,FALSE),0)</f>
        <v>550.38</v>
      </c>
      <c r="R103" s="627">
        <f>IFERROR(VLOOKUP($B103,'Trial Blc'!$B$4:AC$377,R$2,FALSE),0)</f>
        <v>953.28</v>
      </c>
      <c r="S103" s="627">
        <f>IFERROR(VLOOKUP($B103,'Trial Blc'!$B$4:AD$377,S$2,FALSE),0)</f>
        <v>953.28</v>
      </c>
      <c r="T103" s="627">
        <f t="shared" si="86"/>
        <v>475.99846153846153</v>
      </c>
      <c r="U103" s="1536">
        <v>2090</v>
      </c>
      <c r="V103" s="87" t="s">
        <v>1554</v>
      </c>
      <c r="W103" s="1670">
        <f>-IFERROR(VLOOKUP($U103,'Trial Blc'!$B$4:AH$377,W$2,FALSE),0)</f>
        <v>77.069999999999993</v>
      </c>
      <c r="X103" s="627"/>
      <c r="Y103" s="627"/>
      <c r="Z103" s="627">
        <f t="shared" si="91"/>
        <v>77.069999999999993</v>
      </c>
      <c r="AA103" s="627">
        <f>-IFERROR(VLOOKUP($U103,'Trial Blc'!$B$4:AL$377,AA$2,FALSE),0)</f>
        <v>78.52</v>
      </c>
      <c r="AB103" s="627">
        <f>-IFERROR(VLOOKUP($U103,'Trial Blc'!$B$4:AM$377,AB$2,FALSE),0)</f>
        <v>79.97</v>
      </c>
      <c r="AC103" s="627">
        <f>-IFERROR(VLOOKUP($U103,'Trial Blc'!$B$4:AN$377,AC$2,FALSE),0)</f>
        <v>81.42</v>
      </c>
      <c r="AD103" s="627">
        <f>-IFERROR(VLOOKUP($U103,'Trial Blc'!$B$4:AO$377,AD$2,FALSE),0)</f>
        <v>82.87</v>
      </c>
      <c r="AE103" s="627">
        <f>-IFERROR(VLOOKUP($U103,'Trial Blc'!$B$4:AP$377,AE$2,FALSE),0)</f>
        <v>84.32</v>
      </c>
      <c r="AF103" s="627">
        <f>-IFERROR(VLOOKUP($U103,'Trial Blc'!$B$4:AQ$377,AF$2,FALSE),0)</f>
        <v>85.77</v>
      </c>
      <c r="AG103" s="627">
        <f>-IFERROR(VLOOKUP($U103,'Trial Blc'!$B$4:AR$377,AG$2,FALSE),0)</f>
        <v>87.22</v>
      </c>
      <c r="AH103" s="627">
        <f>-IFERROR(VLOOKUP($U103,'Trial Blc'!$B$4:AS$377,AH$2,FALSE),0)</f>
        <v>89.18</v>
      </c>
      <c r="AI103" s="627">
        <f>-IFERROR(VLOOKUP($U103,'Trial Blc'!$B$4:AT$377,AI$2,FALSE),0)</f>
        <v>91.14</v>
      </c>
      <c r="AJ103" s="627">
        <f>-IFERROR(VLOOKUP($U103,'Trial Blc'!$B$4:AU$377,AJ$2,FALSE),0)</f>
        <v>93.43</v>
      </c>
      <c r="AK103" s="627">
        <f>-IFERROR(VLOOKUP($U103,'Trial Blc'!$B$4:AV$377,AK$2,FALSE),0)</f>
        <v>97.4</v>
      </c>
      <c r="AL103" s="627">
        <f>-IFERROR(VLOOKUP($U103,'Trial Blc'!$B$4:AW$377,AL$2,FALSE),0)</f>
        <v>101.37</v>
      </c>
      <c r="AM103" s="627">
        <f t="shared" si="92"/>
        <v>86.898461538461532</v>
      </c>
    </row>
    <row r="104" spans="1:40" s="87" customFormat="1">
      <c r="B104" s="1531"/>
      <c r="C104" s="1573"/>
      <c r="D104" s="627">
        <f>IFERROR(VLOOKUP($B104,'Trial Blc'!$B$4:O$377,D$2,FALSE),0)</f>
        <v>0</v>
      </c>
      <c r="E104" s="627"/>
      <c r="F104" s="627"/>
      <c r="G104" s="627">
        <f t="shared" si="85"/>
        <v>0</v>
      </c>
      <c r="H104" s="627">
        <f>IFERROR(VLOOKUP($B104,'Trial Blc'!$B$4:S$377,H$2,FALSE),0)</f>
        <v>0</v>
      </c>
      <c r="I104" s="627">
        <f>IFERROR(VLOOKUP($B104,'Trial Blc'!$B$4:T$377,I$2,FALSE),0)</f>
        <v>0</v>
      </c>
      <c r="J104" s="627">
        <f>IFERROR(VLOOKUP($B104,'Trial Blc'!$B$4:U$377,J$2,FALSE),0)</f>
        <v>0</v>
      </c>
      <c r="K104" s="627">
        <f>IFERROR(VLOOKUP($B104,'Trial Blc'!$B$4:V$377,K$2,FALSE),0)</f>
        <v>0</v>
      </c>
      <c r="L104" s="627">
        <f>IFERROR(VLOOKUP($B104,'Trial Blc'!$B$4:W$377,L$2,FALSE),0)</f>
        <v>0</v>
      </c>
      <c r="M104" s="627">
        <f>IFERROR(VLOOKUP($B104,'Trial Blc'!$B$4:X$377,M$2,FALSE),0)</f>
        <v>0</v>
      </c>
      <c r="N104" s="627">
        <f>IFERROR(VLOOKUP($B104,'Trial Blc'!$B$4:Y$377,N$2,FALSE),0)</f>
        <v>0</v>
      </c>
      <c r="O104" s="627">
        <f>IFERROR(VLOOKUP($B104,'Trial Blc'!$B$4:Z$377,O$2,FALSE),0)</f>
        <v>0</v>
      </c>
      <c r="P104" s="627">
        <f>IFERROR(VLOOKUP($B104,'Trial Blc'!$B$4:AA$377,P$2,FALSE),0)</f>
        <v>0</v>
      </c>
      <c r="Q104" s="627">
        <f>IFERROR(VLOOKUP($B104,'Trial Blc'!$B$4:AB$377,Q$2,FALSE),0)</f>
        <v>0</v>
      </c>
      <c r="R104" s="627">
        <f>IFERROR(VLOOKUP($B104,'Trial Blc'!$B$4:AC$377,R$2,FALSE),0)</f>
        <v>0</v>
      </c>
      <c r="S104" s="627">
        <f>IFERROR(VLOOKUP($B104,'Trial Blc'!$B$4:AD$377,S$2,FALSE),0)</f>
        <v>0</v>
      </c>
      <c r="T104" s="627">
        <f t="shared" si="86"/>
        <v>0</v>
      </c>
      <c r="U104" s="1536"/>
      <c r="W104" s="630"/>
      <c r="X104" s="111"/>
      <c r="Y104" s="627"/>
      <c r="Z104" s="627"/>
      <c r="AA104" s="627"/>
      <c r="AB104" s="627"/>
      <c r="AC104" s="627"/>
      <c r="AD104" s="627"/>
      <c r="AE104" s="627"/>
      <c r="AF104" s="627"/>
      <c r="AG104" s="627"/>
      <c r="AH104" s="627"/>
      <c r="AI104" s="627"/>
      <c r="AJ104" s="627"/>
      <c r="AK104" s="627"/>
      <c r="AL104" s="627"/>
      <c r="AM104" s="89"/>
      <c r="AN104" s="89"/>
    </row>
    <row r="105" spans="1:40" s="87" customFormat="1">
      <c r="A105" s="87" t="s">
        <v>1508</v>
      </c>
      <c r="B105" s="1531">
        <v>1400</v>
      </c>
      <c r="C105" s="111" t="s">
        <v>2150</v>
      </c>
      <c r="D105" s="627">
        <f>IFERROR(VLOOKUP($B105,'Trial Blc'!$B$4:O$377,D$2,FALSE),0)</f>
        <v>951324.57</v>
      </c>
      <c r="E105" s="627"/>
      <c r="F105" s="627"/>
      <c r="G105" s="627">
        <f t="shared" si="85"/>
        <v>951324.57</v>
      </c>
      <c r="H105" s="627">
        <f>IFERROR(VLOOKUP($B105,'Trial Blc'!$B$4:S$377,H$2,FALSE),0)</f>
        <v>951417.33</v>
      </c>
      <c r="I105" s="627">
        <f>IFERROR(VLOOKUP($B105,'Trial Blc'!$B$4:T$377,I$2,FALSE),0)</f>
        <v>952870.54</v>
      </c>
      <c r="J105" s="627">
        <f>IFERROR(VLOOKUP($B105,'Trial Blc'!$B$4:U$377,J$2,FALSE),0)</f>
        <v>957250.26</v>
      </c>
      <c r="K105" s="627">
        <f>IFERROR(VLOOKUP($B105,'Trial Blc'!$B$4:V$377,K$2,FALSE),0)</f>
        <v>958830.61</v>
      </c>
      <c r="L105" s="627">
        <f>IFERROR(VLOOKUP($B105,'Trial Blc'!$B$4:W$377,L$2,FALSE),0)</f>
        <v>963633.21</v>
      </c>
      <c r="M105" s="627">
        <f>IFERROR(VLOOKUP($B105,'Trial Blc'!$B$4:X$377,M$2,FALSE),0)</f>
        <v>963913.5</v>
      </c>
      <c r="N105" s="627">
        <f>IFERROR(VLOOKUP($B105,'Trial Blc'!$B$4:Y$377,N$2,FALSE),0)</f>
        <v>965675.92</v>
      </c>
      <c r="O105" s="627">
        <f>IFERROR(VLOOKUP($B105,'Trial Blc'!$B$4:Z$377,O$2,FALSE),0)</f>
        <v>970018.57</v>
      </c>
      <c r="P105" s="627">
        <f>IFERROR(VLOOKUP($B105,'Trial Blc'!$B$4:AA$377,P$2,FALSE),0)</f>
        <v>971723.2</v>
      </c>
      <c r="Q105" s="627">
        <f>IFERROR(VLOOKUP($B105,'Trial Blc'!$B$4:AB$377,Q$2,FALSE),0)</f>
        <v>973739.55</v>
      </c>
      <c r="R105" s="627">
        <f>IFERROR(VLOOKUP($B105,'Trial Blc'!$B$4:AC$377,R$2,FALSE),0)</f>
        <v>974510.53</v>
      </c>
      <c r="S105" s="627">
        <f>IFERROR(VLOOKUP($B105,'Trial Blc'!$B$4:AD$377,S$2,FALSE),0)</f>
        <v>976560.64000000001</v>
      </c>
      <c r="T105" s="627">
        <f t="shared" si="86"/>
        <v>963959.11</v>
      </c>
      <c r="U105" s="1536">
        <v>2160</v>
      </c>
      <c r="V105" s="87" t="s">
        <v>200</v>
      </c>
      <c r="W105" s="627">
        <f>-IFERROR(VLOOKUP($U105,'Trial Blc'!$B$4:AH$377,W$2,FALSE),0)</f>
        <v>929054.12</v>
      </c>
      <c r="X105" s="627"/>
      <c r="Y105" s="627"/>
      <c r="Z105" s="627">
        <f t="shared" ref="Z105:Z106" si="93">+W105+X105+Y105</f>
        <v>929054.12</v>
      </c>
      <c r="AA105" s="627">
        <f>-IFERROR(VLOOKUP($U105,'Trial Blc'!$B$4:AL$377,AA$2,FALSE),0)</f>
        <v>931433.36</v>
      </c>
      <c r="AB105" s="627">
        <f>-IFERROR(VLOOKUP($U105,'Trial Blc'!$B$4:AM$377,AB$2,FALSE),0)</f>
        <v>935022.07</v>
      </c>
      <c r="AC105" s="627">
        <f>-IFERROR(VLOOKUP($U105,'Trial Blc'!$B$4:AN$377,AC$2,FALSE),0)</f>
        <v>935839.89</v>
      </c>
      <c r="AD105" s="627">
        <f>-IFERROR(VLOOKUP($U105,'Trial Blc'!$B$4:AO$377,AD$2,FALSE),0)</f>
        <v>935712.83</v>
      </c>
      <c r="AE105" s="627">
        <f>-IFERROR(VLOOKUP($U105,'Trial Blc'!$B$4:AP$377,AE$2,FALSE),0)</f>
        <v>939702.5</v>
      </c>
      <c r="AF105" s="627">
        <f>-IFERROR(VLOOKUP($U105,'Trial Blc'!$B$4:AQ$377,AF$2,FALSE),0)</f>
        <v>944165.05</v>
      </c>
      <c r="AG105" s="627">
        <f>-IFERROR(VLOOKUP($U105,'Trial Blc'!$B$4:AR$377,AG$2,FALSE),0)</f>
        <v>943342.75</v>
      </c>
      <c r="AH105" s="627">
        <f>-IFERROR(VLOOKUP($U105,'Trial Blc'!$B$4:AS$377,AH$2,FALSE),0)</f>
        <v>947611.15</v>
      </c>
      <c r="AI105" s="627">
        <f>-IFERROR(VLOOKUP($U105,'Trial Blc'!$B$4:AT$377,AI$2,FALSE),0)</f>
        <v>947644.69</v>
      </c>
      <c r="AJ105" s="627">
        <f>-IFERROR(VLOOKUP($U105,'Trial Blc'!$B$4:AU$377,AJ$2,FALSE),0)</f>
        <v>952152.73</v>
      </c>
      <c r="AK105" s="627">
        <f>-IFERROR(VLOOKUP($U105,'Trial Blc'!$B$4:AV$377,AK$2,FALSE),0)</f>
        <v>956184.05</v>
      </c>
      <c r="AL105" s="627">
        <f>-IFERROR(VLOOKUP($U105,'Trial Blc'!$B$4:AW$377,AL$2,FALSE),0)</f>
        <v>959889.39</v>
      </c>
      <c r="AM105" s="627">
        <f t="shared" ref="AM105:AM106" si="94">AVERAGE(Z105:AL105)</f>
        <v>942904.19846153841</v>
      </c>
    </row>
    <row r="106" spans="1:40" s="89" customFormat="1">
      <c r="B106" s="1532">
        <v>1395</v>
      </c>
      <c r="C106" s="113" t="s">
        <v>2151</v>
      </c>
      <c r="D106" s="627">
        <f>IFERROR(VLOOKUP($B106,'Trial Blc'!$B$4:O$377,D$2,FALSE),0)</f>
        <v>42177.88</v>
      </c>
      <c r="E106" s="627"/>
      <c r="F106" s="627"/>
      <c r="G106" s="627">
        <f t="shared" si="85"/>
        <v>42177.88</v>
      </c>
      <c r="H106" s="627">
        <f>IFERROR(VLOOKUP($B106,'Trial Blc'!$B$4:S$377,H$2,FALSE),0)</f>
        <v>42177.88</v>
      </c>
      <c r="I106" s="627">
        <f>IFERROR(VLOOKUP($B106,'Trial Blc'!$B$4:T$377,I$2,FALSE),0)</f>
        <v>42177.88</v>
      </c>
      <c r="J106" s="627">
        <f>IFERROR(VLOOKUP($B106,'Trial Blc'!$B$4:U$377,J$2,FALSE),0)</f>
        <v>42177.88</v>
      </c>
      <c r="K106" s="627">
        <f>IFERROR(VLOOKUP($B106,'Trial Blc'!$B$4:V$377,K$2,FALSE),0)</f>
        <v>42177.88</v>
      </c>
      <c r="L106" s="627">
        <f>IFERROR(VLOOKUP($B106,'Trial Blc'!$B$4:W$377,L$2,FALSE),0)</f>
        <v>42177.88</v>
      </c>
      <c r="M106" s="627">
        <f>IFERROR(VLOOKUP($B106,'Trial Blc'!$B$4:X$377,M$2,FALSE),0)</f>
        <v>42177.88</v>
      </c>
      <c r="N106" s="627">
        <f>IFERROR(VLOOKUP($B106,'Trial Blc'!$B$4:Y$377,N$2,FALSE),0)</f>
        <v>42177.88</v>
      </c>
      <c r="O106" s="627">
        <f>IFERROR(VLOOKUP($B106,'Trial Blc'!$B$4:Z$377,O$2,FALSE),0)</f>
        <v>42177.88</v>
      </c>
      <c r="P106" s="627">
        <f>IFERROR(VLOOKUP($B106,'Trial Blc'!$B$4:AA$377,P$2,FALSE),0)</f>
        <v>42177.88</v>
      </c>
      <c r="Q106" s="627">
        <f>IFERROR(VLOOKUP($B106,'Trial Blc'!$B$4:AB$377,Q$2,FALSE),0)</f>
        <v>42177.88</v>
      </c>
      <c r="R106" s="627">
        <f>IFERROR(VLOOKUP($B106,'Trial Blc'!$B$4:AC$377,R$2,FALSE),0)</f>
        <v>42177.88</v>
      </c>
      <c r="S106" s="627">
        <f>IFERROR(VLOOKUP($B106,'Trial Blc'!$B$4:AD$377,S$2,FALSE),0)</f>
        <v>42177.88</v>
      </c>
      <c r="T106" s="627">
        <f t="shared" si="86"/>
        <v>42177.88</v>
      </c>
      <c r="U106" s="1555">
        <v>2155</v>
      </c>
      <c r="V106" s="1657" t="s">
        <v>2267</v>
      </c>
      <c r="W106" s="627">
        <f>-IFERROR(VLOOKUP($U106,'Trial Blc'!$B$4:AH$377,W$2,FALSE),0)</f>
        <v>40768.36</v>
      </c>
      <c r="X106" s="627"/>
      <c r="Y106" s="627"/>
      <c r="Z106" s="627">
        <f t="shared" si="93"/>
        <v>40768.36</v>
      </c>
      <c r="AA106" s="627">
        <f>-IFERROR(VLOOKUP($U106,'Trial Blc'!$B$4:AL$377,AA$2,FALSE),0)</f>
        <v>40773.129999999997</v>
      </c>
      <c r="AB106" s="627">
        <f>-IFERROR(VLOOKUP($U106,'Trial Blc'!$B$4:AM$377,AB$2,FALSE),0)</f>
        <v>40777.9</v>
      </c>
      <c r="AC106" s="627">
        <f>-IFERROR(VLOOKUP($U106,'Trial Blc'!$B$4:AN$377,AC$2,FALSE),0)</f>
        <v>40782.67</v>
      </c>
      <c r="AD106" s="627">
        <f>-IFERROR(VLOOKUP($U106,'Trial Blc'!$B$4:AO$377,AD$2,FALSE),0)</f>
        <v>40977.94</v>
      </c>
      <c r="AE106" s="627">
        <f>-IFERROR(VLOOKUP($U106,'Trial Blc'!$B$4:AP$377,AE$2,FALSE),0)</f>
        <v>41173.21</v>
      </c>
      <c r="AF106" s="627">
        <f>-IFERROR(VLOOKUP($U106,'Trial Blc'!$B$4:AQ$377,AF$2,FALSE),0)</f>
        <v>41368.480000000003</v>
      </c>
      <c r="AG106" s="627">
        <f>-IFERROR(VLOOKUP($U106,'Trial Blc'!$B$4:AR$377,AG$2,FALSE),0)</f>
        <v>41563.75</v>
      </c>
      <c r="AH106" s="627">
        <f>-IFERROR(VLOOKUP($U106,'Trial Blc'!$B$4:AS$377,AH$2,FALSE),0)</f>
        <v>41759.019999999997</v>
      </c>
      <c r="AI106" s="627">
        <f>-IFERROR(VLOOKUP($U106,'Trial Blc'!$B$4:AT$377,AI$2,FALSE),0)</f>
        <v>41954.29</v>
      </c>
      <c r="AJ106" s="627">
        <f>-IFERROR(VLOOKUP($U106,'Trial Blc'!$B$4:AU$377,AJ$2,FALSE),0)</f>
        <v>42149.56</v>
      </c>
      <c r="AK106" s="627">
        <f>-IFERROR(VLOOKUP($U106,'Trial Blc'!$B$4:AV$377,AK$2,FALSE),0)</f>
        <v>42344.83</v>
      </c>
      <c r="AL106" s="627">
        <f>-IFERROR(VLOOKUP($U106,'Trial Blc'!$B$4:AW$377,AL$2,FALSE),0)</f>
        <v>42540.1</v>
      </c>
      <c r="AM106" s="627">
        <f t="shared" si="94"/>
        <v>41456.403076923074</v>
      </c>
    </row>
    <row r="107" spans="1:40" s="87" customFormat="1">
      <c r="B107" s="1528"/>
      <c r="C107" s="112" t="s">
        <v>763</v>
      </c>
      <c r="D107" s="1671">
        <f>SUM(D105:D106)</f>
        <v>993502.45</v>
      </c>
      <c r="E107" s="844"/>
      <c r="F107" s="844">
        <f>SUM(F105:F106)</f>
        <v>0</v>
      </c>
      <c r="G107" s="844">
        <f>SUM(G105:G106)</f>
        <v>993502.45</v>
      </c>
      <c r="H107" s="844">
        <f t="shared" ref="H107:R107" si="95">SUM(H105:H106)</f>
        <v>993595.21</v>
      </c>
      <c r="I107" s="844">
        <f t="shared" si="95"/>
        <v>995048.42</v>
      </c>
      <c r="J107" s="844">
        <f t="shared" si="95"/>
        <v>999428.14</v>
      </c>
      <c r="K107" s="844">
        <f t="shared" si="95"/>
        <v>1001008.49</v>
      </c>
      <c r="L107" s="844">
        <f t="shared" si="95"/>
        <v>1005811.09</v>
      </c>
      <c r="M107" s="844">
        <f t="shared" si="95"/>
        <v>1006091.38</v>
      </c>
      <c r="N107" s="844">
        <f t="shared" si="95"/>
        <v>1007853.8</v>
      </c>
      <c r="O107" s="844">
        <f t="shared" si="95"/>
        <v>1012196.45</v>
      </c>
      <c r="P107" s="844">
        <f t="shared" si="95"/>
        <v>1013901.08</v>
      </c>
      <c r="Q107" s="844">
        <f t="shared" si="95"/>
        <v>1015917.43</v>
      </c>
      <c r="R107" s="844">
        <f t="shared" si="95"/>
        <v>1016688.41</v>
      </c>
      <c r="S107" s="844">
        <f>SUM(S105:S106)</f>
        <v>1018738.52</v>
      </c>
      <c r="T107" s="844"/>
      <c r="U107" s="1550"/>
      <c r="V107" s="91" t="s">
        <v>763</v>
      </c>
      <c r="W107" s="1670">
        <f>SUM(W105:W106)</f>
        <v>969822.48</v>
      </c>
      <c r="X107" s="627">
        <f>SUM(X105:X106)</f>
        <v>0</v>
      </c>
      <c r="Y107" s="627"/>
      <c r="Z107" s="627">
        <f>SUM(Z105:Z106)</f>
        <v>969822.48</v>
      </c>
      <c r="AA107" s="627">
        <f t="shared" ref="AA107:AK107" si="96">SUM(AA105:AA106)</f>
        <v>972206.49</v>
      </c>
      <c r="AB107" s="627">
        <f t="shared" si="96"/>
        <v>975799.97</v>
      </c>
      <c r="AC107" s="627">
        <f t="shared" si="96"/>
        <v>976622.56</v>
      </c>
      <c r="AD107" s="627">
        <f t="shared" si="96"/>
        <v>976690.77</v>
      </c>
      <c r="AE107" s="627">
        <f t="shared" si="96"/>
        <v>980875.71</v>
      </c>
      <c r="AF107" s="627">
        <f t="shared" si="96"/>
        <v>985533.53</v>
      </c>
      <c r="AG107" s="627">
        <f t="shared" si="96"/>
        <v>984906.5</v>
      </c>
      <c r="AH107" s="627">
        <f t="shared" si="96"/>
        <v>989370.17</v>
      </c>
      <c r="AI107" s="627">
        <f t="shared" si="96"/>
        <v>989598.98</v>
      </c>
      <c r="AJ107" s="627">
        <f t="shared" si="96"/>
        <v>994302.29</v>
      </c>
      <c r="AK107" s="627">
        <f t="shared" si="96"/>
        <v>998528.88</v>
      </c>
      <c r="AL107" s="627">
        <f>SUM(AL105:AL106)</f>
        <v>1002429.49</v>
      </c>
      <c r="AM107" s="87">
        <f t="shared" ref="AM107:AM110" si="97">AVERAGE(Z107:AL107)</f>
        <v>984360.60153846152</v>
      </c>
    </row>
    <row r="108" spans="1:40" s="87" customFormat="1">
      <c r="A108" s="87" t="s">
        <v>1509</v>
      </c>
      <c r="B108" s="1531">
        <v>1410</v>
      </c>
      <c r="C108" s="89" t="s">
        <v>2230</v>
      </c>
      <c r="D108" s="1670">
        <f>IFERROR(VLOOKUP($B108,'Trial Blc'!$B$4:O$377,D$2,FALSE),0)</f>
        <v>63709.93</v>
      </c>
      <c r="E108" s="627"/>
      <c r="F108" s="627"/>
      <c r="G108" s="627">
        <f t="shared" ref="G108:G110" si="98">+D108+E108+F108</f>
        <v>63709.93</v>
      </c>
      <c r="H108" s="627">
        <f>IFERROR(VLOOKUP($B108,'Trial Blc'!$B$4:S$377,H$2,FALSE),0)</f>
        <v>65736.929999999993</v>
      </c>
      <c r="I108" s="627">
        <f>IFERROR(VLOOKUP($B108,'Trial Blc'!$B$4:T$377,I$2,FALSE),0)</f>
        <v>65736.929999999993</v>
      </c>
      <c r="J108" s="627">
        <f>IFERROR(VLOOKUP($B108,'Trial Blc'!$B$4:U$377,J$2,FALSE),0)</f>
        <v>68697.759999999995</v>
      </c>
      <c r="K108" s="627">
        <f>IFERROR(VLOOKUP($B108,'Trial Blc'!$B$4:V$377,K$2,FALSE),0)</f>
        <v>68899.210000000006</v>
      </c>
      <c r="L108" s="627">
        <f>IFERROR(VLOOKUP($B108,'Trial Blc'!$B$4:W$377,L$2,FALSE),0)</f>
        <v>68899.210000000006</v>
      </c>
      <c r="M108" s="627">
        <f>IFERROR(VLOOKUP($B108,'Trial Blc'!$B$4:X$377,M$2,FALSE),0)</f>
        <v>68899.210000000006</v>
      </c>
      <c r="N108" s="627">
        <f>IFERROR(VLOOKUP($B108,'Trial Blc'!$B$4:Y$377,N$2,FALSE),0)</f>
        <v>68907.19</v>
      </c>
      <c r="O108" s="627">
        <f>IFERROR(VLOOKUP($B108,'Trial Blc'!$B$4:Z$377,O$2,FALSE),0)</f>
        <v>66802.880000000005</v>
      </c>
      <c r="P108" s="627">
        <f>IFERROR(VLOOKUP($B108,'Trial Blc'!$B$4:AA$377,P$2,FALSE),0)</f>
        <v>66802.880000000005</v>
      </c>
      <c r="Q108" s="627">
        <f>IFERROR(VLOOKUP($B108,'Trial Blc'!$B$4:AB$377,Q$2,FALSE),0)</f>
        <v>67143.960000000006</v>
      </c>
      <c r="R108" s="627">
        <f>IFERROR(VLOOKUP($B108,'Trial Blc'!$B$4:AC$377,R$2,FALSE),0)</f>
        <v>67203.92</v>
      </c>
      <c r="S108" s="627">
        <f>IFERROR(VLOOKUP($B108,'Trial Blc'!$B$4:AD$377,S$2,FALSE),0)</f>
        <v>67203.92</v>
      </c>
      <c r="T108" s="627">
        <f t="shared" ref="T108:T110" si="99">AVERAGE(G108:S108)</f>
        <v>67280.302307692327</v>
      </c>
      <c r="U108" s="1552">
        <v>2170</v>
      </c>
      <c r="V108" s="89" t="s">
        <v>1812</v>
      </c>
      <c r="W108" s="1670">
        <f>-IFERROR(VLOOKUP($U108,'Trial Blc'!$B$4:AH$377,W$2,FALSE),0)</f>
        <v>-31480.2</v>
      </c>
      <c r="X108" s="627"/>
      <c r="Y108" s="627"/>
      <c r="Z108" s="627">
        <f t="shared" ref="Z108:Z110" si="100">+W108+X108+Y108</f>
        <v>-31480.2</v>
      </c>
      <c r="AA108" s="627">
        <f>-IFERROR(VLOOKUP($U108,'Trial Blc'!$B$4:AL$377,AA$2,FALSE),0)</f>
        <v>-33410.629999999997</v>
      </c>
      <c r="AB108" s="627">
        <f>-IFERROR(VLOOKUP($U108,'Trial Blc'!$B$4:AM$377,AB$2,FALSE),0)</f>
        <v>-33254.120000000003</v>
      </c>
      <c r="AC108" s="627">
        <f>-IFERROR(VLOOKUP($U108,'Trial Blc'!$B$4:AN$377,AC$2,FALSE),0)</f>
        <v>-36895.65</v>
      </c>
      <c r="AD108" s="627">
        <f>-IFERROR(VLOOKUP($U108,'Trial Blc'!$B$4:AO$377,AD$2,FALSE),0)</f>
        <v>-36731.620000000003</v>
      </c>
      <c r="AE108" s="627">
        <f>-IFERROR(VLOOKUP($U108,'Trial Blc'!$B$4:AP$377,AE$2,FALSE),0)</f>
        <v>-36567.589999999997</v>
      </c>
      <c r="AF108" s="627">
        <f>-IFERROR(VLOOKUP($U108,'Trial Blc'!$B$4:AQ$377,AF$2,FALSE),0)</f>
        <v>-36403.56</v>
      </c>
      <c r="AG108" s="627">
        <f>-IFERROR(VLOOKUP($U108,'Trial Blc'!$B$4:AR$377,AG$2,FALSE),0)</f>
        <v>-36239.51</v>
      </c>
      <c r="AH108" s="627">
        <f>-IFERROR(VLOOKUP($U108,'Trial Blc'!$B$4:AS$377,AH$2,FALSE),0)</f>
        <v>-38179.769999999997</v>
      </c>
      <c r="AI108" s="627">
        <f>-IFERROR(VLOOKUP($U108,'Trial Blc'!$B$4:AT$377,AI$2,FALSE),0)</f>
        <v>-38020.730000000003</v>
      </c>
      <c r="AJ108" s="627">
        <f>-IFERROR(VLOOKUP($U108,'Trial Blc'!$B$4:AU$377,AJ$2,FALSE),0)</f>
        <v>-37860.879999999997</v>
      </c>
      <c r="AK108" s="627">
        <f>-IFERROR(VLOOKUP($U108,'Trial Blc'!$B$4:AV$377,AK$2,FALSE),0)</f>
        <v>-37700.879999999997</v>
      </c>
      <c r="AL108" s="627">
        <f>-IFERROR(VLOOKUP($U108,'Trial Blc'!$B$4:AW$377,AL$2,FALSE),0)</f>
        <v>-37540.879999999997</v>
      </c>
      <c r="AM108" s="627">
        <f t="shared" si="97"/>
        <v>-36175.847692307696</v>
      </c>
    </row>
    <row r="109" spans="1:40" s="87" customFormat="1">
      <c r="A109" s="87" t="s">
        <v>1510</v>
      </c>
      <c r="B109" s="1531">
        <v>1420</v>
      </c>
      <c r="C109" s="111" t="s">
        <v>2152</v>
      </c>
      <c r="D109" s="1670">
        <f>IFERROR(VLOOKUP($B109,'Trial Blc'!$B$4:O$377,D$2,FALSE),0)</f>
        <v>221.52</v>
      </c>
      <c r="E109" s="627"/>
      <c r="F109" s="627"/>
      <c r="G109" s="627">
        <f t="shared" si="98"/>
        <v>221.52</v>
      </c>
      <c r="H109" s="627">
        <f>IFERROR(VLOOKUP($B109,'Trial Blc'!$B$4:S$377,H$2,FALSE),0)</f>
        <v>221.52</v>
      </c>
      <c r="I109" s="627">
        <f>IFERROR(VLOOKUP($B109,'Trial Blc'!$B$4:T$377,I$2,FALSE),0)</f>
        <v>221.52</v>
      </c>
      <c r="J109" s="627">
        <f>IFERROR(VLOOKUP($B109,'Trial Blc'!$B$4:U$377,J$2,FALSE),0)</f>
        <v>221.52</v>
      </c>
      <c r="K109" s="627">
        <f>IFERROR(VLOOKUP($B109,'Trial Blc'!$B$4:V$377,K$2,FALSE),0)</f>
        <v>221.52</v>
      </c>
      <c r="L109" s="627">
        <f>IFERROR(VLOOKUP($B109,'Trial Blc'!$B$4:W$377,L$2,FALSE),0)</f>
        <v>221.52</v>
      </c>
      <c r="M109" s="627">
        <f>IFERROR(VLOOKUP($B109,'Trial Blc'!$B$4:X$377,M$2,FALSE),0)</f>
        <v>221.52</v>
      </c>
      <c r="N109" s="627">
        <f>IFERROR(VLOOKUP($B109,'Trial Blc'!$B$4:Y$377,N$2,FALSE),0)</f>
        <v>221.52</v>
      </c>
      <c r="O109" s="627">
        <f>IFERROR(VLOOKUP($B109,'Trial Blc'!$B$4:Z$377,O$2,FALSE),0)</f>
        <v>221.52</v>
      </c>
      <c r="P109" s="627">
        <f>IFERROR(VLOOKUP($B109,'Trial Blc'!$B$4:AA$377,P$2,FALSE),0)</f>
        <v>221.52</v>
      </c>
      <c r="Q109" s="627">
        <f>IFERROR(VLOOKUP($B109,'Trial Blc'!$B$4:AB$377,Q$2,FALSE),0)</f>
        <v>221.52</v>
      </c>
      <c r="R109" s="627">
        <f>IFERROR(VLOOKUP($B109,'Trial Blc'!$B$4:AC$377,R$2,FALSE),0)</f>
        <v>221.52</v>
      </c>
      <c r="S109" s="627">
        <f>IFERROR(VLOOKUP($B109,'Trial Blc'!$B$4:AD$377,S$2,FALSE),0)</f>
        <v>221.52</v>
      </c>
      <c r="T109" s="627">
        <f t="shared" si="99"/>
        <v>221.52</v>
      </c>
      <c r="U109" s="1552">
        <v>2180</v>
      </c>
      <c r="V109" s="89" t="s">
        <v>201</v>
      </c>
      <c r="W109" s="1670">
        <f>-IFERROR(VLOOKUP($U109,'Trial Blc'!$B$4:AH$377,W$2,FALSE),0)</f>
        <v>-481.46</v>
      </c>
      <c r="X109" s="627"/>
      <c r="Y109" s="627"/>
      <c r="Z109" s="627">
        <f t="shared" si="100"/>
        <v>-481.46</v>
      </c>
      <c r="AA109" s="627">
        <f>-IFERROR(VLOOKUP($U109,'Trial Blc'!$B$4:AL$377,AA$2,FALSE),0)</f>
        <v>-480.84</v>
      </c>
      <c r="AB109" s="627">
        <f>-IFERROR(VLOOKUP($U109,'Trial Blc'!$B$4:AM$377,AB$2,FALSE),0)</f>
        <v>-480.22</v>
      </c>
      <c r="AC109" s="627">
        <f>-IFERROR(VLOOKUP($U109,'Trial Blc'!$B$4:AN$377,AC$2,FALSE),0)</f>
        <v>-479.6</v>
      </c>
      <c r="AD109" s="627">
        <f>-IFERROR(VLOOKUP($U109,'Trial Blc'!$B$4:AO$377,AD$2,FALSE),0)</f>
        <v>-478.98</v>
      </c>
      <c r="AE109" s="627">
        <f>-IFERROR(VLOOKUP($U109,'Trial Blc'!$B$4:AP$377,AE$2,FALSE),0)</f>
        <v>-478.36</v>
      </c>
      <c r="AF109" s="627">
        <f>-IFERROR(VLOOKUP($U109,'Trial Blc'!$B$4:AQ$377,AF$2,FALSE),0)</f>
        <v>-477.74</v>
      </c>
      <c r="AG109" s="627">
        <f>-IFERROR(VLOOKUP($U109,'Trial Blc'!$B$4:AR$377,AG$2,FALSE),0)</f>
        <v>-477.12</v>
      </c>
      <c r="AH109" s="627">
        <f>-IFERROR(VLOOKUP($U109,'Trial Blc'!$B$4:AS$377,AH$2,FALSE),0)</f>
        <v>-476.5</v>
      </c>
      <c r="AI109" s="627">
        <f>-IFERROR(VLOOKUP($U109,'Trial Blc'!$B$4:AT$377,AI$2,FALSE),0)</f>
        <v>-475.88</v>
      </c>
      <c r="AJ109" s="627">
        <f>-IFERROR(VLOOKUP($U109,'Trial Blc'!$B$4:AU$377,AJ$2,FALSE),0)</f>
        <v>-475.26</v>
      </c>
      <c r="AK109" s="627">
        <f>-IFERROR(VLOOKUP($U109,'Trial Blc'!$B$4:AV$377,AK$2,FALSE),0)</f>
        <v>-474.64</v>
      </c>
      <c r="AL109" s="627">
        <f>-IFERROR(VLOOKUP($U109,'Trial Blc'!$B$4:AW$377,AL$2,FALSE),0)</f>
        <v>-474.02</v>
      </c>
      <c r="AM109" s="627">
        <f t="shared" si="97"/>
        <v>-477.74000000000007</v>
      </c>
    </row>
    <row r="110" spans="1:40" s="87" customFormat="1">
      <c r="A110" s="87" t="s">
        <v>1407</v>
      </c>
      <c r="B110" s="1531">
        <v>1440</v>
      </c>
      <c r="C110" s="111" t="s">
        <v>2153</v>
      </c>
      <c r="D110" s="1670">
        <f>IFERROR(VLOOKUP($B110,'Trial Blc'!$B$4:O$377,D$2,FALSE),0)</f>
        <v>6328.75</v>
      </c>
      <c r="E110" s="627"/>
      <c r="F110" s="627"/>
      <c r="G110" s="627">
        <f t="shared" si="98"/>
        <v>6328.75</v>
      </c>
      <c r="H110" s="627">
        <f>IFERROR(VLOOKUP($B110,'Trial Blc'!$B$4:S$377,H$2,FALSE),0)</f>
        <v>6328.75</v>
      </c>
      <c r="I110" s="627">
        <f>IFERROR(VLOOKUP($B110,'Trial Blc'!$B$4:T$377,I$2,FALSE),0)</f>
        <v>6328.75</v>
      </c>
      <c r="J110" s="627">
        <f>IFERROR(VLOOKUP($B110,'Trial Blc'!$B$4:U$377,J$2,FALSE),0)</f>
        <v>6328.75</v>
      </c>
      <c r="K110" s="627">
        <f>IFERROR(VLOOKUP($B110,'Trial Blc'!$B$4:V$377,K$2,FALSE),0)</f>
        <v>6328.75</v>
      </c>
      <c r="L110" s="627">
        <f>IFERROR(VLOOKUP($B110,'Trial Blc'!$B$4:W$377,L$2,FALSE),0)</f>
        <v>6328.75</v>
      </c>
      <c r="M110" s="627">
        <f>IFERROR(VLOOKUP($B110,'Trial Blc'!$B$4:X$377,M$2,FALSE),0)</f>
        <v>6328.75</v>
      </c>
      <c r="N110" s="627">
        <f>IFERROR(VLOOKUP($B110,'Trial Blc'!$B$4:Y$377,N$2,FALSE),0)</f>
        <v>6369.04</v>
      </c>
      <c r="O110" s="627">
        <f>IFERROR(VLOOKUP($B110,'Trial Blc'!$B$4:Z$377,O$2,FALSE),0)</f>
        <v>6369.04</v>
      </c>
      <c r="P110" s="627">
        <f>IFERROR(VLOOKUP($B110,'Trial Blc'!$B$4:AA$377,P$2,FALSE),0)</f>
        <v>6369.04</v>
      </c>
      <c r="Q110" s="627">
        <f>IFERROR(VLOOKUP($B110,'Trial Blc'!$B$4:AB$377,Q$2,FALSE),0)</f>
        <v>6369.04</v>
      </c>
      <c r="R110" s="627">
        <f>IFERROR(VLOOKUP($B110,'Trial Blc'!$B$4:AC$377,R$2,FALSE),0)</f>
        <v>6369.04</v>
      </c>
      <c r="S110" s="627">
        <f>IFERROR(VLOOKUP($B110,'Trial Blc'!$B$4:AD$377,S$2,FALSE),0)</f>
        <v>6369.04</v>
      </c>
      <c r="T110" s="627">
        <f t="shared" si="99"/>
        <v>6347.3453846153843</v>
      </c>
      <c r="U110" s="1552">
        <v>2200</v>
      </c>
      <c r="V110" s="89" t="s">
        <v>1813</v>
      </c>
      <c r="W110" s="1670">
        <f>-IFERROR(VLOOKUP($U110,'Trial Blc'!$B$4:AH$377,W$2,FALSE),0)</f>
        <v>1386.64</v>
      </c>
      <c r="X110" s="627"/>
      <c r="Y110" s="627"/>
      <c r="Z110" s="627">
        <f t="shared" si="100"/>
        <v>1386.64</v>
      </c>
      <c r="AA110" s="627">
        <f>-IFERROR(VLOOKUP($U110,'Trial Blc'!$B$4:AL$377,AA$2,FALSE),0)</f>
        <v>1415.94</v>
      </c>
      <c r="AB110" s="627">
        <f>-IFERROR(VLOOKUP($U110,'Trial Blc'!$B$4:AM$377,AB$2,FALSE),0)</f>
        <v>1445.24</v>
      </c>
      <c r="AC110" s="627">
        <f>-IFERROR(VLOOKUP($U110,'Trial Blc'!$B$4:AN$377,AC$2,FALSE),0)</f>
        <v>1474.54</v>
      </c>
      <c r="AD110" s="627">
        <f>-IFERROR(VLOOKUP($U110,'Trial Blc'!$B$4:AO$377,AD$2,FALSE),0)</f>
        <v>1503.84</v>
      </c>
      <c r="AE110" s="627">
        <f>-IFERROR(VLOOKUP($U110,'Trial Blc'!$B$4:AP$377,AE$2,FALSE),0)</f>
        <v>1533.14</v>
      </c>
      <c r="AF110" s="627">
        <f>-IFERROR(VLOOKUP($U110,'Trial Blc'!$B$4:AQ$377,AF$2,FALSE),0)</f>
        <v>1562.44</v>
      </c>
      <c r="AG110" s="627">
        <f>-IFERROR(VLOOKUP($U110,'Trial Blc'!$B$4:AR$377,AG$2,FALSE),0)</f>
        <v>1591.93</v>
      </c>
      <c r="AH110" s="627">
        <f>-IFERROR(VLOOKUP($U110,'Trial Blc'!$B$4:AS$377,AH$2,FALSE),0)</f>
        <v>1621.42</v>
      </c>
      <c r="AI110" s="627">
        <f>-IFERROR(VLOOKUP($U110,'Trial Blc'!$B$4:AT$377,AI$2,FALSE),0)</f>
        <v>1650.91</v>
      </c>
      <c r="AJ110" s="627">
        <f>-IFERROR(VLOOKUP($U110,'Trial Blc'!$B$4:AU$377,AJ$2,FALSE),0)</f>
        <v>1680.4</v>
      </c>
      <c r="AK110" s="627">
        <f>-IFERROR(VLOOKUP($U110,'Trial Blc'!$B$4:AV$377,AK$2,FALSE),0)</f>
        <v>1709.89</v>
      </c>
      <c r="AL110" s="627">
        <f>-IFERROR(VLOOKUP($U110,'Trial Blc'!$B$4:AW$377,AL$2,FALSE),0)</f>
        <v>1739.38</v>
      </c>
      <c r="AM110" s="627">
        <f t="shared" si="97"/>
        <v>1562.7469230769234</v>
      </c>
    </row>
    <row r="111" spans="1:40" s="87" customFormat="1">
      <c r="A111" s="90" t="s">
        <v>1291</v>
      </c>
      <c r="B111" s="1531"/>
      <c r="C111" s="111"/>
      <c r="D111" s="627"/>
      <c r="E111" s="627"/>
      <c r="F111" s="111"/>
      <c r="G111" s="627"/>
      <c r="H111" s="627"/>
      <c r="I111" s="627"/>
      <c r="J111" s="627"/>
      <c r="K111" s="627"/>
      <c r="L111" s="627"/>
      <c r="M111" s="627"/>
      <c r="N111" s="627"/>
      <c r="O111" s="627"/>
      <c r="P111" s="627"/>
      <c r="Q111" s="627"/>
      <c r="R111" s="627"/>
      <c r="S111" s="627"/>
      <c r="T111" s="627"/>
      <c r="U111" s="1552"/>
      <c r="V111" s="89"/>
      <c r="W111" s="627"/>
      <c r="X111" s="111"/>
      <c r="Y111" s="627"/>
      <c r="Z111" s="627"/>
      <c r="AA111" s="627"/>
      <c r="AB111" s="627"/>
      <c r="AC111" s="627"/>
      <c r="AD111" s="627"/>
      <c r="AE111" s="627"/>
      <c r="AF111" s="627"/>
      <c r="AG111" s="627"/>
      <c r="AH111" s="627"/>
      <c r="AI111" s="627"/>
      <c r="AJ111" s="627"/>
      <c r="AK111" s="627"/>
      <c r="AL111" s="627"/>
      <c r="AM111" s="89"/>
      <c r="AN111" s="89"/>
    </row>
    <row r="112" spans="1:40" s="87" customFormat="1">
      <c r="A112" s="89" t="s">
        <v>1541</v>
      </c>
      <c r="B112" s="1531">
        <v>1275</v>
      </c>
      <c r="C112" s="111" t="s">
        <v>2154</v>
      </c>
      <c r="D112" s="627">
        <f>IFERROR(VLOOKUP($B112,'Trial Blc'!$B$4:O$377,D$2,FALSE),0)</f>
        <v>0</v>
      </c>
      <c r="E112" s="627"/>
      <c r="F112" s="627"/>
      <c r="G112" s="627">
        <f t="shared" ref="G112:G122" si="101">+D112+E112+F112</f>
        <v>0</v>
      </c>
      <c r="H112" s="627">
        <f>IFERROR(VLOOKUP($B112,'Trial Blc'!$B$4:S$377,H$2,FALSE),0)</f>
        <v>0</v>
      </c>
      <c r="I112" s="627">
        <f>IFERROR(VLOOKUP($B112,'Trial Blc'!$B$4:T$377,I$2,FALSE),0)</f>
        <v>0</v>
      </c>
      <c r="J112" s="627">
        <f>IFERROR(VLOOKUP($B112,'Trial Blc'!$B$4:U$377,J$2,FALSE),0)</f>
        <v>0</v>
      </c>
      <c r="K112" s="627">
        <f>IFERROR(VLOOKUP($B112,'Trial Blc'!$B$4:V$377,K$2,FALSE),0)</f>
        <v>0</v>
      </c>
      <c r="L112" s="627">
        <f>IFERROR(VLOOKUP($B112,'Trial Blc'!$B$4:W$377,L$2,FALSE),0)</f>
        <v>0</v>
      </c>
      <c r="M112" s="627">
        <f>IFERROR(VLOOKUP($B112,'Trial Blc'!$B$4:X$377,M$2,FALSE),0)</f>
        <v>0</v>
      </c>
      <c r="N112" s="627">
        <f>IFERROR(VLOOKUP($B112,'Trial Blc'!$B$4:Y$377,N$2,FALSE),0)</f>
        <v>0</v>
      </c>
      <c r="O112" s="627">
        <f>IFERROR(VLOOKUP($B112,'Trial Blc'!$B$4:Z$377,O$2,FALSE),0)</f>
        <v>0</v>
      </c>
      <c r="P112" s="627">
        <f>IFERROR(VLOOKUP($B112,'Trial Blc'!$B$4:AA$377,P$2,FALSE),0)</f>
        <v>0</v>
      </c>
      <c r="Q112" s="627">
        <f>IFERROR(VLOOKUP($B112,'Trial Blc'!$B$4:AB$377,Q$2,FALSE),0)</f>
        <v>0</v>
      </c>
      <c r="R112" s="627">
        <f>IFERROR(VLOOKUP($B112,'Trial Blc'!$B$4:AC$377,R$2,FALSE),0)</f>
        <v>0</v>
      </c>
      <c r="S112" s="627">
        <f>IFERROR(VLOOKUP($B112,'Trial Blc'!$B$4:AD$377,S$2,FALSE),0)</f>
        <v>0</v>
      </c>
      <c r="T112" s="627">
        <f t="shared" ref="T112:T122" si="102">AVERAGE(G112:S112)</f>
        <v>0</v>
      </c>
      <c r="U112" s="1552"/>
      <c r="V112" s="89"/>
      <c r="W112" s="627"/>
      <c r="X112" s="111"/>
      <c r="Y112" s="627"/>
      <c r="Z112" s="627">
        <f t="shared" ref="Z112" si="103">SUM(W112:Y112)</f>
        <v>0</v>
      </c>
      <c r="AA112" s="627"/>
      <c r="AB112" s="627"/>
      <c r="AC112" s="627"/>
      <c r="AD112" s="627"/>
      <c r="AE112" s="627"/>
      <c r="AF112" s="627"/>
      <c r="AG112" s="627"/>
      <c r="AH112" s="627"/>
      <c r="AI112" s="627"/>
      <c r="AJ112" s="627"/>
      <c r="AK112" s="627"/>
      <c r="AL112" s="627"/>
      <c r="AM112" s="89"/>
      <c r="AN112" s="89"/>
    </row>
    <row r="113" spans="1:40" s="87" customFormat="1">
      <c r="A113" s="89" t="s">
        <v>1808</v>
      </c>
      <c r="B113" s="1531">
        <v>1310</v>
      </c>
      <c r="C113" s="111" t="s">
        <v>2155</v>
      </c>
      <c r="D113" s="1670">
        <f>IFERROR(VLOOKUP($B113,'Trial Blc'!$B$4:O$377,D$2,FALSE),0)</f>
        <v>193</v>
      </c>
      <c r="E113" s="627"/>
      <c r="F113" s="627"/>
      <c r="G113" s="627">
        <f t="shared" si="101"/>
        <v>193</v>
      </c>
      <c r="H113" s="627">
        <f>IFERROR(VLOOKUP($B113,'Trial Blc'!$B$4:S$377,H$2,FALSE),0)</f>
        <v>193</v>
      </c>
      <c r="I113" s="627">
        <f>IFERROR(VLOOKUP($B113,'Trial Blc'!$B$4:T$377,I$2,FALSE),0)</f>
        <v>193</v>
      </c>
      <c r="J113" s="627">
        <f>IFERROR(VLOOKUP($B113,'Trial Blc'!$B$4:U$377,J$2,FALSE),0)</f>
        <v>193</v>
      </c>
      <c r="K113" s="627">
        <f>IFERROR(VLOOKUP($B113,'Trial Blc'!$B$4:V$377,K$2,FALSE),0)</f>
        <v>193</v>
      </c>
      <c r="L113" s="627">
        <f>IFERROR(VLOOKUP($B113,'Trial Blc'!$B$4:W$377,L$2,FALSE),0)</f>
        <v>193</v>
      </c>
      <c r="M113" s="627">
        <f>IFERROR(VLOOKUP($B113,'Trial Blc'!$B$4:X$377,M$2,FALSE),0)</f>
        <v>193</v>
      </c>
      <c r="N113" s="627">
        <f>IFERROR(VLOOKUP($B113,'Trial Blc'!$B$4:Y$377,N$2,FALSE),0)</f>
        <v>193</v>
      </c>
      <c r="O113" s="627">
        <f>IFERROR(VLOOKUP($B113,'Trial Blc'!$B$4:Z$377,O$2,FALSE),0)</f>
        <v>193</v>
      </c>
      <c r="P113" s="627">
        <f>IFERROR(VLOOKUP($B113,'Trial Blc'!$B$4:AA$377,P$2,FALSE),0)</f>
        <v>193</v>
      </c>
      <c r="Q113" s="627">
        <f>IFERROR(VLOOKUP($B113,'Trial Blc'!$B$4:AB$377,Q$2,FALSE),0)</f>
        <v>193</v>
      </c>
      <c r="R113" s="627">
        <f>IFERROR(VLOOKUP($B113,'Trial Blc'!$B$4:AC$377,R$2,FALSE),0)</f>
        <v>193</v>
      </c>
      <c r="S113" s="627">
        <f>IFERROR(VLOOKUP($B113,'Trial Blc'!$B$4:AD$377,S$2,FALSE),0)</f>
        <v>193</v>
      </c>
      <c r="T113" s="627">
        <f t="shared" si="102"/>
        <v>193</v>
      </c>
      <c r="U113" s="1552">
        <v>2070</v>
      </c>
      <c r="V113" s="1655" t="s">
        <v>1810</v>
      </c>
      <c r="W113" s="1670">
        <f>-IFERROR(VLOOKUP($U113,'Trial Blc'!$B$4:AH$377,W$2,FALSE),0)</f>
        <v>20.12</v>
      </c>
      <c r="X113" s="627"/>
      <c r="Y113" s="627"/>
      <c r="Z113" s="627">
        <f t="shared" ref="Z113:Z122" si="104">+W113+X113+Y113</f>
        <v>20.12</v>
      </c>
      <c r="AA113" s="627">
        <f>-IFERROR(VLOOKUP($U113,'Trial Blc'!$B$4:AL$377,AA$2,FALSE),0)</f>
        <v>20.62</v>
      </c>
      <c r="AB113" s="627">
        <f>-IFERROR(VLOOKUP($U113,'Trial Blc'!$B$4:AM$377,AB$2,FALSE),0)</f>
        <v>21.12</v>
      </c>
      <c r="AC113" s="627">
        <f>-IFERROR(VLOOKUP($U113,'Trial Blc'!$B$4:AN$377,AC$2,FALSE),0)</f>
        <v>21.62</v>
      </c>
      <c r="AD113" s="627">
        <f>-IFERROR(VLOOKUP($U113,'Trial Blc'!$B$4:AO$377,AD$2,FALSE),0)</f>
        <v>22.12</v>
      </c>
      <c r="AE113" s="627">
        <f>-IFERROR(VLOOKUP($U113,'Trial Blc'!$B$4:AP$377,AE$2,FALSE),0)</f>
        <v>22.62</v>
      </c>
      <c r="AF113" s="627">
        <f>-IFERROR(VLOOKUP($U113,'Trial Blc'!$B$4:AQ$377,AF$2,FALSE),0)</f>
        <v>23.12</v>
      </c>
      <c r="AG113" s="627">
        <f>-IFERROR(VLOOKUP($U113,'Trial Blc'!$B$4:AR$377,AG$2,FALSE),0)</f>
        <v>23.62</v>
      </c>
      <c r="AH113" s="627">
        <f>-IFERROR(VLOOKUP($U113,'Trial Blc'!$B$4:AS$377,AH$2,FALSE),0)</f>
        <v>24.12</v>
      </c>
      <c r="AI113" s="627">
        <f>-IFERROR(VLOOKUP($U113,'Trial Blc'!$B$4:AT$377,AI$2,FALSE),0)</f>
        <v>24.62</v>
      </c>
      <c r="AJ113" s="627">
        <f>-IFERROR(VLOOKUP($U113,'Trial Blc'!$B$4:AU$377,AJ$2,FALSE),0)</f>
        <v>25.12</v>
      </c>
      <c r="AK113" s="627">
        <f>-IFERROR(VLOOKUP($U113,'Trial Blc'!$B$4:AV$377,AK$2,FALSE),0)</f>
        <v>25.62</v>
      </c>
      <c r="AL113" s="627">
        <f>-IFERROR(VLOOKUP($U113,'Trial Blc'!$B$4:AW$377,AL$2,FALSE),0)</f>
        <v>26.12</v>
      </c>
      <c r="AM113" s="627">
        <f t="shared" ref="AM113:AM122" si="105">AVERAGE(Z113:AL113)</f>
        <v>23.12</v>
      </c>
    </row>
    <row r="114" spans="1:40" s="87" customFormat="1">
      <c r="A114" s="87" t="s">
        <v>161</v>
      </c>
      <c r="B114" s="1536">
        <v>1385</v>
      </c>
      <c r="C114" s="87" t="s">
        <v>2156</v>
      </c>
      <c r="D114" s="627">
        <f>IFERROR(VLOOKUP($B114,'Trial Blc'!$B$4:O$377,D$2,FALSE),0)</f>
        <v>0</v>
      </c>
      <c r="E114" s="627"/>
      <c r="F114" s="627"/>
      <c r="G114" s="627">
        <f t="shared" si="101"/>
        <v>0</v>
      </c>
      <c r="H114" s="627">
        <f>IFERROR(VLOOKUP($B114,'Trial Blc'!$B$4:S$377,H$2,FALSE),0)</f>
        <v>0</v>
      </c>
      <c r="I114" s="627">
        <f>IFERROR(VLOOKUP($B114,'Trial Blc'!$B$4:T$377,I$2,FALSE),0)</f>
        <v>0</v>
      </c>
      <c r="J114" s="627">
        <f>IFERROR(VLOOKUP($B114,'Trial Blc'!$B$4:U$377,J$2,FALSE),0)</f>
        <v>0</v>
      </c>
      <c r="K114" s="627">
        <f>IFERROR(VLOOKUP($B114,'Trial Blc'!$B$4:V$377,K$2,FALSE),0)</f>
        <v>0</v>
      </c>
      <c r="L114" s="627">
        <f>IFERROR(VLOOKUP($B114,'Trial Blc'!$B$4:W$377,L$2,FALSE),0)</f>
        <v>0</v>
      </c>
      <c r="M114" s="627">
        <f>IFERROR(VLOOKUP($B114,'Trial Blc'!$B$4:X$377,M$2,FALSE),0)</f>
        <v>0</v>
      </c>
      <c r="N114" s="627">
        <f>IFERROR(VLOOKUP($B114,'Trial Blc'!$B$4:Y$377,N$2,FALSE),0)</f>
        <v>0</v>
      </c>
      <c r="O114" s="627">
        <f>IFERROR(VLOOKUP($B114,'Trial Blc'!$B$4:Z$377,O$2,FALSE),0)</f>
        <v>0</v>
      </c>
      <c r="P114" s="627">
        <f>IFERROR(VLOOKUP($B114,'Trial Blc'!$B$4:AA$377,P$2,FALSE),0)</f>
        <v>0</v>
      </c>
      <c r="Q114" s="627">
        <f>IFERROR(VLOOKUP($B114,'Trial Blc'!$B$4:AB$377,Q$2,FALSE),0)</f>
        <v>0</v>
      </c>
      <c r="R114" s="627">
        <f>IFERROR(VLOOKUP($B114,'Trial Blc'!$B$4:AC$377,R$2,FALSE),0)</f>
        <v>0</v>
      </c>
      <c r="S114" s="627">
        <f>IFERROR(VLOOKUP($B114,'Trial Blc'!$B$4:AD$377,S$2,FALSE),0)</f>
        <v>0</v>
      </c>
      <c r="T114" s="627">
        <f t="shared" si="102"/>
        <v>0</v>
      </c>
      <c r="U114" s="1552">
        <v>2145</v>
      </c>
      <c r="V114" s="89" t="s">
        <v>199</v>
      </c>
      <c r="W114" s="627">
        <f>-IFERROR(VLOOKUP($U114,'Trial Blc'!$B$4:AH$377,W$2,FALSE),0)</f>
        <v>0</v>
      </c>
      <c r="X114" s="627"/>
      <c r="Y114" s="627"/>
      <c r="Z114" s="627">
        <f t="shared" si="104"/>
        <v>0</v>
      </c>
      <c r="AA114" s="627">
        <f>-IFERROR(VLOOKUP($U114,'Trial Blc'!$B$4:AL$377,AA$2,FALSE),0)</f>
        <v>0</v>
      </c>
      <c r="AB114" s="627">
        <f>-IFERROR(VLOOKUP($U114,'Trial Blc'!$B$4:AM$377,AB$2,FALSE),0)</f>
        <v>0</v>
      </c>
      <c r="AC114" s="627">
        <f>-IFERROR(VLOOKUP($U114,'Trial Blc'!$B$4:AN$377,AC$2,FALSE),0)</f>
        <v>0</v>
      </c>
      <c r="AD114" s="627">
        <f>-IFERROR(VLOOKUP($U114,'Trial Blc'!$B$4:AO$377,AD$2,FALSE),0)</f>
        <v>0</v>
      </c>
      <c r="AE114" s="627">
        <f>-IFERROR(VLOOKUP($U114,'Trial Blc'!$B$4:AP$377,AE$2,FALSE),0)</f>
        <v>0</v>
      </c>
      <c r="AF114" s="627">
        <f>-IFERROR(VLOOKUP($U114,'Trial Blc'!$B$4:AQ$377,AF$2,FALSE),0)</f>
        <v>0</v>
      </c>
      <c r="AG114" s="627">
        <f>-IFERROR(VLOOKUP($U114,'Trial Blc'!$B$4:AR$377,AG$2,FALSE),0)</f>
        <v>0</v>
      </c>
      <c r="AH114" s="627">
        <f>-IFERROR(VLOOKUP($U114,'Trial Blc'!$B$4:AS$377,AH$2,FALSE),0)</f>
        <v>0</v>
      </c>
      <c r="AI114" s="627">
        <f>-IFERROR(VLOOKUP($U114,'Trial Blc'!$B$4:AT$377,AI$2,FALSE),0)</f>
        <v>0</v>
      </c>
      <c r="AJ114" s="627">
        <f>-IFERROR(VLOOKUP($U114,'Trial Blc'!$B$4:AU$377,AJ$2,FALSE),0)</f>
        <v>0</v>
      </c>
      <c r="AK114" s="627">
        <f>-IFERROR(VLOOKUP($U114,'Trial Blc'!$B$4:AV$377,AK$2,FALSE),0)</f>
        <v>0</v>
      </c>
      <c r="AL114" s="627">
        <f>-IFERROR(VLOOKUP($U114,'Trial Blc'!$B$4:AW$377,AL$2,FALSE),0)</f>
        <v>0</v>
      </c>
      <c r="AM114" s="627">
        <f t="shared" si="105"/>
        <v>0</v>
      </c>
    </row>
    <row r="115" spans="1:40" s="87" customFormat="1">
      <c r="A115" s="87" t="s">
        <v>1809</v>
      </c>
      <c r="B115" s="1536">
        <v>1390</v>
      </c>
      <c r="C115" s="87" t="s">
        <v>2157</v>
      </c>
      <c r="D115" s="627">
        <f>IFERROR(VLOOKUP($B115,'Trial Blc'!$B$4:O$377,D$2,FALSE),0)</f>
        <v>0</v>
      </c>
      <c r="E115" s="627"/>
      <c r="F115" s="627"/>
      <c r="G115" s="627">
        <f t="shared" si="101"/>
        <v>0</v>
      </c>
      <c r="H115" s="627">
        <f>IFERROR(VLOOKUP($B115,'Trial Blc'!$B$4:S$377,H$2,FALSE),0)</f>
        <v>0</v>
      </c>
      <c r="I115" s="627">
        <f>IFERROR(VLOOKUP($B115,'Trial Blc'!$B$4:T$377,I$2,FALSE),0)</f>
        <v>0</v>
      </c>
      <c r="J115" s="627">
        <f>IFERROR(VLOOKUP($B115,'Trial Blc'!$B$4:U$377,J$2,FALSE),0)</f>
        <v>0</v>
      </c>
      <c r="K115" s="627">
        <f>IFERROR(VLOOKUP($B115,'Trial Blc'!$B$4:V$377,K$2,FALSE),0)</f>
        <v>0</v>
      </c>
      <c r="L115" s="627">
        <f>IFERROR(VLOOKUP($B115,'Trial Blc'!$B$4:W$377,L$2,FALSE),0)</f>
        <v>0</v>
      </c>
      <c r="M115" s="627">
        <f>IFERROR(VLOOKUP($B115,'Trial Blc'!$B$4:X$377,M$2,FALSE),0)</f>
        <v>0</v>
      </c>
      <c r="N115" s="627">
        <f>IFERROR(VLOOKUP($B115,'Trial Blc'!$B$4:Y$377,N$2,FALSE),0)</f>
        <v>0</v>
      </c>
      <c r="O115" s="627">
        <f>IFERROR(VLOOKUP($B115,'Trial Blc'!$B$4:Z$377,O$2,FALSE),0)</f>
        <v>0</v>
      </c>
      <c r="P115" s="627">
        <f>IFERROR(VLOOKUP($B115,'Trial Blc'!$B$4:AA$377,P$2,FALSE),0)</f>
        <v>0</v>
      </c>
      <c r="Q115" s="627">
        <f>IFERROR(VLOOKUP($B115,'Trial Blc'!$B$4:AB$377,Q$2,FALSE),0)</f>
        <v>0</v>
      </c>
      <c r="R115" s="627">
        <f>IFERROR(VLOOKUP($B115,'Trial Blc'!$B$4:AC$377,R$2,FALSE),0)</f>
        <v>0</v>
      </c>
      <c r="S115" s="627">
        <f>IFERROR(VLOOKUP($B115,'Trial Blc'!$B$4:AD$377,S$2,FALSE),0)</f>
        <v>0</v>
      </c>
      <c r="T115" s="627">
        <f t="shared" si="102"/>
        <v>0</v>
      </c>
      <c r="U115" s="1552">
        <v>2150</v>
      </c>
      <c r="V115" s="89" t="s">
        <v>1811</v>
      </c>
      <c r="W115" s="627">
        <f>-IFERROR(VLOOKUP($U115,'Trial Blc'!$B$4:AH$377,W$2,FALSE),0)</f>
        <v>0</v>
      </c>
      <c r="X115" s="627"/>
      <c r="Y115" s="627"/>
      <c r="Z115" s="627">
        <f t="shared" si="104"/>
        <v>0</v>
      </c>
      <c r="AA115" s="627">
        <f>-IFERROR(VLOOKUP($U115,'Trial Blc'!$B$4:AL$377,AA$2,FALSE),0)</f>
        <v>0</v>
      </c>
      <c r="AB115" s="627">
        <f>-IFERROR(VLOOKUP($U115,'Trial Blc'!$B$4:AM$377,AB$2,FALSE),0)</f>
        <v>0</v>
      </c>
      <c r="AC115" s="627">
        <f>-IFERROR(VLOOKUP($U115,'Trial Blc'!$B$4:AN$377,AC$2,FALSE),0)</f>
        <v>0</v>
      </c>
      <c r="AD115" s="627">
        <f>-IFERROR(VLOOKUP($U115,'Trial Blc'!$B$4:AO$377,AD$2,FALSE),0)</f>
        <v>0</v>
      </c>
      <c r="AE115" s="627">
        <f>-IFERROR(VLOOKUP($U115,'Trial Blc'!$B$4:AP$377,AE$2,FALSE),0)</f>
        <v>0</v>
      </c>
      <c r="AF115" s="627">
        <f>-IFERROR(VLOOKUP($U115,'Trial Blc'!$B$4:AQ$377,AF$2,FALSE),0)</f>
        <v>0</v>
      </c>
      <c r="AG115" s="627">
        <f>-IFERROR(VLOOKUP($U115,'Trial Blc'!$B$4:AR$377,AG$2,FALSE),0)</f>
        <v>0</v>
      </c>
      <c r="AH115" s="627">
        <f>-IFERROR(VLOOKUP($U115,'Trial Blc'!$B$4:AS$377,AH$2,FALSE),0)</f>
        <v>0</v>
      </c>
      <c r="AI115" s="627">
        <f>-IFERROR(VLOOKUP($U115,'Trial Blc'!$B$4:AT$377,AI$2,FALSE),0)</f>
        <v>0</v>
      </c>
      <c r="AJ115" s="627">
        <f>-IFERROR(VLOOKUP($U115,'Trial Blc'!$B$4:AU$377,AJ$2,FALSE),0)</f>
        <v>0</v>
      </c>
      <c r="AK115" s="627">
        <f>-IFERROR(VLOOKUP($U115,'Trial Blc'!$B$4:AV$377,AK$2,FALSE),0)</f>
        <v>0</v>
      </c>
      <c r="AL115" s="627">
        <f>-IFERROR(VLOOKUP($U115,'Trial Blc'!$B$4:AW$377,AL$2,FALSE),0)</f>
        <v>0</v>
      </c>
      <c r="AM115" s="627">
        <f t="shared" si="105"/>
        <v>0</v>
      </c>
    </row>
    <row r="116" spans="1:40" s="87" customFormat="1">
      <c r="A116" s="1655" t="s">
        <v>2264</v>
      </c>
      <c r="B116" s="1536">
        <v>1405</v>
      </c>
      <c r="C116" s="89" t="s">
        <v>2265</v>
      </c>
      <c r="D116" s="627">
        <f>IFERROR(VLOOKUP($B116,'Trial Blc'!$B$4:O$377,D$2,FALSE),0)</f>
        <v>2347.39</v>
      </c>
      <c r="E116" s="627"/>
      <c r="F116" s="627"/>
      <c r="G116" s="627">
        <f t="shared" si="101"/>
        <v>2347.39</v>
      </c>
      <c r="H116" s="627">
        <f>IFERROR(VLOOKUP($B116,'Trial Blc'!$B$4:S$377,H$2,FALSE),0)</f>
        <v>2347.39</v>
      </c>
      <c r="I116" s="627">
        <f>IFERROR(VLOOKUP($B116,'Trial Blc'!$B$4:T$377,I$2,FALSE),0)</f>
        <v>2347.39</v>
      </c>
      <c r="J116" s="627">
        <f>IFERROR(VLOOKUP($B116,'Trial Blc'!$B$4:U$377,J$2,FALSE),0)</f>
        <v>2347.39</v>
      </c>
      <c r="K116" s="627">
        <f>IFERROR(VLOOKUP($B116,'Trial Blc'!$B$4:V$377,K$2,FALSE),0)</f>
        <v>2347.39</v>
      </c>
      <c r="L116" s="627">
        <f>IFERROR(VLOOKUP($B116,'Trial Blc'!$B$4:W$377,L$2,FALSE),0)</f>
        <v>2347.39</v>
      </c>
      <c r="M116" s="627">
        <f>IFERROR(VLOOKUP($B116,'Trial Blc'!$B$4:X$377,M$2,FALSE),0)</f>
        <v>2347.39</v>
      </c>
      <c r="N116" s="627">
        <f>IFERROR(VLOOKUP($B116,'Trial Blc'!$B$4:Y$377,N$2,FALSE),0)</f>
        <v>2347.39</v>
      </c>
      <c r="O116" s="627">
        <f>IFERROR(VLOOKUP($B116,'Trial Blc'!$B$4:Z$377,O$2,FALSE),0)</f>
        <v>2347.39</v>
      </c>
      <c r="P116" s="627">
        <f>IFERROR(VLOOKUP($B116,'Trial Blc'!$B$4:AA$377,P$2,FALSE),0)</f>
        <v>2347.39</v>
      </c>
      <c r="Q116" s="627">
        <f>IFERROR(VLOOKUP($B116,'Trial Blc'!$B$4:AB$377,Q$2,FALSE),0)</f>
        <v>2347.39</v>
      </c>
      <c r="R116" s="627">
        <f>IFERROR(VLOOKUP($B116,'Trial Blc'!$B$4:AC$377,R$2,FALSE),0)</f>
        <v>2347.39</v>
      </c>
      <c r="S116" s="627">
        <f>IFERROR(VLOOKUP($B116,'Trial Blc'!$B$4:AD$377,S$2,FALSE),0)</f>
        <v>2347.39</v>
      </c>
      <c r="T116" s="627">
        <f t="shared" si="102"/>
        <v>2347.39</v>
      </c>
      <c r="U116" s="1552">
        <v>2165</v>
      </c>
      <c r="V116" s="1655" t="s">
        <v>2266</v>
      </c>
      <c r="W116" s="1670">
        <f>-IFERROR(VLOOKUP($U116,'Trial Blc'!$B$4:AH$377,W$2,FALSE),0)</f>
        <v>567.80999999999995</v>
      </c>
      <c r="X116" s="627"/>
      <c r="Y116" s="627"/>
      <c r="Z116" s="627">
        <f t="shared" si="104"/>
        <v>567.80999999999995</v>
      </c>
      <c r="AA116" s="627">
        <f>-IFERROR(VLOOKUP($U116,'Trial Blc'!$B$4:AL$377,AA$2,FALSE),0)</f>
        <v>578.67999999999995</v>
      </c>
      <c r="AB116" s="627">
        <f>-IFERROR(VLOOKUP($U116,'Trial Blc'!$B$4:AM$377,AB$2,FALSE),0)</f>
        <v>589.54999999999995</v>
      </c>
      <c r="AC116" s="627">
        <f>-IFERROR(VLOOKUP($U116,'Trial Blc'!$B$4:AN$377,AC$2,FALSE),0)</f>
        <v>600.41999999999996</v>
      </c>
      <c r="AD116" s="627">
        <f>-IFERROR(VLOOKUP($U116,'Trial Blc'!$B$4:AO$377,AD$2,FALSE),0)</f>
        <v>611.29</v>
      </c>
      <c r="AE116" s="627">
        <f>-IFERROR(VLOOKUP($U116,'Trial Blc'!$B$4:AP$377,AE$2,FALSE),0)</f>
        <v>622.16</v>
      </c>
      <c r="AF116" s="627">
        <f>-IFERROR(VLOOKUP($U116,'Trial Blc'!$B$4:AQ$377,AF$2,FALSE),0)</f>
        <v>633.03</v>
      </c>
      <c r="AG116" s="627">
        <f>-IFERROR(VLOOKUP($U116,'Trial Blc'!$B$4:AR$377,AG$2,FALSE),0)</f>
        <v>643.9</v>
      </c>
      <c r="AH116" s="627">
        <f>-IFERROR(VLOOKUP($U116,'Trial Blc'!$B$4:AS$377,AH$2,FALSE),0)</f>
        <v>654.77</v>
      </c>
      <c r="AI116" s="627">
        <f>-IFERROR(VLOOKUP($U116,'Trial Blc'!$B$4:AT$377,AI$2,FALSE),0)</f>
        <v>665.64</v>
      </c>
      <c r="AJ116" s="627">
        <f>-IFERROR(VLOOKUP($U116,'Trial Blc'!$B$4:AU$377,AJ$2,FALSE),0)</f>
        <v>676.51</v>
      </c>
      <c r="AK116" s="627">
        <f>-IFERROR(VLOOKUP($U116,'Trial Blc'!$B$4:AV$377,AK$2,FALSE),0)</f>
        <v>687.38</v>
      </c>
      <c r="AL116" s="627">
        <f>-IFERROR(VLOOKUP($U116,'Trial Blc'!$B$4:AW$377,AL$2,FALSE),0)</f>
        <v>698.25</v>
      </c>
      <c r="AM116" s="627">
        <f t="shared" si="105"/>
        <v>633.03</v>
      </c>
    </row>
    <row r="117" spans="1:40" s="87" customFormat="1">
      <c r="A117" s="1655" t="s">
        <v>2268</v>
      </c>
      <c r="B117" s="1536">
        <v>1415</v>
      </c>
      <c r="C117" s="89" t="s">
        <v>2269</v>
      </c>
      <c r="D117" s="627">
        <f>IFERROR(VLOOKUP($B117,'Trial Blc'!$B$4:O$377,D$2,FALSE),0)</f>
        <v>0</v>
      </c>
      <c r="E117" s="627"/>
      <c r="F117" s="627"/>
      <c r="G117" s="627">
        <f t="shared" si="101"/>
        <v>0</v>
      </c>
      <c r="H117" s="627">
        <f>IFERROR(VLOOKUP($B117,'Trial Blc'!$B$4:S$377,H$2,FALSE),0)</f>
        <v>0</v>
      </c>
      <c r="I117" s="627">
        <f>IFERROR(VLOOKUP($B117,'Trial Blc'!$B$4:T$377,I$2,FALSE),0)</f>
        <v>0</v>
      </c>
      <c r="J117" s="627">
        <f>IFERROR(VLOOKUP($B117,'Trial Blc'!$B$4:U$377,J$2,FALSE),0)</f>
        <v>0</v>
      </c>
      <c r="K117" s="627">
        <f>IFERROR(VLOOKUP($B117,'Trial Blc'!$B$4:V$377,K$2,FALSE),0)</f>
        <v>0</v>
      </c>
      <c r="L117" s="627">
        <f>IFERROR(VLOOKUP($B117,'Trial Blc'!$B$4:W$377,L$2,FALSE),0)</f>
        <v>0</v>
      </c>
      <c r="M117" s="627">
        <f>IFERROR(VLOOKUP($B117,'Trial Blc'!$B$4:X$377,M$2,FALSE),0)</f>
        <v>0</v>
      </c>
      <c r="N117" s="627">
        <f>IFERROR(VLOOKUP($B117,'Trial Blc'!$B$4:Y$377,N$2,FALSE),0)</f>
        <v>0</v>
      </c>
      <c r="O117" s="627">
        <f>IFERROR(VLOOKUP($B117,'Trial Blc'!$B$4:Z$377,O$2,FALSE),0)</f>
        <v>0</v>
      </c>
      <c r="P117" s="627">
        <f>IFERROR(VLOOKUP($B117,'Trial Blc'!$B$4:AA$377,P$2,FALSE),0)</f>
        <v>0</v>
      </c>
      <c r="Q117" s="627">
        <f>IFERROR(VLOOKUP($B117,'Trial Blc'!$B$4:AB$377,Q$2,FALSE),0)</f>
        <v>0</v>
      </c>
      <c r="R117" s="627">
        <f>IFERROR(VLOOKUP($B117,'Trial Blc'!$B$4:AC$377,R$2,FALSE),0)</f>
        <v>0</v>
      </c>
      <c r="S117" s="627">
        <f>IFERROR(VLOOKUP($B117,'Trial Blc'!$B$4:AD$377,S$2,FALSE),0)</f>
        <v>0</v>
      </c>
      <c r="T117" s="627">
        <f t="shared" si="102"/>
        <v>0</v>
      </c>
      <c r="U117" s="1552">
        <v>2175</v>
      </c>
      <c r="V117" s="1655" t="s">
        <v>2270</v>
      </c>
      <c r="W117" s="627">
        <f>-IFERROR(VLOOKUP($U117,'Trial Blc'!$B$4:AH$377,W$2,FALSE),0)</f>
        <v>0</v>
      </c>
      <c r="X117" s="627"/>
      <c r="Y117" s="627"/>
      <c r="Z117" s="627">
        <f t="shared" si="104"/>
        <v>0</v>
      </c>
      <c r="AA117" s="627">
        <f>-IFERROR(VLOOKUP($U117,'Trial Blc'!$B$4:AL$377,AA$2,FALSE),0)</f>
        <v>0</v>
      </c>
      <c r="AB117" s="627">
        <f>-IFERROR(VLOOKUP($U117,'Trial Blc'!$B$4:AM$377,AB$2,FALSE),0)</f>
        <v>0</v>
      </c>
      <c r="AC117" s="627">
        <f>-IFERROR(VLOOKUP($U117,'Trial Blc'!$B$4:AN$377,AC$2,FALSE),0)</f>
        <v>0</v>
      </c>
      <c r="AD117" s="627">
        <f>-IFERROR(VLOOKUP($U117,'Trial Blc'!$B$4:AO$377,AD$2,FALSE),0)</f>
        <v>0</v>
      </c>
      <c r="AE117" s="627">
        <f>-IFERROR(VLOOKUP($U117,'Trial Blc'!$B$4:AP$377,AE$2,FALSE),0)</f>
        <v>0</v>
      </c>
      <c r="AF117" s="627">
        <f>-IFERROR(VLOOKUP($U117,'Trial Blc'!$B$4:AQ$377,AF$2,FALSE),0)</f>
        <v>0</v>
      </c>
      <c r="AG117" s="627">
        <f>-IFERROR(VLOOKUP($U117,'Trial Blc'!$B$4:AR$377,AG$2,FALSE),0)</f>
        <v>0</v>
      </c>
      <c r="AH117" s="627">
        <f>-IFERROR(VLOOKUP($U117,'Trial Blc'!$B$4:AS$377,AH$2,FALSE),0)</f>
        <v>0</v>
      </c>
      <c r="AI117" s="627">
        <f>-IFERROR(VLOOKUP($U117,'Trial Blc'!$B$4:AT$377,AI$2,FALSE),0)</f>
        <v>0</v>
      </c>
      <c r="AJ117" s="627">
        <f>-IFERROR(VLOOKUP($U117,'Trial Blc'!$B$4:AU$377,AJ$2,FALSE),0)</f>
        <v>0</v>
      </c>
      <c r="AK117" s="627">
        <f>-IFERROR(VLOOKUP($U117,'Trial Blc'!$B$4:AV$377,AK$2,FALSE),0)</f>
        <v>0</v>
      </c>
      <c r="AL117" s="627">
        <f>-IFERROR(VLOOKUP($U117,'Trial Blc'!$B$4:AW$377,AL$2,FALSE),0)</f>
        <v>0</v>
      </c>
      <c r="AM117" s="627">
        <f t="shared" si="105"/>
        <v>0</v>
      </c>
    </row>
    <row r="118" spans="1:40" s="87" customFormat="1">
      <c r="A118" s="87" t="s">
        <v>162</v>
      </c>
      <c r="B118" s="1536">
        <v>1445</v>
      </c>
      <c r="C118" s="87" t="s">
        <v>2158</v>
      </c>
      <c r="D118" s="627">
        <f>IFERROR(VLOOKUP($B118,'Trial Blc'!$B$4:O$377,D$2,FALSE),0)</f>
        <v>0</v>
      </c>
      <c r="E118" s="627"/>
      <c r="F118" s="627"/>
      <c r="G118" s="627">
        <f t="shared" si="101"/>
        <v>0</v>
      </c>
      <c r="H118" s="627">
        <f>IFERROR(VLOOKUP($B118,'Trial Blc'!$B$4:S$377,H$2,FALSE),0)</f>
        <v>0</v>
      </c>
      <c r="I118" s="627">
        <f>IFERROR(VLOOKUP($B118,'Trial Blc'!$B$4:T$377,I$2,FALSE),0)</f>
        <v>0</v>
      </c>
      <c r="J118" s="627">
        <f>IFERROR(VLOOKUP($B118,'Trial Blc'!$B$4:U$377,J$2,FALSE),0)</f>
        <v>0</v>
      </c>
      <c r="K118" s="627">
        <f>IFERROR(VLOOKUP($B118,'Trial Blc'!$B$4:V$377,K$2,FALSE),0)</f>
        <v>0</v>
      </c>
      <c r="L118" s="627">
        <f>IFERROR(VLOOKUP($B118,'Trial Blc'!$B$4:W$377,L$2,FALSE),0)</f>
        <v>0</v>
      </c>
      <c r="M118" s="627">
        <f>IFERROR(VLOOKUP($B118,'Trial Blc'!$B$4:X$377,M$2,FALSE),0)</f>
        <v>0</v>
      </c>
      <c r="N118" s="627">
        <f>IFERROR(VLOOKUP($B118,'Trial Blc'!$B$4:Y$377,N$2,FALSE),0)</f>
        <v>0</v>
      </c>
      <c r="O118" s="627">
        <f>IFERROR(VLOOKUP($B118,'Trial Blc'!$B$4:Z$377,O$2,FALSE),0)</f>
        <v>0</v>
      </c>
      <c r="P118" s="627">
        <f>IFERROR(VLOOKUP($B118,'Trial Blc'!$B$4:AA$377,P$2,FALSE),0)</f>
        <v>0</v>
      </c>
      <c r="Q118" s="627">
        <f>IFERROR(VLOOKUP($B118,'Trial Blc'!$B$4:AB$377,Q$2,FALSE),0)</f>
        <v>0</v>
      </c>
      <c r="R118" s="627">
        <f>IFERROR(VLOOKUP($B118,'Trial Blc'!$B$4:AC$377,R$2,FALSE),0)</f>
        <v>0</v>
      </c>
      <c r="S118" s="627">
        <f>IFERROR(VLOOKUP($B118,'Trial Blc'!$B$4:AD$377,S$2,FALSE),0)</f>
        <v>0</v>
      </c>
      <c r="T118" s="627">
        <f t="shared" si="102"/>
        <v>0</v>
      </c>
      <c r="U118" s="1552">
        <v>2205</v>
      </c>
      <c r="V118" s="89" t="s">
        <v>204</v>
      </c>
      <c r="W118" s="627">
        <f>-IFERROR(VLOOKUP($U118,'Trial Blc'!$B$4:AH$377,W$2,FALSE),0)</f>
        <v>0</v>
      </c>
      <c r="X118" s="627"/>
      <c r="Y118" s="627"/>
      <c r="Z118" s="627">
        <f t="shared" si="104"/>
        <v>0</v>
      </c>
      <c r="AA118" s="627">
        <f>-IFERROR(VLOOKUP($U118,'Trial Blc'!$B$4:AL$377,AA$2,FALSE),0)</f>
        <v>0</v>
      </c>
      <c r="AB118" s="627">
        <f>-IFERROR(VLOOKUP($U118,'Trial Blc'!$B$4:AM$377,AB$2,FALSE),0)</f>
        <v>0</v>
      </c>
      <c r="AC118" s="627">
        <f>-IFERROR(VLOOKUP($U118,'Trial Blc'!$B$4:AN$377,AC$2,FALSE),0)</f>
        <v>0</v>
      </c>
      <c r="AD118" s="627">
        <f>-IFERROR(VLOOKUP($U118,'Trial Blc'!$B$4:AO$377,AD$2,FALSE),0)</f>
        <v>0</v>
      </c>
      <c r="AE118" s="627">
        <f>-IFERROR(VLOOKUP($U118,'Trial Blc'!$B$4:AP$377,AE$2,FALSE),0)</f>
        <v>0</v>
      </c>
      <c r="AF118" s="627">
        <f>-IFERROR(VLOOKUP($U118,'Trial Blc'!$B$4:AQ$377,AF$2,FALSE),0)</f>
        <v>0</v>
      </c>
      <c r="AG118" s="627">
        <f>-IFERROR(VLOOKUP($U118,'Trial Blc'!$B$4:AR$377,AG$2,FALSE),0)</f>
        <v>0</v>
      </c>
      <c r="AH118" s="627">
        <f>-IFERROR(VLOOKUP($U118,'Trial Blc'!$B$4:AS$377,AH$2,FALSE),0)</f>
        <v>0</v>
      </c>
      <c r="AI118" s="627">
        <f>-IFERROR(VLOOKUP($U118,'Trial Blc'!$B$4:AT$377,AI$2,FALSE),0)</f>
        <v>0</v>
      </c>
      <c r="AJ118" s="627">
        <f>-IFERROR(VLOOKUP($U118,'Trial Blc'!$B$4:AU$377,AJ$2,FALSE),0)</f>
        <v>0</v>
      </c>
      <c r="AK118" s="627">
        <f>-IFERROR(VLOOKUP($U118,'Trial Blc'!$B$4:AV$377,AK$2,FALSE),0)</f>
        <v>0</v>
      </c>
      <c r="AL118" s="627">
        <f>-IFERROR(VLOOKUP($U118,'Trial Blc'!$B$4:AW$377,AL$2,FALSE),0)</f>
        <v>0</v>
      </c>
      <c r="AM118" s="627">
        <f t="shared" si="105"/>
        <v>0</v>
      </c>
    </row>
    <row r="119" spans="1:40" s="87" customFormat="1">
      <c r="A119" s="108" t="s">
        <v>1292</v>
      </c>
      <c r="B119" s="1531">
        <v>1540</v>
      </c>
      <c r="C119" s="111" t="s">
        <v>2159</v>
      </c>
      <c r="D119" s="1670">
        <f>IFERROR(VLOOKUP($B119,'Trial Blc'!$B$4:O$377,D$2,FALSE),0)</f>
        <v>8873.93</v>
      </c>
      <c r="E119" s="627"/>
      <c r="F119" s="627"/>
      <c r="G119" s="627">
        <f t="shared" si="101"/>
        <v>8873.93</v>
      </c>
      <c r="H119" s="627">
        <f>IFERROR(VLOOKUP($B119,'Trial Blc'!$B$4:S$377,H$2,FALSE),0)</f>
        <v>9478.58</v>
      </c>
      <c r="I119" s="627">
        <f>IFERROR(VLOOKUP($B119,'Trial Blc'!$B$4:T$377,I$2,FALSE),0)</f>
        <v>9478.58</v>
      </c>
      <c r="J119" s="627">
        <f>IFERROR(VLOOKUP($B119,'Trial Blc'!$B$4:U$377,J$2,FALSE),0)</f>
        <v>9478.58</v>
      </c>
      <c r="K119" s="627">
        <f>IFERROR(VLOOKUP($B119,'Trial Blc'!$B$4:V$377,K$2,FALSE),0)</f>
        <v>9659.89</v>
      </c>
      <c r="L119" s="627">
        <f>IFERROR(VLOOKUP($B119,'Trial Blc'!$B$4:W$377,L$2,FALSE),0)</f>
        <v>9659.89</v>
      </c>
      <c r="M119" s="627">
        <f>IFERROR(VLOOKUP($B119,'Trial Blc'!$B$4:X$377,M$2,FALSE),0)</f>
        <v>9861.34</v>
      </c>
      <c r="N119" s="627">
        <f>IFERROR(VLOOKUP($B119,'Trial Blc'!$B$4:Y$377,N$2,FALSE),0)</f>
        <v>9861.34</v>
      </c>
      <c r="O119" s="627">
        <f>IFERROR(VLOOKUP($B119,'Trial Blc'!$B$4:Z$377,O$2,FALSE),0)</f>
        <v>9861.34</v>
      </c>
      <c r="P119" s="627">
        <f>IFERROR(VLOOKUP($B119,'Trial Blc'!$B$4:AA$377,P$2,FALSE),0)</f>
        <v>9861.34</v>
      </c>
      <c r="Q119" s="627">
        <f>IFERROR(VLOOKUP($B119,'Trial Blc'!$B$4:AB$377,Q$2,FALSE),0)</f>
        <v>9861.34</v>
      </c>
      <c r="R119" s="627">
        <f>IFERROR(VLOOKUP($B119,'Trial Blc'!$B$4:AC$377,R$2,FALSE),0)</f>
        <v>9861.34</v>
      </c>
      <c r="S119" s="627">
        <f>IFERROR(VLOOKUP($B119,'Trial Blc'!$B$4:AD$377,S$2,FALSE),0)</f>
        <v>9861.34</v>
      </c>
      <c r="T119" s="627">
        <f t="shared" si="102"/>
        <v>9666.0638461538456</v>
      </c>
      <c r="U119" s="1536">
        <v>2285</v>
      </c>
      <c r="V119" s="87" t="s">
        <v>212</v>
      </c>
      <c r="W119" s="1670">
        <f>-IFERROR(VLOOKUP($U119,'Trial Blc'!$B$4:AH$377,W$2,FALSE),0)</f>
        <v>804.03</v>
      </c>
      <c r="X119" s="627"/>
      <c r="Y119" s="627"/>
      <c r="Z119" s="627">
        <f t="shared" si="104"/>
        <v>804.03</v>
      </c>
      <c r="AA119" s="627">
        <f>-IFERROR(VLOOKUP($U119,'Trial Blc'!$B$4:AL$377,AA$2,FALSE),0)</f>
        <v>822.44</v>
      </c>
      <c r="AB119" s="627">
        <f>-IFERROR(VLOOKUP($U119,'Trial Blc'!$B$4:AM$377,AB$2,FALSE),0)</f>
        <v>840.85</v>
      </c>
      <c r="AC119" s="627">
        <f>-IFERROR(VLOOKUP($U119,'Trial Blc'!$B$4:AN$377,AC$2,FALSE),0)</f>
        <v>859.26</v>
      </c>
      <c r="AD119" s="627">
        <f>-IFERROR(VLOOKUP($U119,'Trial Blc'!$B$4:AO$377,AD$2,FALSE),0)</f>
        <v>878.02</v>
      </c>
      <c r="AE119" s="627">
        <f>-IFERROR(VLOOKUP($U119,'Trial Blc'!$B$4:AP$377,AE$2,FALSE),0)</f>
        <v>896.78</v>
      </c>
      <c r="AF119" s="627">
        <f>-IFERROR(VLOOKUP($U119,'Trial Blc'!$B$4:AQ$377,AF$2,FALSE),0)</f>
        <v>915.93</v>
      </c>
      <c r="AG119" s="627">
        <f>-IFERROR(VLOOKUP($U119,'Trial Blc'!$B$4:AR$377,AG$2,FALSE),0)</f>
        <v>935.08</v>
      </c>
      <c r="AH119" s="627">
        <f>-IFERROR(VLOOKUP($U119,'Trial Blc'!$B$4:AS$377,AH$2,FALSE),0)</f>
        <v>954.23</v>
      </c>
      <c r="AI119" s="627">
        <f>-IFERROR(VLOOKUP($U119,'Trial Blc'!$B$4:AT$377,AI$2,FALSE),0)</f>
        <v>973.38</v>
      </c>
      <c r="AJ119" s="627">
        <f>-IFERROR(VLOOKUP($U119,'Trial Blc'!$B$4:AU$377,AJ$2,FALSE),0)</f>
        <v>992.53</v>
      </c>
      <c r="AK119" s="627">
        <f>-IFERROR(VLOOKUP($U119,'Trial Blc'!$B$4:AV$377,AK$2,FALSE),0)</f>
        <v>1011.68</v>
      </c>
      <c r="AL119" s="627">
        <f>-IFERROR(VLOOKUP($U119,'Trial Blc'!$B$4:AW$377,AL$2,FALSE),0)</f>
        <v>1030.83</v>
      </c>
      <c r="AM119" s="627">
        <f t="shared" si="105"/>
        <v>916.54153846153849</v>
      </c>
    </row>
    <row r="120" spans="1:40" s="87" customFormat="1">
      <c r="A120" s="87" t="s">
        <v>149</v>
      </c>
      <c r="B120" s="1531">
        <v>1535</v>
      </c>
      <c r="C120" s="111" t="s">
        <v>2160</v>
      </c>
      <c r="D120" s="627">
        <f>IFERROR(VLOOKUP($B120,'Trial Blc'!$B$4:O$377,D$2,FALSE),0)</f>
        <v>0</v>
      </c>
      <c r="E120" s="627"/>
      <c r="F120" s="627"/>
      <c r="G120" s="627">
        <f t="shared" si="101"/>
        <v>0</v>
      </c>
      <c r="H120" s="627">
        <f>IFERROR(VLOOKUP($B120,'Trial Blc'!$B$4:S$377,H$2,FALSE),0)</f>
        <v>0</v>
      </c>
      <c r="I120" s="627">
        <f>IFERROR(VLOOKUP($B120,'Trial Blc'!$B$4:T$377,I$2,FALSE),0)</f>
        <v>0</v>
      </c>
      <c r="J120" s="627">
        <f>IFERROR(VLOOKUP($B120,'Trial Blc'!$B$4:U$377,J$2,FALSE),0)</f>
        <v>0</v>
      </c>
      <c r="K120" s="627">
        <f>IFERROR(VLOOKUP($B120,'Trial Blc'!$B$4:V$377,K$2,FALSE),0)</f>
        <v>0</v>
      </c>
      <c r="L120" s="627">
        <f>IFERROR(VLOOKUP($B120,'Trial Blc'!$B$4:W$377,L$2,FALSE),0)</f>
        <v>0</v>
      </c>
      <c r="M120" s="627">
        <f>IFERROR(VLOOKUP($B120,'Trial Blc'!$B$4:X$377,M$2,FALSE),0)</f>
        <v>0</v>
      </c>
      <c r="N120" s="627">
        <f>IFERROR(VLOOKUP($B120,'Trial Blc'!$B$4:Y$377,N$2,FALSE),0)</f>
        <v>0</v>
      </c>
      <c r="O120" s="627">
        <f>IFERROR(VLOOKUP($B120,'Trial Blc'!$B$4:Z$377,O$2,FALSE),0)</f>
        <v>0</v>
      </c>
      <c r="P120" s="627">
        <f>IFERROR(VLOOKUP($B120,'Trial Blc'!$B$4:AA$377,P$2,FALSE),0)</f>
        <v>0</v>
      </c>
      <c r="Q120" s="627">
        <f>IFERROR(VLOOKUP($B120,'Trial Blc'!$B$4:AB$377,Q$2,FALSE),0)</f>
        <v>0</v>
      </c>
      <c r="R120" s="627">
        <f>IFERROR(VLOOKUP($B120,'Trial Blc'!$B$4:AC$377,R$2,FALSE),0)</f>
        <v>0</v>
      </c>
      <c r="S120" s="627">
        <f>IFERROR(VLOOKUP($B120,'Trial Blc'!$B$4:AD$377,S$2,FALSE),0)</f>
        <v>0</v>
      </c>
      <c r="T120" s="627">
        <f t="shared" si="102"/>
        <v>0</v>
      </c>
      <c r="U120" s="1536">
        <v>2280</v>
      </c>
      <c r="V120" s="87" t="s">
        <v>211</v>
      </c>
      <c r="W120" s="627">
        <f>-IFERROR(VLOOKUP($U120,'Trial Blc'!$B$4:AH$377,W$2,FALSE),0)</f>
        <v>0</v>
      </c>
      <c r="X120" s="627"/>
      <c r="Y120" s="627"/>
      <c r="Z120" s="627">
        <f t="shared" si="104"/>
        <v>0</v>
      </c>
      <c r="AA120" s="627">
        <f>-IFERROR(VLOOKUP($U120,'Trial Blc'!$B$4:AL$377,AA$2,FALSE),0)</f>
        <v>0</v>
      </c>
      <c r="AB120" s="627">
        <f>-IFERROR(VLOOKUP($U120,'Trial Blc'!$B$4:AM$377,AB$2,FALSE),0)</f>
        <v>0</v>
      </c>
      <c r="AC120" s="627">
        <f>-IFERROR(VLOOKUP($U120,'Trial Blc'!$B$4:AN$377,AC$2,FALSE),0)</f>
        <v>0</v>
      </c>
      <c r="AD120" s="627">
        <f>-IFERROR(VLOOKUP($U120,'Trial Blc'!$B$4:AO$377,AD$2,FALSE),0)</f>
        <v>0</v>
      </c>
      <c r="AE120" s="627">
        <f>-IFERROR(VLOOKUP($U120,'Trial Blc'!$B$4:AP$377,AE$2,FALSE),0)</f>
        <v>0</v>
      </c>
      <c r="AF120" s="627">
        <f>-IFERROR(VLOOKUP($U120,'Trial Blc'!$B$4:AQ$377,AF$2,FALSE),0)</f>
        <v>0</v>
      </c>
      <c r="AG120" s="627">
        <f>-IFERROR(VLOOKUP($U120,'Trial Blc'!$B$4:AR$377,AG$2,FALSE),0)</f>
        <v>0</v>
      </c>
      <c r="AH120" s="627">
        <f>-IFERROR(VLOOKUP($U120,'Trial Blc'!$B$4:AS$377,AH$2,FALSE),0)</f>
        <v>0</v>
      </c>
      <c r="AI120" s="627">
        <f>-IFERROR(VLOOKUP($U120,'Trial Blc'!$B$4:AT$377,AI$2,FALSE),0)</f>
        <v>0</v>
      </c>
      <c r="AJ120" s="627">
        <f>-IFERROR(VLOOKUP($U120,'Trial Blc'!$B$4:AU$377,AJ$2,FALSE),0)</f>
        <v>0</v>
      </c>
      <c r="AK120" s="627">
        <f>-IFERROR(VLOOKUP($U120,'Trial Blc'!$B$4:AV$377,AK$2,FALSE),0)</f>
        <v>0</v>
      </c>
      <c r="AL120" s="627">
        <f>-IFERROR(VLOOKUP($U120,'Trial Blc'!$B$4:AW$377,AL$2,FALSE),0)</f>
        <v>0</v>
      </c>
      <c r="AM120" s="627">
        <f t="shared" si="105"/>
        <v>0</v>
      </c>
    </row>
    <row r="121" spans="1:40" s="87" customFormat="1">
      <c r="A121" s="87" t="s">
        <v>150</v>
      </c>
      <c r="B121" s="1531">
        <v>1525</v>
      </c>
      <c r="C121" s="111" t="s">
        <v>2161</v>
      </c>
      <c r="D121" s="627">
        <f>IFERROR(VLOOKUP($B121,'Trial Blc'!$B$4:O$377,D$2,FALSE),0)</f>
        <v>0</v>
      </c>
      <c r="E121" s="627"/>
      <c r="F121" s="627"/>
      <c r="G121" s="627">
        <f t="shared" si="101"/>
        <v>0</v>
      </c>
      <c r="H121" s="627">
        <f>IFERROR(VLOOKUP($B121,'Trial Blc'!$B$4:S$377,H$2,FALSE),0)</f>
        <v>0</v>
      </c>
      <c r="I121" s="627">
        <f>IFERROR(VLOOKUP($B121,'Trial Blc'!$B$4:T$377,I$2,FALSE),0)</f>
        <v>0</v>
      </c>
      <c r="J121" s="627">
        <f>IFERROR(VLOOKUP($B121,'Trial Blc'!$B$4:U$377,J$2,FALSE),0)</f>
        <v>0</v>
      </c>
      <c r="K121" s="627">
        <f>IFERROR(VLOOKUP($B121,'Trial Blc'!$B$4:V$377,K$2,FALSE),0)</f>
        <v>0</v>
      </c>
      <c r="L121" s="627">
        <f>IFERROR(VLOOKUP($B121,'Trial Blc'!$B$4:W$377,L$2,FALSE),0)</f>
        <v>0</v>
      </c>
      <c r="M121" s="627">
        <f>IFERROR(VLOOKUP($B121,'Trial Blc'!$B$4:X$377,M$2,FALSE),0)</f>
        <v>0</v>
      </c>
      <c r="N121" s="627">
        <f>IFERROR(VLOOKUP($B121,'Trial Blc'!$B$4:Y$377,N$2,FALSE),0)</f>
        <v>0</v>
      </c>
      <c r="O121" s="627">
        <f>IFERROR(VLOOKUP($B121,'Trial Blc'!$B$4:Z$377,O$2,FALSE),0)</f>
        <v>0</v>
      </c>
      <c r="P121" s="627">
        <f>IFERROR(VLOOKUP($B121,'Trial Blc'!$B$4:AA$377,P$2,FALSE),0)</f>
        <v>0</v>
      </c>
      <c r="Q121" s="627">
        <f>IFERROR(VLOOKUP($B121,'Trial Blc'!$B$4:AB$377,Q$2,FALSE),0)</f>
        <v>0</v>
      </c>
      <c r="R121" s="627">
        <f>IFERROR(VLOOKUP($B121,'Trial Blc'!$B$4:AC$377,R$2,FALSE),0)</f>
        <v>0</v>
      </c>
      <c r="S121" s="627">
        <f>IFERROR(VLOOKUP($B121,'Trial Blc'!$B$4:AD$377,S$2,FALSE),0)</f>
        <v>0</v>
      </c>
      <c r="T121" s="627">
        <f t="shared" si="102"/>
        <v>0</v>
      </c>
      <c r="U121" s="1536">
        <v>2270</v>
      </c>
      <c r="V121" s="87" t="s">
        <v>209</v>
      </c>
      <c r="W121" s="627">
        <f>-IFERROR(VLOOKUP($U121,'Trial Blc'!$B$4:AH$377,W$2,FALSE),0)</f>
        <v>0</v>
      </c>
      <c r="X121" s="627"/>
      <c r="Y121" s="627"/>
      <c r="Z121" s="627">
        <f t="shared" si="104"/>
        <v>0</v>
      </c>
      <c r="AA121" s="627">
        <f>-IFERROR(VLOOKUP($U121,'Trial Blc'!$B$4:AL$377,AA$2,FALSE),0)</f>
        <v>0</v>
      </c>
      <c r="AB121" s="627">
        <f>-IFERROR(VLOOKUP($U121,'Trial Blc'!$B$4:AM$377,AB$2,FALSE),0)</f>
        <v>0</v>
      </c>
      <c r="AC121" s="627">
        <f>-IFERROR(VLOOKUP($U121,'Trial Blc'!$B$4:AN$377,AC$2,FALSE),0)</f>
        <v>0</v>
      </c>
      <c r="AD121" s="627">
        <f>-IFERROR(VLOOKUP($U121,'Trial Blc'!$B$4:AO$377,AD$2,FALSE),0)</f>
        <v>0</v>
      </c>
      <c r="AE121" s="627">
        <f>-IFERROR(VLOOKUP($U121,'Trial Blc'!$B$4:AP$377,AE$2,FALSE),0)</f>
        <v>0</v>
      </c>
      <c r="AF121" s="627">
        <f>-IFERROR(VLOOKUP($U121,'Trial Blc'!$B$4:AQ$377,AF$2,FALSE),0)</f>
        <v>0</v>
      </c>
      <c r="AG121" s="627">
        <f>-IFERROR(VLOOKUP($U121,'Trial Blc'!$B$4:AR$377,AG$2,FALSE),0)</f>
        <v>0</v>
      </c>
      <c r="AH121" s="627">
        <f>-IFERROR(VLOOKUP($U121,'Trial Blc'!$B$4:AS$377,AH$2,FALSE),0)</f>
        <v>0</v>
      </c>
      <c r="AI121" s="627">
        <f>-IFERROR(VLOOKUP($U121,'Trial Blc'!$B$4:AT$377,AI$2,FALSE),0)</f>
        <v>0</v>
      </c>
      <c r="AJ121" s="627">
        <f>-IFERROR(VLOOKUP($U121,'Trial Blc'!$B$4:AU$377,AJ$2,FALSE),0)</f>
        <v>0</v>
      </c>
      <c r="AK121" s="627">
        <f>-IFERROR(VLOOKUP($U121,'Trial Blc'!$B$4:AV$377,AK$2,FALSE),0)</f>
        <v>0</v>
      </c>
      <c r="AL121" s="627">
        <f>-IFERROR(VLOOKUP($U121,'Trial Blc'!$B$4:AW$377,AL$2,FALSE),0)</f>
        <v>0</v>
      </c>
      <c r="AM121" s="627">
        <f t="shared" si="105"/>
        <v>0</v>
      </c>
    </row>
    <row r="122" spans="1:40" s="87" customFormat="1">
      <c r="A122" s="87" t="s">
        <v>151</v>
      </c>
      <c r="B122" s="1531">
        <v>1530</v>
      </c>
      <c r="C122" s="111" t="s">
        <v>2162</v>
      </c>
      <c r="D122" s="627">
        <f>IFERROR(VLOOKUP($B122,'Trial Blc'!$B$4:O$377,D$2,FALSE),0)</f>
        <v>0</v>
      </c>
      <c r="E122" s="627"/>
      <c r="F122" s="627"/>
      <c r="G122" s="627">
        <f t="shared" si="101"/>
        <v>0</v>
      </c>
      <c r="H122" s="627">
        <f>IFERROR(VLOOKUP($B122,'Trial Blc'!$B$4:S$377,H$2,FALSE),0)</f>
        <v>0</v>
      </c>
      <c r="I122" s="627">
        <f>IFERROR(VLOOKUP($B122,'Trial Blc'!$B$4:T$377,I$2,FALSE),0)</f>
        <v>0</v>
      </c>
      <c r="J122" s="627">
        <f>IFERROR(VLOOKUP($B122,'Trial Blc'!$B$4:U$377,J$2,FALSE),0)</f>
        <v>0</v>
      </c>
      <c r="K122" s="627">
        <f>IFERROR(VLOOKUP($B122,'Trial Blc'!$B$4:V$377,K$2,FALSE),0)</f>
        <v>0</v>
      </c>
      <c r="L122" s="627">
        <f>IFERROR(VLOOKUP($B122,'Trial Blc'!$B$4:W$377,L$2,FALSE),0)</f>
        <v>0</v>
      </c>
      <c r="M122" s="627">
        <f>IFERROR(VLOOKUP($B122,'Trial Blc'!$B$4:X$377,M$2,FALSE),0)</f>
        <v>0</v>
      </c>
      <c r="N122" s="627">
        <f>IFERROR(VLOOKUP($B122,'Trial Blc'!$B$4:Y$377,N$2,FALSE),0)</f>
        <v>0</v>
      </c>
      <c r="O122" s="627">
        <f>IFERROR(VLOOKUP($B122,'Trial Blc'!$B$4:Z$377,O$2,FALSE),0)</f>
        <v>0</v>
      </c>
      <c r="P122" s="627">
        <f>IFERROR(VLOOKUP($B122,'Trial Blc'!$B$4:AA$377,P$2,FALSE),0)</f>
        <v>0</v>
      </c>
      <c r="Q122" s="627">
        <f>IFERROR(VLOOKUP($B122,'Trial Blc'!$B$4:AB$377,Q$2,FALSE),0)</f>
        <v>0</v>
      </c>
      <c r="R122" s="627">
        <f>IFERROR(VLOOKUP($B122,'Trial Blc'!$B$4:AC$377,R$2,FALSE),0)</f>
        <v>0</v>
      </c>
      <c r="S122" s="627">
        <f>IFERROR(VLOOKUP($B122,'Trial Blc'!$B$4:AD$377,S$2,FALSE),0)</f>
        <v>0</v>
      </c>
      <c r="T122" s="627">
        <f t="shared" si="102"/>
        <v>0</v>
      </c>
      <c r="U122" s="1536">
        <v>2275</v>
      </c>
      <c r="V122" s="87" t="s">
        <v>210</v>
      </c>
      <c r="W122" s="627">
        <f>-IFERROR(VLOOKUP($U122,'Trial Blc'!$B$4:AH$377,W$2,FALSE),0)</f>
        <v>0</v>
      </c>
      <c r="X122" s="627"/>
      <c r="Y122" s="627"/>
      <c r="Z122" s="627">
        <f t="shared" si="104"/>
        <v>0</v>
      </c>
      <c r="AA122" s="627">
        <f>-IFERROR(VLOOKUP($U122,'Trial Blc'!$B$4:AL$377,AA$2,FALSE),0)</f>
        <v>0</v>
      </c>
      <c r="AB122" s="627">
        <f>-IFERROR(VLOOKUP($U122,'Trial Blc'!$B$4:AM$377,AB$2,FALSE),0)</f>
        <v>0</v>
      </c>
      <c r="AC122" s="627">
        <f>-IFERROR(VLOOKUP($U122,'Trial Blc'!$B$4:AN$377,AC$2,FALSE),0)</f>
        <v>0</v>
      </c>
      <c r="AD122" s="627">
        <f>-IFERROR(VLOOKUP($U122,'Trial Blc'!$B$4:AO$377,AD$2,FALSE),0)</f>
        <v>0</v>
      </c>
      <c r="AE122" s="627">
        <f>-IFERROR(VLOOKUP($U122,'Trial Blc'!$B$4:AP$377,AE$2,FALSE),0)</f>
        <v>0</v>
      </c>
      <c r="AF122" s="627">
        <f>-IFERROR(VLOOKUP($U122,'Trial Blc'!$B$4:AQ$377,AF$2,FALSE),0)</f>
        <v>0</v>
      </c>
      <c r="AG122" s="627">
        <f>-IFERROR(VLOOKUP($U122,'Trial Blc'!$B$4:AR$377,AG$2,FALSE),0)</f>
        <v>0</v>
      </c>
      <c r="AH122" s="627">
        <f>-IFERROR(VLOOKUP($U122,'Trial Blc'!$B$4:AS$377,AH$2,FALSE),0)</f>
        <v>0</v>
      </c>
      <c r="AI122" s="627">
        <f>-IFERROR(VLOOKUP($U122,'Trial Blc'!$B$4:AT$377,AI$2,FALSE),0)</f>
        <v>0</v>
      </c>
      <c r="AJ122" s="627">
        <f>-IFERROR(VLOOKUP($U122,'Trial Blc'!$B$4:AU$377,AJ$2,FALSE),0)</f>
        <v>0</v>
      </c>
      <c r="AK122" s="627">
        <f>-IFERROR(VLOOKUP($U122,'Trial Blc'!$B$4:AV$377,AK$2,FALSE),0)</f>
        <v>0</v>
      </c>
      <c r="AL122" s="627">
        <f>-IFERROR(VLOOKUP($U122,'Trial Blc'!$B$4:AW$377,AL$2,FALSE),0)</f>
        <v>0</v>
      </c>
      <c r="AM122" s="627">
        <f t="shared" si="105"/>
        <v>0</v>
      </c>
    </row>
    <row r="123" spans="1:40" s="89" customFormat="1">
      <c r="A123" s="692" t="s">
        <v>1172</v>
      </c>
      <c r="B123" s="1532"/>
      <c r="C123" s="113"/>
      <c r="D123" s="627"/>
      <c r="E123" s="627"/>
      <c r="F123" s="113"/>
      <c r="G123" s="627"/>
      <c r="H123" s="627"/>
      <c r="I123" s="627"/>
      <c r="J123" s="627"/>
      <c r="K123" s="627"/>
      <c r="L123" s="627"/>
      <c r="M123" s="627"/>
      <c r="N123" s="627"/>
      <c r="O123" s="627"/>
      <c r="P123" s="627"/>
      <c r="Q123" s="627"/>
      <c r="R123" s="627"/>
      <c r="S123" s="627"/>
      <c r="T123" s="627"/>
      <c r="U123" s="1551"/>
      <c r="V123" s="692" t="s">
        <v>1172</v>
      </c>
      <c r="W123" s="627"/>
      <c r="X123" s="111"/>
      <c r="Y123" s="627"/>
      <c r="Z123" s="627"/>
      <c r="AA123" s="627"/>
      <c r="AB123" s="627"/>
      <c r="AC123" s="627"/>
      <c r="AD123" s="627"/>
      <c r="AE123" s="627"/>
      <c r="AF123" s="627"/>
      <c r="AG123" s="627"/>
      <c r="AH123" s="627"/>
      <c r="AI123" s="627"/>
      <c r="AJ123" s="627"/>
      <c r="AK123" s="627"/>
      <c r="AL123" s="627"/>
    </row>
    <row r="124" spans="1:40" s="87" customFormat="1">
      <c r="A124" s="89" t="s">
        <v>752</v>
      </c>
      <c r="B124" s="1531">
        <v>1285</v>
      </c>
      <c r="C124" s="111" t="s">
        <v>2163</v>
      </c>
      <c r="D124" s="627">
        <f>IFERROR(VLOOKUP($B124,'Trial Blc'!$B$4:O$377,D$2,FALSE),0)</f>
        <v>0</v>
      </c>
      <c r="E124" s="627"/>
      <c r="F124" s="627"/>
      <c r="G124" s="627">
        <f t="shared" ref="G124:G135" si="106">+D124+E124+F124</f>
        <v>0</v>
      </c>
      <c r="H124" s="627">
        <f>IFERROR(VLOOKUP($B124,'Trial Blc'!$B$4:S$377,H$2,FALSE),0)</f>
        <v>0</v>
      </c>
      <c r="I124" s="627">
        <f>IFERROR(VLOOKUP($B124,'Trial Blc'!$B$4:T$377,I$2,FALSE),0)</f>
        <v>0</v>
      </c>
      <c r="J124" s="627">
        <f>IFERROR(VLOOKUP($B124,'Trial Blc'!$B$4:U$377,J$2,FALSE),0)</f>
        <v>0</v>
      </c>
      <c r="K124" s="627">
        <f>IFERROR(VLOOKUP($B124,'Trial Blc'!$B$4:V$377,K$2,FALSE),0)</f>
        <v>0</v>
      </c>
      <c r="L124" s="627">
        <f>IFERROR(VLOOKUP($B124,'Trial Blc'!$B$4:W$377,L$2,FALSE),0)</f>
        <v>0</v>
      </c>
      <c r="M124" s="627">
        <f>IFERROR(VLOOKUP($B124,'Trial Blc'!$B$4:X$377,M$2,FALSE),0)</f>
        <v>0</v>
      </c>
      <c r="N124" s="627">
        <f>IFERROR(VLOOKUP($B124,'Trial Blc'!$B$4:Y$377,N$2,FALSE),0)</f>
        <v>0</v>
      </c>
      <c r="O124" s="627">
        <f>IFERROR(VLOOKUP($B124,'Trial Blc'!$B$4:Z$377,O$2,FALSE),0)</f>
        <v>0</v>
      </c>
      <c r="P124" s="627">
        <f>IFERROR(VLOOKUP($B124,'Trial Blc'!$B$4:AA$377,P$2,FALSE),0)</f>
        <v>0</v>
      </c>
      <c r="Q124" s="627">
        <f>IFERROR(VLOOKUP($B124,'Trial Blc'!$B$4:AB$377,Q$2,FALSE),0)</f>
        <v>0</v>
      </c>
      <c r="R124" s="627">
        <f>IFERROR(VLOOKUP($B124,'Trial Blc'!$B$4:AC$377,R$2,FALSE),0)</f>
        <v>0</v>
      </c>
      <c r="S124" s="627">
        <f>IFERROR(VLOOKUP($B124,'Trial Blc'!$B$4:AD$377,S$2,FALSE),0)</f>
        <v>0</v>
      </c>
      <c r="T124" s="627">
        <f t="shared" ref="T124:T135" si="107">AVERAGE(G124:S124)</f>
        <v>0</v>
      </c>
      <c r="U124" s="1536"/>
      <c r="W124" s="627"/>
      <c r="X124" s="111"/>
      <c r="Y124" s="627"/>
      <c r="Z124" s="627">
        <f t="shared" ref="Z124" si="108">SUM(W124:Y124)</f>
        <v>0</v>
      </c>
      <c r="AA124" s="627"/>
      <c r="AB124" s="627"/>
      <c r="AC124" s="627"/>
      <c r="AD124" s="627"/>
      <c r="AE124" s="627"/>
      <c r="AF124" s="627"/>
      <c r="AG124" s="627"/>
      <c r="AH124" s="627"/>
      <c r="AI124" s="627"/>
      <c r="AJ124" s="627"/>
      <c r="AK124" s="627"/>
      <c r="AL124" s="627"/>
      <c r="AM124" s="89"/>
      <c r="AN124" s="89"/>
    </row>
    <row r="125" spans="1:40" s="87" customFormat="1">
      <c r="A125" s="87" t="s">
        <v>753</v>
      </c>
      <c r="B125" s="1531">
        <v>1315</v>
      </c>
      <c r="C125" s="111" t="s">
        <v>2164</v>
      </c>
      <c r="D125" s="1670">
        <f>IFERROR(VLOOKUP($B125,'Trial Blc'!$B$4:O$377,D$2,FALSE),0)</f>
        <v>2392089.7799999998</v>
      </c>
      <c r="E125" s="627"/>
      <c r="F125" s="627"/>
      <c r="G125" s="627">
        <f t="shared" si="106"/>
        <v>2392089.7799999998</v>
      </c>
      <c r="H125" s="627">
        <f>IFERROR(VLOOKUP($B125,'Trial Blc'!$B$4:S$377,H$2,FALSE),0)</f>
        <v>2392089.7799999998</v>
      </c>
      <c r="I125" s="627">
        <f>IFERROR(VLOOKUP($B125,'Trial Blc'!$B$4:T$377,I$2,FALSE),0)</f>
        <v>2392251.2000000002</v>
      </c>
      <c r="J125" s="627">
        <f>IFERROR(VLOOKUP($B125,'Trial Blc'!$B$4:U$377,J$2,FALSE),0)</f>
        <v>2392251.2000000002</v>
      </c>
      <c r="K125" s="627">
        <f>IFERROR(VLOOKUP($B125,'Trial Blc'!$B$4:V$377,K$2,FALSE),0)</f>
        <v>2392251.2000000002</v>
      </c>
      <c r="L125" s="627">
        <f>IFERROR(VLOOKUP($B125,'Trial Blc'!$B$4:W$377,L$2,FALSE),0)</f>
        <v>2392452.65</v>
      </c>
      <c r="M125" s="627">
        <f>IFERROR(VLOOKUP($B125,'Trial Blc'!$B$4:X$377,M$2,FALSE),0)</f>
        <v>2392452.65</v>
      </c>
      <c r="N125" s="627">
        <f>IFERROR(VLOOKUP($B125,'Trial Blc'!$B$4:Y$377,N$2,FALSE),0)</f>
        <v>2392452.65</v>
      </c>
      <c r="O125" s="627">
        <f>IFERROR(VLOOKUP($B125,'Trial Blc'!$B$4:Z$377,O$2,FALSE),0)</f>
        <v>2392452.65</v>
      </c>
      <c r="P125" s="627">
        <f>IFERROR(VLOOKUP($B125,'Trial Blc'!$B$4:AA$377,P$2,FALSE),0)</f>
        <v>2392452.65</v>
      </c>
      <c r="Q125" s="627">
        <f>IFERROR(VLOOKUP($B125,'Trial Blc'!$B$4:AB$377,Q$2,FALSE),0)</f>
        <v>2392452.65</v>
      </c>
      <c r="R125" s="627">
        <f>IFERROR(VLOOKUP($B125,'Trial Blc'!$B$4:AC$377,R$2,FALSE),0)</f>
        <v>2393075.84</v>
      </c>
      <c r="S125" s="627">
        <f>IFERROR(VLOOKUP($B125,'Trial Blc'!$B$4:AD$377,S$2,FALSE),0)</f>
        <v>2393729.9</v>
      </c>
      <c r="T125" s="627">
        <f t="shared" si="107"/>
        <v>2392496.5230769226</v>
      </c>
      <c r="U125" s="1552">
        <v>2075</v>
      </c>
      <c r="V125" s="627" t="s">
        <v>1553</v>
      </c>
      <c r="W125" s="1670">
        <f>-IFERROR(VLOOKUP($U125,'Trial Blc'!$B$4:AH$377,W$2,FALSE),0)</f>
        <v>1579995.37</v>
      </c>
      <c r="X125" s="627"/>
      <c r="Y125" s="627"/>
      <c r="Z125" s="627">
        <f t="shared" ref="Z125:Z134" si="109">+W125+X125+Y125</f>
        <v>1579995.37</v>
      </c>
      <c r="AA125" s="627">
        <f>-IFERROR(VLOOKUP($U125,'Trial Blc'!$B$4:AL$377,AA$2,FALSE),0)</f>
        <v>1586241.02</v>
      </c>
      <c r="AB125" s="627">
        <f>-IFERROR(VLOOKUP($U125,'Trial Blc'!$B$4:AM$377,AB$2,FALSE),0)</f>
        <v>1592487.09</v>
      </c>
      <c r="AC125" s="627">
        <f>-IFERROR(VLOOKUP($U125,'Trial Blc'!$B$4:AN$377,AC$2,FALSE),0)</f>
        <v>1598733.16</v>
      </c>
      <c r="AD125" s="627">
        <f>-IFERROR(VLOOKUP($U125,'Trial Blc'!$B$4:AO$377,AD$2,FALSE),0)</f>
        <v>1604979.23</v>
      </c>
      <c r="AE125" s="627">
        <f>-IFERROR(VLOOKUP($U125,'Trial Blc'!$B$4:AP$377,AE$2,FALSE),0)</f>
        <v>1611225.83</v>
      </c>
      <c r="AF125" s="627">
        <f>-IFERROR(VLOOKUP($U125,'Trial Blc'!$B$4:AQ$377,AF$2,FALSE),0)</f>
        <v>1617472.43</v>
      </c>
      <c r="AG125" s="627">
        <f>-IFERROR(VLOOKUP($U125,'Trial Blc'!$B$4:AR$377,AG$2,FALSE),0)</f>
        <v>1623719.03</v>
      </c>
      <c r="AH125" s="627">
        <f>-IFERROR(VLOOKUP($U125,'Trial Blc'!$B$4:AS$377,AH$2,FALSE),0)</f>
        <v>1629965.63</v>
      </c>
      <c r="AI125" s="627">
        <f>-IFERROR(VLOOKUP($U125,'Trial Blc'!$B$4:AT$377,AI$2,FALSE),0)</f>
        <v>1636212.23</v>
      </c>
      <c r="AJ125" s="627">
        <f>-IFERROR(VLOOKUP($U125,'Trial Blc'!$B$4:AU$377,AJ$2,FALSE),0)</f>
        <v>1642458.83</v>
      </c>
      <c r="AK125" s="627">
        <f>-IFERROR(VLOOKUP($U125,'Trial Blc'!$B$4:AV$377,AK$2,FALSE),0)</f>
        <v>1648707.06</v>
      </c>
      <c r="AL125" s="627">
        <f>-IFERROR(VLOOKUP($U125,'Trial Blc'!$B$4:AW$377,AL$2,FALSE),0)</f>
        <v>1654957</v>
      </c>
      <c r="AM125" s="627">
        <f t="shared" ref="AM125:AM134" si="110">AVERAGE(Z125:AL125)</f>
        <v>1617473.3776923078</v>
      </c>
    </row>
    <row r="126" spans="1:40" s="87" customFormat="1">
      <c r="B126" s="1531">
        <v>1455</v>
      </c>
      <c r="C126" s="111" t="s">
        <v>2231</v>
      </c>
      <c r="D126" s="1670">
        <f>IFERROR(VLOOKUP($B126,'Trial Blc'!$B$4:O$377,D$2,FALSE),0)</f>
        <v>24340.14</v>
      </c>
      <c r="E126" s="627"/>
      <c r="F126" s="627"/>
      <c r="G126" s="627">
        <f t="shared" si="106"/>
        <v>24340.14</v>
      </c>
      <c r="H126" s="627">
        <f>IFERROR(VLOOKUP($B126,'Trial Blc'!$B$4:S$377,H$2,FALSE),0)</f>
        <v>24340.14</v>
      </c>
      <c r="I126" s="627">
        <f>IFERROR(VLOOKUP($B126,'Trial Blc'!$B$4:T$377,I$2,FALSE),0)</f>
        <v>24340.14</v>
      </c>
      <c r="J126" s="627">
        <f>IFERROR(VLOOKUP($B126,'Trial Blc'!$B$4:U$377,J$2,FALSE),0)</f>
        <v>24340.14</v>
      </c>
      <c r="K126" s="627">
        <f>IFERROR(VLOOKUP($B126,'Trial Blc'!$B$4:V$377,K$2,FALSE),0)</f>
        <v>24340.14</v>
      </c>
      <c r="L126" s="627">
        <f>IFERROR(VLOOKUP($B126,'Trial Blc'!$B$4:W$377,L$2,FALSE),0)</f>
        <v>24340.14</v>
      </c>
      <c r="M126" s="627">
        <f>IFERROR(VLOOKUP($B126,'Trial Blc'!$B$4:X$377,M$2,FALSE),0)</f>
        <v>24340.14</v>
      </c>
      <c r="N126" s="627">
        <f>IFERROR(VLOOKUP($B126,'Trial Blc'!$B$4:Y$377,N$2,FALSE),0)</f>
        <v>24340.14</v>
      </c>
      <c r="O126" s="627">
        <f>IFERROR(VLOOKUP($B126,'Trial Blc'!$B$4:Z$377,O$2,FALSE),0)</f>
        <v>24340.14</v>
      </c>
      <c r="P126" s="627">
        <f>IFERROR(VLOOKUP($B126,'Trial Blc'!$B$4:AA$377,P$2,FALSE),0)</f>
        <v>24340.14</v>
      </c>
      <c r="Q126" s="627">
        <f>IFERROR(VLOOKUP($B126,'Trial Blc'!$B$4:AB$377,Q$2,FALSE),0)</f>
        <v>24340.14</v>
      </c>
      <c r="R126" s="627">
        <f>IFERROR(VLOOKUP($B126,'Trial Blc'!$B$4:AC$377,R$2,FALSE),0)</f>
        <v>68889.73</v>
      </c>
      <c r="S126" s="627">
        <f>IFERROR(VLOOKUP($B126,'Trial Blc'!$B$4:AD$377,S$2,FALSE),0)</f>
        <v>68889.73</v>
      </c>
      <c r="T126" s="627">
        <f t="shared" si="107"/>
        <v>31193.923076923078</v>
      </c>
      <c r="U126" s="1552">
        <v>2215</v>
      </c>
      <c r="V126" s="627" t="s">
        <v>1814</v>
      </c>
      <c r="W126" s="1670">
        <f>-IFERROR(VLOOKUP($U126,'Trial Blc'!$B$4:AH$377,W$2,FALSE),0)</f>
        <v>6341.29</v>
      </c>
      <c r="X126" s="627"/>
      <c r="Y126" s="627"/>
      <c r="Z126" s="627">
        <f t="shared" si="109"/>
        <v>6341.29</v>
      </c>
      <c r="AA126" s="627">
        <f>-IFERROR(VLOOKUP($U126,'Trial Blc'!$B$4:AL$377,AA$2,FALSE),0)</f>
        <v>6392</v>
      </c>
      <c r="AB126" s="627">
        <f>-IFERROR(VLOOKUP($U126,'Trial Blc'!$B$4:AM$377,AB$2,FALSE),0)</f>
        <v>6442.71</v>
      </c>
      <c r="AC126" s="627">
        <f>-IFERROR(VLOOKUP($U126,'Trial Blc'!$B$4:AN$377,AC$2,FALSE),0)</f>
        <v>6493.42</v>
      </c>
      <c r="AD126" s="627">
        <f>-IFERROR(VLOOKUP($U126,'Trial Blc'!$B$4:AO$377,AD$2,FALSE),0)</f>
        <v>6544.13</v>
      </c>
      <c r="AE126" s="627">
        <f>-IFERROR(VLOOKUP($U126,'Trial Blc'!$B$4:AP$377,AE$2,FALSE),0)</f>
        <v>6594.84</v>
      </c>
      <c r="AF126" s="627">
        <f>-IFERROR(VLOOKUP($U126,'Trial Blc'!$B$4:AQ$377,AF$2,FALSE),0)</f>
        <v>6645.55</v>
      </c>
      <c r="AG126" s="627">
        <f>-IFERROR(VLOOKUP($U126,'Trial Blc'!$B$4:AR$377,AG$2,FALSE),0)</f>
        <v>6696.26</v>
      </c>
      <c r="AH126" s="627">
        <f>-IFERROR(VLOOKUP($U126,'Trial Blc'!$B$4:AS$377,AH$2,FALSE),0)</f>
        <v>6746.97</v>
      </c>
      <c r="AI126" s="627">
        <f>-IFERROR(VLOOKUP($U126,'Trial Blc'!$B$4:AT$377,AI$2,FALSE),0)</f>
        <v>6797.68</v>
      </c>
      <c r="AJ126" s="627">
        <f>-IFERROR(VLOOKUP($U126,'Trial Blc'!$B$4:AU$377,AJ$2,FALSE),0)</f>
        <v>6848.39</v>
      </c>
      <c r="AK126" s="627">
        <f>-IFERROR(VLOOKUP($U126,'Trial Blc'!$B$4:AV$377,AK$2,FALSE),0)</f>
        <v>6991.91</v>
      </c>
      <c r="AL126" s="627">
        <f>-IFERROR(VLOOKUP($U126,'Trial Blc'!$B$4:AW$377,AL$2,FALSE),0)</f>
        <v>7135.43</v>
      </c>
      <c r="AM126" s="627">
        <f t="shared" si="110"/>
        <v>6666.9676923076931</v>
      </c>
    </row>
    <row r="127" spans="1:40" s="87" customFormat="1">
      <c r="A127" s="87" t="s">
        <v>754</v>
      </c>
      <c r="B127" s="1532">
        <v>1460</v>
      </c>
      <c r="C127" s="113" t="s">
        <v>152</v>
      </c>
      <c r="D127" s="1670">
        <f>IFERROR(VLOOKUP($B127,'Trial Blc'!$B$4:O$377,D$2,FALSE),0)</f>
        <v>2872.58</v>
      </c>
      <c r="E127" s="627"/>
      <c r="F127" s="627"/>
      <c r="G127" s="627">
        <f t="shared" si="106"/>
        <v>2872.58</v>
      </c>
      <c r="H127" s="627">
        <f>IFERROR(VLOOKUP($B127,'Trial Blc'!$B$4:S$377,H$2,FALSE),0)</f>
        <v>2872.58</v>
      </c>
      <c r="I127" s="627">
        <f>IFERROR(VLOOKUP($B127,'Trial Blc'!$B$4:T$377,I$2,FALSE),0)</f>
        <v>2872.58</v>
      </c>
      <c r="J127" s="627">
        <f>IFERROR(VLOOKUP($B127,'Trial Blc'!$B$4:U$377,J$2,FALSE),0)</f>
        <v>2872.58</v>
      </c>
      <c r="K127" s="627">
        <f>IFERROR(VLOOKUP($B127,'Trial Blc'!$B$4:V$377,K$2,FALSE),0)</f>
        <v>2872.58</v>
      </c>
      <c r="L127" s="627">
        <f>IFERROR(VLOOKUP($B127,'Trial Blc'!$B$4:W$377,L$2,FALSE),0)</f>
        <v>2872.58</v>
      </c>
      <c r="M127" s="627">
        <f>IFERROR(VLOOKUP($B127,'Trial Blc'!$B$4:X$377,M$2,FALSE),0)</f>
        <v>2872.58</v>
      </c>
      <c r="N127" s="627">
        <f>IFERROR(VLOOKUP($B127,'Trial Blc'!$B$4:Y$377,N$2,FALSE),0)</f>
        <v>2872.58</v>
      </c>
      <c r="O127" s="627">
        <f>IFERROR(VLOOKUP($B127,'Trial Blc'!$B$4:Z$377,O$2,FALSE),0)</f>
        <v>2872.58</v>
      </c>
      <c r="P127" s="627">
        <f>IFERROR(VLOOKUP($B127,'Trial Blc'!$B$4:AA$377,P$2,FALSE),0)</f>
        <v>2872.58</v>
      </c>
      <c r="Q127" s="627">
        <f>IFERROR(VLOOKUP($B127,'Trial Blc'!$B$4:AB$377,Q$2,FALSE),0)</f>
        <v>2872.58</v>
      </c>
      <c r="R127" s="627">
        <f>IFERROR(VLOOKUP($B127,'Trial Blc'!$B$4:AC$377,R$2,FALSE),0)</f>
        <v>2872.58</v>
      </c>
      <c r="S127" s="627">
        <f>IFERROR(VLOOKUP($B127,'Trial Blc'!$B$4:AD$377,S$2,FALSE),0)</f>
        <v>2872.58</v>
      </c>
      <c r="T127" s="627">
        <f t="shared" si="107"/>
        <v>2872.5800000000008</v>
      </c>
      <c r="U127" s="1536">
        <v>2220</v>
      </c>
      <c r="V127" s="87" t="s">
        <v>205</v>
      </c>
      <c r="W127" s="1670">
        <f>-IFERROR(VLOOKUP($U127,'Trial Blc'!$B$4:AH$377,W$2,FALSE),0)</f>
        <v>3275.29</v>
      </c>
      <c r="X127" s="627"/>
      <c r="Y127" s="627"/>
      <c r="Z127" s="627">
        <f t="shared" si="109"/>
        <v>3275.29</v>
      </c>
      <c r="AA127" s="627">
        <f>-IFERROR(VLOOKUP($U127,'Trial Blc'!$B$4:AL$377,AA$2,FALSE),0)</f>
        <v>3291.24</v>
      </c>
      <c r="AB127" s="627">
        <f>-IFERROR(VLOOKUP($U127,'Trial Blc'!$B$4:AM$377,AB$2,FALSE),0)</f>
        <v>3307.19</v>
      </c>
      <c r="AC127" s="627">
        <f>-IFERROR(VLOOKUP($U127,'Trial Blc'!$B$4:AN$377,AC$2,FALSE),0)</f>
        <v>3323.14</v>
      </c>
      <c r="AD127" s="627">
        <f>-IFERROR(VLOOKUP($U127,'Trial Blc'!$B$4:AO$377,AD$2,FALSE),0)</f>
        <v>3339.09</v>
      </c>
      <c r="AE127" s="627">
        <f>-IFERROR(VLOOKUP($U127,'Trial Blc'!$B$4:AP$377,AE$2,FALSE),0)</f>
        <v>3355.04</v>
      </c>
      <c r="AF127" s="627">
        <f>-IFERROR(VLOOKUP($U127,'Trial Blc'!$B$4:AQ$377,AF$2,FALSE),0)</f>
        <v>3370.99</v>
      </c>
      <c r="AG127" s="627">
        <f>-IFERROR(VLOOKUP($U127,'Trial Blc'!$B$4:AR$377,AG$2,FALSE),0)</f>
        <v>3386.94</v>
      </c>
      <c r="AH127" s="627">
        <f>-IFERROR(VLOOKUP($U127,'Trial Blc'!$B$4:AS$377,AH$2,FALSE),0)</f>
        <v>3402.89</v>
      </c>
      <c r="AI127" s="627">
        <f>-IFERROR(VLOOKUP($U127,'Trial Blc'!$B$4:AT$377,AI$2,FALSE),0)</f>
        <v>3418.84</v>
      </c>
      <c r="AJ127" s="627">
        <f>-IFERROR(VLOOKUP($U127,'Trial Blc'!$B$4:AU$377,AJ$2,FALSE),0)</f>
        <v>3434.79</v>
      </c>
      <c r="AK127" s="627">
        <f>-IFERROR(VLOOKUP($U127,'Trial Blc'!$B$4:AV$377,AK$2,FALSE),0)</f>
        <v>3450.74</v>
      </c>
      <c r="AL127" s="627">
        <f>-IFERROR(VLOOKUP($U127,'Trial Blc'!$B$4:AW$377,AL$2,FALSE),0)</f>
        <v>3466.69</v>
      </c>
      <c r="AM127" s="627">
        <f t="shared" si="110"/>
        <v>3370.99</v>
      </c>
    </row>
    <row r="128" spans="1:40" s="87" customFormat="1">
      <c r="A128" s="87" t="s">
        <v>756</v>
      </c>
      <c r="B128" s="1531">
        <v>1465</v>
      </c>
      <c r="C128" s="111" t="s">
        <v>2165</v>
      </c>
      <c r="D128" s="1670">
        <f>IFERROR(VLOOKUP($B128,'Trial Blc'!$B$4:O$377,D$2,FALSE),0)</f>
        <v>0</v>
      </c>
      <c r="E128" s="627"/>
      <c r="F128" s="627"/>
      <c r="G128" s="627">
        <f t="shared" si="106"/>
        <v>0</v>
      </c>
      <c r="H128" s="627">
        <f>IFERROR(VLOOKUP($B128,'Trial Blc'!$B$4:S$377,H$2,FALSE),0)</f>
        <v>0</v>
      </c>
      <c r="I128" s="627">
        <f>IFERROR(VLOOKUP($B128,'Trial Blc'!$B$4:T$377,I$2,FALSE),0)</f>
        <v>0</v>
      </c>
      <c r="J128" s="627">
        <f>IFERROR(VLOOKUP($B128,'Trial Blc'!$B$4:U$377,J$2,FALSE),0)</f>
        <v>0</v>
      </c>
      <c r="K128" s="627">
        <f>IFERROR(VLOOKUP($B128,'Trial Blc'!$B$4:V$377,K$2,FALSE),0)</f>
        <v>0</v>
      </c>
      <c r="L128" s="627">
        <f>IFERROR(VLOOKUP($B128,'Trial Blc'!$B$4:W$377,L$2,FALSE),0)</f>
        <v>0</v>
      </c>
      <c r="M128" s="627">
        <f>IFERROR(VLOOKUP($B128,'Trial Blc'!$B$4:X$377,M$2,FALSE),0)</f>
        <v>0</v>
      </c>
      <c r="N128" s="627">
        <f>IFERROR(VLOOKUP($B128,'Trial Blc'!$B$4:Y$377,N$2,FALSE),0)</f>
        <v>0</v>
      </c>
      <c r="O128" s="627">
        <f>IFERROR(VLOOKUP($B128,'Trial Blc'!$B$4:Z$377,O$2,FALSE),0)</f>
        <v>0</v>
      </c>
      <c r="P128" s="627">
        <f>IFERROR(VLOOKUP($B128,'Trial Blc'!$B$4:AA$377,P$2,FALSE),0)</f>
        <v>0</v>
      </c>
      <c r="Q128" s="627">
        <f>IFERROR(VLOOKUP($B128,'Trial Blc'!$B$4:AB$377,Q$2,FALSE),0)</f>
        <v>0</v>
      </c>
      <c r="R128" s="627">
        <f>IFERROR(VLOOKUP($B128,'Trial Blc'!$B$4:AC$377,R$2,FALSE),0)</f>
        <v>0</v>
      </c>
      <c r="S128" s="627">
        <f>IFERROR(VLOOKUP($B128,'Trial Blc'!$B$4:AD$377,S$2,FALSE),0)</f>
        <v>0</v>
      </c>
      <c r="T128" s="627">
        <f t="shared" si="107"/>
        <v>0</v>
      </c>
      <c r="U128" s="1552"/>
      <c r="V128" s="89"/>
      <c r="W128" s="627">
        <f>-IFERROR(VLOOKUP($U128,'Trial Blc'!$B$4:AH$377,W$2,FALSE),0)</f>
        <v>0</v>
      </c>
      <c r="X128" s="627"/>
      <c r="Y128" s="627"/>
      <c r="Z128" s="627">
        <f t="shared" si="109"/>
        <v>0</v>
      </c>
      <c r="AA128" s="627">
        <f>-IFERROR(VLOOKUP($U128,'Trial Blc'!$B$4:AL$377,AA$2,FALSE),0)</f>
        <v>0</v>
      </c>
      <c r="AB128" s="627">
        <f>-IFERROR(VLOOKUP($U128,'Trial Blc'!$B$4:AM$377,AB$2,FALSE),0)</f>
        <v>0</v>
      </c>
      <c r="AC128" s="627">
        <f>-IFERROR(VLOOKUP($U128,'Trial Blc'!$B$4:AN$377,AC$2,FALSE),0)</f>
        <v>0</v>
      </c>
      <c r="AD128" s="627">
        <f>-IFERROR(VLOOKUP($U128,'Trial Blc'!$B$4:AO$377,AD$2,FALSE),0)</f>
        <v>0</v>
      </c>
      <c r="AE128" s="627">
        <f>-IFERROR(VLOOKUP($U128,'Trial Blc'!$B$4:AP$377,AE$2,FALSE),0)</f>
        <v>0</v>
      </c>
      <c r="AF128" s="627">
        <f>-IFERROR(VLOOKUP($U128,'Trial Blc'!$B$4:AQ$377,AF$2,FALSE),0)</f>
        <v>0</v>
      </c>
      <c r="AG128" s="627">
        <f>-IFERROR(VLOOKUP($U128,'Trial Blc'!$B$4:AR$377,AG$2,FALSE),0)</f>
        <v>0</v>
      </c>
      <c r="AH128" s="627">
        <f>-IFERROR(VLOOKUP($U128,'Trial Blc'!$B$4:AS$377,AH$2,FALSE),0)</f>
        <v>0</v>
      </c>
      <c r="AI128" s="627">
        <f>-IFERROR(VLOOKUP($U128,'Trial Blc'!$B$4:AT$377,AI$2,FALSE),0)</f>
        <v>0</v>
      </c>
      <c r="AJ128" s="627">
        <f>-IFERROR(VLOOKUP($U128,'Trial Blc'!$B$4:AU$377,AJ$2,FALSE),0)</f>
        <v>0</v>
      </c>
      <c r="AK128" s="627">
        <f>-IFERROR(VLOOKUP($U128,'Trial Blc'!$B$4:AV$377,AK$2,FALSE),0)</f>
        <v>0</v>
      </c>
      <c r="AL128" s="627">
        <f>-IFERROR(VLOOKUP($U128,'Trial Blc'!$B$4:AW$377,AL$2,FALSE),0)</f>
        <v>0</v>
      </c>
      <c r="AM128" s="627">
        <f t="shared" si="110"/>
        <v>0</v>
      </c>
      <c r="AN128" s="89"/>
    </row>
    <row r="129" spans="1:40" s="87" customFormat="1">
      <c r="A129" s="87" t="s">
        <v>757</v>
      </c>
      <c r="B129" s="1532">
        <v>1470</v>
      </c>
      <c r="C129" s="113" t="s">
        <v>2166</v>
      </c>
      <c r="D129" s="1670">
        <f>IFERROR(VLOOKUP($B129,'Trial Blc'!$B$4:O$377,D$2,FALSE),0)</f>
        <v>36494.660000000003</v>
      </c>
      <c r="E129" s="627"/>
      <c r="F129" s="627"/>
      <c r="G129" s="627">
        <f t="shared" si="106"/>
        <v>36494.660000000003</v>
      </c>
      <c r="H129" s="627">
        <f>IFERROR(VLOOKUP($B129,'Trial Blc'!$B$4:S$377,H$2,FALSE),0)</f>
        <v>36494.639999999999</v>
      </c>
      <c r="I129" s="627">
        <f>IFERROR(VLOOKUP($B129,'Trial Blc'!$B$4:T$377,I$2,FALSE),0)</f>
        <v>36494.61</v>
      </c>
      <c r="J129" s="627">
        <f>IFERROR(VLOOKUP($B129,'Trial Blc'!$B$4:U$377,J$2,FALSE),0)</f>
        <v>36720.379999999997</v>
      </c>
      <c r="K129" s="627">
        <f>IFERROR(VLOOKUP($B129,'Trial Blc'!$B$4:V$377,K$2,FALSE),0)</f>
        <v>36720.370000000003</v>
      </c>
      <c r="L129" s="627">
        <f>IFERROR(VLOOKUP($B129,'Trial Blc'!$B$4:W$377,L$2,FALSE),0)</f>
        <v>36720.33</v>
      </c>
      <c r="M129" s="627">
        <f>IFERROR(VLOOKUP($B129,'Trial Blc'!$B$4:X$377,M$2,FALSE),0)</f>
        <v>36720.32</v>
      </c>
      <c r="N129" s="627">
        <f>IFERROR(VLOOKUP($B129,'Trial Blc'!$B$4:Y$377,N$2,FALSE),0)</f>
        <v>36720.300000000003</v>
      </c>
      <c r="O129" s="627">
        <f>IFERROR(VLOOKUP($B129,'Trial Blc'!$B$4:Z$377,O$2,FALSE),0)</f>
        <v>36720.269999999997</v>
      </c>
      <c r="P129" s="627">
        <f>IFERROR(VLOOKUP($B129,'Trial Blc'!$B$4:AA$377,P$2,FALSE),0)</f>
        <v>36720.25</v>
      </c>
      <c r="Q129" s="627">
        <f>IFERROR(VLOOKUP($B129,'Trial Blc'!$B$4:AB$377,Q$2,FALSE),0)</f>
        <v>36720.239999999998</v>
      </c>
      <c r="R129" s="627">
        <f>IFERROR(VLOOKUP($B129,'Trial Blc'!$B$4:AC$377,R$2,FALSE),0)</f>
        <v>36720.21</v>
      </c>
      <c r="S129" s="627">
        <f>IFERROR(VLOOKUP($B129,'Trial Blc'!$B$4:AD$377,S$2,FALSE),0)</f>
        <v>36720.199999999997</v>
      </c>
      <c r="T129" s="627">
        <f t="shared" si="107"/>
        <v>36668.213846153849</v>
      </c>
      <c r="U129" s="1536">
        <v>2230</v>
      </c>
      <c r="V129" s="87" t="s">
        <v>206</v>
      </c>
      <c r="W129" s="1670">
        <f>-IFERROR(VLOOKUP($U129,'Trial Blc'!$B$4:AH$377,W$2,FALSE),0)</f>
        <v>30415.56</v>
      </c>
      <c r="X129" s="627"/>
      <c r="Y129" s="627"/>
      <c r="Z129" s="627">
        <f t="shared" si="109"/>
        <v>30415.56</v>
      </c>
      <c r="AA129" s="627">
        <f>-IFERROR(VLOOKUP($U129,'Trial Blc'!$B$4:AL$377,AA$2,FALSE),0)</f>
        <v>30605.63</v>
      </c>
      <c r="AB129" s="627">
        <f>-IFERROR(VLOOKUP($U129,'Trial Blc'!$B$4:AM$377,AB$2,FALSE),0)</f>
        <v>30795.68</v>
      </c>
      <c r="AC129" s="627">
        <f>-IFERROR(VLOOKUP($U129,'Trial Blc'!$B$4:AN$377,AC$2,FALSE),0)</f>
        <v>30986.9</v>
      </c>
      <c r="AD129" s="627">
        <f>-IFERROR(VLOOKUP($U129,'Trial Blc'!$B$4:AO$377,AD$2,FALSE),0)</f>
        <v>31178.14</v>
      </c>
      <c r="AE129" s="627">
        <f>-IFERROR(VLOOKUP($U129,'Trial Blc'!$B$4:AP$377,AE$2,FALSE),0)</f>
        <v>31369.37</v>
      </c>
      <c r="AF129" s="627">
        <f>-IFERROR(VLOOKUP($U129,'Trial Blc'!$B$4:AQ$377,AF$2,FALSE),0)</f>
        <v>31560.62</v>
      </c>
      <c r="AG129" s="627">
        <f>-IFERROR(VLOOKUP($U129,'Trial Blc'!$B$4:AR$377,AG$2,FALSE),0)</f>
        <v>31751.86</v>
      </c>
      <c r="AH129" s="627">
        <f>-IFERROR(VLOOKUP($U129,'Trial Blc'!$B$4:AS$377,AH$2,FALSE),0)</f>
        <v>31943.1</v>
      </c>
      <c r="AI129" s="627">
        <f>-IFERROR(VLOOKUP($U129,'Trial Blc'!$B$4:AT$377,AI$2,FALSE),0)</f>
        <v>32134.34</v>
      </c>
      <c r="AJ129" s="627">
        <f>-IFERROR(VLOOKUP($U129,'Trial Blc'!$B$4:AU$377,AJ$2,FALSE),0)</f>
        <v>32325.58</v>
      </c>
      <c r="AK129" s="627">
        <f>-IFERROR(VLOOKUP($U129,'Trial Blc'!$B$4:AV$377,AK$2,FALSE),0)</f>
        <v>32516.82</v>
      </c>
      <c r="AL129" s="627">
        <f>-IFERROR(VLOOKUP($U129,'Trial Blc'!$B$4:AW$377,AL$2,FALSE),0)</f>
        <v>32708.06</v>
      </c>
      <c r="AM129" s="627">
        <f t="shared" si="110"/>
        <v>31560.896923076922</v>
      </c>
    </row>
    <row r="130" spans="1:40" s="87" customFormat="1">
      <c r="A130" s="87" t="s">
        <v>1545</v>
      </c>
      <c r="B130" s="1531">
        <v>1475</v>
      </c>
      <c r="C130" s="111" t="s">
        <v>1546</v>
      </c>
      <c r="D130" s="1670">
        <f>IFERROR(VLOOKUP($B130,'Trial Blc'!$B$4:O$377,D$2,FALSE),0)</f>
        <v>23308.28</v>
      </c>
      <c r="E130" s="627"/>
      <c r="F130" s="627"/>
      <c r="G130" s="627">
        <f t="shared" si="106"/>
        <v>23308.28</v>
      </c>
      <c r="H130" s="627">
        <f>IFERROR(VLOOKUP($B130,'Trial Blc'!$B$4:S$377,H$2,FALSE),0)</f>
        <v>23308.28</v>
      </c>
      <c r="I130" s="627">
        <f>IFERROR(VLOOKUP($B130,'Trial Blc'!$B$4:T$377,I$2,FALSE),0)</f>
        <v>23308.28</v>
      </c>
      <c r="J130" s="627">
        <f>IFERROR(VLOOKUP($B130,'Trial Blc'!$B$4:U$377,J$2,FALSE),0)</f>
        <v>23308.28</v>
      </c>
      <c r="K130" s="627">
        <f>IFERROR(VLOOKUP($B130,'Trial Blc'!$B$4:V$377,K$2,FALSE),0)</f>
        <v>23308.28</v>
      </c>
      <c r="L130" s="627">
        <f>IFERROR(VLOOKUP($B130,'Trial Blc'!$B$4:W$377,L$2,FALSE),0)</f>
        <v>23308.28</v>
      </c>
      <c r="M130" s="627">
        <f>IFERROR(VLOOKUP($B130,'Trial Blc'!$B$4:X$377,M$2,FALSE),0)</f>
        <v>23308.28</v>
      </c>
      <c r="N130" s="627">
        <f>IFERROR(VLOOKUP($B130,'Trial Blc'!$B$4:Y$377,N$2,FALSE),0)</f>
        <v>23308.28</v>
      </c>
      <c r="O130" s="627">
        <f>IFERROR(VLOOKUP($B130,'Trial Blc'!$B$4:Z$377,O$2,FALSE),0)</f>
        <v>23308.28</v>
      </c>
      <c r="P130" s="627">
        <f>IFERROR(VLOOKUP($B130,'Trial Blc'!$B$4:AA$377,P$2,FALSE),0)</f>
        <v>23508.28</v>
      </c>
      <c r="Q130" s="627">
        <f>IFERROR(VLOOKUP($B130,'Trial Blc'!$B$4:AB$377,Q$2,FALSE),0)</f>
        <v>23508.28</v>
      </c>
      <c r="R130" s="627">
        <f>IFERROR(VLOOKUP($B130,'Trial Blc'!$B$4:AC$377,R$2,FALSE),0)</f>
        <v>23508.28</v>
      </c>
      <c r="S130" s="627">
        <f>IFERROR(VLOOKUP($B130,'Trial Blc'!$B$4:AD$377,S$2,FALSE),0)</f>
        <v>23508.28</v>
      </c>
      <c r="T130" s="627">
        <f t="shared" si="107"/>
        <v>23369.818461538463</v>
      </c>
      <c r="U130" s="1536">
        <v>2235</v>
      </c>
      <c r="V130" s="87" t="s">
        <v>1557</v>
      </c>
      <c r="W130" s="1670">
        <f>-IFERROR(VLOOKUP($U130,'Trial Blc'!$B$4:AH$377,W$2,FALSE),0)</f>
        <v>12575.17</v>
      </c>
      <c r="X130" s="627"/>
      <c r="Y130" s="627"/>
      <c r="Z130" s="627">
        <f t="shared" si="109"/>
        <v>12575.17</v>
      </c>
      <c r="AA130" s="627">
        <f>-IFERROR(VLOOKUP($U130,'Trial Blc'!$B$4:AL$377,AA$2,FALSE),0)</f>
        <v>12704.66</v>
      </c>
      <c r="AB130" s="627">
        <f>-IFERROR(VLOOKUP($U130,'Trial Blc'!$B$4:AM$377,AB$2,FALSE),0)</f>
        <v>12834.15</v>
      </c>
      <c r="AC130" s="627">
        <f>-IFERROR(VLOOKUP($U130,'Trial Blc'!$B$4:AN$377,AC$2,FALSE),0)</f>
        <v>12963.64</v>
      </c>
      <c r="AD130" s="627">
        <f>-IFERROR(VLOOKUP($U130,'Trial Blc'!$B$4:AO$377,AD$2,FALSE),0)</f>
        <v>13093.13</v>
      </c>
      <c r="AE130" s="627">
        <f>-IFERROR(VLOOKUP($U130,'Trial Blc'!$B$4:AP$377,AE$2,FALSE),0)</f>
        <v>13222.62</v>
      </c>
      <c r="AF130" s="627">
        <f>-IFERROR(VLOOKUP($U130,'Trial Blc'!$B$4:AQ$377,AF$2,FALSE),0)</f>
        <v>13352.11</v>
      </c>
      <c r="AG130" s="627">
        <f>-IFERROR(VLOOKUP($U130,'Trial Blc'!$B$4:AR$377,AG$2,FALSE),0)</f>
        <v>13481.6</v>
      </c>
      <c r="AH130" s="627">
        <f>-IFERROR(VLOOKUP($U130,'Trial Blc'!$B$4:AS$377,AH$2,FALSE),0)</f>
        <v>13611.09</v>
      </c>
      <c r="AI130" s="627">
        <f>-IFERROR(VLOOKUP($U130,'Trial Blc'!$B$4:AT$377,AI$2,FALSE),0)</f>
        <v>13741.69</v>
      </c>
      <c r="AJ130" s="627">
        <f>-IFERROR(VLOOKUP($U130,'Trial Blc'!$B$4:AU$377,AJ$2,FALSE),0)</f>
        <v>13872.29</v>
      </c>
      <c r="AK130" s="627">
        <f>-IFERROR(VLOOKUP($U130,'Trial Blc'!$B$4:AV$377,AK$2,FALSE),0)</f>
        <v>14002.89</v>
      </c>
      <c r="AL130" s="627">
        <f>-IFERROR(VLOOKUP($U130,'Trial Blc'!$B$4:AW$377,AL$2,FALSE),0)</f>
        <v>14133.49</v>
      </c>
      <c r="AM130" s="627">
        <f t="shared" si="110"/>
        <v>13352.963846153843</v>
      </c>
    </row>
    <row r="131" spans="1:40" s="87" customFormat="1">
      <c r="A131" s="87" t="s">
        <v>759</v>
      </c>
      <c r="B131" s="1531">
        <v>1480</v>
      </c>
      <c r="C131" s="111" t="s">
        <v>1547</v>
      </c>
      <c r="D131" s="1670">
        <f>IFERROR(VLOOKUP($B131,'Trial Blc'!$B$4:O$377,D$2,FALSE),0)</f>
        <v>1716.3</v>
      </c>
      <c r="E131" s="627"/>
      <c r="F131" s="627"/>
      <c r="G131" s="627">
        <f t="shared" si="106"/>
        <v>1716.3</v>
      </c>
      <c r="H131" s="627">
        <f>IFERROR(VLOOKUP($B131,'Trial Blc'!$B$4:S$377,H$2,FALSE),0)</f>
        <v>1716.3</v>
      </c>
      <c r="I131" s="627">
        <f>IFERROR(VLOOKUP($B131,'Trial Blc'!$B$4:T$377,I$2,FALSE),0)</f>
        <v>3117.16</v>
      </c>
      <c r="J131" s="627">
        <f>IFERROR(VLOOKUP($B131,'Trial Blc'!$B$4:U$377,J$2,FALSE),0)</f>
        <v>2869.64</v>
      </c>
      <c r="K131" s="627">
        <f>IFERROR(VLOOKUP($B131,'Trial Blc'!$B$4:V$377,K$2,FALSE),0)</f>
        <v>2869.64</v>
      </c>
      <c r="L131" s="627">
        <f>IFERROR(VLOOKUP($B131,'Trial Blc'!$B$4:W$377,L$2,FALSE),0)</f>
        <v>2869.64</v>
      </c>
      <c r="M131" s="627">
        <f>IFERROR(VLOOKUP($B131,'Trial Blc'!$B$4:X$377,M$2,FALSE),0)</f>
        <v>2869.64</v>
      </c>
      <c r="N131" s="627">
        <f>IFERROR(VLOOKUP($B131,'Trial Blc'!$B$4:Y$377,N$2,FALSE),0)</f>
        <v>2869.64</v>
      </c>
      <c r="O131" s="627">
        <f>IFERROR(VLOOKUP($B131,'Trial Blc'!$B$4:Z$377,O$2,FALSE),0)</f>
        <v>2869.64</v>
      </c>
      <c r="P131" s="627">
        <f>IFERROR(VLOOKUP($B131,'Trial Blc'!$B$4:AA$377,P$2,FALSE),0)</f>
        <v>2869.64</v>
      </c>
      <c r="Q131" s="627">
        <f>IFERROR(VLOOKUP($B131,'Trial Blc'!$B$4:AB$377,Q$2,FALSE),0)</f>
        <v>2869.64</v>
      </c>
      <c r="R131" s="627">
        <f>IFERROR(VLOOKUP($B131,'Trial Blc'!$B$4:AC$377,R$2,FALSE),0)</f>
        <v>2869.64</v>
      </c>
      <c r="S131" s="627">
        <f>IFERROR(VLOOKUP($B131,'Trial Blc'!$B$4:AD$377,S$2,FALSE),0)</f>
        <v>2869.64</v>
      </c>
      <c r="T131" s="627">
        <f t="shared" si="107"/>
        <v>2711.2430769230768</v>
      </c>
      <c r="U131" s="1536">
        <v>2240</v>
      </c>
      <c r="V131" s="87" t="s">
        <v>1558</v>
      </c>
      <c r="W131" s="1670">
        <f>-IFERROR(VLOOKUP($U131,'Trial Blc'!$B$4:AH$377,W$2,FALSE),0)</f>
        <v>1595.22</v>
      </c>
      <c r="X131" s="627"/>
      <c r="Y131" s="627"/>
      <c r="Z131" s="627">
        <f t="shared" si="109"/>
        <v>1595.22</v>
      </c>
      <c r="AA131" s="627">
        <f>-IFERROR(VLOOKUP($U131,'Trial Blc'!$B$4:AL$377,AA$2,FALSE),0)</f>
        <v>1607.14</v>
      </c>
      <c r="AB131" s="627">
        <f>-IFERROR(VLOOKUP($U131,'Trial Blc'!$B$4:AM$377,AB$2,FALSE),0)</f>
        <v>-1025.33</v>
      </c>
      <c r="AC131" s="627">
        <f>-IFERROR(VLOOKUP($U131,'Trial Blc'!$B$4:AN$377,AC$2,FALSE),0)</f>
        <v>-1251.2</v>
      </c>
      <c r="AD131" s="627">
        <f>-IFERROR(VLOOKUP($U131,'Trial Blc'!$B$4:AO$377,AD$2,FALSE),0)</f>
        <v>-1231.27</v>
      </c>
      <c r="AE131" s="627">
        <f>-IFERROR(VLOOKUP($U131,'Trial Blc'!$B$4:AP$377,AE$2,FALSE),0)</f>
        <v>-1211.3399999999999</v>
      </c>
      <c r="AF131" s="627">
        <f>-IFERROR(VLOOKUP($U131,'Trial Blc'!$B$4:AQ$377,AF$2,FALSE),0)</f>
        <v>-1191.4100000000001</v>
      </c>
      <c r="AG131" s="627">
        <f>-IFERROR(VLOOKUP($U131,'Trial Blc'!$B$4:AR$377,AG$2,FALSE),0)</f>
        <v>-1171.48</v>
      </c>
      <c r="AH131" s="627">
        <f>-IFERROR(VLOOKUP($U131,'Trial Blc'!$B$4:AS$377,AH$2,FALSE),0)</f>
        <v>-1151.55</v>
      </c>
      <c r="AI131" s="627">
        <f>-IFERROR(VLOOKUP($U131,'Trial Blc'!$B$4:AT$377,AI$2,FALSE),0)</f>
        <v>-1131.6199999999999</v>
      </c>
      <c r="AJ131" s="627">
        <f>-IFERROR(VLOOKUP($U131,'Trial Blc'!$B$4:AU$377,AJ$2,FALSE),0)</f>
        <v>-1111.69</v>
      </c>
      <c r="AK131" s="627">
        <f>-IFERROR(VLOOKUP($U131,'Trial Blc'!$B$4:AV$377,AK$2,FALSE),0)</f>
        <v>-1091.76</v>
      </c>
      <c r="AL131" s="627">
        <f>-IFERROR(VLOOKUP($U131,'Trial Blc'!$B$4:AW$377,AL$2,FALSE),0)</f>
        <v>-1071.83</v>
      </c>
      <c r="AM131" s="627">
        <f t="shared" si="110"/>
        <v>-726.00923076923073</v>
      </c>
    </row>
    <row r="132" spans="1:40" s="87" customFormat="1" ht="11.25" customHeight="1">
      <c r="A132" s="87" t="s">
        <v>760</v>
      </c>
      <c r="B132" s="1532">
        <v>1485</v>
      </c>
      <c r="C132" s="113" t="s">
        <v>385</v>
      </c>
      <c r="D132" s="1670">
        <f>IFERROR(VLOOKUP($B132,'Trial Blc'!$B$4:O$377,D$2,FALSE),0)</f>
        <v>550.03</v>
      </c>
      <c r="E132" s="627"/>
      <c r="F132" s="627"/>
      <c r="G132" s="627">
        <f t="shared" si="106"/>
        <v>550.03</v>
      </c>
      <c r="H132" s="627">
        <f>IFERROR(VLOOKUP($B132,'Trial Blc'!$B$4:S$377,H$2,FALSE),0)</f>
        <v>550.03</v>
      </c>
      <c r="I132" s="627">
        <f>IFERROR(VLOOKUP($B132,'Trial Blc'!$B$4:T$377,I$2,FALSE),0)</f>
        <v>550.03</v>
      </c>
      <c r="J132" s="627">
        <f>IFERROR(VLOOKUP($B132,'Trial Blc'!$B$4:U$377,J$2,FALSE),0)</f>
        <v>550.03</v>
      </c>
      <c r="K132" s="627">
        <f>IFERROR(VLOOKUP($B132,'Trial Blc'!$B$4:V$377,K$2,FALSE),0)</f>
        <v>550.03</v>
      </c>
      <c r="L132" s="627">
        <f>IFERROR(VLOOKUP($B132,'Trial Blc'!$B$4:W$377,L$2,FALSE),0)</f>
        <v>550.03</v>
      </c>
      <c r="M132" s="627">
        <f>IFERROR(VLOOKUP($B132,'Trial Blc'!$B$4:X$377,M$2,FALSE),0)</f>
        <v>550.03</v>
      </c>
      <c r="N132" s="627">
        <f>IFERROR(VLOOKUP($B132,'Trial Blc'!$B$4:Y$377,N$2,FALSE),0)</f>
        <v>550.03</v>
      </c>
      <c r="O132" s="627">
        <f>IFERROR(VLOOKUP($B132,'Trial Blc'!$B$4:Z$377,O$2,FALSE),0)</f>
        <v>550.03</v>
      </c>
      <c r="P132" s="627">
        <f>IFERROR(VLOOKUP($B132,'Trial Blc'!$B$4:AA$377,P$2,FALSE),0)</f>
        <v>550.03</v>
      </c>
      <c r="Q132" s="627">
        <f>IFERROR(VLOOKUP($B132,'Trial Blc'!$B$4:AB$377,Q$2,FALSE),0)</f>
        <v>550.03</v>
      </c>
      <c r="R132" s="627">
        <f>IFERROR(VLOOKUP($B132,'Trial Blc'!$B$4:AC$377,R$2,FALSE),0)</f>
        <v>550.03</v>
      </c>
      <c r="S132" s="627">
        <f>IFERROR(VLOOKUP($B132,'Trial Blc'!$B$4:AD$377,S$2,FALSE),0)</f>
        <v>550.03</v>
      </c>
      <c r="T132" s="627">
        <f t="shared" si="107"/>
        <v>550.02999999999986</v>
      </c>
      <c r="U132" s="1536">
        <v>2245</v>
      </c>
      <c r="V132" s="87" t="s">
        <v>207</v>
      </c>
      <c r="W132" s="1670">
        <f>-IFERROR(VLOOKUP($U132,'Trial Blc'!$B$4:AH$377,W$2,FALSE),0)</f>
        <v>654.16999999999996</v>
      </c>
      <c r="X132" s="627"/>
      <c r="Y132" s="627"/>
      <c r="Z132" s="627">
        <f t="shared" si="109"/>
        <v>654.16999999999996</v>
      </c>
      <c r="AA132" s="627">
        <f>-IFERROR(VLOOKUP($U132,'Trial Blc'!$B$4:AL$377,AA$2,FALSE),0)</f>
        <v>654.16999999999996</v>
      </c>
      <c r="AB132" s="627">
        <f>-IFERROR(VLOOKUP($U132,'Trial Blc'!$B$4:AM$377,AB$2,FALSE),0)</f>
        <v>654.16999999999996</v>
      </c>
      <c r="AC132" s="627">
        <f>-IFERROR(VLOOKUP($U132,'Trial Blc'!$B$4:AN$377,AC$2,FALSE),0)</f>
        <v>654.16999999999996</v>
      </c>
      <c r="AD132" s="627">
        <f>-IFERROR(VLOOKUP($U132,'Trial Blc'!$B$4:AO$377,AD$2,FALSE),0)</f>
        <v>658.75</v>
      </c>
      <c r="AE132" s="627">
        <f>-IFERROR(VLOOKUP($U132,'Trial Blc'!$B$4:AP$377,AE$2,FALSE),0)</f>
        <v>663.33</v>
      </c>
      <c r="AF132" s="627">
        <f>-IFERROR(VLOOKUP($U132,'Trial Blc'!$B$4:AQ$377,AF$2,FALSE),0)</f>
        <v>667.91</v>
      </c>
      <c r="AG132" s="627">
        <f>-IFERROR(VLOOKUP($U132,'Trial Blc'!$B$4:AR$377,AG$2,FALSE),0)</f>
        <v>672.49</v>
      </c>
      <c r="AH132" s="627">
        <f>-IFERROR(VLOOKUP($U132,'Trial Blc'!$B$4:AS$377,AH$2,FALSE),0)</f>
        <v>677.07</v>
      </c>
      <c r="AI132" s="627">
        <f>-IFERROR(VLOOKUP($U132,'Trial Blc'!$B$4:AT$377,AI$2,FALSE),0)</f>
        <v>681.65</v>
      </c>
      <c r="AJ132" s="627">
        <f>-IFERROR(VLOOKUP($U132,'Trial Blc'!$B$4:AU$377,AJ$2,FALSE),0)</f>
        <v>686.23</v>
      </c>
      <c r="AK132" s="627">
        <f>-IFERROR(VLOOKUP($U132,'Trial Blc'!$B$4:AV$377,AK$2,FALSE),0)</f>
        <v>690.81</v>
      </c>
      <c r="AL132" s="627">
        <f>-IFERROR(VLOOKUP($U132,'Trial Blc'!$B$4:AW$377,AL$2,FALSE),0)</f>
        <v>695.39</v>
      </c>
      <c r="AM132" s="627">
        <f t="shared" si="110"/>
        <v>670.02384615384597</v>
      </c>
    </row>
    <row r="133" spans="1:40" s="87" customFormat="1">
      <c r="A133" s="87" t="s">
        <v>761</v>
      </c>
      <c r="B133" s="1531">
        <v>1490</v>
      </c>
      <c r="C133" s="111" t="s">
        <v>2167</v>
      </c>
      <c r="D133" s="1670">
        <f>IFERROR(VLOOKUP($B133,'Trial Blc'!$B$4:O$377,D$2,FALSE),0)</f>
        <v>1369.21</v>
      </c>
      <c r="E133" s="627"/>
      <c r="F133" s="627"/>
      <c r="G133" s="627">
        <f t="shared" si="106"/>
        <v>1369.21</v>
      </c>
      <c r="H133" s="627">
        <f>IFERROR(VLOOKUP($B133,'Trial Blc'!$B$4:S$377,H$2,FALSE),0)</f>
        <v>1369.21</v>
      </c>
      <c r="I133" s="627">
        <f>IFERROR(VLOOKUP($B133,'Trial Blc'!$B$4:T$377,I$2,FALSE),0)</f>
        <v>1369.21</v>
      </c>
      <c r="J133" s="627">
        <f>IFERROR(VLOOKUP($B133,'Trial Blc'!$B$4:U$377,J$2,FALSE),0)</f>
        <v>1369.21</v>
      </c>
      <c r="K133" s="627">
        <f>IFERROR(VLOOKUP($B133,'Trial Blc'!$B$4:V$377,K$2,FALSE),0)</f>
        <v>1369.21</v>
      </c>
      <c r="L133" s="627">
        <f>IFERROR(VLOOKUP($B133,'Trial Blc'!$B$4:W$377,L$2,FALSE),0)</f>
        <v>1369.21</v>
      </c>
      <c r="M133" s="627">
        <f>IFERROR(VLOOKUP($B133,'Trial Blc'!$B$4:X$377,M$2,FALSE),0)</f>
        <v>1369.21</v>
      </c>
      <c r="N133" s="627">
        <f>IFERROR(VLOOKUP($B133,'Trial Blc'!$B$4:Y$377,N$2,FALSE),0)</f>
        <v>1369.21</v>
      </c>
      <c r="O133" s="627">
        <f>IFERROR(VLOOKUP($B133,'Trial Blc'!$B$4:Z$377,O$2,FALSE),0)</f>
        <v>1369.21</v>
      </c>
      <c r="P133" s="627">
        <f>IFERROR(VLOOKUP($B133,'Trial Blc'!$B$4:AA$377,P$2,FALSE),0)</f>
        <v>1369.21</v>
      </c>
      <c r="Q133" s="627">
        <f>IFERROR(VLOOKUP($B133,'Trial Blc'!$B$4:AB$377,Q$2,FALSE),0)</f>
        <v>1369.21</v>
      </c>
      <c r="R133" s="627">
        <f>IFERROR(VLOOKUP($B133,'Trial Blc'!$B$4:AC$377,R$2,FALSE),0)</f>
        <v>1369.21</v>
      </c>
      <c r="S133" s="627">
        <f>IFERROR(VLOOKUP($B133,'Trial Blc'!$B$4:AD$377,S$2,FALSE),0)</f>
        <v>1369.21</v>
      </c>
      <c r="T133" s="627">
        <f t="shared" si="107"/>
        <v>1369.2099999999996</v>
      </c>
      <c r="U133" s="1536">
        <v>2250</v>
      </c>
      <c r="V133" s="87" t="s">
        <v>208</v>
      </c>
      <c r="W133" s="1670">
        <f>-IFERROR(VLOOKUP($U133,'Trial Blc'!$B$4:AH$377,W$2,FALSE),0)</f>
        <v>170.68</v>
      </c>
      <c r="X133" s="627"/>
      <c r="Y133" s="627"/>
      <c r="Z133" s="627">
        <f t="shared" si="109"/>
        <v>170.68</v>
      </c>
      <c r="AA133" s="627">
        <f>-IFERROR(VLOOKUP($U133,'Trial Blc'!$B$4:AL$377,AA$2,FALSE),0)</f>
        <v>178.29</v>
      </c>
      <c r="AB133" s="627">
        <f>-IFERROR(VLOOKUP($U133,'Trial Blc'!$B$4:AM$377,AB$2,FALSE),0)</f>
        <v>185.9</v>
      </c>
      <c r="AC133" s="627">
        <f>-IFERROR(VLOOKUP($U133,'Trial Blc'!$B$4:AN$377,AC$2,FALSE),0)</f>
        <v>193.51</v>
      </c>
      <c r="AD133" s="627">
        <f>-IFERROR(VLOOKUP($U133,'Trial Blc'!$B$4:AO$377,AD$2,FALSE),0)</f>
        <v>201.12</v>
      </c>
      <c r="AE133" s="627">
        <f>-IFERROR(VLOOKUP($U133,'Trial Blc'!$B$4:AP$377,AE$2,FALSE),0)</f>
        <v>208.73</v>
      </c>
      <c r="AF133" s="627">
        <f>-IFERROR(VLOOKUP($U133,'Trial Blc'!$B$4:AQ$377,AF$2,FALSE),0)</f>
        <v>216.34</v>
      </c>
      <c r="AG133" s="627">
        <f>-IFERROR(VLOOKUP($U133,'Trial Blc'!$B$4:AR$377,AG$2,FALSE),0)</f>
        <v>223.95</v>
      </c>
      <c r="AH133" s="627">
        <f>-IFERROR(VLOOKUP($U133,'Trial Blc'!$B$4:AS$377,AH$2,FALSE),0)</f>
        <v>231.56</v>
      </c>
      <c r="AI133" s="627">
        <f>-IFERROR(VLOOKUP($U133,'Trial Blc'!$B$4:AT$377,AI$2,FALSE),0)</f>
        <v>239.17</v>
      </c>
      <c r="AJ133" s="627">
        <f>-IFERROR(VLOOKUP($U133,'Trial Blc'!$B$4:AU$377,AJ$2,FALSE),0)</f>
        <v>246.78</v>
      </c>
      <c r="AK133" s="627">
        <f>-IFERROR(VLOOKUP($U133,'Trial Blc'!$B$4:AV$377,AK$2,FALSE),0)</f>
        <v>254.39</v>
      </c>
      <c r="AL133" s="627">
        <f>-IFERROR(VLOOKUP($U133,'Trial Blc'!$B$4:AW$377,AL$2,FALSE),0)</f>
        <v>262</v>
      </c>
      <c r="AM133" s="627">
        <f t="shared" si="110"/>
        <v>216.34</v>
      </c>
    </row>
    <row r="134" spans="1:40" s="87" customFormat="1">
      <c r="A134" s="1655" t="s">
        <v>2271</v>
      </c>
      <c r="B134" s="1531">
        <v>1500</v>
      </c>
      <c r="C134" s="113" t="s">
        <v>2272</v>
      </c>
      <c r="D134" s="627">
        <f>IFERROR(VLOOKUP($B134,'Trial Blc'!$B$4:O$377,D$2,FALSE),0)</f>
        <v>0</v>
      </c>
      <c r="E134" s="627"/>
      <c r="F134" s="627"/>
      <c r="G134" s="627">
        <f t="shared" si="106"/>
        <v>0</v>
      </c>
      <c r="H134" s="627">
        <f>IFERROR(VLOOKUP($B134,'Trial Blc'!$B$4:S$377,H$2,FALSE),0)</f>
        <v>0</v>
      </c>
      <c r="I134" s="627">
        <f>IFERROR(VLOOKUP($B134,'Trial Blc'!$B$4:T$377,I$2,FALSE),0)</f>
        <v>0</v>
      </c>
      <c r="J134" s="627">
        <f>IFERROR(VLOOKUP($B134,'Trial Blc'!$B$4:U$377,J$2,FALSE),0)</f>
        <v>0</v>
      </c>
      <c r="K134" s="627">
        <f>IFERROR(VLOOKUP($B134,'Trial Blc'!$B$4:V$377,K$2,FALSE),0)</f>
        <v>0</v>
      </c>
      <c r="L134" s="627">
        <f>IFERROR(VLOOKUP($B134,'Trial Blc'!$B$4:W$377,L$2,FALSE),0)</f>
        <v>0</v>
      </c>
      <c r="M134" s="627">
        <f>IFERROR(VLOOKUP($B134,'Trial Blc'!$B$4:X$377,M$2,FALSE),0)</f>
        <v>0</v>
      </c>
      <c r="N134" s="627">
        <f>IFERROR(VLOOKUP($B134,'Trial Blc'!$B$4:Y$377,N$2,FALSE),0)</f>
        <v>0</v>
      </c>
      <c r="O134" s="627">
        <f>IFERROR(VLOOKUP($B134,'Trial Blc'!$B$4:Z$377,O$2,FALSE),0)</f>
        <v>0</v>
      </c>
      <c r="P134" s="627">
        <f>IFERROR(VLOOKUP($B134,'Trial Blc'!$B$4:AA$377,P$2,FALSE),0)</f>
        <v>0</v>
      </c>
      <c r="Q134" s="627">
        <f>IFERROR(VLOOKUP($B134,'Trial Blc'!$B$4:AB$377,Q$2,FALSE),0)</f>
        <v>0</v>
      </c>
      <c r="R134" s="627">
        <f>IFERROR(VLOOKUP($B134,'Trial Blc'!$B$4:AC$377,R$2,FALSE),0)</f>
        <v>0</v>
      </c>
      <c r="S134" s="627">
        <f>IFERROR(VLOOKUP($B134,'Trial Blc'!$B$4:AD$377,S$2,FALSE),0)</f>
        <v>0</v>
      </c>
      <c r="T134" s="627">
        <f t="shared" si="107"/>
        <v>0</v>
      </c>
      <c r="U134" s="1536">
        <v>2255</v>
      </c>
      <c r="V134" s="87" t="s">
        <v>2273</v>
      </c>
      <c r="W134" s="1670">
        <f>-IFERROR(VLOOKUP($U134,'Trial Blc'!$B$4:AH$377,W$2,FALSE),0)</f>
        <v>-1378.7</v>
      </c>
      <c r="X134" s="627"/>
      <c r="Y134" s="627"/>
      <c r="Z134" s="627">
        <f t="shared" si="109"/>
        <v>-1378.7</v>
      </c>
      <c r="AA134" s="627">
        <f>-IFERROR(VLOOKUP($U134,'Trial Blc'!$B$4:AL$377,AA$2,FALSE),0)</f>
        <v>-1378.7</v>
      </c>
      <c r="AB134" s="627">
        <f>-IFERROR(VLOOKUP($U134,'Trial Blc'!$B$4:AM$377,AB$2,FALSE),0)</f>
        <v>-1378.7</v>
      </c>
      <c r="AC134" s="627">
        <f>-IFERROR(VLOOKUP($U134,'Trial Blc'!$B$4:AN$377,AC$2,FALSE),0)</f>
        <v>-1378.7</v>
      </c>
      <c r="AD134" s="627">
        <f>-IFERROR(VLOOKUP($U134,'Trial Blc'!$B$4:AO$377,AD$2,FALSE),0)</f>
        <v>-1378.7</v>
      </c>
      <c r="AE134" s="627">
        <f>-IFERROR(VLOOKUP($U134,'Trial Blc'!$B$4:AP$377,AE$2,FALSE),0)</f>
        <v>-1378.7</v>
      </c>
      <c r="AF134" s="627">
        <f>-IFERROR(VLOOKUP($U134,'Trial Blc'!$B$4:AQ$377,AF$2,FALSE),0)</f>
        <v>-1378.7</v>
      </c>
      <c r="AG134" s="627">
        <f>-IFERROR(VLOOKUP($U134,'Trial Blc'!$B$4:AR$377,AG$2,FALSE),0)</f>
        <v>-1378.7</v>
      </c>
      <c r="AH134" s="627">
        <f>-IFERROR(VLOOKUP($U134,'Trial Blc'!$B$4:AS$377,AH$2,FALSE),0)</f>
        <v>-1378.7</v>
      </c>
      <c r="AI134" s="627">
        <f>-IFERROR(VLOOKUP($U134,'Trial Blc'!$B$4:AT$377,AI$2,FALSE),0)</f>
        <v>-1378.7</v>
      </c>
      <c r="AJ134" s="627">
        <f>-IFERROR(VLOOKUP($U134,'Trial Blc'!$B$4:AU$377,AJ$2,FALSE),0)</f>
        <v>-1378.7</v>
      </c>
      <c r="AK134" s="627">
        <f>-IFERROR(VLOOKUP($U134,'Trial Blc'!$B$4:AV$377,AK$2,FALSE),0)</f>
        <v>-1378.7</v>
      </c>
      <c r="AL134" s="627">
        <f>-IFERROR(VLOOKUP($U134,'Trial Blc'!$B$4:AW$377,AL$2,FALSE),0)</f>
        <v>-1378.7</v>
      </c>
      <c r="AM134" s="627">
        <f t="shared" si="110"/>
        <v>-1378.7000000000005</v>
      </c>
      <c r="AN134" s="89"/>
    </row>
    <row r="135" spans="1:40" s="87" customFormat="1">
      <c r="A135" s="87" t="s">
        <v>2232</v>
      </c>
      <c r="B135" s="1531">
        <v>1495</v>
      </c>
      <c r="C135" s="113" t="s">
        <v>2233</v>
      </c>
      <c r="D135" s="627">
        <f>IFERROR(VLOOKUP($B135,'Trial Blc'!$B$4:O$377,D$2,FALSE),0)</f>
        <v>48532</v>
      </c>
      <c r="E135" s="627"/>
      <c r="F135" s="627"/>
      <c r="G135" s="627">
        <f t="shared" si="106"/>
        <v>48532</v>
      </c>
      <c r="H135" s="627">
        <f>IFERROR(VLOOKUP($B135,'Trial Blc'!$B$4:S$377,H$2,FALSE),0)</f>
        <v>48532</v>
      </c>
      <c r="I135" s="627">
        <f>IFERROR(VLOOKUP($B135,'Trial Blc'!$B$4:T$377,I$2,FALSE),0)</f>
        <v>48532</v>
      </c>
      <c r="J135" s="627">
        <f>IFERROR(VLOOKUP($B135,'Trial Blc'!$B$4:U$377,J$2,FALSE),0)</f>
        <v>48532</v>
      </c>
      <c r="K135" s="627">
        <f>IFERROR(VLOOKUP($B135,'Trial Blc'!$B$4:V$377,K$2,FALSE),0)</f>
        <v>48532</v>
      </c>
      <c r="L135" s="627">
        <f>IFERROR(VLOOKUP($B135,'Trial Blc'!$B$4:W$377,L$2,FALSE),0)</f>
        <v>48532</v>
      </c>
      <c r="M135" s="627">
        <f>IFERROR(VLOOKUP($B135,'Trial Blc'!$B$4:X$377,M$2,FALSE),0)</f>
        <v>48532</v>
      </c>
      <c r="N135" s="627">
        <f>IFERROR(VLOOKUP($B135,'Trial Blc'!$B$4:Y$377,N$2,FALSE),0)</f>
        <v>48532</v>
      </c>
      <c r="O135" s="627">
        <f>IFERROR(VLOOKUP($B135,'Trial Blc'!$B$4:Z$377,O$2,FALSE),0)</f>
        <v>48532</v>
      </c>
      <c r="P135" s="627">
        <f>IFERROR(VLOOKUP($B135,'Trial Blc'!$B$4:AA$377,P$2,FALSE),0)</f>
        <v>48532</v>
      </c>
      <c r="Q135" s="627">
        <f>IFERROR(VLOOKUP($B135,'Trial Blc'!$B$4:AB$377,Q$2,FALSE),0)</f>
        <v>48532</v>
      </c>
      <c r="R135" s="627">
        <f>IFERROR(VLOOKUP($B135,'Trial Blc'!$B$4:AC$377,R$2,FALSE),0)</f>
        <v>48532</v>
      </c>
      <c r="S135" s="627">
        <f>IFERROR(VLOOKUP($B135,'Trial Blc'!$B$4:AD$377,S$2,FALSE),0)</f>
        <v>48532</v>
      </c>
      <c r="T135" s="627">
        <f t="shared" si="107"/>
        <v>48532</v>
      </c>
      <c r="U135" s="1536"/>
      <c r="W135" s="628"/>
      <c r="X135" s="628"/>
      <c r="Y135" s="628"/>
      <c r="Z135" s="628"/>
      <c r="AA135" s="628"/>
      <c r="AB135" s="628"/>
      <c r="AC135" s="628"/>
      <c r="AD135" s="628"/>
      <c r="AE135" s="628"/>
      <c r="AF135" s="628"/>
      <c r="AG135" s="628"/>
      <c r="AH135" s="628"/>
      <c r="AI135" s="628"/>
      <c r="AJ135" s="628"/>
      <c r="AK135" s="628"/>
      <c r="AL135" s="628"/>
      <c r="AM135" s="89"/>
      <c r="AN135" s="89"/>
    </row>
    <row r="136" spans="1:40" s="89" customFormat="1">
      <c r="A136" s="692" t="s">
        <v>703</v>
      </c>
      <c r="B136" s="1532"/>
      <c r="C136" s="112" t="s">
        <v>763</v>
      </c>
      <c r="D136" s="627">
        <f t="shared" ref="D136:T136" si="111">SUM(D75:D135)-D88-D107</f>
        <v>7241161.5299999984</v>
      </c>
      <c r="E136" s="627">
        <f t="shared" si="111"/>
        <v>0</v>
      </c>
      <c r="F136" s="627">
        <f t="shared" si="111"/>
        <v>0</v>
      </c>
      <c r="G136" s="627">
        <f t="shared" si="111"/>
        <v>7241161.5299999984</v>
      </c>
      <c r="H136" s="627">
        <f t="shared" si="111"/>
        <v>7246971.6299999999</v>
      </c>
      <c r="I136" s="627">
        <f t="shared" si="111"/>
        <v>7257244.7199999969</v>
      </c>
      <c r="J136" s="627">
        <f t="shared" si="111"/>
        <v>7266218.709999999</v>
      </c>
      <c r="K136" s="627">
        <f t="shared" si="111"/>
        <v>7292545.5199999986</v>
      </c>
      <c r="L136" s="627">
        <f t="shared" si="111"/>
        <v>7283867.5199999977</v>
      </c>
      <c r="M136" s="627">
        <f t="shared" si="111"/>
        <v>7797708.7500000028</v>
      </c>
      <c r="N136" s="627">
        <f t="shared" si="111"/>
        <v>7855665.0300000003</v>
      </c>
      <c r="O136" s="627">
        <f t="shared" si="111"/>
        <v>7860266.79</v>
      </c>
      <c r="P136" s="627">
        <f t="shared" si="111"/>
        <v>7617039.3300000001</v>
      </c>
      <c r="Q136" s="627">
        <f t="shared" si="111"/>
        <v>7626747.0500000007</v>
      </c>
      <c r="R136" s="627">
        <f t="shared" si="111"/>
        <v>7678407.7699999996</v>
      </c>
      <c r="S136" s="627">
        <f t="shared" si="111"/>
        <v>7687184.25</v>
      </c>
      <c r="T136" s="627">
        <f t="shared" si="111"/>
        <v>7516232.9692307683</v>
      </c>
      <c r="U136" s="1551"/>
      <c r="V136" s="692" t="s">
        <v>704</v>
      </c>
      <c r="W136" s="627">
        <f>SUM(W75:W135)-W88-W107</f>
        <v>3453396.4799999991</v>
      </c>
      <c r="X136" s="627">
        <f>SUM(X75:X135)-X88-X107</f>
        <v>0</v>
      </c>
      <c r="Y136" s="627">
        <f>SUM(Y75:Y135)-Y88-Y107</f>
        <v>0</v>
      </c>
      <c r="Z136" s="627">
        <f>SUM(Z75:Z135)-Z88-Z107</f>
        <v>3453396.4799999991</v>
      </c>
      <c r="AA136" s="627">
        <f t="shared" ref="AA136:AL136" si="112">SUM(AA75:AA135)-AA88-AA107</f>
        <v>3464320.76</v>
      </c>
      <c r="AB136" s="627">
        <f t="shared" si="112"/>
        <v>3478606.5700000003</v>
      </c>
      <c r="AC136" s="627">
        <f t="shared" si="112"/>
        <v>3489811.399999999</v>
      </c>
      <c r="AD136" s="627">
        <f t="shared" si="112"/>
        <v>3505056.9599999995</v>
      </c>
      <c r="AE136" s="627">
        <f t="shared" si="112"/>
        <v>3510373.580000001</v>
      </c>
      <c r="AF136" s="627">
        <f t="shared" si="112"/>
        <v>3468886.5899999989</v>
      </c>
      <c r="AG136" s="627">
        <f t="shared" si="112"/>
        <v>3485264.41</v>
      </c>
      <c r="AH136" s="627">
        <f t="shared" si="112"/>
        <v>3504634.4699999988</v>
      </c>
      <c r="AI136" s="627">
        <f t="shared" si="112"/>
        <v>3519796.5100000002</v>
      </c>
      <c r="AJ136" s="627">
        <f t="shared" si="112"/>
        <v>3536865.29</v>
      </c>
      <c r="AK136" s="627">
        <f t="shared" si="112"/>
        <v>3557425.51</v>
      </c>
      <c r="AL136" s="627">
        <f t="shared" si="112"/>
        <v>3575757.1499999985</v>
      </c>
      <c r="AM136" s="87">
        <f t="shared" ref="AM136" si="113">AVERAGE(Z136:AL136)</f>
        <v>3503861.2061538454</v>
      </c>
      <c r="AN136" s="87"/>
    </row>
    <row r="137" spans="1:40" s="89" customFormat="1">
      <c r="B137" s="1532"/>
      <c r="C137" s="113"/>
      <c r="D137" s="627"/>
      <c r="E137" s="627"/>
      <c r="F137" s="627"/>
      <c r="G137" s="627"/>
      <c r="H137" s="627"/>
      <c r="I137" s="627"/>
      <c r="J137" s="627"/>
      <c r="K137" s="627"/>
      <c r="L137" s="627"/>
      <c r="M137" s="627"/>
      <c r="N137" s="627"/>
      <c r="O137" s="627"/>
      <c r="P137" s="627"/>
      <c r="Q137" s="627"/>
      <c r="R137" s="627"/>
      <c r="S137" s="627"/>
      <c r="T137" s="627"/>
      <c r="U137" s="1552"/>
      <c r="W137" s="627"/>
      <c r="X137" s="627"/>
      <c r="Y137" s="627"/>
      <c r="Z137" s="627"/>
      <c r="AA137" s="627"/>
      <c r="AB137" s="627"/>
      <c r="AC137" s="627"/>
      <c r="AD137" s="627"/>
      <c r="AE137" s="627"/>
      <c r="AF137" s="627"/>
      <c r="AG137" s="627"/>
      <c r="AH137" s="627"/>
      <c r="AI137" s="627"/>
      <c r="AJ137" s="627"/>
      <c r="AK137" s="627"/>
      <c r="AL137" s="627"/>
    </row>
    <row r="138" spans="1:40" ht="21" customHeight="1" thickBot="1">
      <c r="A138" s="90" t="s">
        <v>393</v>
      </c>
      <c r="D138" s="688">
        <f>+D136</f>
        <v>7241161.5299999984</v>
      </c>
      <c r="E138" s="688">
        <f>+E136</f>
        <v>0</v>
      </c>
      <c r="F138" s="688">
        <f>+F136</f>
        <v>0</v>
      </c>
      <c r="G138" s="688">
        <f>+G136</f>
        <v>7241161.5299999984</v>
      </c>
      <c r="H138" s="688">
        <f t="shared" ref="H138:S138" si="114">+H136</f>
        <v>7246971.6299999999</v>
      </c>
      <c r="I138" s="688">
        <f t="shared" si="114"/>
        <v>7257244.7199999969</v>
      </c>
      <c r="J138" s="688">
        <f t="shared" si="114"/>
        <v>7266218.709999999</v>
      </c>
      <c r="K138" s="688">
        <f t="shared" si="114"/>
        <v>7292545.5199999986</v>
      </c>
      <c r="L138" s="688">
        <f t="shared" si="114"/>
        <v>7283867.5199999977</v>
      </c>
      <c r="M138" s="688">
        <f t="shared" si="114"/>
        <v>7797708.7500000028</v>
      </c>
      <c r="N138" s="688">
        <f t="shared" si="114"/>
        <v>7855665.0300000003</v>
      </c>
      <c r="O138" s="688">
        <f t="shared" si="114"/>
        <v>7860266.79</v>
      </c>
      <c r="P138" s="688">
        <f t="shared" si="114"/>
        <v>7617039.3300000001</v>
      </c>
      <c r="Q138" s="688">
        <f t="shared" si="114"/>
        <v>7626747.0500000007</v>
      </c>
      <c r="R138" s="688">
        <f t="shared" si="114"/>
        <v>7678407.7699999996</v>
      </c>
      <c r="S138" s="688">
        <f t="shared" si="114"/>
        <v>7687184.25</v>
      </c>
      <c r="T138" s="688"/>
      <c r="U138" s="1550"/>
      <c r="V138" s="90" t="s">
        <v>394</v>
      </c>
      <c r="W138" s="688">
        <f t="shared" ref="W138:AL138" si="115">+W136</f>
        <v>3453396.4799999991</v>
      </c>
      <c r="X138" s="688">
        <f>+X136</f>
        <v>0</v>
      </c>
      <c r="Y138" s="688">
        <f>+Y136</f>
        <v>0</v>
      </c>
      <c r="Z138" s="688">
        <f>+Z136</f>
        <v>3453396.4799999991</v>
      </c>
      <c r="AA138" s="688">
        <f t="shared" si="115"/>
        <v>3464320.76</v>
      </c>
      <c r="AB138" s="688">
        <f t="shared" si="115"/>
        <v>3478606.5700000003</v>
      </c>
      <c r="AC138" s="688">
        <f t="shared" si="115"/>
        <v>3489811.399999999</v>
      </c>
      <c r="AD138" s="688">
        <f t="shared" si="115"/>
        <v>3505056.9599999995</v>
      </c>
      <c r="AE138" s="688">
        <f t="shared" si="115"/>
        <v>3510373.580000001</v>
      </c>
      <c r="AF138" s="688">
        <f t="shared" si="115"/>
        <v>3468886.5899999989</v>
      </c>
      <c r="AG138" s="688">
        <f t="shared" si="115"/>
        <v>3485264.41</v>
      </c>
      <c r="AH138" s="688">
        <f t="shared" si="115"/>
        <v>3504634.4699999988</v>
      </c>
      <c r="AI138" s="688">
        <f t="shared" si="115"/>
        <v>3519796.5100000002</v>
      </c>
      <c r="AJ138" s="688">
        <f t="shared" si="115"/>
        <v>3536865.29</v>
      </c>
      <c r="AK138" s="688">
        <f t="shared" si="115"/>
        <v>3557425.51</v>
      </c>
      <c r="AL138" s="688">
        <f t="shared" si="115"/>
        <v>3575757.1499999985</v>
      </c>
    </row>
    <row r="139" spans="1:40" s="87" customFormat="1" ht="12.75" thickTop="1" thickBot="1">
      <c r="B139" s="1531"/>
      <c r="C139" s="111"/>
      <c r="D139" s="627"/>
      <c r="E139" s="627"/>
      <c r="F139" s="111"/>
      <c r="G139" s="627"/>
      <c r="H139" s="627"/>
      <c r="I139" s="627"/>
      <c r="J139" s="627"/>
      <c r="K139" s="627"/>
      <c r="L139" s="627"/>
      <c r="M139" s="627"/>
      <c r="N139" s="627"/>
      <c r="O139" s="627"/>
      <c r="P139" s="627"/>
      <c r="Q139" s="627"/>
      <c r="R139" s="627"/>
      <c r="S139" s="627"/>
      <c r="T139" s="627"/>
      <c r="U139" s="1536"/>
      <c r="W139" s="627"/>
      <c r="X139" s="111"/>
      <c r="Y139" s="627"/>
      <c r="Z139" s="627"/>
      <c r="AA139" s="627"/>
      <c r="AB139" s="627"/>
      <c r="AC139" s="627"/>
      <c r="AD139" s="627"/>
      <c r="AE139" s="627"/>
      <c r="AF139" s="627"/>
      <c r="AG139" s="627"/>
      <c r="AH139" s="627"/>
      <c r="AI139" s="627"/>
      <c r="AJ139" s="627"/>
      <c r="AK139" s="627"/>
      <c r="AL139" s="627"/>
      <c r="AM139" s="89"/>
      <c r="AN139" s="89"/>
    </row>
    <row r="140" spans="1:40" s="502" customFormat="1" ht="10.5">
      <c r="A140" s="592" t="s">
        <v>132</v>
      </c>
      <c r="B140" s="1537"/>
      <c r="C140" s="516"/>
      <c r="D140" s="633"/>
      <c r="E140" s="633"/>
      <c r="F140" s="516"/>
      <c r="G140" s="633"/>
      <c r="H140" s="631"/>
      <c r="I140" s="631"/>
      <c r="J140" s="631"/>
      <c r="K140" s="631"/>
      <c r="L140" s="631"/>
      <c r="M140" s="631"/>
      <c r="N140" s="631"/>
      <c r="O140" s="631"/>
      <c r="P140" s="631"/>
      <c r="Q140" s="631"/>
      <c r="R140" s="631"/>
      <c r="S140" s="631"/>
      <c r="T140" s="631"/>
      <c r="U140" s="1554"/>
      <c r="V140" s="493" t="s">
        <v>132</v>
      </c>
      <c r="W140" s="631"/>
      <c r="X140" s="516"/>
      <c r="Y140" s="633"/>
      <c r="Z140" s="633"/>
      <c r="AA140" s="631"/>
      <c r="AB140" s="631"/>
      <c r="AC140" s="631"/>
      <c r="AD140" s="631"/>
      <c r="AE140" s="631"/>
      <c r="AF140" s="631"/>
      <c r="AG140" s="631"/>
      <c r="AH140" s="631"/>
      <c r="AI140" s="631"/>
      <c r="AJ140" s="631"/>
      <c r="AK140" s="631"/>
      <c r="AL140" s="631"/>
    </row>
    <row r="141" spans="1:40" s="501" customFormat="1" ht="14.25" customHeight="1">
      <c r="A141" s="591" t="s">
        <v>135</v>
      </c>
      <c r="B141" s="1535"/>
      <c r="D141" s="631"/>
      <c r="E141" s="631"/>
      <c r="G141" s="627">
        <f t="shared" ref="G141" si="116">SUM(D141:F141)</f>
        <v>0</v>
      </c>
      <c r="H141" s="631"/>
      <c r="I141" s="631"/>
      <c r="J141" s="631"/>
      <c r="K141" s="631"/>
      <c r="L141" s="631"/>
      <c r="M141" s="631"/>
      <c r="N141" s="631"/>
      <c r="O141" s="631"/>
      <c r="P141" s="631"/>
      <c r="Q141" s="631"/>
      <c r="R141" s="631"/>
      <c r="S141" s="631"/>
      <c r="T141" s="631"/>
      <c r="U141" s="1554"/>
      <c r="V141" s="497" t="s">
        <v>137</v>
      </c>
      <c r="W141" s="631"/>
      <c r="Y141" s="631"/>
      <c r="Z141" s="632">
        <f t="shared" ref="Z141" si="117">SUM(W141:Y141)</f>
        <v>0</v>
      </c>
      <c r="AA141" s="631"/>
      <c r="AB141" s="631"/>
      <c r="AC141" s="631"/>
      <c r="AD141" s="631"/>
      <c r="AE141" s="631"/>
      <c r="AF141" s="631"/>
      <c r="AG141" s="631"/>
      <c r="AH141" s="631"/>
      <c r="AI141" s="631"/>
      <c r="AJ141" s="631"/>
      <c r="AK141" s="631"/>
      <c r="AL141" s="631"/>
      <c r="AM141" s="502"/>
      <c r="AN141" s="502"/>
    </row>
    <row r="142" spans="1:40" s="501" customFormat="1" ht="10.5">
      <c r="A142" s="591" t="s">
        <v>1716</v>
      </c>
      <c r="B142" s="1535"/>
      <c r="D142" s="631"/>
      <c r="E142" s="631"/>
      <c r="G142" s="631"/>
      <c r="H142" s="631"/>
      <c r="I142" s="631"/>
      <c r="J142" s="631"/>
      <c r="K142" s="631"/>
      <c r="L142" s="631"/>
      <c r="M142" s="631"/>
      <c r="N142" s="631"/>
      <c r="O142" s="631"/>
      <c r="P142" s="631"/>
      <c r="Q142" s="631"/>
      <c r="R142" s="631"/>
      <c r="S142" s="631"/>
      <c r="T142" s="631"/>
      <c r="U142" s="1554"/>
      <c r="V142" s="493"/>
      <c r="W142" s="631"/>
      <c r="Y142" s="631"/>
      <c r="Z142" s="631"/>
      <c r="AA142" s="631"/>
      <c r="AB142" s="631"/>
      <c r="AC142" s="631"/>
      <c r="AD142" s="631"/>
      <c r="AE142" s="631"/>
      <c r="AF142" s="631"/>
      <c r="AG142" s="631"/>
      <c r="AH142" s="631"/>
      <c r="AI142" s="631"/>
      <c r="AJ142" s="631"/>
      <c r="AK142" s="631"/>
      <c r="AL142" s="631"/>
      <c r="AM142" s="502"/>
      <c r="AN142" s="502"/>
    </row>
    <row r="143" spans="1:40" s="501" customFormat="1" ht="10.5">
      <c r="A143" s="843" t="s">
        <v>1837</v>
      </c>
      <c r="B143" s="1535"/>
      <c r="D143" s="631"/>
      <c r="E143" s="631"/>
      <c r="G143" s="631">
        <f>-G71</f>
        <v>683003.77</v>
      </c>
      <c r="H143" s="631"/>
      <c r="I143" s="631"/>
      <c r="J143" s="631"/>
      <c r="K143" s="631"/>
      <c r="L143" s="631"/>
      <c r="M143" s="631"/>
      <c r="N143" s="631"/>
      <c r="O143" s="631"/>
      <c r="P143" s="631"/>
      <c r="Q143" s="631"/>
      <c r="R143" s="631"/>
      <c r="S143" s="631">
        <f>-S71</f>
        <v>0</v>
      </c>
      <c r="T143" s="631"/>
      <c r="U143" s="1554"/>
      <c r="V143" s="493" t="s">
        <v>1840</v>
      </c>
      <c r="W143" s="631">
        <f>-W71</f>
        <v>521131.41</v>
      </c>
      <c r="Y143" s="631"/>
      <c r="Z143" s="631">
        <f>-Z71</f>
        <v>521131.41</v>
      </c>
      <c r="AA143" s="631">
        <f t="shared" ref="AA143:AM143" si="118">-AA71</f>
        <v>526575.01</v>
      </c>
      <c r="AB143" s="631">
        <f t="shared" si="118"/>
        <v>527838.00999999978</v>
      </c>
      <c r="AC143" s="631">
        <f t="shared" si="118"/>
        <v>536408.27</v>
      </c>
      <c r="AD143" s="631">
        <f t="shared" si="118"/>
        <v>541308.67000000004</v>
      </c>
      <c r="AE143" s="631">
        <f t="shared" si="118"/>
        <v>545764.18999999994</v>
      </c>
      <c r="AF143" s="631">
        <f t="shared" si="118"/>
        <v>550604.54</v>
      </c>
      <c r="AG143" s="631">
        <f t="shared" si="118"/>
        <v>541043.12000000011</v>
      </c>
      <c r="AH143" s="631">
        <f t="shared" si="118"/>
        <v>545658.26</v>
      </c>
      <c r="AI143" s="631">
        <f t="shared" si="118"/>
        <v>547567.44000000018</v>
      </c>
      <c r="AJ143" s="631">
        <f t="shared" si="118"/>
        <v>552873.57000000007</v>
      </c>
      <c r="AK143" s="631">
        <f t="shared" si="118"/>
        <v>557484.51</v>
      </c>
      <c r="AL143" s="631">
        <f t="shared" si="118"/>
        <v>562441.12000000011</v>
      </c>
      <c r="AM143" s="631">
        <f t="shared" si="118"/>
        <v>0</v>
      </c>
      <c r="AN143" s="502"/>
    </row>
    <row r="144" spans="1:40" s="87" customFormat="1">
      <c r="A144" s="843" t="s">
        <v>1841</v>
      </c>
      <c r="B144" s="1531"/>
      <c r="C144" s="111"/>
      <c r="D144" s="692"/>
      <c r="E144" s="692"/>
      <c r="F144" s="111"/>
      <c r="G144" s="692">
        <f>+G141-G138-G143</f>
        <v>-7924165.2999999989</v>
      </c>
      <c r="H144" s="842"/>
      <c r="I144" s="506"/>
      <c r="J144" s="506"/>
      <c r="K144" s="506"/>
      <c r="L144" s="506"/>
      <c r="M144" s="506"/>
      <c r="N144" s="506"/>
      <c r="O144" s="506"/>
      <c r="P144" s="506"/>
      <c r="Q144" s="506"/>
      <c r="R144" s="506"/>
      <c r="S144" s="692">
        <f>+S141-S138-S143</f>
        <v>-7687184.25</v>
      </c>
      <c r="T144" s="692"/>
      <c r="U144" s="1535"/>
      <c r="V144" s="843" t="s">
        <v>1841</v>
      </c>
      <c r="W144" s="692">
        <f>+W141-W138-W143</f>
        <v>-3974527.8899999992</v>
      </c>
      <c r="X144" s="111"/>
      <c r="Y144" s="692"/>
      <c r="Z144" s="692">
        <f>+Z141-Z138-Z143</f>
        <v>-3974527.8899999992</v>
      </c>
      <c r="AA144" s="692">
        <f t="shared" ref="AA144:AM144" si="119">+AA141-AA138-AA143</f>
        <v>-3990895.7699999996</v>
      </c>
      <c r="AB144" s="692">
        <f t="shared" si="119"/>
        <v>-4006444.58</v>
      </c>
      <c r="AC144" s="692">
        <f t="shared" si="119"/>
        <v>-4026219.669999999</v>
      </c>
      <c r="AD144" s="692">
        <f t="shared" si="119"/>
        <v>-4046365.6299999994</v>
      </c>
      <c r="AE144" s="692">
        <f t="shared" si="119"/>
        <v>-4056137.7700000009</v>
      </c>
      <c r="AF144" s="692">
        <f t="shared" si="119"/>
        <v>-4019491.129999999</v>
      </c>
      <c r="AG144" s="692">
        <f t="shared" si="119"/>
        <v>-4026307.5300000003</v>
      </c>
      <c r="AH144" s="692">
        <f t="shared" si="119"/>
        <v>-4050292.7299999986</v>
      </c>
      <c r="AI144" s="692">
        <f t="shared" si="119"/>
        <v>-4067363.95</v>
      </c>
      <c r="AJ144" s="692">
        <f t="shared" si="119"/>
        <v>-4089738.8600000003</v>
      </c>
      <c r="AK144" s="692">
        <f t="shared" si="119"/>
        <v>-4114910.0199999996</v>
      </c>
      <c r="AL144" s="692">
        <f t="shared" si="119"/>
        <v>-4138198.2699999986</v>
      </c>
      <c r="AM144" s="692">
        <f t="shared" si="119"/>
        <v>0</v>
      </c>
      <c r="AN144" s="89"/>
    </row>
    <row r="145" spans="1:40" s="87" customFormat="1">
      <c r="B145" s="1528"/>
      <c r="C145" s="115" t="s">
        <v>2168</v>
      </c>
      <c r="D145" s="632">
        <f t="shared" ref="D145:T145" si="120">+D65+D136</f>
        <v>7924165.2999999989</v>
      </c>
      <c r="E145" s="632">
        <f t="shared" si="120"/>
        <v>0</v>
      </c>
      <c r="F145" s="632">
        <f t="shared" si="120"/>
        <v>0</v>
      </c>
      <c r="G145" s="1673">
        <f t="shared" si="120"/>
        <v>7924165.2999999989</v>
      </c>
      <c r="H145" s="632">
        <f t="shared" si="120"/>
        <v>7929348.4400000004</v>
      </c>
      <c r="I145" s="632">
        <f t="shared" si="120"/>
        <v>7935342.5299999975</v>
      </c>
      <c r="J145" s="632">
        <f t="shared" si="120"/>
        <v>7953606.8499999996</v>
      </c>
      <c r="K145" s="632">
        <f t="shared" si="120"/>
        <v>7979781.9899999984</v>
      </c>
      <c r="L145" s="632">
        <f t="shared" si="120"/>
        <v>7970538.0799999982</v>
      </c>
      <c r="M145" s="632">
        <f t="shared" si="120"/>
        <v>8486655.0400000028</v>
      </c>
      <c r="N145" s="632">
        <f t="shared" si="120"/>
        <v>8540937.5999999996</v>
      </c>
      <c r="O145" s="632">
        <f t="shared" si="120"/>
        <v>8545903.5800000001</v>
      </c>
      <c r="P145" s="632">
        <f t="shared" si="120"/>
        <v>8301157.2800000003</v>
      </c>
      <c r="Q145" s="632">
        <f t="shared" si="120"/>
        <v>8310693.7300000004</v>
      </c>
      <c r="R145" s="632">
        <f t="shared" si="120"/>
        <v>8361853.4899999993</v>
      </c>
      <c r="S145" s="632">
        <f t="shared" si="120"/>
        <v>8371235.8799999999</v>
      </c>
      <c r="T145" s="632">
        <f t="shared" si="120"/>
        <v>8200863.0607692292</v>
      </c>
      <c r="U145" s="1550"/>
      <c r="V145" s="90" t="s">
        <v>273</v>
      </c>
      <c r="W145" s="632">
        <f>+W65+W136</f>
        <v>3974527.8899999992</v>
      </c>
      <c r="X145" s="632">
        <f>+X65+X136</f>
        <v>0</v>
      </c>
      <c r="Y145" s="632"/>
      <c r="Z145" s="1673">
        <f t="shared" ref="Z145:AL145" si="121">+Z65+Z136</f>
        <v>3974527.8899999992</v>
      </c>
      <c r="AA145" s="632">
        <f t="shared" si="121"/>
        <v>3990895.7699999996</v>
      </c>
      <c r="AB145" s="632">
        <f t="shared" si="121"/>
        <v>4006444.58</v>
      </c>
      <c r="AC145" s="632">
        <f t="shared" si="121"/>
        <v>4026219.669999999</v>
      </c>
      <c r="AD145" s="632">
        <f t="shared" si="121"/>
        <v>4046365.6299999994</v>
      </c>
      <c r="AE145" s="632">
        <f t="shared" si="121"/>
        <v>4056137.7700000009</v>
      </c>
      <c r="AF145" s="632">
        <f t="shared" si="121"/>
        <v>4019491.129999999</v>
      </c>
      <c r="AG145" s="632">
        <f t="shared" si="121"/>
        <v>4026307.5300000003</v>
      </c>
      <c r="AH145" s="632">
        <f t="shared" si="121"/>
        <v>4050292.7299999986</v>
      </c>
      <c r="AI145" s="632">
        <f t="shared" si="121"/>
        <v>4067363.95</v>
      </c>
      <c r="AJ145" s="632">
        <f t="shared" si="121"/>
        <v>4089738.8600000003</v>
      </c>
      <c r="AK145" s="632">
        <f t="shared" si="121"/>
        <v>4114910.0199999996</v>
      </c>
      <c r="AL145" s="632">
        <f t="shared" si="121"/>
        <v>4138198.2699999986</v>
      </c>
      <c r="AM145" s="627">
        <f t="shared" ref="AM145" si="122">AVERAGE(Z145:AL145)</f>
        <v>4046684.1384615381</v>
      </c>
      <c r="AN145" s="89"/>
    </row>
    <row r="146" spans="1:40" s="87" customFormat="1" ht="12" thickBot="1">
      <c r="B146" s="1528"/>
      <c r="C146" s="115" t="s">
        <v>2287</v>
      </c>
      <c r="D146" s="632"/>
      <c r="E146" s="632"/>
      <c r="F146" s="632"/>
      <c r="G146" s="632">
        <f>SUM('Trial Blc'!C4:C45)</f>
        <v>7924165.299999998</v>
      </c>
      <c r="H146" s="632">
        <f>SUM('Trial Blc'!D4:D45)</f>
        <v>7929348.4399999985</v>
      </c>
      <c r="I146" s="632">
        <f>SUM('Trial Blc'!E4:E45)</f>
        <v>7935342.5299999993</v>
      </c>
      <c r="J146" s="632">
        <f>SUM('Trial Blc'!F4:F45)</f>
        <v>7953606.8499999987</v>
      </c>
      <c r="K146" s="632">
        <f>SUM('Trial Blc'!G4:G45)</f>
        <v>7979781.9900000002</v>
      </c>
      <c r="L146" s="632">
        <f>SUM('Trial Blc'!H4:H45)</f>
        <v>7970538.0799999991</v>
      </c>
      <c r="M146" s="632">
        <f>SUM('Trial Blc'!I4:I45)</f>
        <v>8486655.0399999991</v>
      </c>
      <c r="N146" s="632">
        <f>SUM('Trial Blc'!J4:J45)</f>
        <v>8540937.5999999996</v>
      </c>
      <c r="O146" s="632">
        <f>SUM('Trial Blc'!K4:K45)</f>
        <v>8545903.5799999982</v>
      </c>
      <c r="P146" s="632">
        <f>SUM('Trial Blc'!L4:L45)</f>
        <v>8301157.2799999993</v>
      </c>
      <c r="Q146" s="632">
        <f>SUM('Trial Blc'!M4:M45)</f>
        <v>8310693.7299999986</v>
      </c>
      <c r="R146" s="632">
        <f>SUM('Trial Blc'!N4:N45)</f>
        <v>8361853.4899999993</v>
      </c>
      <c r="S146" s="632">
        <f>SUM('Trial Blc'!O4:O45)</f>
        <v>8371235.879999999</v>
      </c>
      <c r="T146" s="627">
        <f t="shared" ref="T146:T147" si="123">AVERAGE(G146:S146)</f>
        <v>8200863.0607692301</v>
      </c>
      <c r="U146" s="1550"/>
      <c r="V146" s="115" t="s">
        <v>2287</v>
      </c>
      <c r="W146" s="632"/>
      <c r="X146" s="632"/>
      <c r="Y146" s="632"/>
      <c r="Z146" s="632">
        <f>SUM('Trial Blc'!C62:C101)</f>
        <v>-3974527.89</v>
      </c>
      <c r="AA146" s="632">
        <f>SUM('Trial Blc'!D62:D101)</f>
        <v>-3990895.77</v>
      </c>
      <c r="AB146" s="632">
        <f>SUM('Trial Blc'!E62:E101)</f>
        <v>-4006444.5799999982</v>
      </c>
      <c r="AC146" s="632">
        <f>SUM('Trial Blc'!F62:F101)</f>
        <v>-4026219.67</v>
      </c>
      <c r="AD146" s="632">
        <f>SUM('Trial Blc'!G62:G101)</f>
        <v>-4046365.6299999994</v>
      </c>
      <c r="AE146" s="632">
        <f>SUM('Trial Blc'!H62:H101)</f>
        <v>-4056137.7700000009</v>
      </c>
      <c r="AF146" s="632">
        <f>SUM('Trial Blc'!I62:I101)</f>
        <v>-4019491.1299999985</v>
      </c>
      <c r="AG146" s="632">
        <f>SUM('Trial Blc'!J62:J101)</f>
        <v>-4026307.5299999993</v>
      </c>
      <c r="AH146" s="632">
        <f>SUM('Trial Blc'!K62:K101)</f>
        <v>-4050292.7299999995</v>
      </c>
      <c r="AI146" s="632">
        <f>SUM('Trial Blc'!L62:L101)</f>
        <v>-4067363.9499999993</v>
      </c>
      <c r="AJ146" s="632">
        <f>SUM('Trial Blc'!M62:M101)</f>
        <v>-4089738.86</v>
      </c>
      <c r="AK146" s="632">
        <f>SUM('Trial Blc'!N62:N101)</f>
        <v>-4114910.0200000009</v>
      </c>
      <c r="AL146" s="632">
        <f>SUM('Trial Blc'!O62:O101)</f>
        <v>-4138198.2700000009</v>
      </c>
      <c r="AM146" s="627">
        <f t="shared" ref="AM146:AM147" si="124">AVERAGE(Z146:AL146)</f>
        <v>-4046684.1384615381</v>
      </c>
      <c r="AN146" s="89"/>
    </row>
    <row r="147" spans="1:40" s="87" customFormat="1" ht="12" thickBot="1">
      <c r="B147" s="1528"/>
      <c r="C147" s="115" t="s">
        <v>2288</v>
      </c>
      <c r="D147" s="632"/>
      <c r="E147" s="632"/>
      <c r="F147" s="632"/>
      <c r="G147" s="632">
        <f>+'A 6 (a)'!C61</f>
        <v>7924165.299999998</v>
      </c>
      <c r="H147" s="632">
        <f>+'A 6 (a)'!D61</f>
        <v>7929348.4400000004</v>
      </c>
      <c r="I147" s="632">
        <f>+'A 6 (a)'!E61</f>
        <v>7935342.5300000012</v>
      </c>
      <c r="J147" s="632">
        <f>+'A 6 (a)'!F61</f>
        <v>7953606.8500000006</v>
      </c>
      <c r="K147" s="632">
        <f>+'A 6 (a)'!G61</f>
        <v>7979781.9899999984</v>
      </c>
      <c r="L147" s="632">
        <f>+'A 6 (a)'!H61</f>
        <v>7970538.0799999991</v>
      </c>
      <c r="M147" s="632">
        <f>+'A 6 (a)'!I61</f>
        <v>8486655.0399999991</v>
      </c>
      <c r="N147" s="632">
        <f>+'A 6 (a)'!J61</f>
        <v>8540937.6000000015</v>
      </c>
      <c r="O147" s="632">
        <f>+'A 6 (a)'!K61</f>
        <v>8545903.5800000019</v>
      </c>
      <c r="P147" s="632">
        <f>+'A 6 (a)'!L61</f>
        <v>8301157.2799999984</v>
      </c>
      <c r="Q147" s="632">
        <f>+'A 6 (a)'!M61</f>
        <v>8310693.7299999986</v>
      </c>
      <c r="R147" s="632">
        <f>+'A 6 (a)'!N61</f>
        <v>8361853.4899999974</v>
      </c>
      <c r="S147" s="632">
        <f>+'A 6 (a)'!O61</f>
        <v>8371235.879999999</v>
      </c>
      <c r="T147" s="627">
        <f t="shared" si="123"/>
        <v>8200863.0607692301</v>
      </c>
      <c r="U147" s="1550"/>
      <c r="V147" s="90" t="s">
        <v>2290</v>
      </c>
      <c r="W147" s="632"/>
      <c r="X147" s="632"/>
      <c r="Y147" s="632"/>
      <c r="Z147" s="632">
        <f>+'A 10 (a)'!C60</f>
        <v>3974527.89</v>
      </c>
      <c r="AA147" s="632">
        <f>+'A 10 (a)'!D60</f>
        <v>3990895.77</v>
      </c>
      <c r="AB147" s="632">
        <f>+'A 10 (a)'!E60</f>
        <v>4006444.58</v>
      </c>
      <c r="AC147" s="632">
        <f>+'A 10 (a)'!F60</f>
        <v>4026219.6699999995</v>
      </c>
      <c r="AD147" s="632">
        <f>+'A 10 (a)'!G60</f>
        <v>4046365.6299999994</v>
      </c>
      <c r="AE147" s="632">
        <f>+'A 10 (a)'!H60</f>
        <v>4056137.77</v>
      </c>
      <c r="AF147" s="632">
        <f>+'A 10 (a)'!I60</f>
        <v>4019491.13</v>
      </c>
      <c r="AG147" s="632">
        <f>+'A 10 (a)'!J60</f>
        <v>4026307.53</v>
      </c>
      <c r="AH147" s="632">
        <f>+'A 10 (a)'!K60</f>
        <v>4050292.73</v>
      </c>
      <c r="AI147" s="632">
        <f>+'A 10 (a)'!L60</f>
        <v>4067363.9499999997</v>
      </c>
      <c r="AJ147" s="632">
        <f>+'A 10 (a)'!M60</f>
        <v>4089738.86</v>
      </c>
      <c r="AK147" s="632">
        <f>+'A 10 (a)'!N60</f>
        <v>4114910.0200000005</v>
      </c>
      <c r="AL147" s="632">
        <f>+'A 10 (a)'!O60</f>
        <v>4138198.2700000005</v>
      </c>
      <c r="AM147" s="1783">
        <f t="shared" si="124"/>
        <v>4046684.1384615386</v>
      </c>
      <c r="AN147" s="89"/>
    </row>
    <row r="148" spans="1:40" s="87" customFormat="1">
      <c r="B148" s="1528"/>
      <c r="C148" s="115" t="s">
        <v>2289</v>
      </c>
      <c r="D148" s="632"/>
      <c r="E148" s="632"/>
      <c r="F148" s="632"/>
      <c r="G148" s="632">
        <f>+G146-G147</f>
        <v>0</v>
      </c>
      <c r="H148" s="632">
        <f t="shared" ref="H148:S148" si="125">+H146-H147</f>
        <v>0</v>
      </c>
      <c r="I148" s="632">
        <f t="shared" si="125"/>
        <v>0</v>
      </c>
      <c r="J148" s="632">
        <f t="shared" si="125"/>
        <v>0</v>
      </c>
      <c r="K148" s="632">
        <f t="shared" si="125"/>
        <v>0</v>
      </c>
      <c r="L148" s="632">
        <f t="shared" si="125"/>
        <v>0</v>
      </c>
      <c r="M148" s="632">
        <f t="shared" si="125"/>
        <v>0</v>
      </c>
      <c r="N148" s="632">
        <f t="shared" si="125"/>
        <v>0</v>
      </c>
      <c r="O148" s="632">
        <f t="shared" si="125"/>
        <v>0</v>
      </c>
      <c r="P148" s="632">
        <f t="shared" si="125"/>
        <v>0</v>
      </c>
      <c r="Q148" s="632">
        <f t="shared" si="125"/>
        <v>0</v>
      </c>
      <c r="R148" s="632">
        <f t="shared" si="125"/>
        <v>0</v>
      </c>
      <c r="S148" s="632">
        <f t="shared" si="125"/>
        <v>0</v>
      </c>
      <c r="T148" s="627"/>
      <c r="U148" s="1550"/>
      <c r="W148" s="632"/>
      <c r="X148" s="632"/>
      <c r="Y148" s="632"/>
      <c r="Z148" s="632">
        <f>+Z147-Z138</f>
        <v>521131.41000000108</v>
      </c>
      <c r="AA148" s="632"/>
      <c r="AB148" s="632"/>
      <c r="AC148" s="632"/>
      <c r="AD148" s="632"/>
      <c r="AE148" s="632"/>
      <c r="AF148" s="632"/>
      <c r="AG148" s="632"/>
      <c r="AH148" s="632"/>
      <c r="AI148" s="632"/>
      <c r="AJ148" s="632"/>
      <c r="AK148" s="632"/>
      <c r="AL148" s="632"/>
      <c r="AM148" s="632"/>
      <c r="AN148" s="89"/>
    </row>
    <row r="149" spans="1:40" s="87" customFormat="1" ht="15" customHeight="1">
      <c r="B149" s="1528"/>
      <c r="C149" s="115" t="s">
        <v>2169</v>
      </c>
      <c r="D149" s="627"/>
      <c r="E149" s="627"/>
      <c r="F149" s="627"/>
      <c r="G149" s="627"/>
      <c r="H149" s="627"/>
      <c r="I149" s="627"/>
      <c r="J149" s="627"/>
      <c r="K149" s="627"/>
      <c r="L149" s="627"/>
      <c r="M149" s="627"/>
      <c r="N149" s="627"/>
      <c r="O149" s="627"/>
      <c r="P149" s="627"/>
      <c r="Q149" s="627"/>
      <c r="R149" s="627"/>
      <c r="S149" s="627"/>
      <c r="T149" s="627"/>
      <c r="U149" s="1536"/>
      <c r="W149" s="627"/>
      <c r="X149" s="115"/>
      <c r="Y149" s="632"/>
      <c r="Z149" s="632">
        <f>+Z163+Z183+Z207</f>
        <v>0</v>
      </c>
      <c r="AA149" s="627"/>
      <c r="AB149" s="627"/>
      <c r="AC149" s="627"/>
      <c r="AD149" s="627"/>
      <c r="AE149" s="627"/>
      <c r="AF149" s="627"/>
      <c r="AG149" s="627"/>
      <c r="AH149" s="627"/>
      <c r="AI149" s="627"/>
      <c r="AJ149" s="627"/>
      <c r="AK149" s="627"/>
      <c r="AL149" s="627"/>
      <c r="AM149" s="89"/>
      <c r="AN149" s="89"/>
    </row>
    <row r="150" spans="1:40" s="87" customFormat="1">
      <c r="A150" s="90" t="s">
        <v>1127</v>
      </c>
      <c r="B150" s="1532">
        <v>1655</v>
      </c>
      <c r="C150" s="113" t="s">
        <v>2181</v>
      </c>
      <c r="D150" s="627">
        <f>IFERROR(VLOOKUP($B150,'Trial Blc'!$B$4:O$377,D$2,FALSE),0)</f>
        <v>0</v>
      </c>
      <c r="E150" s="627"/>
      <c r="F150" s="627"/>
      <c r="G150" s="627">
        <f t="shared" ref="G150:G161" si="126">+D150+E150+F150</f>
        <v>0</v>
      </c>
      <c r="H150" s="627">
        <f>IFERROR(VLOOKUP($B150,'Trial Blc'!$B$4:S$377,H$2,FALSE),0)</f>
        <v>0</v>
      </c>
      <c r="I150" s="627">
        <f>IFERROR(VLOOKUP($B150,'Trial Blc'!$B$4:T$377,I$2,FALSE),0)</f>
        <v>0</v>
      </c>
      <c r="J150" s="627">
        <f>IFERROR(VLOOKUP($B150,'Trial Blc'!$B$4:U$377,J$2,FALSE),0)</f>
        <v>0</v>
      </c>
      <c r="K150" s="627">
        <f>IFERROR(VLOOKUP($B150,'Trial Blc'!$B$4:V$377,K$2,FALSE),0)</f>
        <v>0</v>
      </c>
      <c r="L150" s="627">
        <f>IFERROR(VLOOKUP($B150,'Trial Blc'!$B$4:W$377,L$2,FALSE),0)</f>
        <v>0</v>
      </c>
      <c r="M150" s="627">
        <f>IFERROR(VLOOKUP($B150,'Trial Blc'!$B$4:X$377,M$2,FALSE),0)</f>
        <v>0</v>
      </c>
      <c r="N150" s="627">
        <f>IFERROR(VLOOKUP($B150,'Trial Blc'!$B$4:Y$377,N$2,FALSE),0)</f>
        <v>0</v>
      </c>
      <c r="O150" s="627">
        <f>IFERROR(VLOOKUP($B150,'Trial Blc'!$B$4:Z$377,O$2,FALSE),0)</f>
        <v>0</v>
      </c>
      <c r="P150" s="627">
        <f>IFERROR(VLOOKUP($B150,'Trial Blc'!$B$4:AA$377,P$2,FALSE),0)</f>
        <v>0</v>
      </c>
      <c r="Q150" s="627">
        <f>IFERROR(VLOOKUP($B150,'Trial Blc'!$B$4:AB$377,Q$2,FALSE),0)</f>
        <v>0</v>
      </c>
      <c r="R150" s="627">
        <f>IFERROR(VLOOKUP($B150,'Trial Blc'!$B$4:AC$377,R$2,FALSE),0)</f>
        <v>0</v>
      </c>
      <c r="S150" s="627">
        <f>IFERROR(VLOOKUP($B150,'Trial Blc'!$B$4:AD$377,S$2,FALSE),0)</f>
        <v>0</v>
      </c>
      <c r="T150" s="627">
        <f t="shared" ref="T150:T161" si="127">AVERAGE(G150:S150)</f>
        <v>0</v>
      </c>
      <c r="U150" s="1536"/>
      <c r="W150" s="506"/>
      <c r="X150" s="111"/>
      <c r="Y150" s="506"/>
      <c r="Z150" s="506"/>
      <c r="AA150" s="506"/>
      <c r="AB150" s="506"/>
      <c r="AC150" s="506"/>
      <c r="AD150" s="506"/>
      <c r="AE150" s="506"/>
      <c r="AF150" s="506"/>
      <c r="AG150" s="506"/>
      <c r="AH150" s="506"/>
      <c r="AI150" s="506"/>
      <c r="AJ150" s="506"/>
      <c r="AK150" s="506"/>
      <c r="AL150" s="506"/>
      <c r="AM150" s="89"/>
      <c r="AN150" s="89"/>
    </row>
    <row r="151" spans="1:40" s="87" customFormat="1">
      <c r="A151" s="90" t="s">
        <v>1295</v>
      </c>
      <c r="B151" s="1531">
        <v>1660</v>
      </c>
      <c r="C151" s="647" t="s">
        <v>2170</v>
      </c>
      <c r="D151" s="627">
        <f>IFERROR(VLOOKUP($B151,'Trial Blc'!$B$4:O$377,D$2,FALSE),0)</f>
        <v>0</v>
      </c>
      <c r="E151" s="627"/>
      <c r="F151" s="627"/>
      <c r="G151" s="627">
        <f t="shared" si="126"/>
        <v>0</v>
      </c>
      <c r="H151" s="627">
        <f>IFERROR(VLOOKUP($B151,'Trial Blc'!$B$4:S$377,H$2,FALSE),0)</f>
        <v>0</v>
      </c>
      <c r="I151" s="627">
        <f>IFERROR(VLOOKUP($B151,'Trial Blc'!$B$4:T$377,I$2,FALSE),0)</f>
        <v>0</v>
      </c>
      <c r="J151" s="627">
        <f>IFERROR(VLOOKUP($B151,'Trial Blc'!$B$4:U$377,J$2,FALSE),0)</f>
        <v>0</v>
      </c>
      <c r="K151" s="627">
        <f>IFERROR(VLOOKUP($B151,'Trial Blc'!$B$4:V$377,K$2,FALSE),0)</f>
        <v>0</v>
      </c>
      <c r="L151" s="627">
        <f>IFERROR(VLOOKUP($B151,'Trial Blc'!$B$4:W$377,L$2,FALSE),0)</f>
        <v>0</v>
      </c>
      <c r="M151" s="627">
        <f>IFERROR(VLOOKUP($B151,'Trial Blc'!$B$4:X$377,M$2,FALSE),0)</f>
        <v>0</v>
      </c>
      <c r="N151" s="627">
        <f>IFERROR(VLOOKUP($B151,'Trial Blc'!$B$4:Y$377,N$2,FALSE),0)</f>
        <v>0</v>
      </c>
      <c r="O151" s="627">
        <f>IFERROR(VLOOKUP($B151,'Trial Blc'!$B$4:Z$377,O$2,FALSE),0)</f>
        <v>0</v>
      </c>
      <c r="P151" s="627">
        <f>IFERROR(VLOOKUP($B151,'Trial Blc'!$B$4:AA$377,P$2,FALSE),0)</f>
        <v>0</v>
      </c>
      <c r="Q151" s="627">
        <f>IFERROR(VLOOKUP($B151,'Trial Blc'!$B$4:AB$377,Q$2,FALSE),0)</f>
        <v>0</v>
      </c>
      <c r="R151" s="627">
        <f>IFERROR(VLOOKUP($B151,'Trial Blc'!$B$4:AC$377,R$2,FALSE),0)</f>
        <v>0</v>
      </c>
      <c r="S151" s="627">
        <f>IFERROR(VLOOKUP($B151,'Trial Blc'!$B$4:AD$377,S$2,FALSE),0)</f>
        <v>0</v>
      </c>
      <c r="T151" s="627">
        <f t="shared" si="127"/>
        <v>0</v>
      </c>
      <c r="U151" s="1536"/>
      <c r="W151" s="627"/>
      <c r="X151" s="647"/>
      <c r="Y151" s="627"/>
      <c r="Z151" s="627"/>
      <c r="AA151" s="627"/>
      <c r="AB151" s="627"/>
      <c r="AC151" s="627"/>
      <c r="AD151" s="627"/>
      <c r="AE151" s="627"/>
      <c r="AF151" s="627"/>
      <c r="AG151" s="627"/>
      <c r="AH151" s="627"/>
      <c r="AI151" s="627"/>
      <c r="AJ151" s="627"/>
      <c r="AK151" s="627"/>
      <c r="AL151" s="627"/>
      <c r="AM151" s="89"/>
      <c r="AN151" s="89"/>
    </row>
    <row r="152" spans="1:40" s="87" customFormat="1">
      <c r="B152" s="1531">
        <v>1661</v>
      </c>
      <c r="C152" s="647" t="s">
        <v>2171</v>
      </c>
      <c r="D152" s="627">
        <f>IFERROR(VLOOKUP($B152,'Trial Blc'!$B$4:O$377,D$2,FALSE),0)</f>
        <v>0</v>
      </c>
      <c r="E152" s="627"/>
      <c r="F152" s="627"/>
      <c r="G152" s="627">
        <f t="shared" si="126"/>
        <v>0</v>
      </c>
      <c r="H152" s="627">
        <f>IFERROR(VLOOKUP($B152,'Trial Blc'!$B$4:S$377,H$2,FALSE),0)</f>
        <v>0</v>
      </c>
      <c r="I152" s="627">
        <f>IFERROR(VLOOKUP($B152,'Trial Blc'!$B$4:T$377,I$2,FALSE),0)</f>
        <v>0</v>
      </c>
      <c r="J152" s="627">
        <f>IFERROR(VLOOKUP($B152,'Trial Blc'!$B$4:U$377,J$2,FALSE),0)</f>
        <v>0</v>
      </c>
      <c r="K152" s="627">
        <f>IFERROR(VLOOKUP($B152,'Trial Blc'!$B$4:V$377,K$2,FALSE),0)</f>
        <v>0</v>
      </c>
      <c r="L152" s="627">
        <f>IFERROR(VLOOKUP($B152,'Trial Blc'!$B$4:W$377,L$2,FALSE),0)</f>
        <v>0</v>
      </c>
      <c r="M152" s="627">
        <f>IFERROR(VLOOKUP($B152,'Trial Blc'!$B$4:X$377,M$2,FALSE),0)</f>
        <v>0</v>
      </c>
      <c r="N152" s="627">
        <f>IFERROR(VLOOKUP($B152,'Trial Blc'!$B$4:Y$377,N$2,FALSE),0)</f>
        <v>0</v>
      </c>
      <c r="O152" s="627">
        <f>IFERROR(VLOOKUP($B152,'Trial Blc'!$B$4:Z$377,O$2,FALSE),0)</f>
        <v>0</v>
      </c>
      <c r="P152" s="627">
        <f>IFERROR(VLOOKUP($B152,'Trial Blc'!$B$4:AA$377,P$2,FALSE),0)</f>
        <v>0</v>
      </c>
      <c r="Q152" s="627">
        <f>IFERROR(VLOOKUP($B152,'Trial Blc'!$B$4:AB$377,Q$2,FALSE),0)</f>
        <v>0</v>
      </c>
      <c r="R152" s="627">
        <f>IFERROR(VLOOKUP($B152,'Trial Blc'!$B$4:AC$377,R$2,FALSE),0)</f>
        <v>0</v>
      </c>
      <c r="S152" s="627">
        <f>IFERROR(VLOOKUP($B152,'Trial Blc'!$B$4:AD$377,S$2,FALSE),0)</f>
        <v>0</v>
      </c>
      <c r="T152" s="627">
        <f t="shared" si="127"/>
        <v>0</v>
      </c>
      <c r="U152" s="1536"/>
      <c r="W152" s="627"/>
      <c r="X152" s="647"/>
      <c r="Y152" s="627"/>
      <c r="Z152" s="627"/>
      <c r="AA152" s="627"/>
      <c r="AB152" s="627"/>
      <c r="AC152" s="627"/>
      <c r="AD152" s="627"/>
      <c r="AE152" s="627"/>
      <c r="AF152" s="627"/>
      <c r="AG152" s="627"/>
      <c r="AH152" s="627"/>
      <c r="AI152" s="627"/>
      <c r="AJ152" s="627"/>
      <c r="AK152" s="627"/>
      <c r="AL152" s="627"/>
      <c r="AM152" s="89"/>
      <c r="AN152" s="89"/>
    </row>
    <row r="153" spans="1:40" s="87" customFormat="1">
      <c r="B153" s="1531">
        <v>1665</v>
      </c>
      <c r="C153" s="647" t="s">
        <v>2172</v>
      </c>
      <c r="D153" s="627">
        <f>IFERROR(VLOOKUP($B153,'Trial Blc'!$B$4:O$377,D$2,FALSE),0)</f>
        <v>0</v>
      </c>
      <c r="E153" s="627"/>
      <c r="F153" s="627"/>
      <c r="G153" s="627">
        <f t="shared" si="126"/>
        <v>0</v>
      </c>
      <c r="H153" s="627">
        <f>IFERROR(VLOOKUP($B153,'Trial Blc'!$B$4:S$377,H$2,FALSE),0)</f>
        <v>0</v>
      </c>
      <c r="I153" s="627">
        <f>IFERROR(VLOOKUP($B153,'Trial Blc'!$B$4:T$377,I$2,FALSE),0)</f>
        <v>0</v>
      </c>
      <c r="J153" s="627">
        <f>IFERROR(VLOOKUP($B153,'Trial Blc'!$B$4:U$377,J$2,FALSE),0)</f>
        <v>0</v>
      </c>
      <c r="K153" s="627">
        <f>IFERROR(VLOOKUP($B153,'Trial Blc'!$B$4:V$377,K$2,FALSE),0)</f>
        <v>0</v>
      </c>
      <c r="L153" s="627">
        <f>IFERROR(VLOOKUP($B153,'Trial Blc'!$B$4:W$377,L$2,FALSE),0)</f>
        <v>0</v>
      </c>
      <c r="M153" s="627">
        <f>IFERROR(VLOOKUP($B153,'Trial Blc'!$B$4:X$377,M$2,FALSE),0)</f>
        <v>0</v>
      </c>
      <c r="N153" s="627">
        <f>IFERROR(VLOOKUP($B153,'Trial Blc'!$B$4:Y$377,N$2,FALSE),0)</f>
        <v>0</v>
      </c>
      <c r="O153" s="627">
        <f>IFERROR(VLOOKUP($B153,'Trial Blc'!$B$4:Z$377,O$2,FALSE),0)</f>
        <v>0</v>
      </c>
      <c r="P153" s="627">
        <f>IFERROR(VLOOKUP($B153,'Trial Blc'!$B$4:AA$377,P$2,FALSE),0)</f>
        <v>0</v>
      </c>
      <c r="Q153" s="627">
        <f>IFERROR(VLOOKUP($B153,'Trial Blc'!$B$4:AB$377,Q$2,FALSE),0)</f>
        <v>0</v>
      </c>
      <c r="R153" s="627">
        <f>IFERROR(VLOOKUP($B153,'Trial Blc'!$B$4:AC$377,R$2,FALSE),0)</f>
        <v>0</v>
      </c>
      <c r="S153" s="627">
        <f>IFERROR(VLOOKUP($B153,'Trial Blc'!$B$4:AD$377,S$2,FALSE),0)</f>
        <v>0</v>
      </c>
      <c r="T153" s="627">
        <f t="shared" si="127"/>
        <v>0</v>
      </c>
      <c r="U153" s="1536"/>
      <c r="W153" s="627"/>
      <c r="X153" s="647"/>
      <c r="Y153" s="627"/>
      <c r="Z153" s="627"/>
      <c r="AA153" s="627"/>
      <c r="AB153" s="627"/>
      <c r="AC153" s="627"/>
      <c r="AD153" s="627"/>
      <c r="AE153" s="627"/>
      <c r="AF153" s="627"/>
      <c r="AG153" s="627"/>
      <c r="AH153" s="627"/>
      <c r="AI153" s="627"/>
      <c r="AJ153" s="627"/>
      <c r="AK153" s="627"/>
      <c r="AL153" s="627"/>
      <c r="AM153" s="89"/>
      <c r="AN153" s="89"/>
    </row>
    <row r="154" spans="1:40" s="87" customFormat="1">
      <c r="B154" s="1531">
        <v>1666</v>
      </c>
      <c r="C154" s="647" t="s">
        <v>2173</v>
      </c>
      <c r="D154" s="627">
        <f>IFERROR(VLOOKUP($B154,'Trial Blc'!$B$4:O$377,D$2,FALSE),0)</f>
        <v>0</v>
      </c>
      <c r="E154" s="627"/>
      <c r="F154" s="627"/>
      <c r="G154" s="627">
        <f t="shared" si="126"/>
        <v>0</v>
      </c>
      <c r="H154" s="627">
        <f>IFERROR(VLOOKUP($B154,'Trial Blc'!$B$4:S$377,H$2,FALSE),0)</f>
        <v>0</v>
      </c>
      <c r="I154" s="627">
        <f>IFERROR(VLOOKUP($B154,'Trial Blc'!$B$4:T$377,I$2,FALSE),0)</f>
        <v>0</v>
      </c>
      <c r="J154" s="627">
        <f>IFERROR(VLOOKUP($B154,'Trial Blc'!$B$4:U$377,J$2,FALSE),0)</f>
        <v>0</v>
      </c>
      <c r="K154" s="627">
        <f>IFERROR(VLOOKUP($B154,'Trial Blc'!$B$4:V$377,K$2,FALSE),0)</f>
        <v>0</v>
      </c>
      <c r="L154" s="627">
        <f>IFERROR(VLOOKUP($B154,'Trial Blc'!$B$4:W$377,L$2,FALSE),0)</f>
        <v>0</v>
      </c>
      <c r="M154" s="627">
        <f>IFERROR(VLOOKUP($B154,'Trial Blc'!$B$4:X$377,M$2,FALSE),0)</f>
        <v>0</v>
      </c>
      <c r="N154" s="627">
        <f>IFERROR(VLOOKUP($B154,'Trial Blc'!$B$4:Y$377,N$2,FALSE),0)</f>
        <v>0</v>
      </c>
      <c r="O154" s="627">
        <f>IFERROR(VLOOKUP($B154,'Trial Blc'!$B$4:Z$377,O$2,FALSE),0)</f>
        <v>0</v>
      </c>
      <c r="P154" s="627">
        <f>IFERROR(VLOOKUP($B154,'Trial Blc'!$B$4:AA$377,P$2,FALSE),0)</f>
        <v>0</v>
      </c>
      <c r="Q154" s="627">
        <f>IFERROR(VLOOKUP($B154,'Trial Blc'!$B$4:AB$377,Q$2,FALSE),0)</f>
        <v>0</v>
      </c>
      <c r="R154" s="627">
        <f>IFERROR(VLOOKUP($B154,'Trial Blc'!$B$4:AC$377,R$2,FALSE),0)</f>
        <v>0</v>
      </c>
      <c r="S154" s="627">
        <f>IFERROR(VLOOKUP($B154,'Trial Blc'!$B$4:AD$377,S$2,FALSE),0)</f>
        <v>0</v>
      </c>
      <c r="T154" s="627">
        <f t="shared" si="127"/>
        <v>0</v>
      </c>
      <c r="U154" s="1536"/>
      <c r="W154" s="627"/>
      <c r="X154" s="647"/>
      <c r="Y154" s="627"/>
      <c r="Z154" s="627"/>
      <c r="AA154" s="627"/>
      <c r="AB154" s="627"/>
      <c r="AC154" s="627"/>
      <c r="AD154" s="627"/>
      <c r="AE154" s="627"/>
      <c r="AF154" s="627"/>
      <c r="AG154" s="627"/>
      <c r="AH154" s="627"/>
      <c r="AI154" s="627"/>
      <c r="AJ154" s="627"/>
      <c r="AK154" s="627"/>
      <c r="AL154" s="627"/>
      <c r="AM154" s="89"/>
      <c r="AN154" s="89"/>
    </row>
    <row r="155" spans="1:40" s="87" customFormat="1">
      <c r="B155" s="1531">
        <v>1667</v>
      </c>
      <c r="C155" s="647" t="s">
        <v>2174</v>
      </c>
      <c r="D155" s="627">
        <f>IFERROR(VLOOKUP($B155,'Trial Blc'!$B$4:O$377,D$2,FALSE),0)</f>
        <v>0</v>
      </c>
      <c r="E155" s="627"/>
      <c r="F155" s="627"/>
      <c r="G155" s="627">
        <f t="shared" si="126"/>
        <v>0</v>
      </c>
      <c r="H155" s="627">
        <f>IFERROR(VLOOKUP($B155,'Trial Blc'!$B$4:S$377,H$2,FALSE),0)</f>
        <v>0</v>
      </c>
      <c r="I155" s="627">
        <f>IFERROR(VLOOKUP($B155,'Trial Blc'!$B$4:T$377,I$2,FALSE),0)</f>
        <v>0</v>
      </c>
      <c r="J155" s="627">
        <f>IFERROR(VLOOKUP($B155,'Trial Blc'!$B$4:U$377,J$2,FALSE),0)</f>
        <v>0</v>
      </c>
      <c r="K155" s="627">
        <f>IFERROR(VLOOKUP($B155,'Trial Blc'!$B$4:V$377,K$2,FALSE),0)</f>
        <v>0</v>
      </c>
      <c r="L155" s="627">
        <f>IFERROR(VLOOKUP($B155,'Trial Blc'!$B$4:W$377,L$2,FALSE),0)</f>
        <v>0</v>
      </c>
      <c r="M155" s="627">
        <f>IFERROR(VLOOKUP($B155,'Trial Blc'!$B$4:X$377,M$2,FALSE),0)</f>
        <v>0</v>
      </c>
      <c r="N155" s="627">
        <f>IFERROR(VLOOKUP($B155,'Trial Blc'!$B$4:Y$377,N$2,FALSE),0)</f>
        <v>0</v>
      </c>
      <c r="O155" s="627">
        <f>IFERROR(VLOOKUP($B155,'Trial Blc'!$B$4:Z$377,O$2,FALSE),0)</f>
        <v>0</v>
      </c>
      <c r="P155" s="627">
        <f>IFERROR(VLOOKUP($B155,'Trial Blc'!$B$4:AA$377,P$2,FALSE),0)</f>
        <v>0</v>
      </c>
      <c r="Q155" s="627">
        <f>IFERROR(VLOOKUP($B155,'Trial Blc'!$B$4:AB$377,Q$2,FALSE),0)</f>
        <v>0</v>
      </c>
      <c r="R155" s="627">
        <f>IFERROR(VLOOKUP($B155,'Trial Blc'!$B$4:AC$377,R$2,FALSE),0)</f>
        <v>0</v>
      </c>
      <c r="S155" s="627">
        <f>IFERROR(VLOOKUP($B155,'Trial Blc'!$B$4:AD$377,S$2,FALSE),0)</f>
        <v>0</v>
      </c>
      <c r="T155" s="627">
        <f t="shared" si="127"/>
        <v>0</v>
      </c>
      <c r="U155" s="1536"/>
      <c r="W155" s="627"/>
      <c r="X155" s="647"/>
      <c r="Y155" s="627"/>
      <c r="Z155" s="627"/>
      <c r="AA155" s="627"/>
      <c r="AB155" s="627"/>
      <c r="AC155" s="627"/>
      <c r="AD155" s="627"/>
      <c r="AE155" s="627"/>
      <c r="AF155" s="627"/>
      <c r="AG155" s="627"/>
      <c r="AH155" s="627"/>
      <c r="AI155" s="627"/>
      <c r="AJ155" s="627"/>
      <c r="AK155" s="627"/>
      <c r="AL155" s="627"/>
      <c r="AM155" s="89"/>
      <c r="AN155" s="89"/>
    </row>
    <row r="156" spans="1:40" s="87" customFormat="1">
      <c r="B156" s="1531">
        <v>1668</v>
      </c>
      <c r="C156" s="647" t="s">
        <v>2175</v>
      </c>
      <c r="D156" s="627">
        <f>IFERROR(VLOOKUP($B156,'Trial Blc'!$B$4:O$377,D$2,FALSE),0)</f>
        <v>0</v>
      </c>
      <c r="E156" s="627"/>
      <c r="F156" s="627"/>
      <c r="G156" s="627">
        <f t="shared" si="126"/>
        <v>0</v>
      </c>
      <c r="H156" s="627">
        <f>IFERROR(VLOOKUP($B156,'Trial Blc'!$B$4:S$377,H$2,FALSE),0)</f>
        <v>0</v>
      </c>
      <c r="I156" s="627">
        <f>IFERROR(VLOOKUP($B156,'Trial Blc'!$B$4:T$377,I$2,FALSE),0)</f>
        <v>0</v>
      </c>
      <c r="J156" s="627">
        <f>IFERROR(VLOOKUP($B156,'Trial Blc'!$B$4:U$377,J$2,FALSE),0)</f>
        <v>0</v>
      </c>
      <c r="K156" s="627">
        <f>IFERROR(VLOOKUP($B156,'Trial Blc'!$B$4:V$377,K$2,FALSE),0)</f>
        <v>0</v>
      </c>
      <c r="L156" s="627">
        <f>IFERROR(VLOOKUP($B156,'Trial Blc'!$B$4:W$377,L$2,FALSE),0)</f>
        <v>0</v>
      </c>
      <c r="M156" s="627">
        <f>IFERROR(VLOOKUP($B156,'Trial Blc'!$B$4:X$377,M$2,FALSE),0)</f>
        <v>0</v>
      </c>
      <c r="N156" s="627">
        <f>IFERROR(VLOOKUP($B156,'Trial Blc'!$B$4:Y$377,N$2,FALSE),0)</f>
        <v>0</v>
      </c>
      <c r="O156" s="627">
        <f>IFERROR(VLOOKUP($B156,'Trial Blc'!$B$4:Z$377,O$2,FALSE),0)</f>
        <v>0</v>
      </c>
      <c r="P156" s="627">
        <f>IFERROR(VLOOKUP($B156,'Trial Blc'!$B$4:AA$377,P$2,FALSE),0)</f>
        <v>0</v>
      </c>
      <c r="Q156" s="627">
        <f>IFERROR(VLOOKUP($B156,'Trial Blc'!$B$4:AB$377,Q$2,FALSE),0)</f>
        <v>0</v>
      </c>
      <c r="R156" s="627">
        <f>IFERROR(VLOOKUP($B156,'Trial Blc'!$B$4:AC$377,R$2,FALSE),0)</f>
        <v>0</v>
      </c>
      <c r="S156" s="627">
        <f>IFERROR(VLOOKUP($B156,'Trial Blc'!$B$4:AD$377,S$2,FALSE),0)</f>
        <v>0</v>
      </c>
      <c r="T156" s="627">
        <f t="shared" si="127"/>
        <v>0</v>
      </c>
      <c r="U156" s="1536"/>
      <c r="W156" s="627"/>
      <c r="X156" s="647"/>
      <c r="Y156" s="627"/>
      <c r="Z156" s="627"/>
      <c r="AA156" s="627"/>
      <c r="AB156" s="627"/>
      <c r="AC156" s="627"/>
      <c r="AD156" s="627"/>
      <c r="AE156" s="627"/>
      <c r="AF156" s="627"/>
      <c r="AG156" s="627"/>
      <c r="AH156" s="627"/>
      <c r="AI156" s="627"/>
      <c r="AJ156" s="627"/>
      <c r="AK156" s="627"/>
      <c r="AL156" s="627"/>
      <c r="AM156" s="89"/>
      <c r="AN156" s="89"/>
    </row>
    <row r="157" spans="1:40" s="87" customFormat="1">
      <c r="B157" s="1531">
        <v>1669</v>
      </c>
      <c r="C157" s="647" t="s">
        <v>2176</v>
      </c>
      <c r="D157" s="627">
        <f>IFERROR(VLOOKUP($B157,'Trial Blc'!$B$4:O$377,D$2,FALSE),0)</f>
        <v>0</v>
      </c>
      <c r="E157" s="627"/>
      <c r="F157" s="627"/>
      <c r="G157" s="627">
        <f t="shared" si="126"/>
        <v>0</v>
      </c>
      <c r="H157" s="627">
        <f>IFERROR(VLOOKUP($B157,'Trial Blc'!$B$4:S$377,H$2,FALSE),0)</f>
        <v>0</v>
      </c>
      <c r="I157" s="627">
        <f>IFERROR(VLOOKUP($B157,'Trial Blc'!$B$4:T$377,I$2,FALSE),0)</f>
        <v>0</v>
      </c>
      <c r="J157" s="627">
        <f>IFERROR(VLOOKUP($B157,'Trial Blc'!$B$4:U$377,J$2,FALSE),0)</f>
        <v>0</v>
      </c>
      <c r="K157" s="627">
        <f>IFERROR(VLOOKUP($B157,'Trial Blc'!$B$4:V$377,K$2,FALSE),0)</f>
        <v>0</v>
      </c>
      <c r="L157" s="627">
        <f>IFERROR(VLOOKUP($B157,'Trial Blc'!$B$4:W$377,L$2,FALSE),0)</f>
        <v>0</v>
      </c>
      <c r="M157" s="627">
        <f>IFERROR(VLOOKUP($B157,'Trial Blc'!$B$4:X$377,M$2,FALSE),0)</f>
        <v>0</v>
      </c>
      <c r="N157" s="627">
        <f>IFERROR(VLOOKUP($B157,'Trial Blc'!$B$4:Y$377,N$2,FALSE),0)</f>
        <v>0</v>
      </c>
      <c r="O157" s="627">
        <f>IFERROR(VLOOKUP($B157,'Trial Blc'!$B$4:Z$377,O$2,FALSE),0)</f>
        <v>0</v>
      </c>
      <c r="P157" s="627">
        <f>IFERROR(VLOOKUP($B157,'Trial Blc'!$B$4:AA$377,P$2,FALSE),0)</f>
        <v>0</v>
      </c>
      <c r="Q157" s="627">
        <f>IFERROR(VLOOKUP($B157,'Trial Blc'!$B$4:AB$377,Q$2,FALSE),0)</f>
        <v>0</v>
      </c>
      <c r="R157" s="627">
        <f>IFERROR(VLOOKUP($B157,'Trial Blc'!$B$4:AC$377,R$2,FALSE),0)</f>
        <v>0</v>
      </c>
      <c r="S157" s="627">
        <f>IFERROR(VLOOKUP($B157,'Trial Blc'!$B$4:AD$377,S$2,FALSE),0)</f>
        <v>0</v>
      </c>
      <c r="T157" s="627">
        <f t="shared" si="127"/>
        <v>0</v>
      </c>
      <c r="U157" s="1536"/>
      <c r="W157" s="627"/>
      <c r="X157" s="647"/>
      <c r="Y157" s="627"/>
      <c r="Z157" s="627"/>
      <c r="AA157" s="627"/>
      <c r="AB157" s="627"/>
      <c r="AC157" s="627"/>
      <c r="AD157" s="627"/>
      <c r="AE157" s="627"/>
      <c r="AF157" s="627"/>
      <c r="AG157" s="627"/>
      <c r="AH157" s="627"/>
      <c r="AI157" s="627"/>
      <c r="AJ157" s="627"/>
      <c r="AK157" s="627"/>
      <c r="AL157" s="627"/>
      <c r="AM157" s="89"/>
      <c r="AN157" s="89"/>
    </row>
    <row r="158" spans="1:40" s="87" customFormat="1">
      <c r="B158" s="1531">
        <v>1670</v>
      </c>
      <c r="C158" s="647" t="s">
        <v>2177</v>
      </c>
      <c r="D158" s="627">
        <f>IFERROR(VLOOKUP($B158,'Trial Blc'!$B$4:O$377,D$2,FALSE),0)</f>
        <v>0</v>
      </c>
      <c r="E158" s="627"/>
      <c r="F158" s="627"/>
      <c r="G158" s="627">
        <f t="shared" si="126"/>
        <v>0</v>
      </c>
      <c r="H158" s="627">
        <f>IFERROR(VLOOKUP($B158,'Trial Blc'!$B$4:S$377,H$2,FALSE),0)</f>
        <v>0</v>
      </c>
      <c r="I158" s="627">
        <f>IFERROR(VLOOKUP($B158,'Trial Blc'!$B$4:T$377,I$2,FALSE),0)</f>
        <v>0</v>
      </c>
      <c r="J158" s="627">
        <f>IFERROR(VLOOKUP($B158,'Trial Blc'!$B$4:U$377,J$2,FALSE),0)</f>
        <v>0</v>
      </c>
      <c r="K158" s="627">
        <f>IFERROR(VLOOKUP($B158,'Trial Blc'!$B$4:V$377,K$2,FALSE),0)</f>
        <v>0</v>
      </c>
      <c r="L158" s="627">
        <f>IFERROR(VLOOKUP($B158,'Trial Blc'!$B$4:W$377,L$2,FALSE),0)</f>
        <v>0</v>
      </c>
      <c r="M158" s="627">
        <f>IFERROR(VLOOKUP($B158,'Trial Blc'!$B$4:X$377,M$2,FALSE),0)</f>
        <v>0</v>
      </c>
      <c r="N158" s="627">
        <f>IFERROR(VLOOKUP($B158,'Trial Blc'!$B$4:Y$377,N$2,FALSE),0)</f>
        <v>0</v>
      </c>
      <c r="O158" s="627">
        <f>IFERROR(VLOOKUP($B158,'Trial Blc'!$B$4:Z$377,O$2,FALSE),0)</f>
        <v>0</v>
      </c>
      <c r="P158" s="627">
        <f>IFERROR(VLOOKUP($B158,'Trial Blc'!$B$4:AA$377,P$2,FALSE),0)</f>
        <v>0</v>
      </c>
      <c r="Q158" s="627">
        <f>IFERROR(VLOOKUP($B158,'Trial Blc'!$B$4:AB$377,Q$2,FALSE),0)</f>
        <v>0</v>
      </c>
      <c r="R158" s="627">
        <f>IFERROR(VLOOKUP($B158,'Trial Blc'!$B$4:AC$377,R$2,FALSE),0)</f>
        <v>0</v>
      </c>
      <c r="S158" s="627">
        <f>IFERROR(VLOOKUP($B158,'Trial Blc'!$B$4:AD$377,S$2,FALSE),0)</f>
        <v>0</v>
      </c>
      <c r="T158" s="627">
        <f t="shared" si="127"/>
        <v>0</v>
      </c>
      <c r="U158" s="1536"/>
      <c r="W158" s="627"/>
      <c r="X158" s="647"/>
      <c r="Y158" s="627"/>
      <c r="Z158" s="627"/>
      <c r="AA158" s="627"/>
      <c r="AB158" s="627"/>
      <c r="AC158" s="627"/>
      <c r="AD158" s="627"/>
      <c r="AE158" s="627"/>
      <c r="AF158" s="627"/>
      <c r="AG158" s="627"/>
      <c r="AH158" s="627"/>
      <c r="AI158" s="627"/>
      <c r="AJ158" s="627"/>
      <c r="AK158" s="627"/>
      <c r="AL158" s="627"/>
      <c r="AM158" s="89"/>
      <c r="AN158" s="89"/>
    </row>
    <row r="159" spans="1:40" s="87" customFormat="1">
      <c r="B159" s="1531">
        <v>1671</v>
      </c>
      <c r="C159" s="647" t="s">
        <v>2178</v>
      </c>
      <c r="D159" s="627">
        <f>IFERROR(VLOOKUP($B159,'Trial Blc'!$B$4:O$377,D$2,FALSE),0)</f>
        <v>0</v>
      </c>
      <c r="E159" s="627"/>
      <c r="F159" s="627"/>
      <c r="G159" s="627">
        <f t="shared" si="126"/>
        <v>0</v>
      </c>
      <c r="H159" s="627">
        <f>IFERROR(VLOOKUP($B159,'Trial Blc'!$B$4:S$377,H$2,FALSE),0)</f>
        <v>0</v>
      </c>
      <c r="I159" s="627">
        <f>IFERROR(VLOOKUP($B159,'Trial Blc'!$B$4:T$377,I$2,FALSE),0)</f>
        <v>0</v>
      </c>
      <c r="J159" s="627">
        <f>IFERROR(VLOOKUP($B159,'Trial Blc'!$B$4:U$377,J$2,FALSE),0)</f>
        <v>0</v>
      </c>
      <c r="K159" s="627">
        <f>IFERROR(VLOOKUP($B159,'Trial Blc'!$B$4:V$377,K$2,FALSE),0)</f>
        <v>0</v>
      </c>
      <c r="L159" s="627">
        <f>IFERROR(VLOOKUP($B159,'Trial Blc'!$B$4:W$377,L$2,FALSE),0)</f>
        <v>0</v>
      </c>
      <c r="M159" s="627">
        <f>IFERROR(VLOOKUP($B159,'Trial Blc'!$B$4:X$377,M$2,FALSE),0)</f>
        <v>0</v>
      </c>
      <c r="N159" s="627">
        <f>IFERROR(VLOOKUP($B159,'Trial Blc'!$B$4:Y$377,N$2,FALSE),0)</f>
        <v>0</v>
      </c>
      <c r="O159" s="627">
        <f>IFERROR(VLOOKUP($B159,'Trial Blc'!$B$4:Z$377,O$2,FALSE),0)</f>
        <v>0</v>
      </c>
      <c r="P159" s="627">
        <f>IFERROR(VLOOKUP($B159,'Trial Blc'!$B$4:AA$377,P$2,FALSE),0)</f>
        <v>0</v>
      </c>
      <c r="Q159" s="627">
        <f>IFERROR(VLOOKUP($B159,'Trial Blc'!$B$4:AB$377,Q$2,FALSE),0)</f>
        <v>0</v>
      </c>
      <c r="R159" s="627">
        <f>IFERROR(VLOOKUP($B159,'Trial Blc'!$B$4:AC$377,R$2,FALSE),0)</f>
        <v>0</v>
      </c>
      <c r="S159" s="627">
        <f>IFERROR(VLOOKUP($B159,'Trial Blc'!$B$4:AD$377,S$2,FALSE),0)</f>
        <v>0</v>
      </c>
      <c r="T159" s="627">
        <f t="shared" si="127"/>
        <v>0</v>
      </c>
      <c r="U159" s="1536"/>
      <c r="W159" s="627"/>
      <c r="X159" s="647"/>
      <c r="Y159" s="627"/>
      <c r="Z159" s="627"/>
      <c r="AA159" s="627"/>
      <c r="AB159" s="627"/>
      <c r="AC159" s="627"/>
      <c r="AD159" s="627"/>
      <c r="AE159" s="627"/>
      <c r="AF159" s="627"/>
      <c r="AG159" s="627"/>
      <c r="AH159" s="627"/>
      <c r="AI159" s="627"/>
      <c r="AJ159" s="627"/>
      <c r="AK159" s="627"/>
      <c r="AL159" s="627"/>
      <c r="AM159" s="89"/>
      <c r="AN159" s="89"/>
    </row>
    <row r="160" spans="1:40" s="87" customFormat="1">
      <c r="B160" s="1531">
        <v>1672</v>
      </c>
      <c r="C160" s="647" t="s">
        <v>2179</v>
      </c>
      <c r="D160" s="627">
        <f>IFERROR(VLOOKUP($B160,'Trial Blc'!$B$4:O$377,D$2,FALSE),0)</f>
        <v>0</v>
      </c>
      <c r="E160" s="627"/>
      <c r="F160" s="627"/>
      <c r="G160" s="627">
        <f t="shared" si="126"/>
        <v>0</v>
      </c>
      <c r="H160" s="627">
        <f>IFERROR(VLOOKUP($B160,'Trial Blc'!$B$4:S$377,H$2,FALSE),0)</f>
        <v>0</v>
      </c>
      <c r="I160" s="627">
        <f>IFERROR(VLOOKUP($B160,'Trial Blc'!$B$4:T$377,I$2,FALSE),0)</f>
        <v>0</v>
      </c>
      <c r="J160" s="627">
        <f>IFERROR(VLOOKUP($B160,'Trial Blc'!$B$4:U$377,J$2,FALSE),0)</f>
        <v>0</v>
      </c>
      <c r="K160" s="627">
        <f>IFERROR(VLOOKUP($B160,'Trial Blc'!$B$4:V$377,K$2,FALSE),0)</f>
        <v>0</v>
      </c>
      <c r="L160" s="627">
        <f>IFERROR(VLOOKUP($B160,'Trial Blc'!$B$4:W$377,L$2,FALSE),0)</f>
        <v>0</v>
      </c>
      <c r="M160" s="627">
        <f>IFERROR(VLOOKUP($B160,'Trial Blc'!$B$4:X$377,M$2,FALSE),0)</f>
        <v>0</v>
      </c>
      <c r="N160" s="627">
        <f>IFERROR(VLOOKUP($B160,'Trial Blc'!$B$4:Y$377,N$2,FALSE),0)</f>
        <v>0</v>
      </c>
      <c r="O160" s="627">
        <f>IFERROR(VLOOKUP($B160,'Trial Blc'!$B$4:Z$377,O$2,FALSE),0)</f>
        <v>0</v>
      </c>
      <c r="P160" s="627">
        <f>IFERROR(VLOOKUP($B160,'Trial Blc'!$B$4:AA$377,P$2,FALSE),0)</f>
        <v>0</v>
      </c>
      <c r="Q160" s="627">
        <f>IFERROR(VLOOKUP($B160,'Trial Blc'!$B$4:AB$377,Q$2,FALSE),0)</f>
        <v>0</v>
      </c>
      <c r="R160" s="627">
        <f>IFERROR(VLOOKUP($B160,'Trial Blc'!$B$4:AC$377,R$2,FALSE),0)</f>
        <v>0</v>
      </c>
      <c r="S160" s="627">
        <f>IFERROR(VLOOKUP($B160,'Trial Blc'!$B$4:AD$377,S$2,FALSE),0)</f>
        <v>0</v>
      </c>
      <c r="T160" s="627">
        <f t="shared" si="127"/>
        <v>0</v>
      </c>
      <c r="U160" s="1536"/>
      <c r="W160" s="627"/>
      <c r="X160" s="647"/>
      <c r="Y160" s="627"/>
      <c r="Z160" s="627"/>
      <c r="AA160" s="627"/>
      <c r="AB160" s="627"/>
      <c r="AC160" s="627"/>
      <c r="AD160" s="627"/>
      <c r="AE160" s="627"/>
      <c r="AF160" s="627"/>
      <c r="AG160" s="627"/>
      <c r="AH160" s="627"/>
      <c r="AI160" s="627"/>
      <c r="AJ160" s="627"/>
      <c r="AK160" s="627"/>
      <c r="AL160" s="627"/>
      <c r="AM160" s="89"/>
      <c r="AN160" s="89"/>
    </row>
    <row r="161" spans="2:40" s="87" customFormat="1">
      <c r="B161" s="1531">
        <v>1699</v>
      </c>
      <c r="C161" s="647" t="s">
        <v>2180</v>
      </c>
      <c r="D161" s="627">
        <f>IFERROR(VLOOKUP($B161,'Trial Blc'!$B$4:O$377,D$2,FALSE),0)</f>
        <v>0</v>
      </c>
      <c r="E161" s="627"/>
      <c r="F161" s="627"/>
      <c r="G161" s="627">
        <f t="shared" si="126"/>
        <v>0</v>
      </c>
      <c r="H161" s="627">
        <f>IFERROR(VLOOKUP($B161,'Trial Blc'!$B$4:S$377,H$2,FALSE),0)</f>
        <v>0</v>
      </c>
      <c r="I161" s="627">
        <f>IFERROR(VLOOKUP($B161,'Trial Blc'!$B$4:T$377,I$2,FALSE),0)</f>
        <v>0</v>
      </c>
      <c r="J161" s="627">
        <f>IFERROR(VLOOKUP($B161,'Trial Blc'!$B$4:U$377,J$2,FALSE),0)</f>
        <v>0</v>
      </c>
      <c r="K161" s="627">
        <f>IFERROR(VLOOKUP($B161,'Trial Blc'!$B$4:V$377,K$2,FALSE),0)</f>
        <v>0</v>
      </c>
      <c r="L161" s="627">
        <f>IFERROR(VLOOKUP($B161,'Trial Blc'!$B$4:W$377,L$2,FALSE),0)</f>
        <v>0</v>
      </c>
      <c r="M161" s="627">
        <f>IFERROR(VLOOKUP($B161,'Trial Blc'!$B$4:X$377,M$2,FALSE),0)</f>
        <v>0</v>
      </c>
      <c r="N161" s="627">
        <f>IFERROR(VLOOKUP($B161,'Trial Blc'!$B$4:Y$377,N$2,FALSE),0)</f>
        <v>0</v>
      </c>
      <c r="O161" s="627">
        <f>IFERROR(VLOOKUP($B161,'Trial Blc'!$B$4:Z$377,O$2,FALSE),0)</f>
        <v>0</v>
      </c>
      <c r="P161" s="627">
        <f>IFERROR(VLOOKUP($B161,'Trial Blc'!$B$4:AA$377,P$2,FALSE),0)</f>
        <v>0</v>
      </c>
      <c r="Q161" s="627">
        <f>IFERROR(VLOOKUP($B161,'Trial Blc'!$B$4:AB$377,Q$2,FALSE),0)</f>
        <v>0</v>
      </c>
      <c r="R161" s="627">
        <f>IFERROR(VLOOKUP($B161,'Trial Blc'!$B$4:AC$377,R$2,FALSE),0)</f>
        <v>0</v>
      </c>
      <c r="S161" s="627">
        <f>IFERROR(VLOOKUP($B161,'Trial Blc'!$B$4:AD$377,S$2,FALSE),0)</f>
        <v>0</v>
      </c>
      <c r="T161" s="627">
        <f t="shared" si="127"/>
        <v>0</v>
      </c>
      <c r="U161" s="1536"/>
      <c r="W161" s="627"/>
      <c r="X161" s="647"/>
      <c r="Y161" s="627"/>
      <c r="Z161" s="627"/>
      <c r="AA161" s="627"/>
      <c r="AB161" s="627"/>
      <c r="AC161" s="627"/>
      <c r="AD161" s="627"/>
      <c r="AE161" s="627"/>
      <c r="AF161" s="627"/>
      <c r="AG161" s="627"/>
      <c r="AH161" s="627"/>
      <c r="AI161" s="627"/>
      <c r="AJ161" s="627"/>
      <c r="AK161" s="627"/>
      <c r="AL161" s="627"/>
      <c r="AM161" s="89"/>
      <c r="AN161" s="89"/>
    </row>
    <row r="162" spans="2:40" s="87" customFormat="1">
      <c r="B162" s="1531"/>
      <c r="C162" s="647"/>
      <c r="D162" s="627"/>
      <c r="E162" s="627"/>
      <c r="F162" s="627"/>
      <c r="G162" s="627"/>
      <c r="H162" s="630"/>
      <c r="I162" s="630"/>
      <c r="J162" s="630"/>
      <c r="K162" s="630"/>
      <c r="L162" s="630"/>
      <c r="M162" s="630"/>
      <c r="N162" s="630"/>
      <c r="O162" s="630"/>
      <c r="P162" s="630"/>
      <c r="Q162" s="630"/>
      <c r="R162" s="630"/>
      <c r="S162" s="630"/>
      <c r="T162" s="630"/>
      <c r="U162" s="1536"/>
      <c r="W162" s="627"/>
      <c r="X162" s="627"/>
      <c r="Y162" s="627"/>
      <c r="Z162" s="627"/>
      <c r="AA162" s="627"/>
      <c r="AB162" s="627"/>
      <c r="AC162" s="627"/>
      <c r="AD162" s="627"/>
      <c r="AE162" s="627"/>
      <c r="AF162" s="627"/>
      <c r="AG162" s="627"/>
      <c r="AH162" s="627"/>
      <c r="AI162" s="627"/>
      <c r="AJ162" s="627"/>
      <c r="AK162" s="627"/>
      <c r="AL162" s="627"/>
      <c r="AM162" s="89"/>
      <c r="AN162" s="89"/>
    </row>
    <row r="163" spans="2:40" s="89" customFormat="1" ht="10.5" customHeight="1">
      <c r="D163" s="646">
        <f t="shared" ref="D163:F163" si="128">SUM(D151:D162)</f>
        <v>0</v>
      </c>
      <c r="E163" s="646"/>
      <c r="F163" s="646">
        <f t="shared" si="128"/>
        <v>0</v>
      </c>
      <c r="G163" s="646">
        <f>SUM(G150:G162)</f>
        <v>0</v>
      </c>
      <c r="H163" s="646">
        <f t="shared" ref="H163:S163" si="129">SUM(H150:H162)</f>
        <v>0</v>
      </c>
      <c r="I163" s="646">
        <f t="shared" si="129"/>
        <v>0</v>
      </c>
      <c r="J163" s="646">
        <f t="shared" si="129"/>
        <v>0</v>
      </c>
      <c r="K163" s="646">
        <f t="shared" si="129"/>
        <v>0</v>
      </c>
      <c r="L163" s="646">
        <f t="shared" si="129"/>
        <v>0</v>
      </c>
      <c r="M163" s="646">
        <f t="shared" si="129"/>
        <v>0</v>
      </c>
      <c r="N163" s="646">
        <f t="shared" si="129"/>
        <v>0</v>
      </c>
      <c r="O163" s="646">
        <f t="shared" si="129"/>
        <v>0</v>
      </c>
      <c r="P163" s="646">
        <f t="shared" si="129"/>
        <v>0</v>
      </c>
      <c r="Q163" s="646">
        <f t="shared" si="129"/>
        <v>0</v>
      </c>
      <c r="R163" s="646">
        <f t="shared" si="129"/>
        <v>0</v>
      </c>
      <c r="S163" s="646">
        <f t="shared" si="129"/>
        <v>0</v>
      </c>
      <c r="T163" s="646">
        <f t="shared" ref="T163:T181" si="130">AVERAGE(G163:S163)</f>
        <v>0</v>
      </c>
      <c r="U163" s="1552"/>
      <c r="W163" s="627"/>
      <c r="X163" s="646">
        <f>SUM(X151:X162)</f>
        <v>0</v>
      </c>
      <c r="Y163" s="646"/>
      <c r="Z163" s="646">
        <f t="shared" ref="Z163" si="131">SUM(Z151:Z162)</f>
        <v>0</v>
      </c>
      <c r="AA163" s="627"/>
      <c r="AB163" s="627"/>
      <c r="AC163" s="627"/>
      <c r="AD163" s="627"/>
      <c r="AE163" s="627"/>
      <c r="AF163" s="627"/>
      <c r="AG163" s="627"/>
      <c r="AH163" s="627"/>
      <c r="AI163" s="627"/>
      <c r="AJ163" s="627"/>
      <c r="AK163" s="627"/>
      <c r="AL163" s="627"/>
    </row>
    <row r="164" spans="2:40" s="89" customFormat="1" ht="10.5" customHeight="1">
      <c r="B164" s="1532">
        <v>1740</v>
      </c>
      <c r="C164" s="113" t="s">
        <v>2197</v>
      </c>
      <c r="D164" s="627">
        <f>IFERROR(VLOOKUP($B164,'Trial Blc'!$B$4:O$377,D$2,FALSE),0)</f>
        <v>0</v>
      </c>
      <c r="E164" s="627"/>
      <c r="F164" s="627"/>
      <c r="G164" s="627">
        <f t="shared" ref="G164:G181" si="132">+D164+E164+F164</f>
        <v>0</v>
      </c>
      <c r="H164" s="627">
        <f>IFERROR(VLOOKUP($B164,'Trial Blc'!$B$4:S$377,H$2,FALSE),0)</f>
        <v>0</v>
      </c>
      <c r="I164" s="627">
        <f>IFERROR(VLOOKUP($B164,'Trial Blc'!$B$4:T$377,I$2,FALSE),0)</f>
        <v>0</v>
      </c>
      <c r="J164" s="627">
        <f>IFERROR(VLOOKUP($B164,'Trial Blc'!$B$4:U$377,J$2,FALSE),0)</f>
        <v>0</v>
      </c>
      <c r="K164" s="627">
        <f>IFERROR(VLOOKUP($B164,'Trial Blc'!$B$4:V$377,K$2,FALSE),0)</f>
        <v>0</v>
      </c>
      <c r="L164" s="627">
        <f>IFERROR(VLOOKUP($B164,'Trial Blc'!$B$4:W$377,L$2,FALSE),0)</f>
        <v>0</v>
      </c>
      <c r="M164" s="627">
        <f>IFERROR(VLOOKUP($B164,'Trial Blc'!$B$4:X$377,M$2,FALSE),0)</f>
        <v>0</v>
      </c>
      <c r="N164" s="627">
        <f>IFERROR(VLOOKUP($B164,'Trial Blc'!$B$4:Y$377,N$2,FALSE),0)</f>
        <v>0</v>
      </c>
      <c r="O164" s="627">
        <f>IFERROR(VLOOKUP($B164,'Trial Blc'!$B$4:Z$377,O$2,FALSE),0)</f>
        <v>0</v>
      </c>
      <c r="P164" s="627">
        <f>IFERROR(VLOOKUP($B164,'Trial Blc'!$B$4:AA$377,P$2,FALSE),0)</f>
        <v>0</v>
      </c>
      <c r="Q164" s="627">
        <f>IFERROR(VLOOKUP($B164,'Trial Blc'!$B$4:AB$377,Q$2,FALSE),0)</f>
        <v>0</v>
      </c>
      <c r="R164" s="627">
        <f>IFERROR(VLOOKUP($B164,'Trial Blc'!$B$4:AC$377,R$2,FALSE),0)</f>
        <v>0</v>
      </c>
      <c r="S164" s="627">
        <f>IFERROR(VLOOKUP($B164,'Trial Blc'!$B$4:AD$377,S$2,FALSE),0)</f>
        <v>0</v>
      </c>
      <c r="T164" s="627">
        <f t="shared" si="130"/>
        <v>0</v>
      </c>
      <c r="U164" s="1552"/>
      <c r="W164" s="627"/>
      <c r="X164" s="113"/>
      <c r="Y164" s="627"/>
      <c r="Z164" s="627"/>
      <c r="AA164" s="627"/>
      <c r="AB164" s="627"/>
      <c r="AC164" s="627"/>
      <c r="AD164" s="627"/>
      <c r="AE164" s="627"/>
      <c r="AF164" s="627"/>
      <c r="AG164" s="627"/>
      <c r="AH164" s="627"/>
      <c r="AI164" s="627"/>
      <c r="AJ164" s="627"/>
      <c r="AK164" s="627"/>
      <c r="AL164" s="627"/>
    </row>
    <row r="165" spans="2:40" s="89" customFormat="1" ht="10.5" customHeight="1">
      <c r="B165" s="1532">
        <v>1741</v>
      </c>
      <c r="C165" s="113" t="s">
        <v>2182</v>
      </c>
      <c r="D165" s="627">
        <f>IFERROR(VLOOKUP($B165,'Trial Blc'!$B$4:O$377,D$2,FALSE),0)</f>
        <v>0</v>
      </c>
      <c r="E165" s="627"/>
      <c r="F165" s="627"/>
      <c r="G165" s="627">
        <f t="shared" si="132"/>
        <v>0</v>
      </c>
      <c r="H165" s="627">
        <f>IFERROR(VLOOKUP($B165,'Trial Blc'!$B$4:S$377,H$2,FALSE),0)</f>
        <v>0</v>
      </c>
      <c r="I165" s="627">
        <f>IFERROR(VLOOKUP($B165,'Trial Blc'!$B$4:T$377,I$2,FALSE),0)</f>
        <v>0</v>
      </c>
      <c r="J165" s="627">
        <f>IFERROR(VLOOKUP($B165,'Trial Blc'!$B$4:U$377,J$2,FALSE),0)</f>
        <v>0</v>
      </c>
      <c r="K165" s="627">
        <f>IFERROR(VLOOKUP($B165,'Trial Blc'!$B$4:V$377,K$2,FALSE),0)</f>
        <v>0</v>
      </c>
      <c r="L165" s="627">
        <f>IFERROR(VLOOKUP($B165,'Trial Blc'!$B$4:W$377,L$2,FALSE),0)</f>
        <v>0</v>
      </c>
      <c r="M165" s="627">
        <f>IFERROR(VLOOKUP($B165,'Trial Blc'!$B$4:X$377,M$2,FALSE),0)</f>
        <v>0</v>
      </c>
      <c r="N165" s="627">
        <f>IFERROR(VLOOKUP($B165,'Trial Blc'!$B$4:Y$377,N$2,FALSE),0)</f>
        <v>0</v>
      </c>
      <c r="O165" s="627">
        <f>IFERROR(VLOOKUP($B165,'Trial Blc'!$B$4:Z$377,O$2,FALSE),0)</f>
        <v>0</v>
      </c>
      <c r="P165" s="627">
        <f>IFERROR(VLOOKUP($B165,'Trial Blc'!$B$4:AA$377,P$2,FALSE),0)</f>
        <v>0</v>
      </c>
      <c r="Q165" s="627">
        <f>IFERROR(VLOOKUP($B165,'Trial Blc'!$B$4:AB$377,Q$2,FALSE),0)</f>
        <v>0</v>
      </c>
      <c r="R165" s="627">
        <f>IFERROR(VLOOKUP($B165,'Trial Blc'!$B$4:AC$377,R$2,FALSE),0)</f>
        <v>0</v>
      </c>
      <c r="S165" s="627">
        <f>IFERROR(VLOOKUP($B165,'Trial Blc'!$B$4:AD$377,S$2,FALSE),0)</f>
        <v>0</v>
      </c>
      <c r="T165" s="627">
        <f t="shared" si="130"/>
        <v>0</v>
      </c>
      <c r="U165" s="1552"/>
      <c r="W165" s="627"/>
      <c r="X165" s="113"/>
      <c r="Y165" s="627"/>
      <c r="Z165" s="627"/>
      <c r="AA165" s="627"/>
      <c r="AB165" s="627"/>
      <c r="AC165" s="627"/>
      <c r="AD165" s="627"/>
      <c r="AE165" s="627"/>
      <c r="AF165" s="627"/>
      <c r="AG165" s="627"/>
      <c r="AH165" s="627"/>
      <c r="AI165" s="627"/>
      <c r="AJ165" s="627"/>
      <c r="AK165" s="627"/>
      <c r="AL165" s="627"/>
    </row>
    <row r="166" spans="2:40" s="89" customFormat="1" ht="10.5" customHeight="1">
      <c r="B166" s="1532">
        <v>1745</v>
      </c>
      <c r="C166" s="113" t="s">
        <v>2183</v>
      </c>
      <c r="D166" s="627">
        <f>IFERROR(VLOOKUP($B166,'Trial Blc'!$B$4:O$377,D$2,FALSE),0)</f>
        <v>15917.97</v>
      </c>
      <c r="E166" s="627"/>
      <c r="F166" s="627"/>
      <c r="G166" s="627">
        <f t="shared" si="132"/>
        <v>15917.97</v>
      </c>
      <c r="H166" s="627">
        <f>IFERROR(VLOOKUP($B166,'Trial Blc'!$B$4:S$377,H$2,FALSE),0)</f>
        <v>15917.94</v>
      </c>
      <c r="I166" s="627">
        <f>IFERROR(VLOOKUP($B166,'Trial Blc'!$B$4:T$377,I$2,FALSE),0)</f>
        <v>15917.88</v>
      </c>
      <c r="J166" s="627">
        <f>IFERROR(VLOOKUP($B166,'Trial Blc'!$B$4:U$377,J$2,FALSE),0)</f>
        <v>15943.06</v>
      </c>
      <c r="K166" s="627">
        <f>IFERROR(VLOOKUP($B166,'Trial Blc'!$B$4:V$377,K$2,FALSE),0)</f>
        <v>15943.01</v>
      </c>
      <c r="L166" s="627">
        <f>IFERROR(VLOOKUP($B166,'Trial Blc'!$B$4:W$377,L$2,FALSE),0)</f>
        <v>15896.64</v>
      </c>
      <c r="M166" s="627">
        <f>IFERROR(VLOOKUP($B166,'Trial Blc'!$B$4:X$377,M$2,FALSE),0)</f>
        <v>15896.62</v>
      </c>
      <c r="N166" s="627">
        <f>IFERROR(VLOOKUP($B166,'Trial Blc'!$B$4:Y$377,N$2,FALSE),0)</f>
        <v>15896.61</v>
      </c>
      <c r="O166" s="627">
        <f>IFERROR(VLOOKUP($B166,'Trial Blc'!$B$4:Z$377,O$2,FALSE),0)</f>
        <v>15896.59</v>
      </c>
      <c r="P166" s="627">
        <f>IFERROR(VLOOKUP($B166,'Trial Blc'!$B$4:AA$377,P$2,FALSE),0)</f>
        <v>15896.57</v>
      </c>
      <c r="Q166" s="627">
        <f>IFERROR(VLOOKUP($B166,'Trial Blc'!$B$4:AB$377,Q$2,FALSE),0)</f>
        <v>15896.57</v>
      </c>
      <c r="R166" s="627">
        <f>IFERROR(VLOOKUP($B166,'Trial Blc'!$B$4:AC$377,R$2,FALSE),0)</f>
        <v>15896.54</v>
      </c>
      <c r="S166" s="627">
        <f>IFERROR(VLOOKUP($B166,'Trial Blc'!$B$4:AD$377,S$2,FALSE),0)</f>
        <v>15896.53</v>
      </c>
      <c r="T166" s="627">
        <f t="shared" si="130"/>
        <v>15908.656153846156</v>
      </c>
      <c r="U166" s="1552"/>
      <c r="W166" s="627"/>
      <c r="X166" s="113"/>
      <c r="Y166" s="627"/>
      <c r="Z166" s="627"/>
      <c r="AA166" s="627"/>
      <c r="AB166" s="627"/>
      <c r="AC166" s="627"/>
      <c r="AD166" s="627"/>
      <c r="AE166" s="627"/>
      <c r="AF166" s="627"/>
      <c r="AG166" s="627"/>
      <c r="AH166" s="627"/>
      <c r="AI166" s="627"/>
      <c r="AJ166" s="627"/>
      <c r="AK166" s="627"/>
      <c r="AL166" s="627"/>
    </row>
    <row r="167" spans="2:40" s="89" customFormat="1" ht="10.5" customHeight="1">
      <c r="B167" s="1532">
        <v>1746</v>
      </c>
      <c r="C167" s="113" t="s">
        <v>2184</v>
      </c>
      <c r="D167" s="627">
        <f>IFERROR(VLOOKUP($B167,'Trial Blc'!$B$4:O$377,D$2,FALSE),0)</f>
        <v>0</v>
      </c>
      <c r="E167" s="627"/>
      <c r="F167" s="627"/>
      <c r="G167" s="627">
        <f t="shared" si="132"/>
        <v>0</v>
      </c>
      <c r="H167" s="627">
        <f>IFERROR(VLOOKUP($B167,'Trial Blc'!$B$4:S$377,H$2,FALSE),0)</f>
        <v>0</v>
      </c>
      <c r="I167" s="627">
        <f>IFERROR(VLOOKUP($B167,'Trial Blc'!$B$4:T$377,I$2,FALSE),0)</f>
        <v>0</v>
      </c>
      <c r="J167" s="627">
        <f>IFERROR(VLOOKUP($B167,'Trial Blc'!$B$4:U$377,J$2,FALSE),0)</f>
        <v>0</v>
      </c>
      <c r="K167" s="627">
        <f>IFERROR(VLOOKUP($B167,'Trial Blc'!$B$4:V$377,K$2,FALSE),0)</f>
        <v>0</v>
      </c>
      <c r="L167" s="627">
        <f>IFERROR(VLOOKUP($B167,'Trial Blc'!$B$4:W$377,L$2,FALSE),0)</f>
        <v>0</v>
      </c>
      <c r="M167" s="627">
        <f>IFERROR(VLOOKUP($B167,'Trial Blc'!$B$4:X$377,M$2,FALSE),0)</f>
        <v>0</v>
      </c>
      <c r="N167" s="627">
        <f>IFERROR(VLOOKUP($B167,'Trial Blc'!$B$4:Y$377,N$2,FALSE),0)</f>
        <v>0</v>
      </c>
      <c r="O167" s="627">
        <f>IFERROR(VLOOKUP($B167,'Trial Blc'!$B$4:Z$377,O$2,FALSE),0)</f>
        <v>0</v>
      </c>
      <c r="P167" s="627">
        <f>IFERROR(VLOOKUP($B167,'Trial Blc'!$B$4:AA$377,P$2,FALSE),0)</f>
        <v>0</v>
      </c>
      <c r="Q167" s="627">
        <f>IFERROR(VLOOKUP($B167,'Trial Blc'!$B$4:AB$377,Q$2,FALSE),0)</f>
        <v>0</v>
      </c>
      <c r="R167" s="627">
        <f>IFERROR(VLOOKUP($B167,'Trial Blc'!$B$4:AC$377,R$2,FALSE),0)</f>
        <v>0</v>
      </c>
      <c r="S167" s="627">
        <f>IFERROR(VLOOKUP($B167,'Trial Blc'!$B$4:AD$377,S$2,FALSE),0)</f>
        <v>0</v>
      </c>
      <c r="T167" s="627">
        <f t="shared" si="130"/>
        <v>0</v>
      </c>
      <c r="U167" s="1552"/>
      <c r="W167" s="627"/>
      <c r="X167" s="113"/>
      <c r="Y167" s="627"/>
      <c r="Z167" s="627"/>
      <c r="AA167" s="627"/>
      <c r="AB167" s="627"/>
      <c r="AC167" s="627"/>
      <c r="AD167" s="627"/>
      <c r="AE167" s="627"/>
      <c r="AF167" s="627"/>
      <c r="AG167" s="627"/>
      <c r="AH167" s="627"/>
      <c r="AI167" s="627"/>
      <c r="AJ167" s="627"/>
      <c r="AK167" s="627"/>
      <c r="AL167" s="627"/>
    </row>
    <row r="168" spans="2:40" s="89" customFormat="1" ht="10.5" customHeight="1">
      <c r="B168" s="1531">
        <v>1748</v>
      </c>
      <c r="C168" s="647" t="s">
        <v>2185</v>
      </c>
      <c r="D168" s="627">
        <f>IFERROR(VLOOKUP($B168,'Trial Blc'!$B$4:O$377,D$2,FALSE),0)</f>
        <v>0</v>
      </c>
      <c r="E168" s="627"/>
      <c r="F168" s="627"/>
      <c r="G168" s="627">
        <f t="shared" si="132"/>
        <v>0</v>
      </c>
      <c r="H168" s="627">
        <f>IFERROR(VLOOKUP($B168,'Trial Blc'!$B$4:S$377,H$2,FALSE),0)</f>
        <v>0</v>
      </c>
      <c r="I168" s="627">
        <f>IFERROR(VLOOKUP($B168,'Trial Blc'!$B$4:T$377,I$2,FALSE),0)</f>
        <v>0</v>
      </c>
      <c r="J168" s="627">
        <f>IFERROR(VLOOKUP($B168,'Trial Blc'!$B$4:U$377,J$2,FALSE),0)</f>
        <v>0</v>
      </c>
      <c r="K168" s="627">
        <f>IFERROR(VLOOKUP($B168,'Trial Blc'!$B$4:V$377,K$2,FALSE),0)</f>
        <v>0</v>
      </c>
      <c r="L168" s="627">
        <f>IFERROR(VLOOKUP($B168,'Trial Blc'!$B$4:W$377,L$2,FALSE),0)</f>
        <v>0</v>
      </c>
      <c r="M168" s="627">
        <f>IFERROR(VLOOKUP($B168,'Trial Blc'!$B$4:X$377,M$2,FALSE),0)</f>
        <v>0</v>
      </c>
      <c r="N168" s="627">
        <f>IFERROR(VLOOKUP($B168,'Trial Blc'!$B$4:Y$377,N$2,FALSE),0)</f>
        <v>0</v>
      </c>
      <c r="O168" s="627">
        <f>IFERROR(VLOOKUP($B168,'Trial Blc'!$B$4:Z$377,O$2,FALSE),0)</f>
        <v>0</v>
      </c>
      <c r="P168" s="627">
        <f>IFERROR(VLOOKUP($B168,'Trial Blc'!$B$4:AA$377,P$2,FALSE),0)</f>
        <v>0</v>
      </c>
      <c r="Q168" s="627">
        <f>IFERROR(VLOOKUP($B168,'Trial Blc'!$B$4:AB$377,Q$2,FALSE),0)</f>
        <v>0</v>
      </c>
      <c r="R168" s="627">
        <f>IFERROR(VLOOKUP($B168,'Trial Blc'!$B$4:AC$377,R$2,FALSE),0)</f>
        <v>0</v>
      </c>
      <c r="S168" s="627">
        <f>IFERROR(VLOOKUP($B168,'Trial Blc'!$B$4:AD$377,S$2,FALSE),0)</f>
        <v>0</v>
      </c>
      <c r="T168" s="627">
        <f t="shared" si="130"/>
        <v>0</v>
      </c>
      <c r="U168" s="1552"/>
      <c r="W168" s="627"/>
      <c r="X168" s="647"/>
      <c r="Y168" s="627"/>
      <c r="Z168" s="627"/>
      <c r="AA168" s="627"/>
      <c r="AB168" s="627"/>
      <c r="AC168" s="627"/>
      <c r="AD168" s="627"/>
      <c r="AE168" s="627"/>
      <c r="AF168" s="627"/>
      <c r="AG168" s="627"/>
      <c r="AH168" s="627"/>
      <c r="AI168" s="627"/>
      <c r="AJ168" s="627"/>
      <c r="AK168" s="627"/>
      <c r="AL168" s="627"/>
    </row>
    <row r="169" spans="2:40" s="89" customFormat="1" ht="10.5" customHeight="1">
      <c r="B169" s="1531">
        <v>1749</v>
      </c>
      <c r="C169" s="647" t="s">
        <v>2186</v>
      </c>
      <c r="D169" s="627">
        <f>IFERROR(VLOOKUP($B169,'Trial Blc'!$B$4:O$377,D$2,FALSE),0)</f>
        <v>0</v>
      </c>
      <c r="E169" s="627"/>
      <c r="F169" s="627"/>
      <c r="G169" s="627">
        <f t="shared" si="132"/>
        <v>0</v>
      </c>
      <c r="H169" s="627">
        <f>IFERROR(VLOOKUP($B169,'Trial Blc'!$B$4:S$377,H$2,FALSE),0)</f>
        <v>0</v>
      </c>
      <c r="I169" s="627">
        <f>IFERROR(VLOOKUP($B169,'Trial Blc'!$B$4:T$377,I$2,FALSE),0)</f>
        <v>0</v>
      </c>
      <c r="J169" s="627">
        <f>IFERROR(VLOOKUP($B169,'Trial Blc'!$B$4:U$377,J$2,FALSE),0)</f>
        <v>0</v>
      </c>
      <c r="K169" s="627">
        <f>IFERROR(VLOOKUP($B169,'Trial Blc'!$B$4:V$377,K$2,FALSE),0)</f>
        <v>0</v>
      </c>
      <c r="L169" s="627">
        <f>IFERROR(VLOOKUP($B169,'Trial Blc'!$B$4:W$377,L$2,FALSE),0)</f>
        <v>0</v>
      </c>
      <c r="M169" s="627">
        <f>IFERROR(VLOOKUP($B169,'Trial Blc'!$B$4:X$377,M$2,FALSE),0)</f>
        <v>0</v>
      </c>
      <c r="N169" s="627">
        <f>IFERROR(VLOOKUP($B169,'Trial Blc'!$B$4:Y$377,N$2,FALSE),0)</f>
        <v>0</v>
      </c>
      <c r="O169" s="627">
        <f>IFERROR(VLOOKUP($B169,'Trial Blc'!$B$4:Z$377,O$2,FALSE),0)</f>
        <v>0</v>
      </c>
      <c r="P169" s="627">
        <f>IFERROR(VLOOKUP($B169,'Trial Blc'!$B$4:AA$377,P$2,FALSE),0)</f>
        <v>0</v>
      </c>
      <c r="Q169" s="627">
        <f>IFERROR(VLOOKUP($B169,'Trial Blc'!$B$4:AB$377,Q$2,FALSE),0)</f>
        <v>0</v>
      </c>
      <c r="R169" s="627">
        <f>IFERROR(VLOOKUP($B169,'Trial Blc'!$B$4:AC$377,R$2,FALSE),0)</f>
        <v>0</v>
      </c>
      <c r="S169" s="627">
        <f>IFERROR(VLOOKUP($B169,'Trial Blc'!$B$4:AD$377,S$2,FALSE),0)</f>
        <v>0</v>
      </c>
      <c r="T169" s="627">
        <f t="shared" si="130"/>
        <v>0</v>
      </c>
      <c r="U169" s="1552"/>
      <c r="W169" s="627"/>
      <c r="X169" s="647"/>
      <c r="Y169" s="627"/>
      <c r="Z169" s="627"/>
      <c r="AA169" s="627"/>
      <c r="AB169" s="627"/>
      <c r="AC169" s="627"/>
      <c r="AD169" s="627"/>
      <c r="AE169" s="627"/>
      <c r="AF169" s="627"/>
      <c r="AG169" s="627"/>
      <c r="AH169" s="627"/>
      <c r="AI169" s="627"/>
      <c r="AJ169" s="627"/>
      <c r="AK169" s="627"/>
      <c r="AL169" s="627"/>
    </row>
    <row r="170" spans="2:40" s="89" customFormat="1" ht="10.5" customHeight="1">
      <c r="B170" s="1531">
        <v>1752</v>
      </c>
      <c r="C170" s="647" t="s">
        <v>2187</v>
      </c>
      <c r="D170" s="627">
        <f>IFERROR(VLOOKUP($B170,'Trial Blc'!$B$4:O$377,D$2,FALSE),0)</f>
        <v>0</v>
      </c>
      <c r="E170" s="627"/>
      <c r="F170" s="627"/>
      <c r="G170" s="627">
        <f t="shared" si="132"/>
        <v>0</v>
      </c>
      <c r="H170" s="627">
        <f>IFERROR(VLOOKUP($B170,'Trial Blc'!$B$4:S$377,H$2,FALSE),0)</f>
        <v>0</v>
      </c>
      <c r="I170" s="627">
        <f>IFERROR(VLOOKUP($B170,'Trial Blc'!$B$4:T$377,I$2,FALSE),0)</f>
        <v>0</v>
      </c>
      <c r="J170" s="627">
        <f>IFERROR(VLOOKUP($B170,'Trial Blc'!$B$4:U$377,J$2,FALSE),0)</f>
        <v>0</v>
      </c>
      <c r="K170" s="627">
        <f>IFERROR(VLOOKUP($B170,'Trial Blc'!$B$4:V$377,K$2,FALSE),0)</f>
        <v>0</v>
      </c>
      <c r="L170" s="627">
        <f>IFERROR(VLOOKUP($B170,'Trial Blc'!$B$4:W$377,L$2,FALSE),0)</f>
        <v>0</v>
      </c>
      <c r="M170" s="627">
        <f>IFERROR(VLOOKUP($B170,'Trial Blc'!$B$4:X$377,M$2,FALSE),0)</f>
        <v>0</v>
      </c>
      <c r="N170" s="627">
        <f>IFERROR(VLOOKUP($B170,'Trial Blc'!$B$4:Y$377,N$2,FALSE),0)</f>
        <v>0</v>
      </c>
      <c r="O170" s="627">
        <f>IFERROR(VLOOKUP($B170,'Trial Blc'!$B$4:Z$377,O$2,FALSE),0)</f>
        <v>0</v>
      </c>
      <c r="P170" s="627">
        <f>IFERROR(VLOOKUP($B170,'Trial Blc'!$B$4:AA$377,P$2,FALSE),0)</f>
        <v>0</v>
      </c>
      <c r="Q170" s="627">
        <f>IFERROR(VLOOKUP($B170,'Trial Blc'!$B$4:AB$377,Q$2,FALSE),0)</f>
        <v>0</v>
      </c>
      <c r="R170" s="627">
        <f>IFERROR(VLOOKUP($B170,'Trial Blc'!$B$4:AC$377,R$2,FALSE),0)</f>
        <v>0</v>
      </c>
      <c r="S170" s="627">
        <f>IFERROR(VLOOKUP($B170,'Trial Blc'!$B$4:AD$377,S$2,FALSE),0)</f>
        <v>0</v>
      </c>
      <c r="T170" s="627">
        <f t="shared" si="130"/>
        <v>0</v>
      </c>
      <c r="U170" s="1552"/>
      <c r="W170" s="627"/>
      <c r="X170" s="647"/>
      <c r="Y170" s="627"/>
      <c r="Z170" s="627"/>
      <c r="AA170" s="627"/>
      <c r="AB170" s="627"/>
      <c r="AC170" s="627"/>
      <c r="AD170" s="627"/>
      <c r="AE170" s="627"/>
      <c r="AF170" s="627"/>
      <c r="AG170" s="627"/>
      <c r="AH170" s="627"/>
      <c r="AI170" s="627"/>
      <c r="AJ170" s="627"/>
      <c r="AK170" s="627"/>
      <c r="AL170" s="627"/>
    </row>
    <row r="171" spans="2:40" s="89" customFormat="1" ht="10.5" customHeight="1">
      <c r="B171" s="1531">
        <v>1769</v>
      </c>
      <c r="C171" s="647" t="s">
        <v>2188</v>
      </c>
      <c r="D171" s="627">
        <f>IFERROR(VLOOKUP($B171,'Trial Blc'!$B$4:O$377,D$2,FALSE),0)</f>
        <v>0</v>
      </c>
      <c r="E171" s="627"/>
      <c r="F171" s="627"/>
      <c r="G171" s="627">
        <f t="shared" si="132"/>
        <v>0</v>
      </c>
      <c r="H171" s="627">
        <f>IFERROR(VLOOKUP($B171,'Trial Blc'!$B$4:S$377,H$2,FALSE),0)</f>
        <v>0</v>
      </c>
      <c r="I171" s="627">
        <f>IFERROR(VLOOKUP($B171,'Trial Blc'!$B$4:T$377,I$2,FALSE),0)</f>
        <v>0</v>
      </c>
      <c r="J171" s="627">
        <f>IFERROR(VLOOKUP($B171,'Trial Blc'!$B$4:U$377,J$2,FALSE),0)</f>
        <v>0</v>
      </c>
      <c r="K171" s="627">
        <f>IFERROR(VLOOKUP($B171,'Trial Blc'!$B$4:V$377,K$2,FALSE),0)</f>
        <v>0</v>
      </c>
      <c r="L171" s="627">
        <f>IFERROR(VLOOKUP($B171,'Trial Blc'!$B$4:W$377,L$2,FALSE),0)</f>
        <v>0</v>
      </c>
      <c r="M171" s="627">
        <f>IFERROR(VLOOKUP($B171,'Trial Blc'!$B$4:X$377,M$2,FALSE),0)</f>
        <v>0</v>
      </c>
      <c r="N171" s="627">
        <f>IFERROR(VLOOKUP($B171,'Trial Blc'!$B$4:Y$377,N$2,FALSE),0)</f>
        <v>0</v>
      </c>
      <c r="O171" s="627">
        <f>IFERROR(VLOOKUP($B171,'Trial Blc'!$B$4:Z$377,O$2,FALSE),0)</f>
        <v>0</v>
      </c>
      <c r="P171" s="627">
        <f>IFERROR(VLOOKUP($B171,'Trial Blc'!$B$4:AA$377,P$2,FALSE),0)</f>
        <v>0</v>
      </c>
      <c r="Q171" s="627">
        <f>IFERROR(VLOOKUP($B171,'Trial Blc'!$B$4:AB$377,Q$2,FALSE),0)</f>
        <v>0</v>
      </c>
      <c r="R171" s="627">
        <f>IFERROR(VLOOKUP($B171,'Trial Blc'!$B$4:AC$377,R$2,FALSE),0)</f>
        <v>0</v>
      </c>
      <c r="S171" s="627">
        <f>IFERROR(VLOOKUP($B171,'Trial Blc'!$B$4:AD$377,S$2,FALSE),0)</f>
        <v>0</v>
      </c>
      <c r="T171" s="627">
        <f t="shared" si="130"/>
        <v>0</v>
      </c>
      <c r="U171" s="1552"/>
      <c r="W171" s="627"/>
      <c r="X171" s="647"/>
      <c r="Y171" s="627"/>
      <c r="Z171" s="627"/>
      <c r="AA171" s="627"/>
      <c r="AB171" s="627"/>
      <c r="AC171" s="627"/>
      <c r="AD171" s="627"/>
      <c r="AE171" s="627"/>
      <c r="AF171" s="627"/>
      <c r="AG171" s="627"/>
      <c r="AH171" s="627"/>
      <c r="AI171" s="627"/>
      <c r="AJ171" s="627"/>
      <c r="AK171" s="627"/>
      <c r="AL171" s="627"/>
    </row>
    <row r="172" spans="2:40" s="89" customFormat="1" ht="10.5" customHeight="1">
      <c r="B172" s="1532">
        <v>1770</v>
      </c>
      <c r="C172" s="113" t="s">
        <v>2189</v>
      </c>
      <c r="D172" s="627">
        <f>IFERROR(VLOOKUP($B172,'Trial Blc'!$B$4:O$377,D$2,FALSE),0)</f>
        <v>0</v>
      </c>
      <c r="E172" s="627"/>
      <c r="F172" s="627"/>
      <c r="G172" s="627">
        <f t="shared" si="132"/>
        <v>0</v>
      </c>
      <c r="H172" s="627">
        <f>IFERROR(VLOOKUP($B172,'Trial Blc'!$B$4:S$377,H$2,FALSE),0)</f>
        <v>0</v>
      </c>
      <c r="I172" s="627">
        <f>IFERROR(VLOOKUP($B172,'Trial Blc'!$B$4:T$377,I$2,FALSE),0)</f>
        <v>0</v>
      </c>
      <c r="J172" s="627">
        <f>IFERROR(VLOOKUP($B172,'Trial Blc'!$B$4:U$377,J$2,FALSE),0)</f>
        <v>0</v>
      </c>
      <c r="K172" s="627">
        <f>IFERROR(VLOOKUP($B172,'Trial Blc'!$B$4:V$377,K$2,FALSE),0)</f>
        <v>0</v>
      </c>
      <c r="L172" s="627">
        <f>IFERROR(VLOOKUP($B172,'Trial Blc'!$B$4:W$377,L$2,FALSE),0)</f>
        <v>0</v>
      </c>
      <c r="M172" s="627">
        <f>IFERROR(VLOOKUP($B172,'Trial Blc'!$B$4:X$377,M$2,FALSE),0)</f>
        <v>0</v>
      </c>
      <c r="N172" s="627">
        <f>IFERROR(VLOOKUP($B172,'Trial Blc'!$B$4:Y$377,N$2,FALSE),0)</f>
        <v>0</v>
      </c>
      <c r="O172" s="627">
        <f>IFERROR(VLOOKUP($B172,'Trial Blc'!$B$4:Z$377,O$2,FALSE),0)</f>
        <v>0</v>
      </c>
      <c r="P172" s="627">
        <f>IFERROR(VLOOKUP($B172,'Trial Blc'!$B$4:AA$377,P$2,FALSE),0)</f>
        <v>0</v>
      </c>
      <c r="Q172" s="627">
        <f>IFERROR(VLOOKUP($B172,'Trial Blc'!$B$4:AB$377,Q$2,FALSE),0)</f>
        <v>0</v>
      </c>
      <c r="R172" s="627">
        <f>IFERROR(VLOOKUP($B172,'Trial Blc'!$B$4:AC$377,R$2,FALSE),0)</f>
        <v>0</v>
      </c>
      <c r="S172" s="627">
        <f>IFERROR(VLOOKUP($B172,'Trial Blc'!$B$4:AD$377,S$2,FALSE),0)</f>
        <v>0</v>
      </c>
      <c r="T172" s="627">
        <f t="shared" si="130"/>
        <v>0</v>
      </c>
      <c r="U172" s="1552"/>
      <c r="W172" s="627"/>
      <c r="X172" s="113"/>
      <c r="Y172" s="627"/>
      <c r="Z172" s="627"/>
      <c r="AA172" s="627"/>
      <c r="AB172" s="627"/>
      <c r="AC172" s="627"/>
      <c r="AD172" s="627"/>
      <c r="AE172" s="627"/>
      <c r="AF172" s="627"/>
      <c r="AG172" s="627"/>
      <c r="AH172" s="627"/>
      <c r="AI172" s="627"/>
      <c r="AJ172" s="627"/>
      <c r="AK172" s="627"/>
      <c r="AL172" s="627"/>
    </row>
    <row r="173" spans="2:40" s="89" customFormat="1" ht="10.5" customHeight="1">
      <c r="B173" s="1532">
        <v>1771</v>
      </c>
      <c r="C173" s="113" t="s">
        <v>2190</v>
      </c>
      <c r="D173" s="627">
        <f>IFERROR(VLOOKUP($B173,'Trial Blc'!$B$4:O$377,D$2,FALSE),0)</f>
        <v>0</v>
      </c>
      <c r="E173" s="627"/>
      <c r="F173" s="627"/>
      <c r="G173" s="627">
        <f t="shared" si="132"/>
        <v>0</v>
      </c>
      <c r="H173" s="627">
        <f>IFERROR(VLOOKUP($B173,'Trial Blc'!$B$4:S$377,H$2,FALSE),0)</f>
        <v>0</v>
      </c>
      <c r="I173" s="627">
        <f>IFERROR(VLOOKUP($B173,'Trial Blc'!$B$4:T$377,I$2,FALSE),0)</f>
        <v>0</v>
      </c>
      <c r="J173" s="627">
        <f>IFERROR(VLOOKUP($B173,'Trial Blc'!$B$4:U$377,J$2,FALSE),0)</f>
        <v>0</v>
      </c>
      <c r="K173" s="627">
        <f>IFERROR(VLOOKUP($B173,'Trial Blc'!$B$4:V$377,K$2,FALSE),0)</f>
        <v>0</v>
      </c>
      <c r="L173" s="627">
        <f>IFERROR(VLOOKUP($B173,'Trial Blc'!$B$4:W$377,L$2,FALSE),0)</f>
        <v>0</v>
      </c>
      <c r="M173" s="627">
        <f>IFERROR(VLOOKUP($B173,'Trial Blc'!$B$4:X$377,M$2,FALSE),0)</f>
        <v>0</v>
      </c>
      <c r="N173" s="627">
        <f>IFERROR(VLOOKUP($B173,'Trial Blc'!$B$4:Y$377,N$2,FALSE),0)</f>
        <v>0</v>
      </c>
      <c r="O173" s="627">
        <f>IFERROR(VLOOKUP($B173,'Trial Blc'!$B$4:Z$377,O$2,FALSE),0)</f>
        <v>0</v>
      </c>
      <c r="P173" s="627">
        <f>IFERROR(VLOOKUP($B173,'Trial Blc'!$B$4:AA$377,P$2,FALSE),0)</f>
        <v>0</v>
      </c>
      <c r="Q173" s="627">
        <f>IFERROR(VLOOKUP($B173,'Trial Blc'!$B$4:AB$377,Q$2,FALSE),0)</f>
        <v>0</v>
      </c>
      <c r="R173" s="627">
        <f>IFERROR(VLOOKUP($B173,'Trial Blc'!$B$4:AC$377,R$2,FALSE),0)</f>
        <v>0</v>
      </c>
      <c r="S173" s="627">
        <f>IFERROR(VLOOKUP($B173,'Trial Blc'!$B$4:AD$377,S$2,FALSE),0)</f>
        <v>0</v>
      </c>
      <c r="T173" s="627">
        <f t="shared" si="130"/>
        <v>0</v>
      </c>
      <c r="U173" s="1552"/>
      <c r="W173" s="627"/>
      <c r="X173" s="113"/>
      <c r="Y173" s="627"/>
      <c r="Z173" s="627"/>
      <c r="AA173" s="627"/>
      <c r="AB173" s="627"/>
      <c r="AC173" s="627"/>
      <c r="AD173" s="627"/>
      <c r="AE173" s="627"/>
      <c r="AF173" s="627"/>
      <c r="AG173" s="627"/>
      <c r="AH173" s="627"/>
      <c r="AI173" s="627"/>
      <c r="AJ173" s="627"/>
      <c r="AK173" s="627"/>
      <c r="AL173" s="627"/>
    </row>
    <row r="174" spans="2:40" s="89" customFormat="1" ht="10.5" customHeight="1">
      <c r="B174" s="1532">
        <v>1775</v>
      </c>
      <c r="C174" s="113" t="s">
        <v>2191</v>
      </c>
      <c r="D174" s="627">
        <f>IFERROR(VLOOKUP($B174,'Trial Blc'!$B$4:O$377,D$2,FALSE),0)</f>
        <v>67.84</v>
      </c>
      <c r="E174" s="627"/>
      <c r="F174" s="627"/>
      <c r="G174" s="627">
        <f t="shared" si="132"/>
        <v>67.84</v>
      </c>
      <c r="H174" s="627">
        <f>IFERROR(VLOOKUP($B174,'Trial Blc'!$B$4:S$377,H$2,FALSE),0)</f>
        <v>67.84</v>
      </c>
      <c r="I174" s="627">
        <f>IFERROR(VLOOKUP($B174,'Trial Blc'!$B$4:T$377,I$2,FALSE),0)</f>
        <v>67.84</v>
      </c>
      <c r="J174" s="627">
        <f>IFERROR(VLOOKUP($B174,'Trial Blc'!$B$4:U$377,J$2,FALSE),0)</f>
        <v>67.84</v>
      </c>
      <c r="K174" s="627">
        <f>IFERROR(VLOOKUP($B174,'Trial Blc'!$B$4:V$377,K$2,FALSE),0)</f>
        <v>67.84</v>
      </c>
      <c r="L174" s="627">
        <f>IFERROR(VLOOKUP($B174,'Trial Blc'!$B$4:W$377,L$2,FALSE),0)</f>
        <v>67.84</v>
      </c>
      <c r="M174" s="627">
        <f>IFERROR(VLOOKUP($B174,'Trial Blc'!$B$4:X$377,M$2,FALSE),0)</f>
        <v>67.84</v>
      </c>
      <c r="N174" s="627">
        <f>IFERROR(VLOOKUP($B174,'Trial Blc'!$B$4:Y$377,N$2,FALSE),0)</f>
        <v>67.84</v>
      </c>
      <c r="O174" s="627">
        <f>IFERROR(VLOOKUP($B174,'Trial Blc'!$B$4:Z$377,O$2,FALSE),0)</f>
        <v>67.84</v>
      </c>
      <c r="P174" s="627">
        <f>IFERROR(VLOOKUP($B174,'Trial Blc'!$B$4:AA$377,P$2,FALSE),0)</f>
        <v>67.84</v>
      </c>
      <c r="Q174" s="627">
        <f>IFERROR(VLOOKUP($B174,'Trial Blc'!$B$4:AB$377,Q$2,FALSE),0)</f>
        <v>67.84</v>
      </c>
      <c r="R174" s="627">
        <f>IFERROR(VLOOKUP($B174,'Trial Blc'!$B$4:AC$377,R$2,FALSE),0)</f>
        <v>67.84</v>
      </c>
      <c r="S174" s="627">
        <f>IFERROR(VLOOKUP($B174,'Trial Blc'!$B$4:AD$377,S$2,FALSE),0)</f>
        <v>67.84</v>
      </c>
      <c r="T174" s="627">
        <f t="shared" si="130"/>
        <v>67.840000000000018</v>
      </c>
      <c r="U174" s="1552"/>
      <c r="W174" s="627"/>
      <c r="X174" s="113"/>
      <c r="Y174" s="627"/>
      <c r="Z174" s="627"/>
      <c r="AA174" s="627"/>
      <c r="AB174" s="627"/>
      <c r="AC174" s="627"/>
      <c r="AD174" s="627"/>
      <c r="AE174" s="627"/>
      <c r="AF174" s="627"/>
      <c r="AG174" s="627"/>
      <c r="AH174" s="627"/>
      <c r="AI174" s="627"/>
      <c r="AJ174" s="627"/>
      <c r="AK174" s="627"/>
      <c r="AL174" s="627"/>
    </row>
    <row r="175" spans="2:40" s="89" customFormat="1" ht="10.5" customHeight="1">
      <c r="B175" s="1531">
        <v>1776</v>
      </c>
      <c r="C175" s="111" t="s">
        <v>2192</v>
      </c>
      <c r="D175" s="627">
        <f>IFERROR(VLOOKUP($B175,'Trial Blc'!$B$4:O$377,D$2,FALSE),0)</f>
        <v>111.72</v>
      </c>
      <c r="E175" s="627"/>
      <c r="F175" s="627"/>
      <c r="G175" s="627">
        <f t="shared" si="132"/>
        <v>111.72</v>
      </c>
      <c r="H175" s="627">
        <f>IFERROR(VLOOKUP($B175,'Trial Blc'!$B$4:S$377,H$2,FALSE),0)</f>
        <v>111.72</v>
      </c>
      <c r="I175" s="627">
        <f>IFERROR(VLOOKUP($B175,'Trial Blc'!$B$4:T$377,I$2,FALSE),0)</f>
        <v>111.72</v>
      </c>
      <c r="J175" s="627">
        <f>IFERROR(VLOOKUP($B175,'Trial Blc'!$B$4:U$377,J$2,FALSE),0)</f>
        <v>111.72</v>
      </c>
      <c r="K175" s="627">
        <f>IFERROR(VLOOKUP($B175,'Trial Blc'!$B$4:V$377,K$2,FALSE),0)</f>
        <v>111.72</v>
      </c>
      <c r="L175" s="627">
        <f>IFERROR(VLOOKUP($B175,'Trial Blc'!$B$4:W$377,L$2,FALSE),0)</f>
        <v>111.72</v>
      </c>
      <c r="M175" s="627">
        <f>IFERROR(VLOOKUP($B175,'Trial Blc'!$B$4:X$377,M$2,FALSE),0)</f>
        <v>111.72</v>
      </c>
      <c r="N175" s="627">
        <f>IFERROR(VLOOKUP($B175,'Trial Blc'!$B$4:Y$377,N$2,FALSE),0)</f>
        <v>111.72</v>
      </c>
      <c r="O175" s="627">
        <f>IFERROR(VLOOKUP($B175,'Trial Blc'!$B$4:Z$377,O$2,FALSE),0)</f>
        <v>111.72</v>
      </c>
      <c r="P175" s="627">
        <f>IFERROR(VLOOKUP($B175,'Trial Blc'!$B$4:AA$377,P$2,FALSE),0)</f>
        <v>111.72</v>
      </c>
      <c r="Q175" s="627">
        <f>IFERROR(VLOOKUP($B175,'Trial Blc'!$B$4:AB$377,Q$2,FALSE),0)</f>
        <v>111.72</v>
      </c>
      <c r="R175" s="627">
        <f>IFERROR(VLOOKUP($B175,'Trial Blc'!$B$4:AC$377,R$2,FALSE),0)</f>
        <v>111.72</v>
      </c>
      <c r="S175" s="627">
        <f>IFERROR(VLOOKUP($B175,'Trial Blc'!$B$4:AD$377,S$2,FALSE),0)</f>
        <v>111.72</v>
      </c>
      <c r="T175" s="627">
        <f t="shared" si="130"/>
        <v>111.72000000000001</v>
      </c>
      <c r="U175" s="1552"/>
      <c r="W175" s="627"/>
      <c r="X175" s="113"/>
      <c r="Y175" s="627"/>
      <c r="Z175" s="627"/>
      <c r="AA175" s="627"/>
      <c r="AB175" s="627"/>
      <c r="AC175" s="627"/>
      <c r="AD175" s="627"/>
      <c r="AE175" s="627"/>
      <c r="AF175" s="627"/>
      <c r="AG175" s="627"/>
      <c r="AH175" s="627"/>
      <c r="AI175" s="627"/>
      <c r="AJ175" s="627"/>
      <c r="AK175" s="627"/>
      <c r="AL175" s="627"/>
    </row>
    <row r="176" spans="2:40" s="89" customFormat="1" ht="10.5" customHeight="1">
      <c r="B176" s="1532">
        <v>1780</v>
      </c>
      <c r="C176" s="113" t="s">
        <v>2193</v>
      </c>
      <c r="D176" s="627">
        <f>IFERROR(VLOOKUP($B176,'Trial Blc'!$B$4:O$377,D$2,FALSE),0)</f>
        <v>0</v>
      </c>
      <c r="E176" s="627"/>
      <c r="F176" s="627"/>
      <c r="G176" s="627">
        <f t="shared" si="132"/>
        <v>0</v>
      </c>
      <c r="H176" s="627">
        <f>IFERROR(VLOOKUP($B176,'Trial Blc'!$B$4:S$377,H$2,FALSE),0)</f>
        <v>0</v>
      </c>
      <c r="I176" s="627">
        <f>IFERROR(VLOOKUP($B176,'Trial Blc'!$B$4:T$377,I$2,FALSE),0)</f>
        <v>0</v>
      </c>
      <c r="J176" s="627">
        <f>IFERROR(VLOOKUP($B176,'Trial Blc'!$B$4:U$377,J$2,FALSE),0)</f>
        <v>0</v>
      </c>
      <c r="K176" s="627">
        <f>IFERROR(VLOOKUP($B176,'Trial Blc'!$B$4:V$377,K$2,FALSE),0)</f>
        <v>0</v>
      </c>
      <c r="L176" s="627">
        <f>IFERROR(VLOOKUP($B176,'Trial Blc'!$B$4:W$377,L$2,FALSE),0)</f>
        <v>0</v>
      </c>
      <c r="M176" s="627">
        <f>IFERROR(VLOOKUP($B176,'Trial Blc'!$B$4:X$377,M$2,FALSE),0)</f>
        <v>0</v>
      </c>
      <c r="N176" s="627">
        <f>IFERROR(VLOOKUP($B176,'Trial Blc'!$B$4:Y$377,N$2,FALSE),0)</f>
        <v>0</v>
      </c>
      <c r="O176" s="627">
        <f>IFERROR(VLOOKUP($B176,'Trial Blc'!$B$4:Z$377,O$2,FALSE),0)</f>
        <v>0</v>
      </c>
      <c r="P176" s="627">
        <f>IFERROR(VLOOKUP($B176,'Trial Blc'!$B$4:AA$377,P$2,FALSE),0)</f>
        <v>0</v>
      </c>
      <c r="Q176" s="627">
        <f>IFERROR(VLOOKUP($B176,'Trial Blc'!$B$4:AB$377,Q$2,FALSE),0)</f>
        <v>0</v>
      </c>
      <c r="R176" s="627">
        <f>IFERROR(VLOOKUP($B176,'Trial Blc'!$B$4:AC$377,R$2,FALSE),0)</f>
        <v>0</v>
      </c>
      <c r="S176" s="627">
        <f>IFERROR(VLOOKUP($B176,'Trial Blc'!$B$4:AD$377,S$2,FALSE),0)</f>
        <v>0</v>
      </c>
      <c r="T176" s="627">
        <f t="shared" si="130"/>
        <v>0</v>
      </c>
      <c r="U176" s="1552"/>
      <c r="W176" s="627"/>
      <c r="X176" s="113"/>
      <c r="Y176" s="627"/>
      <c r="Z176" s="627"/>
      <c r="AA176" s="627"/>
      <c r="AB176" s="627"/>
      <c r="AC176" s="627"/>
      <c r="AD176" s="627"/>
      <c r="AE176" s="627"/>
      <c r="AF176" s="627"/>
      <c r="AG176" s="627"/>
      <c r="AH176" s="627"/>
      <c r="AI176" s="627"/>
      <c r="AJ176" s="627"/>
      <c r="AK176" s="627"/>
      <c r="AL176" s="627"/>
    </row>
    <row r="177" spans="1:40" s="89" customFormat="1" ht="10.5" customHeight="1">
      <c r="B177" s="1532">
        <v>1781</v>
      </c>
      <c r="C177" s="1657" t="s">
        <v>2285</v>
      </c>
      <c r="D177" s="627">
        <f>IFERROR(VLOOKUP($B177,'Trial Blc'!$B$4:O$377,D$2,FALSE),0)</f>
        <v>7395.15</v>
      </c>
      <c r="E177" s="627"/>
      <c r="F177" s="627"/>
      <c r="G177" s="627">
        <f t="shared" si="132"/>
        <v>7395.15</v>
      </c>
      <c r="H177" s="627">
        <f>IFERROR(VLOOKUP($B177,'Trial Blc'!$B$4:S$377,H$2,FALSE),0)</f>
        <v>7395.15</v>
      </c>
      <c r="I177" s="627">
        <f>IFERROR(VLOOKUP($B177,'Trial Blc'!$B$4:T$377,I$2,FALSE),0)</f>
        <v>7395.15</v>
      </c>
      <c r="J177" s="627">
        <f>IFERROR(VLOOKUP($B177,'Trial Blc'!$B$4:U$377,J$2,FALSE),0)</f>
        <v>7395.15</v>
      </c>
      <c r="K177" s="627">
        <f>IFERROR(VLOOKUP($B177,'Trial Blc'!$B$4:V$377,K$2,FALSE),0)</f>
        <v>7395.15</v>
      </c>
      <c r="L177" s="627">
        <f>IFERROR(VLOOKUP($B177,'Trial Blc'!$B$4:W$377,L$2,FALSE),0)</f>
        <v>7395.15</v>
      </c>
      <c r="M177" s="627">
        <f>IFERROR(VLOOKUP($B177,'Trial Blc'!$B$4:X$377,M$2,FALSE),0)</f>
        <v>7395.15</v>
      </c>
      <c r="N177" s="627">
        <f>IFERROR(VLOOKUP($B177,'Trial Blc'!$B$4:Y$377,N$2,FALSE),0)</f>
        <v>7395.15</v>
      </c>
      <c r="O177" s="627">
        <f>IFERROR(VLOOKUP($B177,'Trial Blc'!$B$4:Z$377,O$2,FALSE),0)</f>
        <v>7395.15</v>
      </c>
      <c r="P177" s="627">
        <f>IFERROR(VLOOKUP($B177,'Trial Blc'!$B$4:AA$377,P$2,FALSE),0)</f>
        <v>7395.15</v>
      </c>
      <c r="Q177" s="627">
        <f>IFERROR(VLOOKUP($B177,'Trial Blc'!$B$4:AB$377,Q$2,FALSE),0)</f>
        <v>7395.15</v>
      </c>
      <c r="R177" s="627">
        <f>IFERROR(VLOOKUP($B177,'Trial Blc'!$B$4:AC$377,R$2,FALSE),0)</f>
        <v>7395.15</v>
      </c>
      <c r="S177" s="627">
        <f>IFERROR(VLOOKUP($B177,'Trial Blc'!$B$4:AD$377,S$2,FALSE),0)</f>
        <v>7395.15</v>
      </c>
      <c r="T177" s="627">
        <f t="shared" si="130"/>
        <v>7395.1499999999987</v>
      </c>
      <c r="U177" s="1552"/>
      <c r="W177" s="627"/>
      <c r="X177" s="113"/>
      <c r="Y177" s="627"/>
      <c r="Z177" s="627"/>
      <c r="AA177" s="627"/>
      <c r="AB177" s="627"/>
      <c r="AC177" s="627"/>
      <c r="AD177" s="627"/>
      <c r="AE177" s="627"/>
      <c r="AF177" s="627"/>
      <c r="AG177" s="627"/>
      <c r="AH177" s="627"/>
      <c r="AI177" s="627"/>
      <c r="AJ177" s="627"/>
      <c r="AK177" s="627"/>
      <c r="AL177" s="627"/>
    </row>
    <row r="178" spans="1:40" s="89" customFormat="1" ht="10.5" customHeight="1">
      <c r="B178" s="1532">
        <v>1782</v>
      </c>
      <c r="C178" s="113" t="s">
        <v>2194</v>
      </c>
      <c r="D178" s="627">
        <f>IFERROR(VLOOKUP($B178,'Trial Blc'!$B$4:O$377,D$2,FALSE),0)</f>
        <v>0</v>
      </c>
      <c r="E178" s="627"/>
      <c r="F178" s="627"/>
      <c r="G178" s="627">
        <f t="shared" si="132"/>
        <v>0</v>
      </c>
      <c r="H178" s="627">
        <f>IFERROR(VLOOKUP($B178,'Trial Blc'!$B$4:S$377,H$2,FALSE),0)</f>
        <v>0</v>
      </c>
      <c r="I178" s="627">
        <f>IFERROR(VLOOKUP($B178,'Trial Blc'!$B$4:T$377,I$2,FALSE),0)</f>
        <v>0</v>
      </c>
      <c r="J178" s="627">
        <f>IFERROR(VLOOKUP($B178,'Trial Blc'!$B$4:U$377,J$2,FALSE),0)</f>
        <v>0</v>
      </c>
      <c r="K178" s="627">
        <f>IFERROR(VLOOKUP($B178,'Trial Blc'!$B$4:V$377,K$2,FALSE),0)</f>
        <v>0</v>
      </c>
      <c r="L178" s="627">
        <f>IFERROR(VLOOKUP($B178,'Trial Blc'!$B$4:W$377,L$2,FALSE),0)</f>
        <v>0</v>
      </c>
      <c r="M178" s="627">
        <f>IFERROR(VLOOKUP($B178,'Trial Blc'!$B$4:X$377,M$2,FALSE),0)</f>
        <v>0</v>
      </c>
      <c r="N178" s="627">
        <f>IFERROR(VLOOKUP($B178,'Trial Blc'!$B$4:Y$377,N$2,FALSE),0)</f>
        <v>0</v>
      </c>
      <c r="O178" s="627">
        <f>IFERROR(VLOOKUP($B178,'Trial Blc'!$B$4:Z$377,O$2,FALSE),0)</f>
        <v>0</v>
      </c>
      <c r="P178" s="627">
        <f>IFERROR(VLOOKUP($B178,'Trial Blc'!$B$4:AA$377,P$2,FALSE),0)</f>
        <v>0</v>
      </c>
      <c r="Q178" s="627">
        <f>IFERROR(VLOOKUP($B178,'Trial Blc'!$B$4:AB$377,Q$2,FALSE),0)</f>
        <v>0</v>
      </c>
      <c r="R178" s="627">
        <f>IFERROR(VLOOKUP($B178,'Trial Blc'!$B$4:AC$377,R$2,FALSE),0)</f>
        <v>0</v>
      </c>
      <c r="S178" s="627">
        <f>IFERROR(VLOOKUP($B178,'Trial Blc'!$B$4:AD$377,S$2,FALSE),0)</f>
        <v>0</v>
      </c>
      <c r="T178" s="627">
        <f t="shared" si="130"/>
        <v>0</v>
      </c>
      <c r="U178" s="1552"/>
      <c r="W178" s="627"/>
      <c r="X178" s="113"/>
      <c r="Y178" s="627"/>
      <c r="Z178" s="627"/>
      <c r="AA178" s="627"/>
      <c r="AB178" s="627"/>
      <c r="AC178" s="627"/>
      <c r="AD178" s="627"/>
      <c r="AE178" s="627"/>
      <c r="AF178" s="627"/>
      <c r="AG178" s="627"/>
      <c r="AH178" s="627"/>
      <c r="AI178" s="627"/>
      <c r="AJ178" s="627"/>
      <c r="AK178" s="627"/>
      <c r="AL178" s="627"/>
    </row>
    <row r="179" spans="1:40" s="89" customFormat="1" ht="10.5" customHeight="1">
      <c r="B179" s="1532">
        <v>1783</v>
      </c>
      <c r="C179" s="113" t="s">
        <v>2236</v>
      </c>
      <c r="D179" s="627">
        <f>IFERROR(VLOOKUP($B179,'Trial Blc'!$B$4:O$377,D$2,FALSE),0)</f>
        <v>0</v>
      </c>
      <c r="E179" s="627"/>
      <c r="F179" s="627"/>
      <c r="G179" s="627">
        <f t="shared" si="132"/>
        <v>0</v>
      </c>
      <c r="H179" s="627">
        <f>IFERROR(VLOOKUP($B179,'Trial Blc'!$B$4:S$377,H$2,FALSE),0)</f>
        <v>0</v>
      </c>
      <c r="I179" s="627">
        <f>IFERROR(VLOOKUP($B179,'Trial Blc'!$B$4:T$377,I$2,FALSE),0)</f>
        <v>0</v>
      </c>
      <c r="J179" s="627">
        <f>IFERROR(VLOOKUP($B179,'Trial Blc'!$B$4:U$377,J$2,FALSE),0)</f>
        <v>0</v>
      </c>
      <c r="K179" s="627">
        <f>IFERROR(VLOOKUP($B179,'Trial Blc'!$B$4:V$377,K$2,FALSE),0)</f>
        <v>0</v>
      </c>
      <c r="L179" s="627">
        <f>IFERROR(VLOOKUP($B179,'Trial Blc'!$B$4:W$377,L$2,FALSE),0)</f>
        <v>0</v>
      </c>
      <c r="M179" s="627">
        <f>IFERROR(VLOOKUP($B179,'Trial Blc'!$B$4:X$377,M$2,FALSE),0)</f>
        <v>0</v>
      </c>
      <c r="N179" s="627">
        <f>IFERROR(VLOOKUP($B179,'Trial Blc'!$B$4:Y$377,N$2,FALSE),0)</f>
        <v>0</v>
      </c>
      <c r="O179" s="627">
        <f>IFERROR(VLOOKUP($B179,'Trial Blc'!$B$4:Z$377,O$2,FALSE),0)</f>
        <v>0</v>
      </c>
      <c r="P179" s="627">
        <f>IFERROR(VLOOKUP($B179,'Trial Blc'!$B$4:AA$377,P$2,FALSE),0)</f>
        <v>0</v>
      </c>
      <c r="Q179" s="627">
        <f>IFERROR(VLOOKUP($B179,'Trial Blc'!$B$4:AB$377,Q$2,FALSE),0)</f>
        <v>0</v>
      </c>
      <c r="R179" s="627">
        <f>IFERROR(VLOOKUP($B179,'Trial Blc'!$B$4:AC$377,R$2,FALSE),0)</f>
        <v>0</v>
      </c>
      <c r="S179" s="627">
        <f>IFERROR(VLOOKUP($B179,'Trial Blc'!$B$4:AD$377,S$2,FALSE),0)</f>
        <v>0</v>
      </c>
      <c r="T179" s="627">
        <f t="shared" si="130"/>
        <v>0</v>
      </c>
      <c r="U179" s="1552"/>
      <c r="W179" s="627"/>
      <c r="X179" s="113"/>
      <c r="Y179" s="627"/>
      <c r="Z179" s="627"/>
      <c r="AA179" s="627"/>
      <c r="AB179" s="627"/>
      <c r="AC179" s="627"/>
      <c r="AD179" s="627"/>
      <c r="AE179" s="627"/>
      <c r="AF179" s="627"/>
      <c r="AG179" s="627"/>
      <c r="AH179" s="627"/>
      <c r="AI179" s="627"/>
      <c r="AJ179" s="627"/>
      <c r="AK179" s="627"/>
      <c r="AL179" s="627"/>
    </row>
    <row r="180" spans="1:40" s="89" customFormat="1" ht="10.5" customHeight="1">
      <c r="B180" s="1532">
        <v>1784</v>
      </c>
      <c r="C180" s="113" t="s">
        <v>2195</v>
      </c>
      <c r="D180" s="627">
        <f>IFERROR(VLOOKUP($B180,'Trial Blc'!$B$4:O$377,D$2,FALSE),0)</f>
        <v>0</v>
      </c>
      <c r="E180" s="627"/>
      <c r="F180" s="627"/>
      <c r="G180" s="627">
        <f t="shared" si="132"/>
        <v>0</v>
      </c>
      <c r="H180" s="627">
        <f>IFERROR(VLOOKUP($B180,'Trial Blc'!$B$4:S$377,H$2,FALSE),0)</f>
        <v>0</v>
      </c>
      <c r="I180" s="627">
        <f>IFERROR(VLOOKUP($B180,'Trial Blc'!$B$4:T$377,I$2,FALSE),0)</f>
        <v>0</v>
      </c>
      <c r="J180" s="627">
        <f>IFERROR(VLOOKUP($B180,'Trial Blc'!$B$4:U$377,J$2,FALSE),0)</f>
        <v>0</v>
      </c>
      <c r="K180" s="627">
        <f>IFERROR(VLOOKUP($B180,'Trial Blc'!$B$4:V$377,K$2,FALSE),0)</f>
        <v>0</v>
      </c>
      <c r="L180" s="627">
        <f>IFERROR(VLOOKUP($B180,'Trial Blc'!$B$4:W$377,L$2,FALSE),0)</f>
        <v>0</v>
      </c>
      <c r="M180" s="627">
        <f>IFERROR(VLOOKUP($B180,'Trial Blc'!$B$4:X$377,M$2,FALSE),0)</f>
        <v>0</v>
      </c>
      <c r="N180" s="627">
        <f>IFERROR(VLOOKUP($B180,'Trial Blc'!$B$4:Y$377,N$2,FALSE),0)</f>
        <v>0</v>
      </c>
      <c r="O180" s="627">
        <f>IFERROR(VLOOKUP($B180,'Trial Blc'!$B$4:Z$377,O$2,FALSE),0)</f>
        <v>0</v>
      </c>
      <c r="P180" s="627">
        <f>IFERROR(VLOOKUP($B180,'Trial Blc'!$B$4:AA$377,P$2,FALSE),0)</f>
        <v>0</v>
      </c>
      <c r="Q180" s="627">
        <f>IFERROR(VLOOKUP($B180,'Trial Blc'!$B$4:AB$377,Q$2,FALSE),0)</f>
        <v>0</v>
      </c>
      <c r="R180" s="627">
        <f>IFERROR(VLOOKUP($B180,'Trial Blc'!$B$4:AC$377,R$2,FALSE),0)</f>
        <v>0</v>
      </c>
      <c r="S180" s="627">
        <f>IFERROR(VLOOKUP($B180,'Trial Blc'!$B$4:AD$377,S$2,FALSE),0)</f>
        <v>0</v>
      </c>
      <c r="T180" s="627">
        <f t="shared" si="130"/>
        <v>0</v>
      </c>
      <c r="U180" s="1552"/>
      <c r="W180" s="627"/>
      <c r="X180" s="113"/>
      <c r="Y180" s="627"/>
      <c r="Z180" s="627"/>
      <c r="AA180" s="627"/>
      <c r="AB180" s="627"/>
      <c r="AC180" s="627"/>
      <c r="AD180" s="627"/>
      <c r="AE180" s="627"/>
      <c r="AF180" s="627"/>
      <c r="AG180" s="627"/>
      <c r="AH180" s="627"/>
      <c r="AI180" s="627"/>
      <c r="AJ180" s="627"/>
      <c r="AK180" s="627"/>
      <c r="AL180" s="627"/>
    </row>
    <row r="181" spans="1:40" s="89" customFormat="1" ht="10.5" customHeight="1">
      <c r="B181" s="1532">
        <v>1799</v>
      </c>
      <c r="C181" s="113" t="s">
        <v>2196</v>
      </c>
      <c r="D181" s="627">
        <f>IFERROR(VLOOKUP($B181,'Trial Blc'!$B$4:O$377,D$2,FALSE),0)</f>
        <v>-7574.71</v>
      </c>
      <c r="E181" s="627"/>
      <c r="F181" s="627"/>
      <c r="G181" s="627">
        <f t="shared" si="132"/>
        <v>-7574.71</v>
      </c>
      <c r="H181" s="627">
        <f>IFERROR(VLOOKUP($B181,'Trial Blc'!$B$4:S$377,H$2,FALSE),0)</f>
        <v>-7574.71</v>
      </c>
      <c r="I181" s="627">
        <f>IFERROR(VLOOKUP($B181,'Trial Blc'!$B$4:T$377,I$2,FALSE),0)</f>
        <v>-7574.71</v>
      </c>
      <c r="J181" s="627">
        <f>IFERROR(VLOOKUP($B181,'Trial Blc'!$B$4:U$377,J$2,FALSE),0)</f>
        <v>-7574.71</v>
      </c>
      <c r="K181" s="627">
        <f>IFERROR(VLOOKUP($B181,'Trial Blc'!$B$4:V$377,K$2,FALSE),0)</f>
        <v>-7574.71</v>
      </c>
      <c r="L181" s="627">
        <f>IFERROR(VLOOKUP($B181,'Trial Blc'!$B$4:W$377,L$2,FALSE),0)</f>
        <v>-7574.71</v>
      </c>
      <c r="M181" s="627">
        <f>IFERROR(VLOOKUP($B181,'Trial Blc'!$B$4:X$377,M$2,FALSE),0)</f>
        <v>-7574.71</v>
      </c>
      <c r="N181" s="627">
        <f>IFERROR(VLOOKUP($B181,'Trial Blc'!$B$4:Y$377,N$2,FALSE),0)</f>
        <v>-7574.71</v>
      </c>
      <c r="O181" s="627">
        <f>IFERROR(VLOOKUP($B181,'Trial Blc'!$B$4:Z$377,O$2,FALSE),0)</f>
        <v>-7574.71</v>
      </c>
      <c r="P181" s="627">
        <f>IFERROR(VLOOKUP($B181,'Trial Blc'!$B$4:AA$377,P$2,FALSE),0)</f>
        <v>-7574.71</v>
      </c>
      <c r="Q181" s="627">
        <f>IFERROR(VLOOKUP($B181,'Trial Blc'!$B$4:AB$377,Q$2,FALSE),0)</f>
        <v>-7574.71</v>
      </c>
      <c r="R181" s="627">
        <f>IFERROR(VLOOKUP($B181,'Trial Blc'!$B$4:AC$377,R$2,FALSE),0)</f>
        <v>-7574.71</v>
      </c>
      <c r="S181" s="627">
        <f>IFERROR(VLOOKUP($B181,'Trial Blc'!$B$4:AD$377,S$2,FALSE),0)</f>
        <v>-7574.71</v>
      </c>
      <c r="T181" s="627">
        <f t="shared" si="130"/>
        <v>-7574.7100000000019</v>
      </c>
      <c r="U181" s="1552"/>
      <c r="W181" s="627"/>
      <c r="X181" s="113"/>
      <c r="Y181" s="627"/>
      <c r="Z181" s="627"/>
      <c r="AA181" s="627"/>
      <c r="AB181" s="627"/>
      <c r="AC181" s="627"/>
      <c r="AD181" s="627"/>
      <c r="AE181" s="627"/>
      <c r="AF181" s="627"/>
      <c r="AG181" s="627"/>
      <c r="AH181" s="627"/>
      <c r="AI181" s="627"/>
      <c r="AJ181" s="627"/>
      <c r="AK181" s="627"/>
      <c r="AL181" s="627"/>
    </row>
    <row r="182" spans="1:40" s="89" customFormat="1" ht="10.5" customHeight="1">
      <c r="B182" s="1532"/>
      <c r="C182" s="1574"/>
      <c r="D182" s="627"/>
      <c r="E182" s="627"/>
      <c r="F182" s="627"/>
      <c r="G182" s="627"/>
      <c r="H182" s="627"/>
      <c r="I182" s="627"/>
      <c r="J182" s="627"/>
      <c r="K182" s="627"/>
      <c r="L182" s="627"/>
      <c r="M182" s="627"/>
      <c r="N182" s="627"/>
      <c r="O182" s="627"/>
      <c r="P182" s="627"/>
      <c r="Q182" s="627"/>
      <c r="R182" s="627"/>
      <c r="S182" s="627"/>
      <c r="T182" s="627"/>
      <c r="U182" s="1552"/>
      <c r="W182" s="627"/>
      <c r="X182" s="627"/>
      <c r="Y182" s="627"/>
      <c r="Z182" s="627"/>
      <c r="AA182" s="627"/>
      <c r="AB182" s="627"/>
      <c r="AC182" s="627"/>
      <c r="AD182" s="627"/>
      <c r="AE182" s="627"/>
      <c r="AF182" s="627"/>
      <c r="AG182" s="627"/>
      <c r="AH182" s="627"/>
      <c r="AI182" s="627"/>
      <c r="AJ182" s="627"/>
      <c r="AK182" s="627"/>
      <c r="AL182" s="627"/>
    </row>
    <row r="183" spans="1:40" s="89" customFormat="1">
      <c r="D183" s="690">
        <f t="shared" ref="D183:S183" si="133">SUM(D165:D182)</f>
        <v>15917.970000000001</v>
      </c>
      <c r="E183" s="690">
        <f t="shared" si="133"/>
        <v>0</v>
      </c>
      <c r="F183" s="690">
        <f t="shared" si="133"/>
        <v>0</v>
      </c>
      <c r="G183" s="690">
        <f t="shared" si="133"/>
        <v>15917.970000000001</v>
      </c>
      <c r="H183" s="690">
        <f t="shared" si="133"/>
        <v>15917.940000000002</v>
      </c>
      <c r="I183" s="690">
        <f t="shared" si="133"/>
        <v>15917.879999999997</v>
      </c>
      <c r="J183" s="690">
        <f t="shared" si="133"/>
        <v>15943.059999999998</v>
      </c>
      <c r="K183" s="690">
        <f t="shared" si="133"/>
        <v>15943.010000000002</v>
      </c>
      <c r="L183" s="690">
        <f t="shared" si="133"/>
        <v>15896.64</v>
      </c>
      <c r="M183" s="690">
        <f t="shared" si="133"/>
        <v>15896.620000000003</v>
      </c>
      <c r="N183" s="690">
        <f t="shared" si="133"/>
        <v>15896.61</v>
      </c>
      <c r="O183" s="690">
        <f t="shared" si="133"/>
        <v>15896.59</v>
      </c>
      <c r="P183" s="690">
        <f t="shared" si="133"/>
        <v>15896.57</v>
      </c>
      <c r="Q183" s="690">
        <f t="shared" si="133"/>
        <v>15896.57</v>
      </c>
      <c r="R183" s="690">
        <f t="shared" si="133"/>
        <v>15896.54</v>
      </c>
      <c r="S183" s="690">
        <f t="shared" si="133"/>
        <v>15896.529999999999</v>
      </c>
      <c r="T183" s="690">
        <f t="shared" ref="T183:T184" si="134">AVERAGE(G183:S183)</f>
        <v>15908.656153846156</v>
      </c>
      <c r="U183" s="1552"/>
      <c r="W183" s="627"/>
      <c r="X183" s="690">
        <f>SUM(X165:X182)</f>
        <v>0</v>
      </c>
      <c r="Y183" s="690"/>
      <c r="Z183" s="690">
        <f>SUM(Z165:Z182)</f>
        <v>0</v>
      </c>
      <c r="AA183" s="627"/>
      <c r="AB183" s="627"/>
      <c r="AC183" s="627"/>
      <c r="AD183" s="627"/>
      <c r="AE183" s="627"/>
      <c r="AF183" s="627"/>
      <c r="AG183" s="627"/>
      <c r="AH183" s="627"/>
      <c r="AI183" s="627"/>
      <c r="AJ183" s="627"/>
      <c r="AK183" s="627"/>
      <c r="AL183" s="627"/>
    </row>
    <row r="184" spans="1:40" s="90" customFormat="1" ht="22.5" customHeight="1" thickBot="1">
      <c r="B184" s="1528"/>
      <c r="C184" s="115" t="s">
        <v>2198</v>
      </c>
      <c r="D184" s="691">
        <f>+D163+D183</f>
        <v>15917.970000000001</v>
      </c>
      <c r="E184" s="691"/>
      <c r="F184" s="691">
        <f t="shared" ref="F184:S184" si="135">+F163+F183</f>
        <v>0</v>
      </c>
      <c r="G184" s="691">
        <f t="shared" si="135"/>
        <v>15917.970000000001</v>
      </c>
      <c r="H184" s="691">
        <f t="shared" si="135"/>
        <v>15917.940000000002</v>
      </c>
      <c r="I184" s="691">
        <f t="shared" si="135"/>
        <v>15917.879999999997</v>
      </c>
      <c r="J184" s="691">
        <f t="shared" si="135"/>
        <v>15943.059999999998</v>
      </c>
      <c r="K184" s="691">
        <f t="shared" si="135"/>
        <v>15943.010000000002</v>
      </c>
      <c r="L184" s="691">
        <f t="shared" si="135"/>
        <v>15896.64</v>
      </c>
      <c r="M184" s="691">
        <f t="shared" si="135"/>
        <v>15896.620000000003</v>
      </c>
      <c r="N184" s="691">
        <f t="shared" si="135"/>
        <v>15896.61</v>
      </c>
      <c r="O184" s="691">
        <f t="shared" si="135"/>
        <v>15896.59</v>
      </c>
      <c r="P184" s="691">
        <f t="shared" si="135"/>
        <v>15896.57</v>
      </c>
      <c r="Q184" s="691">
        <f t="shared" si="135"/>
        <v>15896.57</v>
      </c>
      <c r="R184" s="691">
        <f t="shared" si="135"/>
        <v>15896.54</v>
      </c>
      <c r="S184" s="691">
        <f t="shared" si="135"/>
        <v>15896.529999999999</v>
      </c>
      <c r="T184" s="691">
        <f t="shared" si="134"/>
        <v>15908.656153846156</v>
      </c>
      <c r="U184" s="1550"/>
      <c r="W184" s="632"/>
      <c r="X184" s="691">
        <f>+X163+X183</f>
        <v>0</v>
      </c>
      <c r="Y184" s="691"/>
      <c r="Z184" s="691">
        <f>+Z163+Z183</f>
        <v>0</v>
      </c>
      <c r="AA184" s="632"/>
      <c r="AB184" s="632"/>
      <c r="AC184" s="632"/>
      <c r="AD184" s="632"/>
      <c r="AE184" s="632"/>
      <c r="AF184" s="632"/>
      <c r="AG184" s="632"/>
      <c r="AH184" s="632"/>
      <c r="AI184" s="632"/>
      <c r="AJ184" s="632"/>
      <c r="AK184" s="632"/>
      <c r="AL184" s="632"/>
      <c r="AM184" s="692"/>
      <c r="AN184" s="692"/>
    </row>
    <row r="185" spans="1:40" s="501" customFormat="1" thickTop="1">
      <c r="A185" s="591" t="s">
        <v>378</v>
      </c>
      <c r="B185" s="1535"/>
      <c r="D185" s="631"/>
      <c r="E185" s="631"/>
      <c r="F185" s="631"/>
      <c r="G185" s="631"/>
      <c r="H185" s="626"/>
      <c r="I185" s="626"/>
      <c r="J185" s="626"/>
      <c r="K185" s="626"/>
      <c r="L185" s="626"/>
      <c r="M185" s="626"/>
      <c r="N185" s="626"/>
      <c r="O185" s="626"/>
      <c r="P185" s="626"/>
      <c r="Q185" s="626"/>
      <c r="R185" s="626"/>
      <c r="S185" s="626"/>
      <c r="T185" s="626"/>
      <c r="U185" s="1554" t="s">
        <v>2222</v>
      </c>
      <c r="V185" s="493" t="s">
        <v>132</v>
      </c>
      <c r="W185" s="631"/>
      <c r="X185" s="631"/>
      <c r="Y185" s="631"/>
      <c r="Z185" s="631"/>
      <c r="AA185" s="631"/>
      <c r="AB185" s="631"/>
      <c r="AC185" s="631"/>
      <c r="AD185" s="631"/>
      <c r="AE185" s="631"/>
      <c r="AF185" s="631"/>
      <c r="AG185" s="631"/>
      <c r="AH185" s="631"/>
      <c r="AI185" s="631"/>
      <c r="AJ185" s="631"/>
      <c r="AK185" s="631"/>
      <c r="AL185" s="631"/>
      <c r="AM185" s="502"/>
      <c r="AN185" s="502"/>
    </row>
    <row r="186" spans="1:40" s="501" customFormat="1">
      <c r="A186" s="591" t="s">
        <v>133</v>
      </c>
      <c r="B186" s="1535"/>
      <c r="D186" s="631"/>
      <c r="E186" s="631"/>
      <c r="F186" s="631"/>
      <c r="G186" s="627">
        <f t="shared" ref="G186" si="136">SUM(D186:F186)</f>
        <v>0</v>
      </c>
      <c r="H186" s="626"/>
      <c r="I186" s="626"/>
      <c r="J186" s="626"/>
      <c r="K186" s="626"/>
      <c r="L186" s="626"/>
      <c r="M186" s="626"/>
      <c r="N186" s="626"/>
      <c r="O186" s="626"/>
      <c r="P186" s="626"/>
      <c r="Q186" s="626"/>
      <c r="R186" s="626"/>
      <c r="S186" s="626"/>
      <c r="T186" s="626"/>
      <c r="U186" s="1554" t="s">
        <v>2223</v>
      </c>
      <c r="V186" s="497" t="s">
        <v>136</v>
      </c>
      <c r="W186" s="631"/>
      <c r="X186" s="631"/>
      <c r="Y186" s="631"/>
      <c r="Z186" s="631">
        <f>SUM(W186:Y186)</f>
        <v>0</v>
      </c>
      <c r="AA186" s="631"/>
      <c r="AB186" s="631"/>
      <c r="AC186" s="631"/>
      <c r="AD186" s="631"/>
      <c r="AE186" s="631"/>
      <c r="AF186" s="631"/>
      <c r="AG186" s="631"/>
      <c r="AH186" s="631"/>
      <c r="AI186" s="631"/>
      <c r="AJ186" s="631"/>
      <c r="AK186" s="631"/>
      <c r="AL186" s="631"/>
      <c r="AM186" s="502"/>
      <c r="AN186" s="502"/>
    </row>
    <row r="187" spans="1:40" s="501" customFormat="1" ht="10.5">
      <c r="A187" s="591" t="s">
        <v>1716</v>
      </c>
      <c r="B187" s="1535"/>
      <c r="C187" s="591"/>
      <c r="D187" s="631"/>
      <c r="E187" s="631"/>
      <c r="F187" s="631">
        <f>-F183</f>
        <v>0</v>
      </c>
      <c r="G187" s="631"/>
      <c r="H187" s="626"/>
      <c r="I187" s="626"/>
      <c r="J187" s="626"/>
      <c r="K187" s="626"/>
      <c r="L187" s="626"/>
      <c r="M187" s="626"/>
      <c r="N187" s="626"/>
      <c r="O187" s="626"/>
      <c r="P187" s="626"/>
      <c r="Q187" s="626"/>
      <c r="R187" s="626"/>
      <c r="S187" s="626"/>
      <c r="T187" s="626"/>
      <c r="U187" s="1554"/>
      <c r="V187" s="493"/>
      <c r="W187" s="631"/>
      <c r="X187" s="631">
        <f>-X183</f>
        <v>0</v>
      </c>
      <c r="Y187" s="631">
        <f>-Y183</f>
        <v>0</v>
      </c>
      <c r="Z187" s="631">
        <f>SUM(W187:Y187)</f>
        <v>0</v>
      </c>
      <c r="AA187" s="631"/>
      <c r="AB187" s="631"/>
      <c r="AC187" s="631"/>
      <c r="AD187" s="631"/>
      <c r="AE187" s="631"/>
      <c r="AF187" s="631"/>
      <c r="AG187" s="631"/>
      <c r="AH187" s="631"/>
      <c r="AI187" s="631"/>
      <c r="AJ187" s="631"/>
      <c r="AK187" s="631"/>
      <c r="AL187" s="631"/>
      <c r="AM187" s="502"/>
      <c r="AN187" s="502"/>
    </row>
    <row r="188" spans="1:40" s="501" customFormat="1" ht="10.5">
      <c r="A188" s="843" t="s">
        <v>1720</v>
      </c>
      <c r="B188" s="1535"/>
      <c r="D188" s="631"/>
      <c r="E188" s="631"/>
      <c r="F188" s="631">
        <f>+F183-F186+F187</f>
        <v>0</v>
      </c>
      <c r="G188" s="631">
        <f>+G184-G186-G187</f>
        <v>15917.970000000001</v>
      </c>
      <c r="H188" s="626"/>
      <c r="I188" s="626"/>
      <c r="J188" s="626"/>
      <c r="K188" s="626"/>
      <c r="L188" s="626"/>
      <c r="M188" s="626"/>
      <c r="N188" s="626"/>
      <c r="O188" s="626"/>
      <c r="P188" s="626"/>
      <c r="Q188" s="626"/>
      <c r="R188" s="626"/>
      <c r="S188" s="626">
        <f>+S184-S186</f>
        <v>15896.529999999999</v>
      </c>
      <c r="T188" s="626"/>
      <c r="U188" s="1554" t="s">
        <v>2224</v>
      </c>
      <c r="V188" s="493" t="s">
        <v>612</v>
      </c>
      <c r="W188" s="631">
        <f>+W181-W186</f>
        <v>0</v>
      </c>
      <c r="X188" s="631">
        <f>+X183-X186+X187</f>
        <v>0</v>
      </c>
      <c r="Y188" s="631"/>
      <c r="Z188" s="631">
        <f>+Z183-Z186+Z187</f>
        <v>0</v>
      </c>
      <c r="AA188" s="631"/>
      <c r="AB188" s="631"/>
      <c r="AC188" s="631"/>
      <c r="AD188" s="631"/>
      <c r="AE188" s="631"/>
      <c r="AF188" s="631"/>
      <c r="AG188" s="631"/>
      <c r="AH188" s="631"/>
      <c r="AI188" s="631"/>
      <c r="AJ188" s="631"/>
      <c r="AK188" s="631"/>
      <c r="AL188" s="631">
        <f>+AL181-AL186</f>
        <v>0</v>
      </c>
      <c r="AM188" s="502"/>
      <c r="AN188" s="502"/>
    </row>
    <row r="189" spans="1:40" s="87" customFormat="1">
      <c r="B189" s="1531"/>
      <c r="C189" s="111"/>
      <c r="D189" s="89"/>
      <c r="E189" s="89"/>
      <c r="F189" s="111"/>
      <c r="G189" s="89"/>
      <c r="H189" s="89"/>
      <c r="I189" s="89"/>
      <c r="J189" s="89"/>
      <c r="K189" s="89"/>
      <c r="L189" s="89"/>
      <c r="M189" s="89"/>
      <c r="N189" s="89"/>
      <c r="O189" s="89"/>
      <c r="P189" s="89"/>
      <c r="Q189" s="89"/>
      <c r="R189" s="89"/>
      <c r="S189" s="89"/>
      <c r="T189" s="89"/>
      <c r="U189" s="1536"/>
      <c r="W189" s="89"/>
      <c r="X189" s="111"/>
      <c r="Y189" s="89"/>
      <c r="Z189" s="89"/>
      <c r="AA189" s="89"/>
      <c r="AB189" s="89"/>
      <c r="AC189" s="89"/>
      <c r="AD189" s="89"/>
      <c r="AE189" s="89"/>
      <c r="AF189" s="89"/>
      <c r="AG189" s="89"/>
      <c r="AH189" s="89"/>
      <c r="AI189" s="89"/>
      <c r="AJ189" s="89"/>
      <c r="AK189" s="89"/>
      <c r="AL189" s="89"/>
      <c r="AM189" s="89"/>
      <c r="AN189" s="89"/>
    </row>
    <row r="190" spans="1:40" s="87" customFormat="1">
      <c r="A190" s="90" t="s">
        <v>1300</v>
      </c>
      <c r="B190" s="1532">
        <v>1700</v>
      </c>
      <c r="C190" s="113" t="s">
        <v>2199</v>
      </c>
      <c r="D190" s="627">
        <f>IFERROR(VLOOKUP($B190,'Trial Blc'!$B$4:O$377,D$2,FALSE),0)</f>
        <v>0</v>
      </c>
      <c r="E190" s="627"/>
      <c r="F190" s="627"/>
      <c r="G190" s="627">
        <f t="shared" ref="G190:G204" si="137">+D190+E190+F190</f>
        <v>0</v>
      </c>
      <c r="H190" s="627">
        <f>IFERROR(VLOOKUP($B190,'Trial Blc'!$B$4:S$377,H$2,FALSE),0)</f>
        <v>0</v>
      </c>
      <c r="I190" s="627">
        <f>IFERROR(VLOOKUP($B190,'Trial Blc'!$B$4:T$377,I$2,FALSE),0)</f>
        <v>0</v>
      </c>
      <c r="J190" s="627">
        <f>IFERROR(VLOOKUP($B190,'Trial Blc'!$B$4:U$377,J$2,FALSE),0)</f>
        <v>0</v>
      </c>
      <c r="K190" s="627">
        <f>IFERROR(VLOOKUP($B190,'Trial Blc'!$B$4:V$377,K$2,FALSE),0)</f>
        <v>0</v>
      </c>
      <c r="L190" s="627">
        <f>IFERROR(VLOOKUP($B190,'Trial Blc'!$B$4:W$377,L$2,FALSE),0)</f>
        <v>0</v>
      </c>
      <c r="M190" s="627">
        <f>IFERROR(VLOOKUP($B190,'Trial Blc'!$B$4:X$377,M$2,FALSE),0)</f>
        <v>0</v>
      </c>
      <c r="N190" s="627">
        <f>IFERROR(VLOOKUP($B190,'Trial Blc'!$B$4:Y$377,N$2,FALSE),0)</f>
        <v>0</v>
      </c>
      <c r="O190" s="627">
        <f>IFERROR(VLOOKUP($B190,'Trial Blc'!$B$4:Z$377,O$2,FALSE),0)</f>
        <v>0</v>
      </c>
      <c r="P190" s="627">
        <f>IFERROR(VLOOKUP($B190,'Trial Blc'!$B$4:AA$377,P$2,FALSE),0)</f>
        <v>0</v>
      </c>
      <c r="Q190" s="627">
        <f>IFERROR(VLOOKUP($B190,'Trial Blc'!$B$4:AB$377,Q$2,FALSE),0)</f>
        <v>0</v>
      </c>
      <c r="R190" s="627">
        <f>IFERROR(VLOOKUP($B190,'Trial Blc'!$B$4:AC$377,R$2,FALSE),0)</f>
        <v>0</v>
      </c>
      <c r="S190" s="627">
        <f>IFERROR(VLOOKUP($B190,'Trial Blc'!$B$4:AD$377,S$2,FALSE),0)</f>
        <v>0</v>
      </c>
      <c r="T190" s="627">
        <f t="shared" ref="T190:T204" si="138">AVERAGE(G190:S190)</f>
        <v>0</v>
      </c>
      <c r="U190" s="1536"/>
      <c r="W190" s="627"/>
      <c r="X190" s="113"/>
      <c r="Y190" s="627"/>
      <c r="Z190" s="627"/>
      <c r="AA190" s="627"/>
      <c r="AB190" s="627"/>
      <c r="AC190" s="627"/>
      <c r="AD190" s="627"/>
      <c r="AE190" s="627"/>
      <c r="AF190" s="627"/>
      <c r="AG190" s="627"/>
      <c r="AH190" s="627"/>
      <c r="AI190" s="627"/>
      <c r="AJ190" s="627"/>
      <c r="AK190" s="627"/>
      <c r="AL190" s="627"/>
      <c r="AM190" s="89"/>
      <c r="AN190" s="89"/>
    </row>
    <row r="191" spans="1:40" s="87" customFormat="1">
      <c r="B191" s="1531">
        <v>1705</v>
      </c>
      <c r="C191" s="111" t="s">
        <v>2200</v>
      </c>
      <c r="D191" s="627">
        <f>IFERROR(VLOOKUP($B191,'Trial Blc'!$B$4:O$377,D$2,FALSE),0)</f>
        <v>5678.6100000000006</v>
      </c>
      <c r="E191" s="627"/>
      <c r="F191" s="627"/>
      <c r="G191" s="627">
        <f t="shared" si="137"/>
        <v>5678.6100000000006</v>
      </c>
      <c r="H191" s="627">
        <f>IFERROR(VLOOKUP($B191,'Trial Blc'!$B$4:S$377,H$2,FALSE),0)</f>
        <v>7129.7700000000013</v>
      </c>
      <c r="I191" s="627">
        <f>IFERROR(VLOOKUP($B191,'Trial Blc'!$B$4:T$377,I$2,FALSE),0)</f>
        <v>7533.7700000000013</v>
      </c>
      <c r="J191" s="627">
        <f>IFERROR(VLOOKUP($B191,'Trial Blc'!$B$4:U$377,J$2,FALSE),0)</f>
        <v>7776.17</v>
      </c>
      <c r="K191" s="627">
        <f>IFERROR(VLOOKUP($B191,'Trial Blc'!$B$4:V$377,K$2,FALSE),0)</f>
        <v>10318.180000000002</v>
      </c>
      <c r="L191" s="627">
        <f>IFERROR(VLOOKUP($B191,'Trial Blc'!$B$4:W$377,L$2,FALSE),0)</f>
        <v>11244.850000000002</v>
      </c>
      <c r="M191" s="627">
        <f>IFERROR(VLOOKUP($B191,'Trial Blc'!$B$4:X$377,M$2,FALSE),0)</f>
        <v>12100.36</v>
      </c>
      <c r="N191" s="627">
        <f>IFERROR(VLOOKUP($B191,'Trial Blc'!$B$4:Y$377,N$2,FALSE),0)</f>
        <v>12221.230000000001</v>
      </c>
      <c r="O191" s="627">
        <f>IFERROR(VLOOKUP($B191,'Trial Blc'!$B$4:Z$377,O$2,FALSE),0)</f>
        <v>12221.230000000001</v>
      </c>
      <c r="P191" s="627">
        <f>IFERROR(VLOOKUP($B191,'Trial Blc'!$B$4:AA$377,P$2,FALSE),0)</f>
        <v>14245.150000000001</v>
      </c>
      <c r="Q191" s="627">
        <f>IFERROR(VLOOKUP($B191,'Trial Blc'!$B$4:AB$377,Q$2,FALSE),0)</f>
        <v>15028.6</v>
      </c>
      <c r="R191" s="627">
        <f>IFERROR(VLOOKUP($B191,'Trial Blc'!$B$4:AC$377,R$2,FALSE),0)</f>
        <v>15291.12</v>
      </c>
      <c r="S191" s="627">
        <f>IFERROR(VLOOKUP($B191,'Trial Blc'!$B$4:AD$377,S$2,FALSE),0)</f>
        <v>16252.770000000002</v>
      </c>
      <c r="T191" s="627">
        <f t="shared" si="138"/>
        <v>11310.908461538462</v>
      </c>
      <c r="U191" s="1536"/>
      <c r="W191" s="627"/>
      <c r="X191" s="111"/>
      <c r="Y191" s="627"/>
      <c r="Z191" s="627"/>
      <c r="AA191" s="627"/>
      <c r="AB191" s="627"/>
      <c r="AC191" s="627"/>
      <c r="AD191" s="627"/>
      <c r="AE191" s="627"/>
      <c r="AF191" s="627"/>
      <c r="AG191" s="627"/>
      <c r="AH191" s="627"/>
      <c r="AI191" s="627"/>
      <c r="AJ191" s="627"/>
      <c r="AK191" s="627"/>
      <c r="AL191" s="627"/>
      <c r="AM191" s="89"/>
      <c r="AN191" s="89"/>
    </row>
    <row r="192" spans="1:40" s="87" customFormat="1">
      <c r="B192" s="1531">
        <v>1706</v>
      </c>
      <c r="C192" s="111" t="s">
        <v>2201</v>
      </c>
      <c r="D192" s="627">
        <f>IFERROR(VLOOKUP($B192,'Trial Blc'!$B$4:O$377,D$2,FALSE),0)</f>
        <v>6113.7199999999993</v>
      </c>
      <c r="E192" s="627"/>
      <c r="F192" s="627"/>
      <c r="G192" s="627">
        <f t="shared" si="137"/>
        <v>6113.7199999999993</v>
      </c>
      <c r="H192" s="627">
        <f>IFERROR(VLOOKUP($B192,'Trial Blc'!$B$4:S$377,H$2,FALSE),0)</f>
        <v>8787.85</v>
      </c>
      <c r="I192" s="627">
        <f>IFERROR(VLOOKUP($B192,'Trial Blc'!$B$4:T$377,I$2,FALSE),0)</f>
        <v>11950.930000000002</v>
      </c>
      <c r="J192" s="627">
        <f>IFERROR(VLOOKUP($B192,'Trial Blc'!$B$4:U$377,J$2,FALSE),0)</f>
        <v>15608.66</v>
      </c>
      <c r="K192" s="627">
        <f>IFERROR(VLOOKUP($B192,'Trial Blc'!$B$4:V$377,K$2,FALSE),0)</f>
        <v>19285.519999999997</v>
      </c>
      <c r="L192" s="627">
        <f>IFERROR(VLOOKUP($B192,'Trial Blc'!$B$4:W$377,L$2,FALSE),0)</f>
        <v>21511.149999999998</v>
      </c>
      <c r="M192" s="627">
        <f>IFERROR(VLOOKUP($B192,'Trial Blc'!$B$4:X$377,M$2,FALSE),0)</f>
        <v>25669.309999999998</v>
      </c>
      <c r="N192" s="627">
        <f>IFERROR(VLOOKUP($B192,'Trial Blc'!$B$4:Y$377,N$2,FALSE),0)</f>
        <v>25669.309999999998</v>
      </c>
      <c r="O192" s="627">
        <f>IFERROR(VLOOKUP($B192,'Trial Blc'!$B$4:Z$377,O$2,FALSE),0)</f>
        <v>25669.309999999998</v>
      </c>
      <c r="P192" s="627">
        <f>IFERROR(VLOOKUP($B192,'Trial Blc'!$B$4:AA$377,P$2,FALSE),0)</f>
        <v>25684.539999999997</v>
      </c>
      <c r="Q192" s="627">
        <f>IFERROR(VLOOKUP($B192,'Trial Blc'!$B$4:AB$377,Q$2,FALSE),0)</f>
        <v>25968.17</v>
      </c>
      <c r="R192" s="627">
        <f>IFERROR(VLOOKUP($B192,'Trial Blc'!$B$4:AC$377,R$2,FALSE),0)</f>
        <v>26254.829999999998</v>
      </c>
      <c r="S192" s="627">
        <f>IFERROR(VLOOKUP($B192,'Trial Blc'!$B$4:AD$377,S$2,FALSE),0)</f>
        <v>26706.399999999998</v>
      </c>
      <c r="T192" s="627">
        <f t="shared" si="138"/>
        <v>20375.36153846154</v>
      </c>
      <c r="U192" s="1536"/>
      <c r="W192" s="627"/>
      <c r="X192" s="111"/>
      <c r="Y192" s="627"/>
      <c r="Z192" s="627"/>
      <c r="AA192" s="627"/>
      <c r="AB192" s="627"/>
      <c r="AC192" s="627"/>
      <c r="AD192" s="627"/>
      <c r="AE192" s="627"/>
      <c r="AF192" s="627"/>
      <c r="AG192" s="627"/>
      <c r="AH192" s="627"/>
      <c r="AI192" s="627"/>
      <c r="AJ192" s="627"/>
      <c r="AK192" s="627"/>
      <c r="AL192" s="627"/>
      <c r="AM192" s="89"/>
      <c r="AN192" s="89"/>
    </row>
    <row r="193" spans="2:40" s="87" customFormat="1">
      <c r="B193" s="1531">
        <v>1707</v>
      </c>
      <c r="C193" s="111" t="s">
        <v>2202</v>
      </c>
      <c r="D193" s="627">
        <f>IFERROR(VLOOKUP($B193,'Trial Blc'!$B$4:O$377,D$2,FALSE),0)</f>
        <v>64227.45</v>
      </c>
      <c r="E193" s="627"/>
      <c r="F193" s="627"/>
      <c r="G193" s="627">
        <f t="shared" si="137"/>
        <v>64227.45</v>
      </c>
      <c r="H193" s="627">
        <f>IFERROR(VLOOKUP($B193,'Trial Blc'!$B$4:S$377,H$2,FALSE),0)</f>
        <v>64227.45</v>
      </c>
      <c r="I193" s="627">
        <f>IFERROR(VLOOKUP($B193,'Trial Blc'!$B$4:T$377,I$2,FALSE),0)</f>
        <v>66771.81</v>
      </c>
      <c r="J193" s="627">
        <f>IFERROR(VLOOKUP($B193,'Trial Blc'!$B$4:U$377,J$2,FALSE),0)</f>
        <v>66771.81</v>
      </c>
      <c r="K193" s="627">
        <f>IFERROR(VLOOKUP($B193,'Trial Blc'!$B$4:V$377,K$2,FALSE),0)</f>
        <v>66771.81</v>
      </c>
      <c r="L193" s="627">
        <f>IFERROR(VLOOKUP($B193,'Trial Blc'!$B$4:W$377,L$2,FALSE),0)</f>
        <v>67071.81</v>
      </c>
      <c r="M193" s="627">
        <f>IFERROR(VLOOKUP($B193,'Trial Blc'!$B$4:X$377,M$2,FALSE),0)</f>
        <v>67071.81</v>
      </c>
      <c r="N193" s="627">
        <f>IFERROR(VLOOKUP($B193,'Trial Blc'!$B$4:Y$377,N$2,FALSE),0)</f>
        <v>67071.81</v>
      </c>
      <c r="O193" s="627">
        <f>IFERROR(VLOOKUP($B193,'Trial Blc'!$B$4:Z$377,O$2,FALSE),0)</f>
        <v>67071.81</v>
      </c>
      <c r="P193" s="627">
        <f>IFERROR(VLOOKUP($B193,'Trial Blc'!$B$4:AA$377,P$2,FALSE),0)</f>
        <v>67071.81</v>
      </c>
      <c r="Q193" s="627">
        <f>IFERROR(VLOOKUP($B193,'Trial Blc'!$B$4:AB$377,Q$2,FALSE),0)</f>
        <v>101956.31</v>
      </c>
      <c r="R193" s="627">
        <f>IFERROR(VLOOKUP($B193,'Trial Blc'!$B$4:AC$377,R$2,FALSE),0)</f>
        <v>102095.7</v>
      </c>
      <c r="S193" s="627">
        <f>IFERROR(VLOOKUP($B193,'Trial Blc'!$B$4:AD$377,S$2,FALSE),0)</f>
        <v>143970.20000000001</v>
      </c>
      <c r="T193" s="627">
        <f t="shared" si="138"/>
        <v>77857.814615384617</v>
      </c>
      <c r="U193" s="1536"/>
      <c r="W193" s="627"/>
      <c r="X193" s="111"/>
      <c r="Y193" s="627"/>
      <c r="Z193" s="627"/>
      <c r="AA193" s="627"/>
      <c r="AB193" s="627"/>
      <c r="AC193" s="627"/>
      <c r="AD193" s="627"/>
      <c r="AE193" s="627"/>
      <c r="AF193" s="627"/>
      <c r="AG193" s="627"/>
      <c r="AH193" s="627"/>
      <c r="AI193" s="627"/>
      <c r="AJ193" s="627"/>
      <c r="AK193" s="627"/>
      <c r="AL193" s="627"/>
      <c r="AM193" s="89"/>
      <c r="AN193" s="89"/>
    </row>
    <row r="194" spans="2:40" s="87" customFormat="1">
      <c r="B194" s="1531">
        <v>1708</v>
      </c>
      <c r="C194" s="111" t="s">
        <v>2203</v>
      </c>
      <c r="D194" s="627">
        <f>IFERROR(VLOOKUP($B194,'Trial Blc'!$B$4:O$377,D$2,FALSE),0)</f>
        <v>68612.739999999991</v>
      </c>
      <c r="E194" s="627"/>
      <c r="F194" s="627"/>
      <c r="G194" s="627">
        <f t="shared" si="137"/>
        <v>68612.739999999991</v>
      </c>
      <c r="H194" s="627">
        <f>IFERROR(VLOOKUP($B194,'Trial Blc'!$B$4:S$377,H$2,FALSE),0)</f>
        <v>68612.739999999991</v>
      </c>
      <c r="I194" s="627">
        <f>IFERROR(VLOOKUP($B194,'Trial Blc'!$B$4:T$377,I$2,FALSE),0)</f>
        <v>68612.739999999991</v>
      </c>
      <c r="J194" s="627">
        <f>IFERROR(VLOOKUP($B194,'Trial Blc'!$B$4:U$377,J$2,FALSE),0)</f>
        <v>68612.740000000005</v>
      </c>
      <c r="K194" s="627">
        <f>IFERROR(VLOOKUP($B194,'Trial Blc'!$B$4:V$377,K$2,FALSE),0)</f>
        <v>68612.739999999991</v>
      </c>
      <c r="L194" s="627">
        <f>IFERROR(VLOOKUP($B194,'Trial Blc'!$B$4:W$377,L$2,FALSE),0)</f>
        <v>68612.739999999991</v>
      </c>
      <c r="M194" s="627">
        <f>IFERROR(VLOOKUP($B194,'Trial Blc'!$B$4:X$377,M$2,FALSE),0)</f>
        <v>68612.739999999991</v>
      </c>
      <c r="N194" s="627">
        <f>IFERROR(VLOOKUP($B194,'Trial Blc'!$B$4:Y$377,N$2,FALSE),0)</f>
        <v>68612.739999999991</v>
      </c>
      <c r="O194" s="627">
        <f>IFERROR(VLOOKUP($B194,'Trial Blc'!$B$4:Z$377,O$2,FALSE),0)</f>
        <v>68612.739999999991</v>
      </c>
      <c r="P194" s="627">
        <f>IFERROR(VLOOKUP($B194,'Trial Blc'!$B$4:AA$377,P$2,FALSE),0)</f>
        <v>68612.739999999991</v>
      </c>
      <c r="Q194" s="627">
        <f>IFERROR(VLOOKUP($B194,'Trial Blc'!$B$4:AB$377,Q$2,FALSE),0)</f>
        <v>68612.739999999991</v>
      </c>
      <c r="R194" s="627">
        <f>IFERROR(VLOOKUP($B194,'Trial Blc'!$B$4:AC$377,R$2,FALSE),0)</f>
        <v>68612.739999999991</v>
      </c>
      <c r="S194" s="627">
        <f>IFERROR(VLOOKUP($B194,'Trial Blc'!$B$4:AD$377,S$2,FALSE),0)</f>
        <v>68612.739999999991</v>
      </c>
      <c r="T194" s="627">
        <f t="shared" si="138"/>
        <v>68612.739999999991</v>
      </c>
      <c r="U194" s="1536"/>
      <c r="W194" s="627"/>
      <c r="X194" s="111"/>
      <c r="Y194" s="627"/>
      <c r="Z194" s="627"/>
      <c r="AA194" s="627"/>
      <c r="AB194" s="627"/>
      <c r="AC194" s="627"/>
      <c r="AD194" s="627"/>
      <c r="AE194" s="627"/>
      <c r="AF194" s="627"/>
      <c r="AG194" s="627"/>
      <c r="AH194" s="627"/>
      <c r="AI194" s="627"/>
      <c r="AJ194" s="627"/>
      <c r="AK194" s="627"/>
      <c r="AL194" s="627"/>
      <c r="AM194" s="89"/>
      <c r="AN194" s="89"/>
    </row>
    <row r="195" spans="2:40" s="87" customFormat="1">
      <c r="B195" s="1531">
        <v>1709</v>
      </c>
      <c r="C195" s="111" t="s">
        <v>2204</v>
      </c>
      <c r="D195" s="627">
        <f>IFERROR(VLOOKUP($B195,'Trial Blc'!$B$4:O$377,D$2,FALSE),0)</f>
        <v>39186.959999999999</v>
      </c>
      <c r="E195" s="627"/>
      <c r="F195" s="627"/>
      <c r="G195" s="627">
        <f t="shared" si="137"/>
        <v>39186.959999999999</v>
      </c>
      <c r="H195" s="627">
        <f>IFERROR(VLOOKUP($B195,'Trial Blc'!$B$4:S$377,H$2,FALSE),0)</f>
        <v>39186.959999999999</v>
      </c>
      <c r="I195" s="627">
        <f>IFERROR(VLOOKUP($B195,'Trial Blc'!$B$4:T$377,I$2,FALSE),0)</f>
        <v>39186.959999999999</v>
      </c>
      <c r="J195" s="627">
        <f>IFERROR(VLOOKUP($B195,'Trial Blc'!$B$4:U$377,J$2,FALSE),0)</f>
        <v>39186.959999999999</v>
      </c>
      <c r="K195" s="627">
        <f>IFERROR(VLOOKUP($B195,'Trial Blc'!$B$4:V$377,K$2,FALSE),0)</f>
        <v>39186.959999999999</v>
      </c>
      <c r="L195" s="627">
        <f>IFERROR(VLOOKUP($B195,'Trial Blc'!$B$4:W$377,L$2,FALSE),0)</f>
        <v>39186.959999999999</v>
      </c>
      <c r="M195" s="627">
        <f>IFERROR(VLOOKUP($B195,'Trial Blc'!$B$4:X$377,M$2,FALSE),0)</f>
        <v>39186.959999999999</v>
      </c>
      <c r="N195" s="627">
        <f>IFERROR(VLOOKUP($B195,'Trial Blc'!$B$4:Y$377,N$2,FALSE),0)</f>
        <v>39186.959999999999</v>
      </c>
      <c r="O195" s="627">
        <f>IFERROR(VLOOKUP($B195,'Trial Blc'!$B$4:Z$377,O$2,FALSE),0)</f>
        <v>39186.959999999999</v>
      </c>
      <c r="P195" s="627">
        <f>IFERROR(VLOOKUP($B195,'Trial Blc'!$B$4:AA$377,P$2,FALSE),0)</f>
        <v>39186.959999999999</v>
      </c>
      <c r="Q195" s="627">
        <f>IFERROR(VLOOKUP($B195,'Trial Blc'!$B$4:AB$377,Q$2,FALSE),0)</f>
        <v>39186.959999999999</v>
      </c>
      <c r="R195" s="627">
        <f>IFERROR(VLOOKUP($B195,'Trial Blc'!$B$4:AC$377,R$2,FALSE),0)</f>
        <v>39186.959999999999</v>
      </c>
      <c r="S195" s="627">
        <f>IFERROR(VLOOKUP($B195,'Trial Blc'!$B$4:AD$377,S$2,FALSE),0)</f>
        <v>39186.959999999999</v>
      </c>
      <c r="T195" s="627">
        <f t="shared" si="138"/>
        <v>39186.960000000006</v>
      </c>
      <c r="U195" s="1536"/>
      <c r="W195" s="627"/>
      <c r="X195" s="111"/>
      <c r="Y195" s="627"/>
      <c r="Z195" s="627"/>
      <c r="AA195" s="627"/>
      <c r="AB195" s="627"/>
      <c r="AC195" s="627"/>
      <c r="AD195" s="627"/>
      <c r="AE195" s="627"/>
      <c r="AF195" s="627"/>
      <c r="AG195" s="627"/>
      <c r="AH195" s="627"/>
      <c r="AI195" s="627"/>
      <c r="AJ195" s="627"/>
      <c r="AK195" s="627"/>
      <c r="AL195" s="627"/>
      <c r="AM195" s="89"/>
      <c r="AN195" s="89"/>
    </row>
    <row r="196" spans="2:40" s="89" customFormat="1" ht="10.5" customHeight="1">
      <c r="B196" s="1532">
        <v>1710</v>
      </c>
      <c r="C196" s="113" t="s">
        <v>2205</v>
      </c>
      <c r="D196" s="627">
        <f>IFERROR(VLOOKUP($B196,'Trial Blc'!$B$4:O$377,D$2,FALSE),0)</f>
        <v>2263.8000000000002</v>
      </c>
      <c r="E196" s="627"/>
      <c r="F196" s="627"/>
      <c r="G196" s="627">
        <f t="shared" si="137"/>
        <v>2263.8000000000002</v>
      </c>
      <c r="H196" s="627">
        <f>IFERROR(VLOOKUP($B196,'Trial Blc'!$B$4:S$377,H$2,FALSE),0)</f>
        <v>2263.8000000000002</v>
      </c>
      <c r="I196" s="627">
        <f>IFERROR(VLOOKUP($B196,'Trial Blc'!$B$4:T$377,I$2,FALSE),0)</f>
        <v>2263.8000000000002</v>
      </c>
      <c r="J196" s="627">
        <f>IFERROR(VLOOKUP($B196,'Trial Blc'!$B$4:U$377,J$2,FALSE),0)</f>
        <v>2263.8000000000002</v>
      </c>
      <c r="K196" s="627">
        <f>IFERROR(VLOOKUP($B196,'Trial Blc'!$B$4:V$377,K$2,FALSE),0)</f>
        <v>2263.8000000000002</v>
      </c>
      <c r="L196" s="627">
        <f>IFERROR(VLOOKUP($B196,'Trial Blc'!$B$4:W$377,L$2,FALSE),0)</f>
        <v>2263.8000000000002</v>
      </c>
      <c r="M196" s="627">
        <f>IFERROR(VLOOKUP($B196,'Trial Blc'!$B$4:X$377,M$2,FALSE),0)</f>
        <v>2263.8000000000002</v>
      </c>
      <c r="N196" s="627">
        <f>IFERROR(VLOOKUP($B196,'Trial Blc'!$B$4:Y$377,N$2,FALSE),0)</f>
        <v>2263.8000000000002</v>
      </c>
      <c r="O196" s="627">
        <f>IFERROR(VLOOKUP($B196,'Trial Blc'!$B$4:Z$377,O$2,FALSE),0)</f>
        <v>2263.8000000000002</v>
      </c>
      <c r="P196" s="627">
        <f>IFERROR(VLOOKUP($B196,'Trial Blc'!$B$4:AA$377,P$2,FALSE),0)</f>
        <v>2263.8000000000002</v>
      </c>
      <c r="Q196" s="627">
        <f>IFERROR(VLOOKUP($B196,'Trial Blc'!$B$4:AB$377,Q$2,FALSE),0)</f>
        <v>2263.8000000000002</v>
      </c>
      <c r="R196" s="627">
        <f>IFERROR(VLOOKUP($B196,'Trial Blc'!$B$4:AC$377,R$2,FALSE),0)</f>
        <v>2263.8000000000002</v>
      </c>
      <c r="S196" s="627">
        <f>IFERROR(VLOOKUP($B196,'Trial Blc'!$B$4:AD$377,S$2,FALSE),0)</f>
        <v>2263.8000000000002</v>
      </c>
      <c r="T196" s="627">
        <f t="shared" si="138"/>
        <v>2263.7999999999997</v>
      </c>
      <c r="U196" s="1552"/>
      <c r="W196" s="627"/>
      <c r="X196" s="113"/>
      <c r="Y196" s="627"/>
      <c r="Z196" s="627"/>
      <c r="AA196" s="627"/>
      <c r="AB196" s="627"/>
      <c r="AC196" s="627"/>
      <c r="AD196" s="627"/>
      <c r="AE196" s="627"/>
      <c r="AF196" s="627"/>
      <c r="AG196" s="627"/>
      <c r="AH196" s="627"/>
      <c r="AI196" s="627"/>
      <c r="AJ196" s="627"/>
      <c r="AK196" s="627"/>
      <c r="AL196" s="627"/>
    </row>
    <row r="197" spans="2:40" s="87" customFormat="1">
      <c r="B197" s="1531">
        <v>1711</v>
      </c>
      <c r="C197" s="111" t="s">
        <v>2206</v>
      </c>
      <c r="D197" s="627">
        <f>IFERROR(VLOOKUP($B197,'Trial Blc'!$B$4:O$377,D$2,FALSE),0)</f>
        <v>0</v>
      </c>
      <c r="E197" s="627"/>
      <c r="F197" s="627"/>
      <c r="G197" s="627">
        <f t="shared" si="137"/>
        <v>0</v>
      </c>
      <c r="H197" s="627">
        <f>IFERROR(VLOOKUP($B197,'Trial Blc'!$B$4:S$377,H$2,FALSE),0)</f>
        <v>0</v>
      </c>
      <c r="I197" s="627">
        <f>IFERROR(VLOOKUP($B197,'Trial Blc'!$B$4:T$377,I$2,FALSE),0)</f>
        <v>0</v>
      </c>
      <c r="J197" s="627">
        <f>IFERROR(VLOOKUP($B197,'Trial Blc'!$B$4:U$377,J$2,FALSE),0)</f>
        <v>0</v>
      </c>
      <c r="K197" s="627">
        <f>IFERROR(VLOOKUP($B197,'Trial Blc'!$B$4:V$377,K$2,FALSE),0)</f>
        <v>0</v>
      </c>
      <c r="L197" s="627">
        <f>IFERROR(VLOOKUP($B197,'Trial Blc'!$B$4:W$377,L$2,FALSE),0)</f>
        <v>0</v>
      </c>
      <c r="M197" s="627">
        <f>IFERROR(VLOOKUP($B197,'Trial Blc'!$B$4:X$377,M$2,FALSE),0)</f>
        <v>0</v>
      </c>
      <c r="N197" s="627">
        <f>IFERROR(VLOOKUP($B197,'Trial Blc'!$B$4:Y$377,N$2,FALSE),0)</f>
        <v>0</v>
      </c>
      <c r="O197" s="627">
        <f>IFERROR(VLOOKUP($B197,'Trial Blc'!$B$4:Z$377,O$2,FALSE),0)</f>
        <v>0</v>
      </c>
      <c r="P197" s="627">
        <f>IFERROR(VLOOKUP($B197,'Trial Blc'!$B$4:AA$377,P$2,FALSE),0)</f>
        <v>0</v>
      </c>
      <c r="Q197" s="627">
        <f>IFERROR(VLOOKUP($B197,'Trial Blc'!$B$4:AB$377,Q$2,FALSE),0)</f>
        <v>0</v>
      </c>
      <c r="R197" s="627">
        <f>IFERROR(VLOOKUP($B197,'Trial Blc'!$B$4:AC$377,R$2,FALSE),0)</f>
        <v>0</v>
      </c>
      <c r="S197" s="627">
        <f>IFERROR(VLOOKUP($B197,'Trial Blc'!$B$4:AD$377,S$2,FALSE),0)</f>
        <v>0</v>
      </c>
      <c r="T197" s="627">
        <f t="shared" si="138"/>
        <v>0</v>
      </c>
      <c r="U197" s="1536"/>
      <c r="W197" s="627"/>
      <c r="X197" s="111"/>
      <c r="Y197" s="627"/>
      <c r="Z197" s="627"/>
      <c r="AA197" s="627"/>
      <c r="AB197" s="627"/>
      <c r="AC197" s="627"/>
      <c r="AD197" s="627"/>
      <c r="AE197" s="627"/>
      <c r="AF197" s="627"/>
      <c r="AG197" s="627"/>
      <c r="AH197" s="627"/>
      <c r="AI197" s="627"/>
      <c r="AJ197" s="627"/>
      <c r="AK197" s="627"/>
      <c r="AL197" s="627"/>
      <c r="AM197" s="89"/>
      <c r="AN197" s="89"/>
    </row>
    <row r="198" spans="2:40" s="87" customFormat="1">
      <c r="B198" s="1531">
        <v>1713</v>
      </c>
      <c r="C198" s="111" t="s">
        <v>2207</v>
      </c>
      <c r="D198" s="627">
        <f>IFERROR(VLOOKUP($B198,'Trial Blc'!$B$4:O$377,D$2,FALSE),0)</f>
        <v>226613.09</v>
      </c>
      <c r="E198" s="627"/>
      <c r="F198" s="627"/>
      <c r="G198" s="627">
        <f t="shared" si="137"/>
        <v>226613.09</v>
      </c>
      <c r="H198" s="627">
        <f>IFERROR(VLOOKUP($B198,'Trial Blc'!$B$4:S$377,H$2,FALSE),0)</f>
        <v>226613.09</v>
      </c>
      <c r="I198" s="627">
        <f>IFERROR(VLOOKUP($B198,'Trial Blc'!$B$4:T$377,I$2,FALSE),0)</f>
        <v>226613.09</v>
      </c>
      <c r="J198" s="627">
        <f>IFERROR(VLOOKUP($B198,'Trial Blc'!$B$4:U$377,J$2,FALSE),0)</f>
        <v>226613.09</v>
      </c>
      <c r="K198" s="627">
        <f>IFERROR(VLOOKUP($B198,'Trial Blc'!$B$4:V$377,K$2,FALSE),0)</f>
        <v>226613.09</v>
      </c>
      <c r="L198" s="627">
        <f>IFERROR(VLOOKUP($B198,'Trial Blc'!$B$4:W$377,L$2,FALSE),0)</f>
        <v>226613.09</v>
      </c>
      <c r="M198" s="627">
        <f>IFERROR(VLOOKUP($B198,'Trial Blc'!$B$4:X$377,M$2,FALSE),0)</f>
        <v>226613.09</v>
      </c>
      <c r="N198" s="627">
        <f>IFERROR(VLOOKUP($B198,'Trial Blc'!$B$4:Y$377,N$2,FALSE),0)</f>
        <v>226613.09</v>
      </c>
      <c r="O198" s="627">
        <f>IFERROR(VLOOKUP($B198,'Trial Blc'!$B$4:Z$377,O$2,FALSE),0)</f>
        <v>226613.09</v>
      </c>
      <c r="P198" s="627">
        <f>IFERROR(VLOOKUP($B198,'Trial Blc'!$B$4:AA$377,P$2,FALSE),0)</f>
        <v>226613.09</v>
      </c>
      <c r="Q198" s="627">
        <f>IFERROR(VLOOKUP($B198,'Trial Blc'!$B$4:AB$377,Q$2,FALSE),0)</f>
        <v>226613.09</v>
      </c>
      <c r="R198" s="627">
        <f>IFERROR(VLOOKUP($B198,'Trial Blc'!$B$4:AC$377,R$2,FALSE),0)</f>
        <v>226613.09</v>
      </c>
      <c r="S198" s="627">
        <f>IFERROR(VLOOKUP($B198,'Trial Blc'!$B$4:AD$377,S$2,FALSE),0)</f>
        <v>226613.09</v>
      </c>
      <c r="T198" s="627">
        <f t="shared" si="138"/>
        <v>226613.09</v>
      </c>
      <c r="U198" s="1536"/>
      <c r="W198" s="627"/>
      <c r="X198" s="111"/>
      <c r="Y198" s="627"/>
      <c r="Z198" s="627"/>
      <c r="AA198" s="627"/>
      <c r="AB198" s="627"/>
      <c r="AC198" s="627"/>
      <c r="AD198" s="627"/>
      <c r="AE198" s="627"/>
      <c r="AF198" s="627"/>
      <c r="AG198" s="627"/>
      <c r="AH198" s="627"/>
      <c r="AI198" s="627"/>
      <c r="AJ198" s="627"/>
      <c r="AK198" s="627"/>
      <c r="AL198" s="627"/>
      <c r="AM198" s="89"/>
      <c r="AN198" s="89"/>
    </row>
    <row r="199" spans="2:40" s="87" customFormat="1">
      <c r="B199" s="1531">
        <v>1715</v>
      </c>
      <c r="C199" s="111" t="s">
        <v>2208</v>
      </c>
      <c r="D199" s="627">
        <f>IFERROR(VLOOKUP($B199,'Trial Blc'!$B$4:O$377,D$2,FALSE),0)</f>
        <v>0</v>
      </c>
      <c r="E199" s="627"/>
      <c r="F199" s="627"/>
      <c r="G199" s="627">
        <f t="shared" si="137"/>
        <v>0</v>
      </c>
      <c r="H199" s="627">
        <f>IFERROR(VLOOKUP($B199,'Trial Blc'!$B$4:S$377,H$2,FALSE),0)</f>
        <v>0</v>
      </c>
      <c r="I199" s="627">
        <f>IFERROR(VLOOKUP($B199,'Trial Blc'!$B$4:T$377,I$2,FALSE),0)</f>
        <v>0</v>
      </c>
      <c r="J199" s="627">
        <f>IFERROR(VLOOKUP($B199,'Trial Blc'!$B$4:U$377,J$2,FALSE),0)</f>
        <v>0</v>
      </c>
      <c r="K199" s="627">
        <f>IFERROR(VLOOKUP($B199,'Trial Blc'!$B$4:V$377,K$2,FALSE),0)</f>
        <v>0</v>
      </c>
      <c r="L199" s="627">
        <f>IFERROR(VLOOKUP($B199,'Trial Blc'!$B$4:W$377,L$2,FALSE),0)</f>
        <v>0</v>
      </c>
      <c r="M199" s="627">
        <f>IFERROR(VLOOKUP($B199,'Trial Blc'!$B$4:X$377,M$2,FALSE),0)</f>
        <v>0</v>
      </c>
      <c r="N199" s="627">
        <f>IFERROR(VLOOKUP($B199,'Trial Blc'!$B$4:Y$377,N$2,FALSE),0)</f>
        <v>0</v>
      </c>
      <c r="O199" s="627">
        <f>IFERROR(VLOOKUP($B199,'Trial Blc'!$B$4:Z$377,O$2,FALSE),0)</f>
        <v>0</v>
      </c>
      <c r="P199" s="627">
        <f>IFERROR(VLOOKUP($B199,'Trial Blc'!$B$4:AA$377,P$2,FALSE),0)</f>
        <v>0</v>
      </c>
      <c r="Q199" s="627">
        <f>IFERROR(VLOOKUP($B199,'Trial Blc'!$B$4:AB$377,Q$2,FALSE),0)</f>
        <v>0</v>
      </c>
      <c r="R199" s="627">
        <f>IFERROR(VLOOKUP($B199,'Trial Blc'!$B$4:AC$377,R$2,FALSE),0)</f>
        <v>0</v>
      </c>
      <c r="S199" s="627">
        <f>IFERROR(VLOOKUP($B199,'Trial Blc'!$B$4:AD$377,S$2,FALSE),0)</f>
        <v>0</v>
      </c>
      <c r="T199" s="627">
        <f t="shared" si="138"/>
        <v>0</v>
      </c>
      <c r="U199" s="1536"/>
      <c r="W199" s="627"/>
      <c r="X199" s="111"/>
      <c r="Y199" s="627"/>
      <c r="Z199" s="627"/>
      <c r="AA199" s="627"/>
      <c r="AB199" s="627"/>
      <c r="AC199" s="627"/>
      <c r="AD199" s="627"/>
      <c r="AE199" s="627"/>
      <c r="AF199" s="627"/>
      <c r="AG199" s="627"/>
      <c r="AH199" s="627"/>
      <c r="AI199" s="627"/>
      <c r="AJ199" s="627"/>
      <c r="AK199" s="627"/>
      <c r="AL199" s="627"/>
      <c r="AM199" s="89"/>
      <c r="AN199" s="89"/>
    </row>
    <row r="200" spans="2:40" s="87" customFormat="1">
      <c r="B200" s="1531">
        <v>1717</v>
      </c>
      <c r="C200" s="111" t="s">
        <v>2234</v>
      </c>
      <c r="D200" s="627">
        <f>IFERROR(VLOOKUP($B200,'Trial Blc'!$B$4:O$377,D$2,FALSE),0)</f>
        <v>30264.87</v>
      </c>
      <c r="E200" s="627"/>
      <c r="F200" s="627"/>
      <c r="G200" s="627">
        <f t="shared" si="137"/>
        <v>30264.87</v>
      </c>
      <c r="H200" s="627">
        <f>IFERROR(VLOOKUP($B200,'Trial Blc'!$B$4:S$377,H$2,FALSE),0)</f>
        <v>286202.32</v>
      </c>
      <c r="I200" s="627">
        <f>IFERROR(VLOOKUP($B200,'Trial Blc'!$B$4:T$377,I$2,FALSE),0)</f>
        <v>348230.32</v>
      </c>
      <c r="J200" s="627">
        <f>IFERROR(VLOOKUP($B200,'Trial Blc'!$B$4:U$377,J$2,FALSE),0)</f>
        <v>413721.86</v>
      </c>
      <c r="K200" s="627">
        <f>IFERROR(VLOOKUP($B200,'Trial Blc'!$B$4:V$377,K$2,FALSE),0)</f>
        <v>413721.86</v>
      </c>
      <c r="L200" s="627">
        <f>IFERROR(VLOOKUP($B200,'Trial Blc'!$B$4:W$377,L$2,FALSE),0)</f>
        <v>219641.06</v>
      </c>
      <c r="M200" s="627">
        <f>IFERROR(VLOOKUP($B200,'Trial Blc'!$B$4:X$377,M$2,FALSE),0)</f>
        <v>475600.55</v>
      </c>
      <c r="N200" s="627">
        <f>IFERROR(VLOOKUP($B200,'Trial Blc'!$B$4:Y$377,N$2,FALSE),0)</f>
        <v>511990.55</v>
      </c>
      <c r="O200" s="627">
        <f>IFERROR(VLOOKUP($B200,'Trial Blc'!$B$4:Z$377,O$2,FALSE),0)</f>
        <v>511990.55</v>
      </c>
      <c r="P200" s="627">
        <f>IFERROR(VLOOKUP($B200,'Trial Blc'!$B$4:AA$377,P$2,FALSE),0)</f>
        <v>256090.55</v>
      </c>
      <c r="Q200" s="627">
        <f>IFERROR(VLOOKUP($B200,'Trial Blc'!$B$4:AB$377,Q$2,FALSE),0)</f>
        <v>256090.55</v>
      </c>
      <c r="R200" s="627">
        <f>IFERROR(VLOOKUP($B200,'Trial Blc'!$B$4:AC$377,R$2,FALSE),0)</f>
        <v>256090.55</v>
      </c>
      <c r="S200" s="627">
        <f>IFERROR(VLOOKUP($B200,'Trial Blc'!$B$4:AD$377,S$2,FALSE),0)</f>
        <v>256090.55</v>
      </c>
      <c r="T200" s="627">
        <f t="shared" si="138"/>
        <v>325825.0876923076</v>
      </c>
      <c r="U200" s="1536"/>
      <c r="W200" s="627"/>
      <c r="X200" s="111"/>
      <c r="Y200" s="627"/>
      <c r="Z200" s="627"/>
      <c r="AA200" s="627"/>
      <c r="AB200" s="627"/>
      <c r="AC200" s="627"/>
      <c r="AD200" s="627"/>
      <c r="AE200" s="627"/>
      <c r="AF200" s="627"/>
      <c r="AG200" s="627"/>
      <c r="AH200" s="627"/>
      <c r="AI200" s="627"/>
      <c r="AJ200" s="627"/>
      <c r="AK200" s="627"/>
      <c r="AL200" s="627"/>
      <c r="AM200" s="89"/>
      <c r="AN200" s="89"/>
    </row>
    <row r="201" spans="2:40" s="87" customFormat="1">
      <c r="B201" s="1531">
        <v>1720</v>
      </c>
      <c r="C201" s="111" t="s">
        <v>2235</v>
      </c>
      <c r="D201" s="627">
        <f>IFERROR(VLOOKUP($B201,'Trial Blc'!$B$4:O$377,D$2,FALSE),0)</f>
        <v>0</v>
      </c>
      <c r="E201" s="627"/>
      <c r="F201" s="627"/>
      <c r="G201" s="627">
        <f t="shared" si="137"/>
        <v>0</v>
      </c>
      <c r="H201" s="627">
        <f>IFERROR(VLOOKUP($B201,'Trial Blc'!$B$4:S$377,H$2,FALSE),0)</f>
        <v>0</v>
      </c>
      <c r="I201" s="627">
        <f>IFERROR(VLOOKUP($B201,'Trial Blc'!$B$4:T$377,I$2,FALSE),0)</f>
        <v>0</v>
      </c>
      <c r="J201" s="627">
        <f>IFERROR(VLOOKUP($B201,'Trial Blc'!$B$4:U$377,J$2,FALSE),0)</f>
        <v>0</v>
      </c>
      <c r="K201" s="627">
        <f>IFERROR(VLOOKUP($B201,'Trial Blc'!$B$4:V$377,K$2,FALSE),0)</f>
        <v>0</v>
      </c>
      <c r="L201" s="627">
        <f>IFERROR(VLOOKUP($B201,'Trial Blc'!$B$4:W$377,L$2,FALSE),0)</f>
        <v>0</v>
      </c>
      <c r="M201" s="627">
        <f>IFERROR(VLOOKUP($B201,'Trial Blc'!$B$4:X$377,M$2,FALSE),0)</f>
        <v>0</v>
      </c>
      <c r="N201" s="627">
        <f>IFERROR(VLOOKUP($B201,'Trial Blc'!$B$4:Y$377,N$2,FALSE),0)</f>
        <v>0</v>
      </c>
      <c r="O201" s="627">
        <f>IFERROR(VLOOKUP($B201,'Trial Blc'!$B$4:Z$377,O$2,FALSE),0)</f>
        <v>0</v>
      </c>
      <c r="P201" s="627">
        <f>IFERROR(VLOOKUP($B201,'Trial Blc'!$B$4:AA$377,P$2,FALSE),0)</f>
        <v>0</v>
      </c>
      <c r="Q201" s="627">
        <f>IFERROR(VLOOKUP($B201,'Trial Blc'!$B$4:AB$377,Q$2,FALSE),0)</f>
        <v>0</v>
      </c>
      <c r="R201" s="627">
        <f>IFERROR(VLOOKUP($B201,'Trial Blc'!$B$4:AC$377,R$2,FALSE),0)</f>
        <v>0</v>
      </c>
      <c r="S201" s="627">
        <f>IFERROR(VLOOKUP($B201,'Trial Blc'!$B$4:AD$377,S$2,FALSE),0)</f>
        <v>0</v>
      </c>
      <c r="T201" s="627">
        <f t="shared" si="138"/>
        <v>0</v>
      </c>
      <c r="U201" s="1536"/>
      <c r="W201" s="627"/>
      <c r="X201" s="111"/>
      <c r="Y201" s="627"/>
      <c r="Z201" s="627"/>
      <c r="AA201" s="627"/>
      <c r="AB201" s="627"/>
      <c r="AC201" s="627"/>
      <c r="AD201" s="627"/>
      <c r="AE201" s="627"/>
      <c r="AF201" s="627"/>
      <c r="AG201" s="627"/>
      <c r="AH201" s="627"/>
      <c r="AI201" s="627"/>
      <c r="AJ201" s="627"/>
      <c r="AK201" s="627"/>
      <c r="AL201" s="627"/>
      <c r="AM201" s="89"/>
      <c r="AN201" s="89"/>
    </row>
    <row r="202" spans="2:40" s="87" customFormat="1">
      <c r="B202" s="1531">
        <v>1726</v>
      </c>
      <c r="C202" s="111" t="s">
        <v>2209</v>
      </c>
      <c r="D202" s="627">
        <f>IFERROR(VLOOKUP($B202,'Trial Blc'!$B$4:O$377,D$2,FALSE),0)</f>
        <v>0</v>
      </c>
      <c r="E202" s="627"/>
      <c r="F202" s="627"/>
      <c r="G202" s="627">
        <f t="shared" si="137"/>
        <v>0</v>
      </c>
      <c r="H202" s="627">
        <f>IFERROR(VLOOKUP($B202,'Trial Blc'!$B$4:S$377,H$2,FALSE),0)</f>
        <v>0</v>
      </c>
      <c r="I202" s="627">
        <f>IFERROR(VLOOKUP($B202,'Trial Blc'!$B$4:T$377,I$2,FALSE),0)</f>
        <v>0</v>
      </c>
      <c r="J202" s="627">
        <f>IFERROR(VLOOKUP($B202,'Trial Blc'!$B$4:U$377,J$2,FALSE),0)</f>
        <v>0</v>
      </c>
      <c r="K202" s="627">
        <f>IFERROR(VLOOKUP($B202,'Trial Blc'!$B$4:V$377,K$2,FALSE),0)</f>
        <v>0</v>
      </c>
      <c r="L202" s="627">
        <f>IFERROR(VLOOKUP($B202,'Trial Blc'!$B$4:W$377,L$2,FALSE),0)</f>
        <v>0</v>
      </c>
      <c r="M202" s="627">
        <f>IFERROR(VLOOKUP($B202,'Trial Blc'!$B$4:X$377,M$2,FALSE),0)</f>
        <v>0</v>
      </c>
      <c r="N202" s="627">
        <f>IFERROR(VLOOKUP($B202,'Trial Blc'!$B$4:Y$377,N$2,FALSE),0)</f>
        <v>0</v>
      </c>
      <c r="O202" s="627">
        <f>IFERROR(VLOOKUP($B202,'Trial Blc'!$B$4:Z$377,O$2,FALSE),0)</f>
        <v>0</v>
      </c>
      <c r="P202" s="627">
        <f>IFERROR(VLOOKUP($B202,'Trial Blc'!$B$4:AA$377,P$2,FALSE),0)</f>
        <v>0</v>
      </c>
      <c r="Q202" s="627">
        <f>IFERROR(VLOOKUP($B202,'Trial Blc'!$B$4:AB$377,Q$2,FALSE),0)</f>
        <v>0</v>
      </c>
      <c r="R202" s="627">
        <f>IFERROR(VLOOKUP($B202,'Trial Blc'!$B$4:AC$377,R$2,FALSE),0)</f>
        <v>0</v>
      </c>
      <c r="S202" s="627">
        <f>IFERROR(VLOOKUP($B202,'Trial Blc'!$B$4:AD$377,S$2,FALSE),0)</f>
        <v>0</v>
      </c>
      <c r="T202" s="627">
        <f t="shared" si="138"/>
        <v>0</v>
      </c>
      <c r="U202" s="1536"/>
      <c r="W202" s="627"/>
      <c r="X202" s="111"/>
      <c r="Y202" s="627"/>
      <c r="Z202" s="627"/>
      <c r="AA202" s="627"/>
      <c r="AB202" s="627"/>
      <c r="AC202" s="627"/>
      <c r="AD202" s="627"/>
      <c r="AE202" s="627"/>
      <c r="AF202" s="627"/>
      <c r="AG202" s="627"/>
      <c r="AH202" s="627"/>
      <c r="AI202" s="627"/>
      <c r="AJ202" s="627"/>
      <c r="AK202" s="627"/>
      <c r="AL202" s="627"/>
      <c r="AM202" s="89"/>
      <c r="AN202" s="89"/>
    </row>
    <row r="203" spans="2:40" s="87" customFormat="1">
      <c r="B203" s="1531">
        <v>1732</v>
      </c>
      <c r="C203" s="111" t="s">
        <v>2210</v>
      </c>
      <c r="D203" s="627">
        <f>IFERROR(VLOOKUP($B203,'Trial Blc'!$B$4:O$377,D$2,FALSE),0)</f>
        <v>0</v>
      </c>
      <c r="E203" s="627"/>
      <c r="F203" s="627"/>
      <c r="G203" s="627">
        <f t="shared" si="137"/>
        <v>0</v>
      </c>
      <c r="H203" s="627">
        <f>IFERROR(VLOOKUP($B203,'Trial Blc'!$B$4:S$377,H$2,FALSE),0)</f>
        <v>0</v>
      </c>
      <c r="I203" s="627">
        <f>IFERROR(VLOOKUP($B203,'Trial Blc'!$B$4:T$377,I$2,FALSE),0)</f>
        <v>0</v>
      </c>
      <c r="J203" s="627">
        <f>IFERROR(VLOOKUP($B203,'Trial Blc'!$B$4:U$377,J$2,FALSE),0)</f>
        <v>0</v>
      </c>
      <c r="K203" s="627">
        <f>IFERROR(VLOOKUP($B203,'Trial Blc'!$B$4:V$377,K$2,FALSE),0)</f>
        <v>0</v>
      </c>
      <c r="L203" s="627">
        <f>IFERROR(VLOOKUP($B203,'Trial Blc'!$B$4:W$377,L$2,FALSE),0)</f>
        <v>0</v>
      </c>
      <c r="M203" s="627">
        <f>IFERROR(VLOOKUP($B203,'Trial Blc'!$B$4:X$377,M$2,FALSE),0)</f>
        <v>0</v>
      </c>
      <c r="N203" s="627">
        <f>IFERROR(VLOOKUP($B203,'Trial Blc'!$B$4:Y$377,N$2,FALSE),0)</f>
        <v>0</v>
      </c>
      <c r="O203" s="627">
        <f>IFERROR(VLOOKUP($B203,'Trial Blc'!$B$4:Z$377,O$2,FALSE),0)</f>
        <v>0</v>
      </c>
      <c r="P203" s="627">
        <f>IFERROR(VLOOKUP($B203,'Trial Blc'!$B$4:AA$377,P$2,FALSE),0)</f>
        <v>0</v>
      </c>
      <c r="Q203" s="627">
        <f>IFERROR(VLOOKUP($B203,'Trial Blc'!$B$4:AB$377,Q$2,FALSE),0)</f>
        <v>0</v>
      </c>
      <c r="R203" s="627">
        <f>IFERROR(VLOOKUP($B203,'Trial Blc'!$B$4:AC$377,R$2,FALSE),0)</f>
        <v>0</v>
      </c>
      <c r="S203" s="627">
        <f>IFERROR(VLOOKUP($B203,'Trial Blc'!$B$4:AD$377,S$2,FALSE),0)</f>
        <v>0</v>
      </c>
      <c r="T203" s="627">
        <f t="shared" si="138"/>
        <v>0</v>
      </c>
      <c r="U203" s="1536"/>
      <c r="W203" s="627"/>
      <c r="X203" s="111"/>
      <c r="Y203" s="627"/>
      <c r="Z203" s="627"/>
      <c r="AA203" s="627"/>
      <c r="AB203" s="627"/>
      <c r="AC203" s="627"/>
      <c r="AD203" s="627"/>
      <c r="AE203" s="627"/>
      <c r="AF203" s="627"/>
      <c r="AG203" s="627"/>
      <c r="AH203" s="627"/>
      <c r="AI203" s="627"/>
      <c r="AJ203" s="627"/>
      <c r="AK203" s="627"/>
      <c r="AL203" s="627"/>
      <c r="AM203" s="89"/>
      <c r="AN203" s="89"/>
    </row>
    <row r="204" spans="2:40" s="87" customFormat="1">
      <c r="B204" s="1531">
        <v>1739</v>
      </c>
      <c r="C204" s="111" t="s">
        <v>2211</v>
      </c>
      <c r="D204" s="627">
        <f>IFERROR(VLOOKUP($B204,'Trial Blc'!$B$4:O$377,D$2,FALSE),0)</f>
        <v>-343291.63999999996</v>
      </c>
      <c r="E204" s="627"/>
      <c r="F204" s="627"/>
      <c r="G204" s="627">
        <f t="shared" si="137"/>
        <v>-343291.63999999996</v>
      </c>
      <c r="H204" s="627">
        <f>IFERROR(VLOOKUP($B204,'Trial Blc'!$B$4:S$377,H$2,FALSE),0)</f>
        <v>-343291.63999999996</v>
      </c>
      <c r="I204" s="627">
        <f>IFERROR(VLOOKUP($B204,'Trial Blc'!$B$4:T$377,I$2,FALSE),0)</f>
        <v>-343291.63999999996</v>
      </c>
      <c r="J204" s="627">
        <f>IFERROR(VLOOKUP($B204,'Trial Blc'!$B$4:U$377,J$2,FALSE),0)</f>
        <v>-343291.64</v>
      </c>
      <c r="K204" s="627">
        <f>IFERROR(VLOOKUP($B204,'Trial Blc'!$B$4:V$377,K$2,FALSE),0)</f>
        <v>-343291.63999999996</v>
      </c>
      <c r="L204" s="627">
        <f>IFERROR(VLOOKUP($B204,'Trial Blc'!$B$4:W$377,L$2,FALSE),0)</f>
        <v>-343291.63999999996</v>
      </c>
      <c r="M204" s="627">
        <f>IFERROR(VLOOKUP($B204,'Trial Blc'!$B$4:X$377,M$2,FALSE),0)</f>
        <v>-917118.62000000011</v>
      </c>
      <c r="N204" s="627">
        <f>IFERROR(VLOOKUP($B204,'Trial Blc'!$B$4:Y$377,N$2,FALSE),0)</f>
        <v>-953629.49000000011</v>
      </c>
      <c r="O204" s="627">
        <f>IFERROR(VLOOKUP($B204,'Trial Blc'!$B$4:Z$377,O$2,FALSE),0)</f>
        <v>-953629.49000000011</v>
      </c>
      <c r="P204" s="627">
        <f>IFERROR(VLOOKUP($B204,'Trial Blc'!$B$4:AA$377,P$2,FALSE),0)</f>
        <v>-697729.49000000011</v>
      </c>
      <c r="Q204" s="627">
        <f>IFERROR(VLOOKUP($B204,'Trial Blc'!$B$4:AB$377,Q$2,FALSE),0)</f>
        <v>-697729.49000000011</v>
      </c>
      <c r="R204" s="627">
        <f>IFERROR(VLOOKUP($B204,'Trial Blc'!$B$4:AC$377,R$2,FALSE),0)</f>
        <v>-697729.49000000011</v>
      </c>
      <c r="S204" s="627">
        <f>IFERROR(VLOOKUP($B204,'Trial Blc'!$B$4:AD$377,S$2,FALSE),0)</f>
        <v>-697729.49000000011</v>
      </c>
      <c r="T204" s="627">
        <f t="shared" si="138"/>
        <v>-590388.10769230779</v>
      </c>
      <c r="U204" s="1536"/>
      <c r="W204" s="627"/>
      <c r="X204" s="111"/>
      <c r="Y204" s="627"/>
      <c r="Z204" s="627"/>
      <c r="AA204" s="627"/>
      <c r="AB204" s="627"/>
      <c r="AC204" s="627"/>
      <c r="AD204" s="627"/>
      <c r="AE204" s="627"/>
      <c r="AF204" s="627"/>
      <c r="AG204" s="627"/>
      <c r="AH204" s="627"/>
      <c r="AI204" s="627"/>
      <c r="AJ204" s="627"/>
      <c r="AK204" s="627"/>
      <c r="AL204" s="627"/>
      <c r="AM204" s="89"/>
      <c r="AN204" s="89"/>
    </row>
    <row r="205" spans="2:40" s="87" customFormat="1">
      <c r="B205" s="1531"/>
      <c r="C205" s="1574"/>
      <c r="D205" s="627"/>
      <c r="E205" s="627"/>
      <c r="F205" s="111"/>
      <c r="G205" s="627"/>
      <c r="H205" s="627"/>
      <c r="I205" s="627"/>
      <c r="J205" s="627"/>
      <c r="K205" s="627"/>
      <c r="L205" s="627"/>
      <c r="M205" s="627"/>
      <c r="N205" s="627"/>
      <c r="O205" s="627"/>
      <c r="P205" s="627"/>
      <c r="Q205" s="627"/>
      <c r="R205" s="627"/>
      <c r="S205" s="627"/>
      <c r="T205" s="627"/>
      <c r="U205" s="1536"/>
      <c r="W205" s="627"/>
      <c r="X205" s="111"/>
      <c r="Y205" s="627"/>
      <c r="Z205" s="627"/>
      <c r="AA205" s="627"/>
      <c r="AB205" s="627"/>
      <c r="AC205" s="627"/>
      <c r="AD205" s="627"/>
      <c r="AE205" s="627"/>
      <c r="AF205" s="627"/>
      <c r="AG205" s="627"/>
      <c r="AH205" s="627"/>
      <c r="AI205" s="627"/>
      <c r="AJ205" s="627"/>
      <c r="AK205" s="627"/>
      <c r="AL205" s="627"/>
      <c r="AM205" s="89"/>
      <c r="AN205" s="89"/>
    </row>
    <row r="206" spans="2:40" s="87" customFormat="1">
      <c r="B206" s="1531"/>
      <c r="C206" s="111"/>
      <c r="D206" s="627"/>
      <c r="E206" s="627"/>
      <c r="F206" s="627"/>
      <c r="G206" s="627"/>
      <c r="H206" s="627"/>
      <c r="I206" s="627"/>
      <c r="J206" s="627"/>
      <c r="K206" s="627"/>
      <c r="L206" s="627"/>
      <c r="M206" s="627"/>
      <c r="N206" s="627"/>
      <c r="O206" s="627"/>
      <c r="P206" s="627"/>
      <c r="Q206" s="627"/>
      <c r="R206" s="627"/>
      <c r="S206" s="627"/>
      <c r="T206" s="627"/>
      <c r="U206" s="1536"/>
      <c r="W206" s="627"/>
      <c r="X206" s="627"/>
      <c r="Y206" s="627"/>
      <c r="Z206" s="627"/>
      <c r="AA206" s="627"/>
      <c r="AB206" s="627"/>
      <c r="AC206" s="627"/>
      <c r="AD206" s="627"/>
      <c r="AE206" s="627"/>
      <c r="AF206" s="627"/>
      <c r="AG206" s="627"/>
      <c r="AH206" s="627"/>
      <c r="AI206" s="627"/>
      <c r="AJ206" s="627"/>
      <c r="AK206" s="627"/>
      <c r="AL206" s="627"/>
      <c r="AM206" s="89"/>
      <c r="AN206" s="89"/>
    </row>
    <row r="207" spans="2:40" s="692" customFormat="1" ht="22.5">
      <c r="B207" s="1528"/>
      <c r="C207" s="115" t="s">
        <v>2212</v>
      </c>
      <c r="D207" s="693">
        <f>SUM(D190:D206)</f>
        <v>99669.600000000035</v>
      </c>
      <c r="E207" s="693"/>
      <c r="F207" s="693">
        <f>SUM(F190:F206)</f>
        <v>0</v>
      </c>
      <c r="G207" s="693">
        <f>SUM(G190:G206)</f>
        <v>99669.600000000035</v>
      </c>
      <c r="H207" s="693">
        <f>SUM(H190:H206)</f>
        <v>359732.34</v>
      </c>
      <c r="I207" s="693">
        <f>SUM(I190:I206)</f>
        <v>427871.77999999997</v>
      </c>
      <c r="J207" s="693">
        <f t="shared" ref="J207:S207" si="139">SUM(J190:J206)</f>
        <v>497263.44999999995</v>
      </c>
      <c r="K207" s="693">
        <f t="shared" si="139"/>
        <v>503482.32</v>
      </c>
      <c r="L207" s="693">
        <f t="shared" si="139"/>
        <v>312853.82</v>
      </c>
      <c r="M207" s="693">
        <f t="shared" si="139"/>
        <v>0</v>
      </c>
      <c r="N207" s="693">
        <f t="shared" si="139"/>
        <v>0</v>
      </c>
      <c r="O207" s="693">
        <f t="shared" si="139"/>
        <v>0</v>
      </c>
      <c r="P207" s="693">
        <f t="shared" si="139"/>
        <v>2039.1499999997905</v>
      </c>
      <c r="Q207" s="693">
        <f t="shared" si="139"/>
        <v>37990.729999999865</v>
      </c>
      <c r="R207" s="693">
        <f t="shared" si="139"/>
        <v>38679.29999999993</v>
      </c>
      <c r="S207" s="693">
        <f t="shared" si="139"/>
        <v>81967.019999999902</v>
      </c>
      <c r="T207" s="693">
        <f t="shared" ref="T207" si="140">AVERAGE(G207:S207)</f>
        <v>181657.65461538458</v>
      </c>
      <c r="U207" s="1551"/>
      <c r="W207" s="632"/>
      <c r="X207" s="693">
        <f>SUM(X190:X206)</f>
        <v>0</v>
      </c>
      <c r="Y207" s="693"/>
      <c r="Z207" s="693">
        <f>SUM(Z190:Z206)</f>
        <v>0</v>
      </c>
      <c r="AA207" s="632"/>
      <c r="AB207" s="632"/>
      <c r="AC207" s="632"/>
      <c r="AD207" s="632"/>
      <c r="AE207" s="632"/>
      <c r="AF207" s="632"/>
      <c r="AG207" s="632"/>
      <c r="AH207" s="632"/>
      <c r="AI207" s="632"/>
      <c r="AJ207" s="632"/>
      <c r="AK207" s="632"/>
      <c r="AL207" s="632"/>
    </row>
    <row r="208" spans="2:40">
      <c r="C208" s="501" t="s">
        <v>2237</v>
      </c>
      <c r="D208" s="631">
        <f t="shared" ref="D208:T208" si="141">+D207+D184</f>
        <v>115587.57000000004</v>
      </c>
      <c r="E208" s="631">
        <f t="shared" si="141"/>
        <v>0</v>
      </c>
      <c r="F208" s="631">
        <f t="shared" si="141"/>
        <v>0</v>
      </c>
      <c r="G208" s="1672">
        <f t="shared" si="141"/>
        <v>115587.57000000004</v>
      </c>
      <c r="H208" s="631">
        <f t="shared" si="141"/>
        <v>375650.28</v>
      </c>
      <c r="I208" s="631">
        <f t="shared" si="141"/>
        <v>443789.66</v>
      </c>
      <c r="J208" s="631">
        <f t="shared" si="141"/>
        <v>513206.50999999995</v>
      </c>
      <c r="K208" s="631">
        <f t="shared" si="141"/>
        <v>519425.33</v>
      </c>
      <c r="L208" s="631">
        <f t="shared" si="141"/>
        <v>328750.46000000002</v>
      </c>
      <c r="M208" s="631">
        <f t="shared" si="141"/>
        <v>15896.620000000003</v>
      </c>
      <c r="N208" s="631">
        <f t="shared" si="141"/>
        <v>15896.61</v>
      </c>
      <c r="O208" s="631">
        <f t="shared" si="141"/>
        <v>15896.59</v>
      </c>
      <c r="P208" s="631">
        <f t="shared" si="141"/>
        <v>17935.71999999979</v>
      </c>
      <c r="Q208" s="631">
        <f t="shared" si="141"/>
        <v>53887.299999999865</v>
      </c>
      <c r="R208" s="631">
        <f t="shared" si="141"/>
        <v>54575.839999999931</v>
      </c>
      <c r="S208" s="631">
        <f t="shared" si="141"/>
        <v>97863.549999999901</v>
      </c>
      <c r="T208" s="631">
        <f t="shared" si="141"/>
        <v>197566.31076923074</v>
      </c>
      <c r="U208" s="1556"/>
      <c r="Y208" s="110"/>
      <c r="Z208" s="110"/>
    </row>
    <row r="209" spans="1:40">
      <c r="C209" s="501"/>
      <c r="D209" s="631"/>
      <c r="E209" s="631"/>
      <c r="F209" s="631"/>
      <c r="G209" s="631">
        <f>SUM('Trial Blc'!C45:C64)</f>
        <v>61513.609999999957</v>
      </c>
      <c r="H209" s="631">
        <f>SUM('Trial Blc'!D45:D64)</f>
        <v>321370.78999999998</v>
      </c>
      <c r="I209" s="631">
        <f>SUM('Trial Blc'!E45:E64)</f>
        <v>389587.32</v>
      </c>
      <c r="J209" s="631">
        <f>SUM('Trial Blc'!F45:F64)</f>
        <v>458915.37000000005</v>
      </c>
      <c r="K209" s="631">
        <f>SUM('Trial Blc'!G45:G64)</f>
        <v>464841.32999999996</v>
      </c>
      <c r="L209" s="631">
        <f>SUM('Trial Blc'!H45:H64)</f>
        <v>274003.6700000001</v>
      </c>
      <c r="M209" s="631">
        <f>SUM('Trial Blc'!I45:I64)</f>
        <v>-39071.840000000055</v>
      </c>
      <c r="N209" s="631">
        <f>SUM('Trial Blc'!J45:J64)</f>
        <v>-39260.800000000148</v>
      </c>
      <c r="O209" s="631">
        <f>SUM('Trial Blc'!K45:K64)</f>
        <v>-39421.550000000134</v>
      </c>
      <c r="P209" s="631">
        <f>SUM('Trial Blc'!L45:L64)</f>
        <v>-37341.070000000065</v>
      </c>
      <c r="Q209" s="631">
        <f>SUM('Trial Blc'!M45:M64)</f>
        <v>-1608.550000000072</v>
      </c>
      <c r="R209" s="631">
        <f>SUM('Trial Blc'!N45:N64)</f>
        <v>-1081.5400000000627</v>
      </c>
      <c r="S209" s="631">
        <f>SUM('Trial Blc'!O45:O64)</f>
        <v>42003.519999999917</v>
      </c>
      <c r="T209" s="631">
        <f>SUM('Trial Blc'!P45:P64)</f>
        <v>0</v>
      </c>
      <c r="U209" s="1556"/>
      <c r="Y209" s="110"/>
      <c r="Z209" s="110"/>
    </row>
    <row r="210" spans="1:40" s="501" customFormat="1" ht="10.5">
      <c r="A210" s="591" t="s">
        <v>378</v>
      </c>
      <c r="B210" s="1535"/>
      <c r="U210" s="1554" t="s">
        <v>2222</v>
      </c>
      <c r="V210" s="493" t="s">
        <v>132</v>
      </c>
      <c r="W210" s="631"/>
      <c r="X210" s="631"/>
      <c r="Y210" s="631"/>
      <c r="Z210" s="631"/>
      <c r="AA210" s="631"/>
      <c r="AB210" s="631"/>
      <c r="AC210" s="631"/>
      <c r="AD210" s="631"/>
      <c r="AE210" s="631"/>
      <c r="AF210" s="631"/>
      <c r="AG210" s="631"/>
      <c r="AH210" s="631"/>
      <c r="AI210" s="631"/>
      <c r="AJ210" s="631"/>
      <c r="AK210" s="631"/>
      <c r="AL210" s="631"/>
      <c r="AM210" s="502"/>
      <c r="AN210" s="502"/>
    </row>
    <row r="211" spans="1:40" s="501" customFormat="1">
      <c r="A211" s="591" t="s">
        <v>133</v>
      </c>
      <c r="B211" s="1535"/>
      <c r="D211" s="631"/>
      <c r="E211" s="631"/>
      <c r="F211" s="631"/>
      <c r="G211" s="627">
        <f t="shared" ref="G211" si="142">SUM(D211:F211)</f>
        <v>0</v>
      </c>
      <c r="H211" s="626"/>
      <c r="I211" s="626"/>
      <c r="J211" s="626"/>
      <c r="K211" s="626"/>
      <c r="L211" s="626"/>
      <c r="M211" s="626"/>
      <c r="N211" s="626"/>
      <c r="O211" s="626"/>
      <c r="P211" s="626"/>
      <c r="Q211" s="626"/>
      <c r="R211" s="626"/>
      <c r="S211" s="626"/>
      <c r="T211" s="626"/>
      <c r="U211" s="1554" t="s">
        <v>2223</v>
      </c>
      <c r="V211" s="497" t="s">
        <v>136</v>
      </c>
      <c r="W211" s="631"/>
      <c r="X211" s="631"/>
      <c r="Y211" s="631"/>
      <c r="Z211" s="631">
        <f>SUM(W211:Y211)</f>
        <v>0</v>
      </c>
      <c r="AA211" s="631"/>
      <c r="AB211" s="631"/>
      <c r="AC211" s="631"/>
      <c r="AD211" s="631"/>
      <c r="AE211" s="631"/>
      <c r="AF211" s="631"/>
      <c r="AG211" s="631"/>
      <c r="AH211" s="631"/>
      <c r="AI211" s="631"/>
      <c r="AJ211" s="631"/>
      <c r="AK211" s="631"/>
      <c r="AL211" s="631"/>
      <c r="AM211" s="502"/>
      <c r="AN211" s="502"/>
    </row>
    <row r="212" spans="1:40" s="501" customFormat="1" ht="10.5">
      <c r="A212" s="591" t="s">
        <v>1716</v>
      </c>
      <c r="B212" s="1535"/>
      <c r="C212" s="591"/>
      <c r="D212" s="631"/>
      <c r="E212" s="631"/>
      <c r="F212" s="631">
        <f>-F207</f>
        <v>0</v>
      </c>
      <c r="G212" s="631"/>
      <c r="H212" s="626"/>
      <c r="I212" s="626"/>
      <c r="J212" s="626"/>
      <c r="K212" s="626"/>
      <c r="L212" s="626"/>
      <c r="M212" s="626"/>
      <c r="N212" s="626"/>
      <c r="O212" s="626"/>
      <c r="P212" s="626"/>
      <c r="Q212" s="626"/>
      <c r="R212" s="626"/>
      <c r="S212" s="626"/>
      <c r="T212" s="626"/>
      <c r="U212" s="1554"/>
      <c r="V212" s="493"/>
      <c r="W212" s="631"/>
      <c r="X212" s="631">
        <f>-X207</f>
        <v>0</v>
      </c>
      <c r="Y212" s="631">
        <f>-Y207</f>
        <v>0</v>
      </c>
      <c r="Z212" s="631">
        <f>SUM(W212:Y212)</f>
        <v>0</v>
      </c>
      <c r="AA212" s="631"/>
      <c r="AB212" s="631"/>
      <c r="AC212" s="631"/>
      <c r="AD212" s="631"/>
      <c r="AE212" s="631"/>
      <c r="AF212" s="631"/>
      <c r="AG212" s="631"/>
      <c r="AH212" s="631"/>
      <c r="AI212" s="631"/>
      <c r="AJ212" s="631"/>
      <c r="AK212" s="631"/>
      <c r="AL212" s="631"/>
      <c r="AM212" s="502"/>
      <c r="AN212" s="502"/>
    </row>
    <row r="213" spans="1:40" s="501" customFormat="1" ht="10.5">
      <c r="A213" s="843" t="s">
        <v>1720</v>
      </c>
      <c r="B213" s="1535"/>
      <c r="D213" s="631"/>
      <c r="E213" s="631"/>
      <c r="F213" s="631">
        <f>+F207-F211+F212</f>
        <v>0</v>
      </c>
      <c r="G213" s="631">
        <f>+G207-G211-G212</f>
        <v>99669.600000000035</v>
      </c>
      <c r="H213" s="626"/>
      <c r="I213" s="626"/>
      <c r="J213" s="626"/>
      <c r="K213" s="626"/>
      <c r="L213" s="626"/>
      <c r="M213" s="626"/>
      <c r="N213" s="626"/>
      <c r="O213" s="626"/>
      <c r="P213" s="626"/>
      <c r="Q213" s="626"/>
      <c r="R213" s="626"/>
      <c r="S213" s="626"/>
      <c r="T213" s="626"/>
      <c r="U213" s="1554" t="s">
        <v>2224</v>
      </c>
      <c r="V213" s="493" t="s">
        <v>612</v>
      </c>
      <c r="W213" s="631">
        <f>+W205-W211</f>
        <v>0</v>
      </c>
      <c r="X213" s="631">
        <f>+X207-X211+X212</f>
        <v>0</v>
      </c>
      <c r="Y213" s="631"/>
      <c r="Z213" s="631">
        <f>+Z207-Z211+Z212</f>
        <v>0</v>
      </c>
      <c r="AA213" s="631"/>
      <c r="AB213" s="631"/>
      <c r="AC213" s="631"/>
      <c r="AD213" s="631"/>
      <c r="AE213" s="631"/>
      <c r="AF213" s="631"/>
      <c r="AG213" s="631"/>
      <c r="AH213" s="631"/>
      <c r="AI213" s="631"/>
      <c r="AJ213" s="631"/>
      <c r="AK213" s="631"/>
      <c r="AL213" s="631">
        <f>+AL205-AL211</f>
        <v>0</v>
      </c>
      <c r="AM213" s="502"/>
      <c r="AN213" s="502"/>
    </row>
    <row r="214" spans="1:40">
      <c r="D214" s="110"/>
      <c r="E214" s="110"/>
      <c r="G214" s="110"/>
      <c r="U214" s="1556"/>
      <c r="Y214" s="110"/>
      <c r="Z214" s="110"/>
    </row>
    <row r="215" spans="1:40">
      <c r="D215" s="110"/>
      <c r="E215" s="110"/>
      <c r="G215" s="110"/>
      <c r="S215" s="110">
        <f>+S65+S136</f>
        <v>8371235.8799999999</v>
      </c>
      <c r="U215" s="1556"/>
      <c r="Y215" s="110"/>
      <c r="Z215" s="110"/>
    </row>
    <row r="216" spans="1:40">
      <c r="D216" s="110"/>
      <c r="E216" s="110"/>
      <c r="G216" s="110"/>
      <c r="U216" s="1556"/>
      <c r="Y216" s="110"/>
      <c r="Z216" s="110"/>
    </row>
    <row r="217" spans="1:40">
      <c r="D217" s="110"/>
      <c r="E217" s="110"/>
      <c r="G217" s="110"/>
      <c r="U217" s="1556"/>
      <c r="Y217" s="110"/>
      <c r="Z217" s="110"/>
    </row>
    <row r="218" spans="1:40">
      <c r="D218" s="110"/>
      <c r="E218" s="110"/>
      <c r="G218" s="110"/>
      <c r="U218" s="1556"/>
      <c r="Y218" s="110"/>
      <c r="Z218" s="110"/>
    </row>
    <row r="219" spans="1:40">
      <c r="D219" s="110"/>
      <c r="E219" s="110"/>
      <c r="G219" s="110"/>
      <c r="S219" s="110">
        <f>+S215-S217</f>
        <v>8371235.8799999999</v>
      </c>
      <c r="U219" s="1556"/>
      <c r="Y219" s="110"/>
      <c r="Z219" s="110"/>
    </row>
    <row r="220" spans="1:40">
      <c r="D220" s="110"/>
      <c r="E220" s="110"/>
      <c r="G220" s="110"/>
      <c r="U220" s="1556"/>
      <c r="Y220" s="110"/>
      <c r="Z220" s="110"/>
    </row>
    <row r="221" spans="1:40">
      <c r="D221" s="110"/>
      <c r="E221" s="110"/>
      <c r="G221" s="110"/>
      <c r="U221" s="1556"/>
      <c r="Y221" s="110"/>
      <c r="Z221" s="110"/>
    </row>
    <row r="222" spans="1:40">
      <c r="D222" s="110"/>
      <c r="E222" s="110"/>
      <c r="G222" s="110"/>
      <c r="U222" s="1556"/>
      <c r="Y222" s="110"/>
      <c r="Z222" s="110"/>
    </row>
    <row r="223" spans="1:40">
      <c r="D223" s="110"/>
      <c r="E223" s="110"/>
      <c r="G223" s="110"/>
      <c r="U223" s="1556"/>
      <c r="Y223" s="110"/>
      <c r="Z223" s="110"/>
    </row>
    <row r="224" spans="1:40">
      <c r="D224" s="110"/>
      <c r="E224" s="110"/>
      <c r="G224" s="110"/>
      <c r="U224" s="1556"/>
      <c r="Y224" s="110"/>
      <c r="Z224" s="110"/>
    </row>
    <row r="225" spans="4:26">
      <c r="D225" s="110"/>
      <c r="E225" s="110"/>
      <c r="G225" s="110"/>
      <c r="U225" s="1556"/>
      <c r="Y225" s="110"/>
      <c r="Z225" s="110"/>
    </row>
    <row r="226" spans="4:26">
      <c r="D226" s="110"/>
      <c r="E226" s="110"/>
      <c r="G226" s="110"/>
      <c r="U226" s="1556"/>
      <c r="Y226" s="110"/>
      <c r="Z226" s="110"/>
    </row>
    <row r="227" spans="4:26">
      <c r="D227" s="110"/>
      <c r="E227" s="110"/>
      <c r="G227" s="110"/>
      <c r="U227" s="1556"/>
      <c r="Y227" s="110"/>
      <c r="Z227" s="110"/>
    </row>
    <row r="228" spans="4:26">
      <c r="D228" s="110"/>
      <c r="E228" s="110"/>
      <c r="G228" s="110"/>
      <c r="U228" s="1556"/>
      <c r="Y228" s="110"/>
      <c r="Z228" s="110"/>
    </row>
    <row r="229" spans="4:26">
      <c r="D229" s="110"/>
      <c r="E229" s="110"/>
      <c r="G229" s="110"/>
      <c r="U229" s="1556"/>
      <c r="Y229" s="110"/>
      <c r="Z229" s="110"/>
    </row>
    <row r="230" spans="4:26">
      <c r="D230" s="110"/>
      <c r="E230" s="110"/>
      <c r="G230" s="110"/>
      <c r="U230" s="1556"/>
      <c r="Y230" s="110"/>
      <c r="Z230" s="110"/>
    </row>
    <row r="231" spans="4:26">
      <c r="D231" s="110"/>
      <c r="E231" s="110"/>
      <c r="G231" s="110"/>
      <c r="Y231" s="110"/>
      <c r="Z231" s="110"/>
    </row>
    <row r="232" spans="4:26">
      <c r="D232" s="110"/>
      <c r="E232" s="110"/>
      <c r="G232" s="110"/>
      <c r="Y232" s="110"/>
      <c r="Z232" s="110"/>
    </row>
    <row r="233" spans="4:26">
      <c r="D233" s="110"/>
      <c r="E233" s="110"/>
      <c r="G233" s="110"/>
      <c r="Y233" s="110"/>
      <c r="Z233" s="110"/>
    </row>
    <row r="234" spans="4:26">
      <c r="D234" s="110"/>
      <c r="E234" s="110"/>
      <c r="G234" s="110"/>
      <c r="Y234" s="110"/>
      <c r="Z234" s="110"/>
    </row>
    <row r="235" spans="4:26">
      <c r="D235" s="110"/>
      <c r="E235" s="110"/>
      <c r="G235" s="110"/>
      <c r="Y235" s="110"/>
      <c r="Z235" s="110"/>
    </row>
    <row r="236" spans="4:26">
      <c r="D236" s="110"/>
      <c r="E236" s="110"/>
      <c r="G236" s="110"/>
      <c r="Y236" s="110"/>
      <c r="Z236" s="110"/>
    </row>
    <row r="237" spans="4:26">
      <c r="D237" s="110"/>
      <c r="E237" s="110"/>
      <c r="G237" s="110"/>
      <c r="Y237" s="110"/>
      <c r="Z237" s="110"/>
    </row>
    <row r="238" spans="4:26">
      <c r="D238" s="110"/>
      <c r="E238" s="110"/>
      <c r="G238" s="110"/>
      <c r="Y238" s="110"/>
      <c r="Z238" s="110"/>
    </row>
    <row r="239" spans="4:26">
      <c r="D239" s="110"/>
      <c r="E239" s="110"/>
      <c r="G239" s="110"/>
      <c r="Y239" s="110"/>
      <c r="Z239" s="110"/>
    </row>
    <row r="240" spans="4:26">
      <c r="D240" s="110"/>
      <c r="E240" s="110"/>
      <c r="G240" s="110"/>
      <c r="Y240" s="110"/>
      <c r="Z240" s="110"/>
    </row>
    <row r="241" spans="4:26">
      <c r="D241" s="110"/>
      <c r="E241" s="110"/>
      <c r="G241" s="110"/>
      <c r="Y241" s="110"/>
      <c r="Z241" s="110"/>
    </row>
    <row r="242" spans="4:26">
      <c r="D242" s="110"/>
      <c r="E242" s="110"/>
      <c r="G242" s="110"/>
      <c r="Y242" s="110"/>
      <c r="Z242" s="110"/>
    </row>
    <row r="243" spans="4:26">
      <c r="D243" s="110"/>
      <c r="E243" s="110"/>
      <c r="G243" s="110"/>
      <c r="Y243" s="110"/>
      <c r="Z243" s="110"/>
    </row>
    <row r="244" spans="4:26">
      <c r="D244" s="110"/>
      <c r="E244" s="110"/>
      <c r="G244" s="110"/>
      <c r="Y244" s="110"/>
      <c r="Z244" s="110"/>
    </row>
    <row r="245" spans="4:26">
      <c r="D245" s="110"/>
      <c r="E245" s="110"/>
      <c r="G245" s="110"/>
      <c r="Y245" s="110"/>
      <c r="Z245" s="110"/>
    </row>
    <row r="246" spans="4:26">
      <c r="D246" s="110"/>
      <c r="E246" s="110"/>
      <c r="G246" s="110"/>
      <c r="Y246" s="110"/>
      <c r="Z246" s="110"/>
    </row>
    <row r="247" spans="4:26">
      <c r="D247" s="110"/>
      <c r="E247" s="110"/>
      <c r="G247" s="110"/>
      <c r="Y247" s="110"/>
      <c r="Z247" s="110"/>
    </row>
    <row r="248" spans="4:26">
      <c r="D248" s="110"/>
      <c r="E248" s="110"/>
      <c r="G248" s="110"/>
      <c r="Y248" s="110"/>
      <c r="Z248" s="110"/>
    </row>
    <row r="249" spans="4:26">
      <c r="D249" s="110"/>
      <c r="E249" s="110"/>
      <c r="G249" s="110"/>
      <c r="Y249" s="110"/>
      <c r="Z249" s="110"/>
    </row>
    <row r="250" spans="4:26">
      <c r="D250" s="110"/>
      <c r="E250" s="110"/>
      <c r="G250" s="110"/>
      <c r="Y250" s="110"/>
      <c r="Z250" s="110"/>
    </row>
    <row r="251" spans="4:26">
      <c r="D251" s="110"/>
      <c r="E251" s="110"/>
      <c r="G251" s="110"/>
      <c r="Y251" s="110"/>
      <c r="Z251" s="110"/>
    </row>
    <row r="252" spans="4:26">
      <c r="D252" s="110"/>
      <c r="E252" s="110"/>
      <c r="G252" s="110"/>
      <c r="Y252" s="110"/>
      <c r="Z252" s="110"/>
    </row>
    <row r="253" spans="4:26">
      <c r="D253" s="110"/>
      <c r="E253" s="110"/>
      <c r="G253" s="110"/>
      <c r="Y253" s="110"/>
      <c r="Z253" s="110"/>
    </row>
    <row r="254" spans="4:26">
      <c r="D254" s="110"/>
      <c r="E254" s="110"/>
      <c r="G254" s="110"/>
      <c r="Y254" s="110"/>
      <c r="Z254" s="110"/>
    </row>
    <row r="255" spans="4:26">
      <c r="D255" s="110"/>
      <c r="E255" s="110"/>
      <c r="G255" s="110"/>
      <c r="Y255" s="110"/>
      <c r="Z255" s="110"/>
    </row>
    <row r="256" spans="4:26">
      <c r="D256" s="110"/>
      <c r="E256" s="110"/>
      <c r="G256" s="110"/>
      <c r="Y256" s="110"/>
      <c r="Z256" s="110"/>
    </row>
    <row r="257" spans="4:26">
      <c r="D257" s="110"/>
      <c r="E257" s="110"/>
      <c r="G257" s="110"/>
      <c r="Y257" s="110"/>
      <c r="Z257" s="110"/>
    </row>
    <row r="258" spans="4:26">
      <c r="D258" s="110"/>
      <c r="E258" s="110"/>
      <c r="G258" s="110"/>
      <c r="Y258" s="110"/>
      <c r="Z258" s="110"/>
    </row>
    <row r="259" spans="4:26">
      <c r="D259" s="110"/>
      <c r="E259" s="110"/>
      <c r="G259" s="110"/>
      <c r="Y259" s="110"/>
      <c r="Z259" s="110"/>
    </row>
    <row r="260" spans="4:26">
      <c r="D260" s="110"/>
      <c r="E260" s="110"/>
      <c r="G260" s="110"/>
      <c r="Y260" s="110"/>
      <c r="Z260" s="110"/>
    </row>
    <row r="261" spans="4:26">
      <c r="D261" s="110"/>
      <c r="E261" s="110"/>
      <c r="G261" s="110"/>
      <c r="Y261" s="110"/>
      <c r="Z261" s="110"/>
    </row>
    <row r="262" spans="4:26">
      <c r="D262" s="110"/>
      <c r="E262" s="110"/>
      <c r="G262" s="110"/>
      <c r="Y262" s="110"/>
      <c r="Z262" s="110"/>
    </row>
    <row r="263" spans="4:26">
      <c r="D263" s="110"/>
      <c r="E263" s="110"/>
      <c r="G263" s="110"/>
      <c r="Y263" s="110"/>
      <c r="Z263" s="110"/>
    </row>
    <row r="264" spans="4:26">
      <c r="D264" s="110"/>
      <c r="E264" s="110"/>
      <c r="G264" s="110"/>
      <c r="Y264" s="110"/>
      <c r="Z264" s="110"/>
    </row>
    <row r="265" spans="4:26">
      <c r="D265" s="110"/>
      <c r="E265" s="110"/>
      <c r="G265" s="110"/>
      <c r="Y265" s="110"/>
      <c r="Z265" s="110"/>
    </row>
    <row r="266" spans="4:26">
      <c r="D266" s="110"/>
      <c r="E266" s="110"/>
      <c r="G266" s="110"/>
      <c r="Y266" s="110"/>
      <c r="Z266" s="110"/>
    </row>
    <row r="267" spans="4:26">
      <c r="D267" s="110"/>
      <c r="E267" s="110"/>
      <c r="G267" s="110"/>
      <c r="Y267" s="110"/>
      <c r="Z267" s="110"/>
    </row>
    <row r="268" spans="4:26">
      <c r="D268" s="110"/>
      <c r="E268" s="110"/>
      <c r="G268" s="110"/>
      <c r="Y268" s="110"/>
      <c r="Z268" s="110"/>
    </row>
    <row r="269" spans="4:26">
      <c r="D269" s="110"/>
      <c r="E269" s="110"/>
      <c r="G269" s="110"/>
      <c r="Y269" s="110"/>
      <c r="Z269" s="110"/>
    </row>
    <row r="270" spans="4:26">
      <c r="D270" s="110"/>
      <c r="E270" s="110"/>
      <c r="G270" s="110"/>
      <c r="Y270" s="110"/>
      <c r="Z270" s="110"/>
    </row>
    <row r="271" spans="4:26">
      <c r="D271" s="110"/>
      <c r="E271" s="110"/>
      <c r="G271" s="110"/>
      <c r="Y271" s="110"/>
      <c r="Z271" s="110"/>
    </row>
    <row r="272" spans="4:26">
      <c r="D272" s="110"/>
      <c r="E272" s="110"/>
      <c r="G272" s="110"/>
      <c r="Y272" s="110"/>
      <c r="Z272" s="110"/>
    </row>
    <row r="273" spans="4:26">
      <c r="D273" s="110"/>
      <c r="E273" s="110"/>
      <c r="G273" s="110"/>
      <c r="Y273" s="110"/>
      <c r="Z273" s="110"/>
    </row>
    <row r="274" spans="4:26">
      <c r="D274" s="110"/>
      <c r="E274" s="110"/>
      <c r="G274" s="110"/>
      <c r="Y274" s="110"/>
      <c r="Z274" s="110"/>
    </row>
    <row r="275" spans="4:26">
      <c r="D275" s="110"/>
      <c r="E275" s="110"/>
      <c r="G275" s="110"/>
      <c r="Y275" s="110"/>
      <c r="Z275" s="110"/>
    </row>
    <row r="276" spans="4:26">
      <c r="D276" s="110"/>
      <c r="E276" s="110"/>
      <c r="G276" s="110"/>
      <c r="Y276" s="110"/>
      <c r="Z276" s="110"/>
    </row>
    <row r="277" spans="4:26">
      <c r="D277" s="110"/>
      <c r="E277" s="110"/>
      <c r="G277" s="110"/>
      <c r="Y277" s="110"/>
      <c r="Z277" s="110"/>
    </row>
    <row r="278" spans="4:26">
      <c r="D278" s="110"/>
      <c r="E278" s="110"/>
      <c r="G278" s="110"/>
      <c r="Y278" s="110"/>
      <c r="Z278" s="110"/>
    </row>
    <row r="279" spans="4:26">
      <c r="D279" s="110"/>
      <c r="E279" s="110"/>
      <c r="G279" s="110"/>
      <c r="Y279" s="110"/>
      <c r="Z279" s="110"/>
    </row>
    <row r="280" spans="4:26">
      <c r="D280" s="110"/>
      <c r="E280" s="110"/>
      <c r="G280" s="110"/>
      <c r="Y280" s="110"/>
      <c r="Z280" s="110"/>
    </row>
    <row r="281" spans="4:26">
      <c r="D281" s="110"/>
      <c r="E281" s="110"/>
      <c r="G281" s="110"/>
      <c r="Y281" s="110"/>
      <c r="Z281" s="110"/>
    </row>
    <row r="282" spans="4:26">
      <c r="D282" s="110"/>
      <c r="E282" s="110"/>
      <c r="G282" s="110"/>
      <c r="Y282" s="110"/>
      <c r="Z282" s="110"/>
    </row>
    <row r="283" spans="4:26">
      <c r="D283" s="110"/>
      <c r="E283" s="110"/>
      <c r="G283" s="110"/>
      <c r="Y283" s="110"/>
      <c r="Z283" s="110"/>
    </row>
    <row r="284" spans="4:26">
      <c r="D284" s="110"/>
      <c r="E284" s="110"/>
      <c r="G284" s="110"/>
      <c r="Y284" s="110"/>
      <c r="Z284" s="110"/>
    </row>
    <row r="285" spans="4:26">
      <c r="D285" s="110"/>
      <c r="E285" s="110"/>
      <c r="G285" s="110"/>
      <c r="Y285" s="110"/>
      <c r="Z285" s="110"/>
    </row>
    <row r="286" spans="4:26">
      <c r="D286" s="110"/>
      <c r="E286" s="110"/>
      <c r="G286" s="110"/>
      <c r="Y286" s="110"/>
      <c r="Z286" s="110"/>
    </row>
    <row r="287" spans="4:26">
      <c r="D287" s="110"/>
      <c r="E287" s="110"/>
      <c r="G287" s="110"/>
      <c r="Y287" s="110"/>
      <c r="Z287" s="110"/>
    </row>
    <row r="288" spans="4:26">
      <c r="D288" s="110"/>
      <c r="E288" s="110"/>
      <c r="G288" s="110"/>
      <c r="Y288" s="110"/>
      <c r="Z288" s="110"/>
    </row>
    <row r="289" spans="4:26">
      <c r="D289" s="110"/>
      <c r="E289" s="110"/>
      <c r="G289" s="110"/>
      <c r="Y289" s="110"/>
      <c r="Z289" s="110"/>
    </row>
    <row r="290" spans="4:26">
      <c r="D290" s="110"/>
      <c r="E290" s="110"/>
      <c r="G290" s="110"/>
      <c r="Y290" s="110"/>
      <c r="Z290" s="110"/>
    </row>
    <row r="291" spans="4:26">
      <c r="D291" s="110"/>
      <c r="E291" s="110"/>
      <c r="G291" s="110"/>
      <c r="Y291" s="110"/>
      <c r="Z291" s="110"/>
    </row>
    <row r="292" spans="4:26">
      <c r="D292" s="110"/>
      <c r="E292" s="110"/>
      <c r="G292" s="110"/>
      <c r="Y292" s="110"/>
      <c r="Z292" s="110"/>
    </row>
    <row r="293" spans="4:26">
      <c r="D293" s="110"/>
      <c r="E293" s="110"/>
      <c r="G293" s="110"/>
      <c r="Y293" s="110"/>
      <c r="Z293" s="110"/>
    </row>
    <row r="294" spans="4:26">
      <c r="D294" s="110"/>
      <c r="E294" s="110"/>
      <c r="G294" s="110"/>
      <c r="Y294" s="110"/>
      <c r="Z294" s="110"/>
    </row>
    <row r="295" spans="4:26">
      <c r="D295" s="110"/>
      <c r="E295" s="110"/>
      <c r="G295" s="110"/>
      <c r="Y295" s="110"/>
      <c r="Z295" s="110"/>
    </row>
    <row r="296" spans="4:26">
      <c r="D296" s="110"/>
      <c r="E296" s="110"/>
      <c r="G296" s="110"/>
      <c r="Y296" s="110"/>
      <c r="Z296" s="110"/>
    </row>
    <row r="297" spans="4:26">
      <c r="D297" s="110"/>
      <c r="E297" s="110"/>
      <c r="G297" s="110"/>
      <c r="Y297" s="110"/>
      <c r="Z297" s="110"/>
    </row>
    <row r="298" spans="4:26">
      <c r="D298" s="110"/>
      <c r="E298" s="110"/>
      <c r="G298" s="110"/>
      <c r="Y298" s="110"/>
      <c r="Z298" s="110"/>
    </row>
    <row r="299" spans="4:26">
      <c r="D299" s="110"/>
      <c r="E299" s="110"/>
      <c r="G299" s="110"/>
      <c r="Y299" s="110"/>
      <c r="Z299" s="110"/>
    </row>
    <row r="300" spans="4:26">
      <c r="D300" s="110"/>
      <c r="E300" s="110"/>
      <c r="G300" s="110"/>
      <c r="Y300" s="110"/>
      <c r="Z300" s="110"/>
    </row>
    <row r="301" spans="4:26">
      <c r="D301" s="110"/>
      <c r="E301" s="110"/>
      <c r="G301" s="110"/>
      <c r="Y301" s="110"/>
      <c r="Z301" s="110"/>
    </row>
    <row r="302" spans="4:26">
      <c r="D302" s="110"/>
      <c r="E302" s="110"/>
      <c r="G302" s="110"/>
      <c r="Y302" s="110"/>
      <c r="Z302" s="110"/>
    </row>
    <row r="303" spans="4:26">
      <c r="D303" s="110"/>
      <c r="E303" s="110"/>
      <c r="G303" s="110"/>
      <c r="Y303" s="110"/>
      <c r="Z303" s="110"/>
    </row>
    <row r="304" spans="4:26">
      <c r="D304" s="110"/>
      <c r="E304" s="110"/>
      <c r="G304" s="110"/>
      <c r="Y304" s="110"/>
      <c r="Z304" s="110"/>
    </row>
    <row r="305" spans="4:26">
      <c r="D305" s="110"/>
      <c r="E305" s="110"/>
      <c r="G305" s="110"/>
      <c r="Y305" s="110"/>
      <c r="Z305" s="110"/>
    </row>
    <row r="306" spans="4:26">
      <c r="D306" s="110"/>
      <c r="E306" s="110"/>
      <c r="G306" s="110"/>
      <c r="Y306" s="110"/>
      <c r="Z306" s="110"/>
    </row>
    <row r="307" spans="4:26">
      <c r="D307" s="110"/>
      <c r="E307" s="110"/>
      <c r="G307" s="110"/>
      <c r="Y307" s="110"/>
      <c r="Z307" s="110"/>
    </row>
    <row r="308" spans="4:26">
      <c r="D308" s="110"/>
      <c r="E308" s="110"/>
      <c r="G308" s="110"/>
      <c r="Y308" s="110"/>
      <c r="Z308" s="110"/>
    </row>
    <row r="309" spans="4:26">
      <c r="D309" s="110"/>
      <c r="E309" s="110"/>
      <c r="G309" s="110"/>
      <c r="Y309" s="110"/>
      <c r="Z309" s="110"/>
    </row>
    <row r="310" spans="4:26">
      <c r="D310" s="110"/>
      <c r="E310" s="110"/>
      <c r="G310" s="110"/>
      <c r="Y310" s="110"/>
      <c r="Z310" s="110"/>
    </row>
    <row r="311" spans="4:26">
      <c r="D311" s="110"/>
      <c r="E311" s="110"/>
      <c r="G311" s="110"/>
      <c r="Y311" s="110"/>
      <c r="Z311" s="110"/>
    </row>
    <row r="312" spans="4:26">
      <c r="D312" s="110"/>
      <c r="E312" s="110"/>
      <c r="G312" s="110"/>
      <c r="Y312" s="110"/>
      <c r="Z312" s="110"/>
    </row>
    <row r="313" spans="4:26">
      <c r="D313" s="110"/>
      <c r="E313" s="110"/>
      <c r="G313" s="110"/>
      <c r="Y313" s="110"/>
      <c r="Z313" s="110"/>
    </row>
    <row r="314" spans="4:26">
      <c r="D314" s="110"/>
      <c r="E314" s="110"/>
      <c r="G314" s="110"/>
      <c r="Y314" s="110"/>
      <c r="Z314" s="110"/>
    </row>
    <row r="315" spans="4:26">
      <c r="D315" s="110"/>
      <c r="E315" s="110"/>
      <c r="G315" s="110"/>
      <c r="Y315" s="110"/>
      <c r="Z315" s="110"/>
    </row>
    <row r="316" spans="4:26">
      <c r="D316" s="110"/>
      <c r="E316" s="110"/>
      <c r="G316" s="110"/>
      <c r="Y316" s="110"/>
      <c r="Z316" s="110"/>
    </row>
    <row r="317" spans="4:26">
      <c r="D317" s="110"/>
      <c r="E317" s="110"/>
      <c r="G317" s="110"/>
      <c r="Y317" s="110"/>
      <c r="Z317" s="110"/>
    </row>
    <row r="318" spans="4:26">
      <c r="D318" s="110"/>
      <c r="E318" s="110"/>
      <c r="G318" s="110"/>
      <c r="Y318" s="110"/>
      <c r="Z318" s="110"/>
    </row>
    <row r="319" spans="4:26">
      <c r="D319" s="110"/>
      <c r="E319" s="110"/>
      <c r="G319" s="110"/>
      <c r="Y319" s="110"/>
      <c r="Z319" s="110"/>
    </row>
    <row r="320" spans="4:26">
      <c r="D320" s="110"/>
      <c r="E320" s="110"/>
      <c r="G320" s="110"/>
      <c r="Y320" s="110"/>
      <c r="Z320" s="110"/>
    </row>
    <row r="321" spans="4:26">
      <c r="D321" s="110"/>
      <c r="E321" s="110"/>
      <c r="G321" s="110"/>
      <c r="Y321" s="110"/>
      <c r="Z321" s="110"/>
    </row>
    <row r="322" spans="4:26">
      <c r="D322" s="110"/>
      <c r="E322" s="110"/>
      <c r="G322" s="110"/>
      <c r="Y322" s="110"/>
      <c r="Z322" s="110"/>
    </row>
    <row r="323" spans="4:26">
      <c r="D323" s="110"/>
      <c r="E323" s="110"/>
      <c r="G323" s="110"/>
      <c r="Y323" s="110"/>
      <c r="Z323" s="110"/>
    </row>
    <row r="324" spans="4:26">
      <c r="D324" s="110"/>
      <c r="E324" s="110"/>
      <c r="G324" s="110"/>
      <c r="Y324" s="110"/>
      <c r="Z324" s="110"/>
    </row>
    <row r="325" spans="4:26">
      <c r="D325" s="110"/>
      <c r="E325" s="110"/>
      <c r="G325" s="110"/>
      <c r="Y325" s="110"/>
      <c r="Z325" s="110"/>
    </row>
    <row r="326" spans="4:26">
      <c r="D326" s="110"/>
      <c r="E326" s="110"/>
      <c r="G326" s="110"/>
      <c r="Y326" s="110"/>
      <c r="Z326" s="110"/>
    </row>
    <row r="327" spans="4:26">
      <c r="D327" s="110"/>
      <c r="E327" s="110"/>
      <c r="G327" s="110"/>
      <c r="Y327" s="110"/>
      <c r="Z327" s="110"/>
    </row>
    <row r="328" spans="4:26">
      <c r="D328" s="110"/>
      <c r="E328" s="110"/>
      <c r="G328" s="110"/>
      <c r="Y328" s="110"/>
      <c r="Z328" s="110"/>
    </row>
    <row r="329" spans="4:26">
      <c r="D329" s="110"/>
      <c r="E329" s="110"/>
      <c r="G329" s="110"/>
      <c r="Y329" s="110"/>
      <c r="Z329" s="110"/>
    </row>
    <row r="330" spans="4:26">
      <c r="D330" s="110"/>
      <c r="E330" s="110"/>
      <c r="G330" s="110"/>
      <c r="Y330" s="110"/>
      <c r="Z330" s="110"/>
    </row>
    <row r="331" spans="4:26">
      <c r="D331" s="110"/>
      <c r="E331" s="110"/>
      <c r="G331" s="110"/>
      <c r="Y331" s="110"/>
      <c r="Z331" s="110"/>
    </row>
    <row r="332" spans="4:26">
      <c r="D332" s="110"/>
      <c r="E332" s="110"/>
      <c r="G332" s="110"/>
      <c r="Y332" s="110"/>
      <c r="Z332" s="110"/>
    </row>
    <row r="333" spans="4:26">
      <c r="D333" s="110"/>
      <c r="E333" s="110"/>
      <c r="G333" s="110"/>
      <c r="Y333" s="110"/>
      <c r="Z333" s="110"/>
    </row>
    <row r="334" spans="4:26">
      <c r="D334" s="110"/>
      <c r="E334" s="110"/>
      <c r="G334" s="110"/>
      <c r="Y334" s="110"/>
      <c r="Z334" s="110"/>
    </row>
    <row r="335" spans="4:26">
      <c r="D335" s="110"/>
      <c r="E335" s="110"/>
      <c r="G335" s="110"/>
      <c r="Y335" s="110"/>
      <c r="Z335" s="110"/>
    </row>
    <row r="336" spans="4:26">
      <c r="D336" s="110"/>
      <c r="E336" s="110"/>
      <c r="G336" s="110"/>
      <c r="Y336" s="110"/>
      <c r="Z336" s="110"/>
    </row>
    <row r="337" spans="4:26">
      <c r="D337" s="110"/>
      <c r="E337" s="110"/>
      <c r="G337" s="110"/>
      <c r="Y337" s="110"/>
      <c r="Z337" s="110"/>
    </row>
    <row r="338" spans="4:26">
      <c r="D338" s="110"/>
      <c r="E338" s="110"/>
      <c r="G338" s="110"/>
      <c r="Y338" s="110"/>
      <c r="Z338" s="110"/>
    </row>
    <row r="339" spans="4:26">
      <c r="D339" s="110"/>
      <c r="E339" s="110"/>
      <c r="G339" s="110"/>
      <c r="Y339" s="110"/>
      <c r="Z339" s="110"/>
    </row>
    <row r="340" spans="4:26">
      <c r="D340" s="110"/>
      <c r="E340" s="110"/>
      <c r="G340" s="110"/>
      <c r="Y340" s="110"/>
      <c r="Z340" s="110"/>
    </row>
    <row r="341" spans="4:26">
      <c r="D341" s="110"/>
      <c r="E341" s="110"/>
      <c r="G341" s="110"/>
      <c r="Y341" s="110"/>
      <c r="Z341" s="110"/>
    </row>
    <row r="342" spans="4:26">
      <c r="D342" s="110"/>
      <c r="E342" s="110"/>
      <c r="G342" s="110"/>
      <c r="Y342" s="110"/>
      <c r="Z342" s="110"/>
    </row>
    <row r="343" spans="4:26">
      <c r="D343" s="110"/>
      <c r="E343" s="110"/>
      <c r="G343" s="110"/>
      <c r="Y343" s="110"/>
      <c r="Z343" s="110"/>
    </row>
    <row r="344" spans="4:26">
      <c r="D344" s="110"/>
      <c r="E344" s="110"/>
      <c r="G344" s="110"/>
      <c r="Y344" s="110"/>
      <c r="Z344" s="110"/>
    </row>
    <row r="345" spans="4:26">
      <c r="D345" s="110"/>
      <c r="E345" s="110"/>
      <c r="G345" s="110"/>
      <c r="Y345" s="110"/>
      <c r="Z345" s="110"/>
    </row>
    <row r="346" spans="4:26">
      <c r="D346" s="110"/>
      <c r="E346" s="110"/>
      <c r="G346" s="110"/>
      <c r="Y346" s="110"/>
      <c r="Z346" s="110"/>
    </row>
    <row r="347" spans="4:26">
      <c r="D347" s="110"/>
      <c r="E347" s="110"/>
      <c r="G347" s="110"/>
      <c r="Y347" s="110"/>
      <c r="Z347" s="110"/>
    </row>
    <row r="348" spans="4:26">
      <c r="D348" s="110"/>
      <c r="E348" s="110"/>
      <c r="G348" s="110"/>
      <c r="Y348" s="110"/>
      <c r="Z348" s="110"/>
    </row>
    <row r="349" spans="4:26">
      <c r="D349" s="110"/>
      <c r="E349" s="110"/>
      <c r="G349" s="110"/>
      <c r="Y349" s="110"/>
      <c r="Z349" s="110"/>
    </row>
    <row r="350" spans="4:26">
      <c r="D350" s="110"/>
      <c r="E350" s="110"/>
      <c r="G350" s="110"/>
      <c r="Y350" s="110"/>
      <c r="Z350" s="110"/>
    </row>
    <row r="351" spans="4:26">
      <c r="D351" s="110"/>
      <c r="E351" s="110"/>
      <c r="G351" s="110"/>
      <c r="Y351" s="110"/>
      <c r="Z351" s="110"/>
    </row>
    <row r="352" spans="4:26">
      <c r="D352" s="110"/>
      <c r="E352" s="110"/>
      <c r="G352" s="110"/>
      <c r="Y352" s="110"/>
      <c r="Z352" s="110"/>
    </row>
    <row r="353" spans="4:26">
      <c r="D353" s="110"/>
      <c r="E353" s="110"/>
      <c r="G353" s="110"/>
      <c r="Y353" s="110"/>
      <c r="Z353" s="110"/>
    </row>
    <row r="354" spans="4:26">
      <c r="D354" s="110"/>
      <c r="E354" s="110"/>
      <c r="G354" s="110"/>
      <c r="Y354" s="110"/>
      <c r="Z354" s="110"/>
    </row>
    <row r="355" spans="4:26">
      <c r="D355" s="110"/>
      <c r="E355" s="110"/>
      <c r="G355" s="110"/>
      <c r="Y355" s="110"/>
      <c r="Z355" s="110"/>
    </row>
    <row r="356" spans="4:26">
      <c r="D356" s="110"/>
      <c r="E356" s="110"/>
      <c r="G356" s="110"/>
      <c r="Y356" s="110"/>
      <c r="Z356" s="110"/>
    </row>
    <row r="357" spans="4:26">
      <c r="D357" s="110"/>
      <c r="E357" s="110"/>
      <c r="G357" s="110"/>
      <c r="Y357" s="110"/>
      <c r="Z357" s="110"/>
    </row>
    <row r="358" spans="4:26">
      <c r="D358" s="110"/>
      <c r="E358" s="110"/>
      <c r="G358" s="110"/>
      <c r="Y358" s="110"/>
      <c r="Z358" s="110"/>
    </row>
    <row r="359" spans="4:26">
      <c r="D359" s="110"/>
      <c r="E359" s="110"/>
      <c r="G359" s="110"/>
      <c r="Y359" s="110"/>
      <c r="Z359" s="110"/>
    </row>
    <row r="360" spans="4:26">
      <c r="D360" s="110"/>
      <c r="E360" s="110"/>
      <c r="G360" s="110"/>
      <c r="Y360" s="110"/>
      <c r="Z360" s="110"/>
    </row>
    <row r="361" spans="4:26">
      <c r="D361" s="110"/>
      <c r="E361" s="110"/>
      <c r="G361" s="110"/>
      <c r="Y361" s="110"/>
      <c r="Z361" s="110"/>
    </row>
    <row r="362" spans="4:26">
      <c r="D362" s="110"/>
      <c r="E362" s="110"/>
      <c r="G362" s="110"/>
      <c r="Y362" s="110"/>
      <c r="Z362" s="110"/>
    </row>
    <row r="363" spans="4:26">
      <c r="D363" s="110"/>
      <c r="E363" s="110"/>
      <c r="G363" s="110"/>
      <c r="Y363" s="110"/>
      <c r="Z363" s="110"/>
    </row>
    <row r="364" spans="4:26">
      <c r="D364" s="110"/>
      <c r="E364" s="110"/>
      <c r="G364" s="110"/>
      <c r="Y364" s="110"/>
      <c r="Z364" s="110"/>
    </row>
    <row r="365" spans="4:26">
      <c r="D365" s="110"/>
      <c r="E365" s="110"/>
      <c r="G365" s="110"/>
      <c r="Y365" s="110"/>
      <c r="Z365" s="110"/>
    </row>
    <row r="366" spans="4:26">
      <c r="D366" s="110"/>
      <c r="E366" s="110"/>
      <c r="G366" s="110"/>
      <c r="Y366" s="110"/>
      <c r="Z366" s="110"/>
    </row>
    <row r="367" spans="4:26">
      <c r="D367" s="110"/>
      <c r="E367" s="110"/>
      <c r="G367" s="110"/>
      <c r="Y367" s="110"/>
      <c r="Z367" s="110"/>
    </row>
    <row r="368" spans="4:26">
      <c r="D368" s="110"/>
      <c r="E368" s="110"/>
      <c r="G368" s="110"/>
      <c r="Y368" s="110"/>
      <c r="Z368" s="110"/>
    </row>
    <row r="369" spans="4:26">
      <c r="D369" s="110"/>
      <c r="E369" s="110"/>
      <c r="G369" s="110"/>
      <c r="Y369" s="110"/>
      <c r="Z369" s="110"/>
    </row>
    <row r="370" spans="4:26">
      <c r="D370" s="110"/>
      <c r="E370" s="110"/>
      <c r="G370" s="110"/>
      <c r="Y370" s="110"/>
      <c r="Z370" s="110"/>
    </row>
    <row r="371" spans="4:26">
      <c r="D371" s="110"/>
      <c r="E371" s="110"/>
      <c r="G371" s="110"/>
      <c r="Y371" s="110"/>
      <c r="Z371" s="110"/>
    </row>
    <row r="372" spans="4:26">
      <c r="D372" s="110"/>
      <c r="E372" s="110"/>
      <c r="G372" s="110"/>
      <c r="Y372" s="110"/>
      <c r="Z372" s="110"/>
    </row>
    <row r="373" spans="4:26">
      <c r="D373" s="110"/>
      <c r="E373" s="110"/>
      <c r="G373" s="110"/>
      <c r="Y373" s="110"/>
      <c r="Z373" s="110"/>
    </row>
    <row r="374" spans="4:26">
      <c r="D374" s="110"/>
      <c r="E374" s="110"/>
      <c r="G374" s="110"/>
      <c r="Y374" s="110"/>
      <c r="Z374" s="110"/>
    </row>
    <row r="375" spans="4:26">
      <c r="D375" s="110"/>
      <c r="E375" s="110"/>
      <c r="G375" s="110"/>
      <c r="Y375" s="110"/>
      <c r="Z375" s="110"/>
    </row>
    <row r="376" spans="4:26">
      <c r="D376" s="110"/>
      <c r="E376" s="110"/>
      <c r="G376" s="110"/>
      <c r="Y376" s="110"/>
      <c r="Z376" s="110"/>
    </row>
    <row r="377" spans="4:26">
      <c r="D377" s="110"/>
      <c r="E377" s="110"/>
      <c r="G377" s="110"/>
      <c r="Y377" s="110"/>
      <c r="Z377" s="110"/>
    </row>
    <row r="378" spans="4:26">
      <c r="D378" s="110"/>
      <c r="E378" s="110"/>
      <c r="G378" s="110"/>
      <c r="Y378" s="110"/>
      <c r="Z378" s="110"/>
    </row>
    <row r="379" spans="4:26">
      <c r="D379" s="110"/>
      <c r="E379" s="110"/>
      <c r="G379" s="110"/>
      <c r="Y379" s="110"/>
      <c r="Z379" s="110"/>
    </row>
    <row r="380" spans="4:26">
      <c r="D380" s="110"/>
      <c r="E380" s="110"/>
      <c r="G380" s="110"/>
      <c r="Y380" s="110"/>
      <c r="Z380" s="110"/>
    </row>
    <row r="381" spans="4:26">
      <c r="D381" s="110"/>
      <c r="E381" s="110"/>
      <c r="G381" s="110"/>
      <c r="Y381" s="110"/>
      <c r="Z381" s="110"/>
    </row>
    <row r="382" spans="4:26">
      <c r="D382" s="110"/>
      <c r="E382" s="110"/>
      <c r="G382" s="110"/>
      <c r="Y382" s="110"/>
      <c r="Z382" s="110"/>
    </row>
    <row r="383" spans="4:26">
      <c r="D383" s="110"/>
      <c r="E383" s="110"/>
      <c r="G383" s="110"/>
      <c r="Y383" s="110"/>
      <c r="Z383" s="110"/>
    </row>
    <row r="384" spans="4:26">
      <c r="D384" s="110"/>
      <c r="E384" s="110"/>
      <c r="G384" s="110"/>
      <c r="Y384" s="110"/>
      <c r="Z384" s="110"/>
    </row>
    <row r="385" spans="4:26">
      <c r="D385" s="110"/>
      <c r="E385" s="110"/>
      <c r="G385" s="110"/>
      <c r="Y385" s="110"/>
      <c r="Z385" s="110"/>
    </row>
    <row r="386" spans="4:26">
      <c r="D386" s="110"/>
      <c r="E386" s="110"/>
      <c r="G386" s="110"/>
      <c r="Y386" s="110"/>
      <c r="Z386" s="110"/>
    </row>
    <row r="387" spans="4:26">
      <c r="D387" s="110"/>
      <c r="E387" s="110"/>
      <c r="G387" s="110"/>
      <c r="Y387" s="110"/>
      <c r="Z387" s="110"/>
    </row>
    <row r="388" spans="4:26">
      <c r="D388" s="110"/>
      <c r="E388" s="110"/>
      <c r="G388" s="110"/>
      <c r="Y388" s="110"/>
      <c r="Z388" s="110"/>
    </row>
    <row r="389" spans="4:26">
      <c r="D389" s="110"/>
      <c r="E389" s="110"/>
      <c r="G389" s="110"/>
      <c r="Y389" s="110"/>
      <c r="Z389" s="110"/>
    </row>
    <row r="390" spans="4:26">
      <c r="D390" s="110"/>
      <c r="E390" s="110"/>
      <c r="G390" s="110"/>
      <c r="Y390" s="110"/>
      <c r="Z390" s="110"/>
    </row>
    <row r="391" spans="4:26">
      <c r="D391" s="110"/>
      <c r="E391" s="110"/>
      <c r="G391" s="110"/>
      <c r="Y391" s="110"/>
      <c r="Z391" s="110"/>
    </row>
    <row r="392" spans="4:26">
      <c r="D392" s="110"/>
      <c r="E392" s="110"/>
      <c r="G392" s="110"/>
      <c r="Y392" s="110"/>
      <c r="Z392" s="110"/>
    </row>
    <row r="393" spans="4:26">
      <c r="D393" s="110"/>
      <c r="E393" s="110"/>
      <c r="G393" s="110"/>
      <c r="Y393" s="110"/>
      <c r="Z393" s="110"/>
    </row>
    <row r="394" spans="4:26">
      <c r="D394" s="110"/>
      <c r="E394" s="110"/>
      <c r="G394" s="110"/>
      <c r="Y394" s="110"/>
      <c r="Z394" s="110"/>
    </row>
    <row r="395" spans="4:26">
      <c r="D395" s="110"/>
      <c r="E395" s="110"/>
      <c r="G395" s="110"/>
      <c r="Y395" s="110"/>
      <c r="Z395" s="110"/>
    </row>
    <row r="396" spans="4:26">
      <c r="D396" s="110"/>
      <c r="E396" s="110"/>
      <c r="G396" s="110"/>
      <c r="Y396" s="110"/>
      <c r="Z396" s="110"/>
    </row>
    <row r="397" spans="4:26">
      <c r="D397" s="110"/>
      <c r="E397" s="110"/>
      <c r="G397" s="110"/>
      <c r="Y397" s="110"/>
      <c r="Z397" s="110"/>
    </row>
    <row r="398" spans="4:26">
      <c r="D398" s="110"/>
      <c r="E398" s="110"/>
      <c r="G398" s="110"/>
      <c r="Y398" s="110"/>
      <c r="Z398" s="110"/>
    </row>
    <row r="399" spans="4:26">
      <c r="D399" s="110"/>
      <c r="E399" s="110"/>
      <c r="G399" s="110"/>
      <c r="Y399" s="110"/>
      <c r="Z399" s="110"/>
    </row>
    <row r="400" spans="4:26">
      <c r="D400" s="110"/>
      <c r="E400" s="110"/>
      <c r="G400" s="110"/>
      <c r="Y400" s="110"/>
      <c r="Z400" s="110"/>
    </row>
    <row r="401" spans="4:26">
      <c r="D401" s="110"/>
      <c r="E401" s="110"/>
      <c r="G401" s="110"/>
      <c r="Y401" s="110"/>
      <c r="Z401" s="110"/>
    </row>
    <row r="402" spans="4:26">
      <c r="D402" s="110"/>
      <c r="E402" s="110"/>
      <c r="G402" s="110"/>
      <c r="Y402" s="110"/>
      <c r="Z402" s="110"/>
    </row>
    <row r="403" spans="4:26">
      <c r="D403" s="110"/>
      <c r="E403" s="110"/>
      <c r="G403" s="110"/>
      <c r="Y403" s="110"/>
      <c r="Z403" s="110"/>
    </row>
    <row r="404" spans="4:26">
      <c r="D404" s="110"/>
      <c r="E404" s="110"/>
      <c r="G404" s="110"/>
      <c r="Y404" s="110"/>
      <c r="Z404" s="110"/>
    </row>
    <row r="405" spans="4:26">
      <c r="D405" s="110"/>
      <c r="E405" s="110"/>
      <c r="G405" s="110"/>
      <c r="Y405" s="110"/>
      <c r="Z405" s="110"/>
    </row>
    <row r="406" spans="4:26">
      <c r="D406" s="110"/>
      <c r="E406" s="110"/>
      <c r="G406" s="110"/>
      <c r="Y406" s="110"/>
      <c r="Z406" s="110"/>
    </row>
    <row r="407" spans="4:26">
      <c r="D407" s="110"/>
      <c r="E407" s="110"/>
      <c r="G407" s="110"/>
      <c r="Y407" s="110"/>
      <c r="Z407" s="110"/>
    </row>
    <row r="408" spans="4:26">
      <c r="D408" s="110"/>
      <c r="E408" s="110"/>
      <c r="G408" s="110"/>
      <c r="Y408" s="110"/>
      <c r="Z408" s="110"/>
    </row>
    <row r="409" spans="4:26">
      <c r="D409" s="110"/>
      <c r="E409" s="110"/>
      <c r="G409" s="110"/>
      <c r="Y409" s="110"/>
      <c r="Z409" s="110"/>
    </row>
    <row r="410" spans="4:26">
      <c r="D410" s="110"/>
      <c r="E410" s="110"/>
      <c r="G410" s="110"/>
      <c r="Y410" s="110"/>
      <c r="Z410" s="110"/>
    </row>
    <row r="411" spans="4:26">
      <c r="D411" s="110"/>
      <c r="E411" s="110"/>
      <c r="G411" s="110"/>
      <c r="Y411" s="110"/>
      <c r="Z411" s="110"/>
    </row>
    <row r="412" spans="4:26">
      <c r="D412" s="110"/>
      <c r="E412" s="110"/>
      <c r="G412" s="110"/>
      <c r="Y412" s="110"/>
      <c r="Z412" s="110"/>
    </row>
    <row r="413" spans="4:26">
      <c r="D413" s="110"/>
      <c r="E413" s="110"/>
      <c r="G413" s="110"/>
      <c r="Y413" s="110"/>
      <c r="Z413" s="110"/>
    </row>
    <row r="414" spans="4:26">
      <c r="D414" s="110"/>
      <c r="E414" s="110"/>
      <c r="G414" s="110"/>
      <c r="Y414" s="110"/>
      <c r="Z414" s="110"/>
    </row>
    <row r="415" spans="4:26">
      <c r="D415" s="110"/>
      <c r="E415" s="110"/>
      <c r="G415" s="110"/>
      <c r="Y415" s="110"/>
      <c r="Z415" s="110"/>
    </row>
    <row r="416" spans="4:26">
      <c r="D416" s="110"/>
      <c r="E416" s="110"/>
      <c r="G416" s="110"/>
      <c r="Y416" s="110"/>
      <c r="Z416" s="110"/>
    </row>
    <row r="417" spans="4:26">
      <c r="D417" s="110"/>
      <c r="E417" s="110"/>
      <c r="G417" s="110"/>
      <c r="Y417" s="110"/>
      <c r="Z417" s="110"/>
    </row>
    <row r="418" spans="4:26">
      <c r="D418" s="110"/>
      <c r="E418" s="110"/>
      <c r="G418" s="110"/>
      <c r="Y418" s="110"/>
      <c r="Z418" s="110"/>
    </row>
    <row r="419" spans="4:26">
      <c r="D419" s="110"/>
      <c r="E419" s="110"/>
      <c r="G419" s="110"/>
      <c r="Y419" s="110"/>
      <c r="Z419" s="110"/>
    </row>
    <row r="420" spans="4:26">
      <c r="D420" s="110"/>
      <c r="E420" s="110"/>
      <c r="G420" s="110"/>
      <c r="Y420" s="110"/>
      <c r="Z420" s="110"/>
    </row>
    <row r="421" spans="4:26">
      <c r="D421" s="110"/>
      <c r="E421" s="110"/>
      <c r="G421" s="110"/>
      <c r="Y421" s="110"/>
      <c r="Z421" s="110"/>
    </row>
    <row r="422" spans="4:26">
      <c r="D422" s="110"/>
      <c r="E422" s="110"/>
      <c r="G422" s="110"/>
      <c r="Y422" s="110"/>
      <c r="Z422" s="110"/>
    </row>
    <row r="423" spans="4:26">
      <c r="D423" s="110"/>
      <c r="E423" s="110"/>
      <c r="G423" s="110"/>
      <c r="Y423" s="110"/>
      <c r="Z423" s="110"/>
    </row>
    <row r="424" spans="4:26">
      <c r="D424" s="110"/>
      <c r="E424" s="110"/>
      <c r="G424" s="110"/>
      <c r="Y424" s="110"/>
      <c r="Z424" s="110"/>
    </row>
    <row r="425" spans="4:26">
      <c r="D425" s="110"/>
      <c r="E425" s="110"/>
      <c r="G425" s="110"/>
      <c r="Y425" s="110"/>
      <c r="Z425" s="110"/>
    </row>
    <row r="426" spans="4:26">
      <c r="D426" s="110"/>
      <c r="E426" s="110"/>
      <c r="G426" s="110"/>
      <c r="Y426" s="110"/>
      <c r="Z426" s="110"/>
    </row>
    <row r="427" spans="4:26">
      <c r="D427" s="110"/>
      <c r="E427" s="110"/>
      <c r="G427" s="110"/>
      <c r="Y427" s="110"/>
      <c r="Z427" s="110"/>
    </row>
    <row r="428" spans="4:26">
      <c r="D428" s="110"/>
      <c r="E428" s="110"/>
      <c r="G428" s="110"/>
      <c r="Y428" s="110"/>
      <c r="Z428" s="110"/>
    </row>
    <row r="429" spans="4:26">
      <c r="D429" s="110"/>
      <c r="E429" s="110"/>
      <c r="G429" s="110"/>
      <c r="Y429" s="110"/>
      <c r="Z429" s="110"/>
    </row>
    <row r="430" spans="4:26">
      <c r="D430" s="110"/>
      <c r="E430" s="110"/>
      <c r="G430" s="110"/>
      <c r="Y430" s="110"/>
      <c r="Z430" s="110"/>
    </row>
    <row r="431" spans="4:26">
      <c r="D431" s="110"/>
      <c r="E431" s="110"/>
      <c r="G431" s="110"/>
      <c r="Y431" s="110"/>
      <c r="Z431" s="110"/>
    </row>
    <row r="432" spans="4:26">
      <c r="D432" s="110"/>
      <c r="E432" s="110"/>
      <c r="G432" s="110"/>
      <c r="Y432" s="110"/>
      <c r="Z432" s="110"/>
    </row>
    <row r="433" spans="4:26">
      <c r="D433" s="110"/>
      <c r="E433" s="110"/>
      <c r="G433" s="110"/>
      <c r="Y433" s="110"/>
      <c r="Z433" s="110"/>
    </row>
    <row r="434" spans="4:26">
      <c r="D434" s="110"/>
      <c r="E434" s="110"/>
      <c r="G434" s="110"/>
      <c r="Y434" s="110"/>
      <c r="Z434" s="110"/>
    </row>
    <row r="435" spans="4:26">
      <c r="D435" s="110"/>
      <c r="E435" s="110"/>
      <c r="G435" s="110"/>
      <c r="Y435" s="110"/>
      <c r="Z435" s="110"/>
    </row>
    <row r="436" spans="4:26">
      <c r="D436" s="110"/>
      <c r="E436" s="110"/>
      <c r="G436" s="110"/>
      <c r="Y436" s="110"/>
      <c r="Z436" s="110"/>
    </row>
    <row r="437" spans="4:26">
      <c r="D437" s="110"/>
      <c r="E437" s="110"/>
      <c r="G437" s="110"/>
      <c r="Y437" s="110"/>
      <c r="Z437" s="110"/>
    </row>
    <row r="438" spans="4:26">
      <c r="D438" s="110"/>
      <c r="E438" s="110"/>
      <c r="G438" s="110"/>
      <c r="Y438" s="110"/>
      <c r="Z438" s="110"/>
    </row>
    <row r="439" spans="4:26">
      <c r="D439" s="110"/>
      <c r="E439" s="110"/>
      <c r="G439" s="110"/>
      <c r="Y439" s="110"/>
      <c r="Z439" s="110"/>
    </row>
    <row r="440" spans="4:26">
      <c r="D440" s="110"/>
      <c r="E440" s="110"/>
      <c r="G440" s="110"/>
      <c r="Y440" s="110"/>
      <c r="Z440" s="110"/>
    </row>
    <row r="441" spans="4:26">
      <c r="D441" s="110"/>
      <c r="E441" s="110"/>
      <c r="G441" s="110"/>
      <c r="Y441" s="110"/>
      <c r="Z441" s="110"/>
    </row>
    <row r="442" spans="4:26">
      <c r="D442" s="110"/>
      <c r="E442" s="110"/>
      <c r="G442" s="110"/>
      <c r="Y442" s="110"/>
      <c r="Z442" s="110"/>
    </row>
    <row r="443" spans="4:26">
      <c r="D443" s="110"/>
      <c r="E443" s="110"/>
      <c r="G443" s="110"/>
      <c r="Y443" s="110"/>
      <c r="Z443" s="110"/>
    </row>
    <row r="444" spans="4:26">
      <c r="D444" s="110"/>
      <c r="E444" s="110"/>
      <c r="G444" s="110"/>
      <c r="Y444" s="110"/>
      <c r="Z444" s="110"/>
    </row>
    <row r="445" spans="4:26">
      <c r="D445" s="110"/>
      <c r="E445" s="110"/>
      <c r="G445" s="110"/>
      <c r="Y445" s="110"/>
      <c r="Z445" s="110"/>
    </row>
    <row r="446" spans="4:26">
      <c r="D446" s="110"/>
      <c r="E446" s="110"/>
      <c r="G446" s="110"/>
      <c r="Y446" s="110"/>
      <c r="Z446" s="110"/>
    </row>
    <row r="447" spans="4:26">
      <c r="D447" s="110"/>
      <c r="E447" s="110"/>
      <c r="G447" s="110"/>
      <c r="Y447" s="110"/>
      <c r="Z447" s="110"/>
    </row>
    <row r="448" spans="4:26">
      <c r="D448" s="110"/>
      <c r="E448" s="110"/>
      <c r="G448" s="110"/>
      <c r="Y448" s="110"/>
      <c r="Z448" s="110"/>
    </row>
    <row r="449" spans="4:26">
      <c r="D449" s="110"/>
      <c r="E449" s="110"/>
      <c r="G449" s="110"/>
      <c r="Y449" s="110"/>
      <c r="Z449" s="110"/>
    </row>
    <row r="450" spans="4:26">
      <c r="D450" s="110"/>
      <c r="E450" s="110"/>
      <c r="G450" s="110"/>
      <c r="Y450" s="110"/>
      <c r="Z450" s="110"/>
    </row>
    <row r="451" spans="4:26">
      <c r="D451" s="110"/>
      <c r="E451" s="110"/>
      <c r="G451" s="110"/>
      <c r="Y451" s="110"/>
      <c r="Z451" s="110"/>
    </row>
    <row r="452" spans="4:26">
      <c r="D452" s="110"/>
      <c r="E452" s="110"/>
      <c r="G452" s="110"/>
      <c r="Y452" s="110"/>
      <c r="Z452" s="110"/>
    </row>
    <row r="453" spans="4:26">
      <c r="D453" s="110"/>
      <c r="E453" s="110"/>
      <c r="G453" s="110"/>
      <c r="Y453" s="110"/>
      <c r="Z453" s="110"/>
    </row>
    <row r="454" spans="4:26">
      <c r="D454" s="110"/>
      <c r="E454" s="110"/>
      <c r="G454" s="110"/>
      <c r="Y454" s="110"/>
      <c r="Z454" s="110"/>
    </row>
    <row r="455" spans="4:26">
      <c r="D455" s="110"/>
      <c r="E455" s="110"/>
      <c r="G455" s="110"/>
      <c r="Y455" s="110"/>
      <c r="Z455" s="110"/>
    </row>
    <row r="456" spans="4:26">
      <c r="D456" s="110"/>
      <c r="E456" s="110"/>
      <c r="G456" s="110"/>
      <c r="Y456" s="110"/>
      <c r="Z456" s="110"/>
    </row>
    <row r="457" spans="4:26">
      <c r="D457" s="110"/>
      <c r="E457" s="110"/>
      <c r="G457" s="110"/>
      <c r="Y457" s="110"/>
      <c r="Z457" s="110"/>
    </row>
    <row r="458" spans="4:26">
      <c r="D458" s="110"/>
      <c r="E458" s="110"/>
      <c r="G458" s="110"/>
      <c r="Y458" s="110"/>
      <c r="Z458" s="110"/>
    </row>
    <row r="459" spans="4:26">
      <c r="D459" s="110"/>
      <c r="E459" s="110"/>
      <c r="G459" s="110"/>
      <c r="Y459" s="110"/>
      <c r="Z459" s="110"/>
    </row>
    <row r="460" spans="4:26">
      <c r="D460" s="110"/>
      <c r="E460" s="110"/>
      <c r="G460" s="110"/>
      <c r="Y460" s="110"/>
      <c r="Z460" s="110"/>
    </row>
    <row r="461" spans="4:26">
      <c r="D461" s="110"/>
      <c r="E461" s="110"/>
      <c r="G461" s="110"/>
      <c r="Y461" s="110"/>
      <c r="Z461" s="110"/>
    </row>
    <row r="462" spans="4:26">
      <c r="D462" s="110"/>
      <c r="E462" s="110"/>
      <c r="G462" s="110"/>
      <c r="Y462" s="110"/>
      <c r="Z462" s="110"/>
    </row>
    <row r="463" spans="4:26">
      <c r="D463" s="110"/>
      <c r="E463" s="110"/>
      <c r="G463" s="110"/>
      <c r="Y463" s="110"/>
      <c r="Z463" s="110"/>
    </row>
    <row r="464" spans="4:26">
      <c r="D464" s="110"/>
      <c r="E464" s="110"/>
      <c r="G464" s="110"/>
      <c r="Y464" s="110"/>
      <c r="Z464" s="110"/>
    </row>
    <row r="465" spans="4:26">
      <c r="D465" s="110"/>
      <c r="E465" s="110"/>
      <c r="G465" s="110"/>
      <c r="Y465" s="110"/>
      <c r="Z465" s="110"/>
    </row>
    <row r="466" spans="4:26">
      <c r="D466" s="110"/>
      <c r="E466" s="110"/>
      <c r="G466" s="110"/>
      <c r="Y466" s="110"/>
      <c r="Z466" s="110"/>
    </row>
    <row r="467" spans="4:26">
      <c r="D467" s="110"/>
      <c r="E467" s="110"/>
      <c r="G467" s="110"/>
      <c r="Y467" s="110"/>
      <c r="Z467" s="110"/>
    </row>
    <row r="468" spans="4:26">
      <c r="D468" s="110"/>
      <c r="E468" s="110"/>
      <c r="G468" s="110"/>
      <c r="Y468" s="110"/>
      <c r="Z468" s="110"/>
    </row>
    <row r="469" spans="4:26">
      <c r="D469" s="110"/>
      <c r="E469" s="110"/>
      <c r="G469" s="110"/>
      <c r="Y469" s="110"/>
      <c r="Z469" s="110"/>
    </row>
    <row r="470" spans="4:26">
      <c r="D470" s="110"/>
      <c r="E470" s="110"/>
      <c r="G470" s="110"/>
      <c r="Y470" s="110"/>
      <c r="Z470" s="110"/>
    </row>
    <row r="471" spans="4:26">
      <c r="D471" s="110"/>
      <c r="E471" s="110"/>
      <c r="G471" s="110"/>
      <c r="Y471" s="110"/>
      <c r="Z471" s="110"/>
    </row>
    <row r="472" spans="4:26">
      <c r="D472" s="110"/>
      <c r="E472" s="110"/>
      <c r="G472" s="110"/>
      <c r="Y472" s="110"/>
      <c r="Z472" s="110"/>
    </row>
    <row r="473" spans="4:26">
      <c r="D473" s="110"/>
      <c r="E473" s="110"/>
      <c r="G473" s="110"/>
      <c r="Y473" s="110"/>
      <c r="Z473" s="110"/>
    </row>
    <row r="474" spans="4:26">
      <c r="D474" s="110"/>
      <c r="E474" s="110"/>
      <c r="G474" s="110"/>
      <c r="Y474" s="110"/>
      <c r="Z474" s="110"/>
    </row>
    <row r="475" spans="4:26">
      <c r="D475" s="110"/>
      <c r="E475" s="110"/>
      <c r="G475" s="110"/>
      <c r="Y475" s="110"/>
      <c r="Z475" s="110"/>
    </row>
    <row r="476" spans="4:26">
      <c r="D476" s="110"/>
      <c r="E476" s="110"/>
      <c r="G476" s="110"/>
      <c r="Y476" s="110"/>
      <c r="Z476" s="110"/>
    </row>
    <row r="477" spans="4:26">
      <c r="D477" s="110"/>
      <c r="E477" s="110"/>
      <c r="G477" s="110"/>
      <c r="Y477" s="110"/>
      <c r="Z477" s="110"/>
    </row>
    <row r="478" spans="4:26">
      <c r="D478" s="110"/>
      <c r="E478" s="110"/>
      <c r="G478" s="110"/>
      <c r="Y478" s="110"/>
      <c r="Z478" s="110"/>
    </row>
    <row r="479" spans="4:26">
      <c r="D479" s="110"/>
      <c r="E479" s="110"/>
      <c r="G479" s="110"/>
      <c r="Y479" s="110"/>
      <c r="Z479" s="110"/>
    </row>
    <row r="480" spans="4:26">
      <c r="D480" s="110"/>
      <c r="E480" s="110"/>
      <c r="G480" s="110"/>
      <c r="Y480" s="110"/>
      <c r="Z480" s="110"/>
    </row>
    <row r="481" spans="4:26">
      <c r="D481" s="110"/>
      <c r="E481" s="110"/>
      <c r="G481" s="110"/>
      <c r="Y481" s="110"/>
      <c r="Z481" s="110"/>
    </row>
    <row r="482" spans="4:26">
      <c r="D482" s="110"/>
      <c r="E482" s="110"/>
      <c r="G482" s="110"/>
      <c r="Y482" s="110"/>
      <c r="Z482" s="110"/>
    </row>
    <row r="483" spans="4:26">
      <c r="D483" s="110"/>
      <c r="E483" s="110"/>
      <c r="G483" s="110"/>
      <c r="Y483" s="110"/>
      <c r="Z483" s="110"/>
    </row>
    <row r="484" spans="4:26">
      <c r="D484" s="110"/>
      <c r="E484" s="110"/>
      <c r="G484" s="110"/>
      <c r="Y484" s="110"/>
      <c r="Z484" s="110"/>
    </row>
    <row r="485" spans="4:26">
      <c r="D485" s="110"/>
      <c r="E485" s="110"/>
      <c r="G485" s="110"/>
      <c r="Y485" s="110"/>
      <c r="Z485" s="110"/>
    </row>
    <row r="486" spans="4:26">
      <c r="D486" s="110"/>
      <c r="E486" s="110"/>
      <c r="G486" s="110"/>
      <c r="Y486" s="110"/>
      <c r="Z486" s="110"/>
    </row>
    <row r="487" spans="4:26">
      <c r="D487" s="110"/>
      <c r="E487" s="110"/>
      <c r="G487" s="110"/>
      <c r="Y487" s="110"/>
      <c r="Z487" s="110"/>
    </row>
    <row r="488" spans="4:26">
      <c r="D488" s="110"/>
      <c r="E488" s="110"/>
      <c r="G488" s="110"/>
      <c r="Y488" s="110"/>
      <c r="Z488" s="110"/>
    </row>
    <row r="489" spans="4:26">
      <c r="D489" s="110"/>
      <c r="E489" s="110"/>
      <c r="G489" s="110"/>
      <c r="Y489" s="110"/>
      <c r="Z489" s="110"/>
    </row>
    <row r="490" spans="4:26">
      <c r="D490" s="110"/>
      <c r="E490" s="110"/>
      <c r="G490" s="110"/>
      <c r="Y490" s="110"/>
      <c r="Z490" s="110"/>
    </row>
    <row r="491" spans="4:26">
      <c r="D491" s="110"/>
      <c r="E491" s="110"/>
      <c r="G491" s="110"/>
      <c r="Y491" s="110"/>
      <c r="Z491" s="110"/>
    </row>
    <row r="492" spans="4:26">
      <c r="D492" s="110"/>
      <c r="E492" s="110"/>
      <c r="G492" s="110"/>
      <c r="Y492" s="110"/>
      <c r="Z492" s="110"/>
    </row>
    <row r="493" spans="4:26">
      <c r="D493" s="110"/>
      <c r="E493" s="110"/>
      <c r="G493" s="110"/>
      <c r="Y493" s="110"/>
      <c r="Z493" s="110"/>
    </row>
    <row r="494" spans="4:26">
      <c r="D494" s="110"/>
      <c r="E494" s="110"/>
      <c r="G494" s="110"/>
      <c r="Y494" s="110"/>
      <c r="Z494" s="110"/>
    </row>
    <row r="495" spans="4:26">
      <c r="D495" s="110"/>
      <c r="E495" s="110"/>
      <c r="G495" s="110"/>
      <c r="Y495" s="110"/>
      <c r="Z495" s="110"/>
    </row>
    <row r="496" spans="4:26">
      <c r="D496" s="110"/>
      <c r="E496" s="110"/>
      <c r="G496" s="110"/>
      <c r="Y496" s="110"/>
      <c r="Z496" s="110"/>
    </row>
    <row r="497" spans="4:26">
      <c r="D497" s="110"/>
      <c r="E497" s="110"/>
      <c r="G497" s="110"/>
      <c r="Y497" s="110"/>
      <c r="Z497" s="110"/>
    </row>
    <row r="498" spans="4:26">
      <c r="D498" s="110"/>
      <c r="E498" s="110"/>
      <c r="G498" s="110"/>
      <c r="Y498" s="110"/>
      <c r="Z498" s="110"/>
    </row>
    <row r="499" spans="4:26">
      <c r="D499" s="110"/>
      <c r="E499" s="110"/>
      <c r="G499" s="110"/>
      <c r="Y499" s="110"/>
      <c r="Z499" s="110"/>
    </row>
    <row r="500" spans="4:26">
      <c r="D500" s="110"/>
      <c r="E500" s="110"/>
      <c r="G500" s="110"/>
      <c r="Y500" s="110"/>
      <c r="Z500" s="110"/>
    </row>
    <row r="501" spans="4:26">
      <c r="D501" s="110"/>
      <c r="E501" s="110"/>
      <c r="G501" s="110"/>
      <c r="Y501" s="110"/>
      <c r="Z501" s="110"/>
    </row>
    <row r="502" spans="4:26">
      <c r="D502" s="110"/>
      <c r="E502" s="110"/>
      <c r="G502" s="110"/>
      <c r="Y502" s="110"/>
      <c r="Z502" s="110"/>
    </row>
    <row r="503" spans="4:26">
      <c r="D503" s="110"/>
      <c r="E503" s="110"/>
      <c r="G503" s="110"/>
      <c r="Y503" s="110"/>
      <c r="Z503" s="110"/>
    </row>
    <row r="504" spans="4:26">
      <c r="D504" s="110"/>
      <c r="E504" s="110"/>
      <c r="G504" s="110"/>
      <c r="Y504" s="110"/>
      <c r="Z504" s="110"/>
    </row>
    <row r="505" spans="4:26">
      <c r="D505" s="110"/>
      <c r="E505" s="110"/>
      <c r="G505" s="110"/>
      <c r="Y505" s="110"/>
      <c r="Z505" s="110"/>
    </row>
    <row r="506" spans="4:26">
      <c r="D506" s="110"/>
      <c r="E506" s="110"/>
      <c r="G506" s="110"/>
      <c r="Y506" s="110"/>
      <c r="Z506" s="110"/>
    </row>
    <row r="507" spans="4:26">
      <c r="D507" s="110"/>
      <c r="E507" s="110"/>
      <c r="G507" s="110"/>
      <c r="Y507" s="110"/>
      <c r="Z507" s="110"/>
    </row>
    <row r="508" spans="4:26">
      <c r="D508" s="110"/>
      <c r="E508" s="110"/>
      <c r="G508" s="110"/>
      <c r="Y508" s="110"/>
      <c r="Z508" s="110"/>
    </row>
    <row r="509" spans="4:26">
      <c r="D509" s="110"/>
      <c r="E509" s="110"/>
      <c r="G509" s="110"/>
      <c r="Y509" s="110"/>
      <c r="Z509" s="110"/>
    </row>
    <row r="510" spans="4:26">
      <c r="D510" s="110"/>
      <c r="E510" s="110"/>
      <c r="G510" s="110"/>
      <c r="Y510" s="110"/>
      <c r="Z510" s="110"/>
    </row>
    <row r="511" spans="4:26">
      <c r="D511" s="110"/>
      <c r="E511" s="110"/>
      <c r="G511" s="110"/>
      <c r="Y511" s="110"/>
      <c r="Z511" s="110"/>
    </row>
    <row r="512" spans="4:26">
      <c r="D512" s="110"/>
      <c r="E512" s="110"/>
      <c r="G512" s="110"/>
      <c r="Y512" s="110"/>
      <c r="Z512" s="110"/>
    </row>
    <row r="513" spans="4:26">
      <c r="D513" s="110"/>
      <c r="E513" s="110"/>
      <c r="G513" s="110"/>
      <c r="Y513" s="110"/>
      <c r="Z513" s="110"/>
    </row>
    <row r="514" spans="4:26">
      <c r="D514" s="110"/>
      <c r="E514" s="110"/>
      <c r="G514" s="110"/>
      <c r="Y514" s="110"/>
      <c r="Z514" s="110"/>
    </row>
    <row r="515" spans="4:26">
      <c r="D515" s="110"/>
      <c r="E515" s="110"/>
      <c r="G515" s="110"/>
      <c r="Y515" s="110"/>
      <c r="Z515" s="110"/>
    </row>
    <row r="516" spans="4:26">
      <c r="D516" s="110"/>
      <c r="E516" s="110"/>
      <c r="G516" s="110"/>
      <c r="Y516" s="110"/>
      <c r="Z516" s="110"/>
    </row>
    <row r="517" spans="4:26">
      <c r="D517" s="110"/>
      <c r="E517" s="110"/>
      <c r="G517" s="110"/>
      <c r="Y517" s="110"/>
      <c r="Z517" s="110"/>
    </row>
    <row r="518" spans="4:26">
      <c r="D518" s="110"/>
      <c r="E518" s="110"/>
      <c r="G518" s="110"/>
      <c r="Y518" s="110"/>
      <c r="Z518" s="110"/>
    </row>
    <row r="519" spans="4:26">
      <c r="D519" s="110"/>
      <c r="E519" s="110"/>
      <c r="G519" s="110"/>
      <c r="Y519" s="110"/>
      <c r="Z519" s="110"/>
    </row>
    <row r="520" spans="4:26">
      <c r="D520" s="110"/>
      <c r="E520" s="110"/>
      <c r="G520" s="110"/>
      <c r="Y520" s="110"/>
      <c r="Z520" s="110"/>
    </row>
    <row r="521" spans="4:26">
      <c r="D521" s="110"/>
      <c r="E521" s="110"/>
      <c r="G521" s="110"/>
      <c r="Y521" s="110"/>
      <c r="Z521" s="110"/>
    </row>
    <row r="522" spans="4:26">
      <c r="D522" s="110"/>
      <c r="E522" s="110"/>
      <c r="G522" s="110"/>
      <c r="Y522" s="110"/>
      <c r="Z522" s="110"/>
    </row>
    <row r="523" spans="4:26">
      <c r="D523" s="110"/>
      <c r="E523" s="110"/>
      <c r="G523" s="110"/>
      <c r="Y523" s="110"/>
      <c r="Z523" s="110"/>
    </row>
    <row r="524" spans="4:26">
      <c r="D524" s="110"/>
      <c r="E524" s="110"/>
      <c r="G524" s="110"/>
      <c r="Y524" s="110"/>
      <c r="Z524" s="110"/>
    </row>
    <row r="525" spans="4:26">
      <c r="D525" s="110"/>
      <c r="E525" s="110"/>
      <c r="G525" s="110"/>
      <c r="Y525" s="110"/>
      <c r="Z525" s="110"/>
    </row>
    <row r="526" spans="4:26">
      <c r="D526" s="110"/>
      <c r="E526" s="110"/>
      <c r="G526" s="110"/>
      <c r="Y526" s="110"/>
      <c r="Z526" s="110"/>
    </row>
    <row r="527" spans="4:26">
      <c r="D527" s="110"/>
      <c r="E527" s="110"/>
      <c r="G527" s="110"/>
      <c r="Y527" s="110"/>
      <c r="Z527" s="110"/>
    </row>
    <row r="528" spans="4:26">
      <c r="D528" s="110"/>
      <c r="E528" s="110"/>
      <c r="G528" s="110"/>
      <c r="Y528" s="110"/>
      <c r="Z528" s="110"/>
    </row>
    <row r="529" spans="4:26">
      <c r="D529" s="110"/>
      <c r="E529" s="110"/>
      <c r="G529" s="110"/>
      <c r="Y529" s="110"/>
      <c r="Z529" s="110"/>
    </row>
    <row r="530" spans="4:26">
      <c r="D530" s="110"/>
      <c r="E530" s="110"/>
      <c r="G530" s="110"/>
      <c r="Y530" s="110"/>
      <c r="Z530" s="110"/>
    </row>
    <row r="531" spans="4:26">
      <c r="D531" s="110"/>
      <c r="E531" s="110"/>
      <c r="G531" s="110"/>
      <c r="Y531" s="110"/>
      <c r="Z531" s="110"/>
    </row>
    <row r="532" spans="4:26">
      <c r="D532" s="110"/>
      <c r="E532" s="110"/>
      <c r="G532" s="110"/>
      <c r="Y532" s="110"/>
      <c r="Z532" s="110"/>
    </row>
    <row r="533" spans="4:26">
      <c r="D533" s="110"/>
      <c r="E533" s="110"/>
      <c r="G533" s="110"/>
      <c r="Y533" s="110"/>
      <c r="Z533" s="110"/>
    </row>
    <row r="534" spans="4:26">
      <c r="D534" s="110"/>
      <c r="E534" s="110"/>
      <c r="G534" s="110"/>
      <c r="Y534" s="110"/>
      <c r="Z534" s="110"/>
    </row>
    <row r="535" spans="4:26">
      <c r="D535" s="110"/>
      <c r="E535" s="110"/>
      <c r="G535" s="110"/>
      <c r="Y535" s="110"/>
      <c r="Z535" s="110"/>
    </row>
    <row r="536" spans="4:26">
      <c r="D536" s="110"/>
      <c r="E536" s="110"/>
      <c r="G536" s="110"/>
      <c r="Y536" s="110"/>
      <c r="Z536" s="110"/>
    </row>
    <row r="537" spans="4:26">
      <c r="D537" s="110"/>
      <c r="E537" s="110"/>
      <c r="G537" s="110"/>
      <c r="Y537" s="110"/>
      <c r="Z537" s="110"/>
    </row>
    <row r="538" spans="4:26">
      <c r="D538" s="110"/>
      <c r="E538" s="110"/>
      <c r="G538" s="110"/>
      <c r="Y538" s="110"/>
      <c r="Z538" s="110"/>
    </row>
    <row r="539" spans="4:26">
      <c r="D539" s="110"/>
      <c r="E539" s="110"/>
      <c r="G539" s="110"/>
      <c r="Y539" s="110"/>
      <c r="Z539" s="110"/>
    </row>
    <row r="540" spans="4:26">
      <c r="D540" s="110"/>
      <c r="E540" s="110"/>
      <c r="G540" s="110"/>
      <c r="Y540" s="110"/>
      <c r="Z540" s="110"/>
    </row>
    <row r="541" spans="4:26">
      <c r="D541" s="110"/>
      <c r="E541" s="110"/>
      <c r="G541" s="110"/>
      <c r="Y541" s="110"/>
      <c r="Z541" s="110"/>
    </row>
    <row r="542" spans="4:26">
      <c r="D542" s="110"/>
      <c r="E542" s="110"/>
      <c r="G542" s="110"/>
      <c r="Y542" s="110"/>
      <c r="Z542" s="110"/>
    </row>
    <row r="543" spans="4:26">
      <c r="D543" s="110"/>
      <c r="E543" s="110"/>
      <c r="G543" s="110"/>
      <c r="Y543" s="110"/>
      <c r="Z543" s="110"/>
    </row>
    <row r="544" spans="4:26">
      <c r="D544" s="110"/>
      <c r="E544" s="110"/>
      <c r="G544" s="110"/>
      <c r="Y544" s="110"/>
      <c r="Z544" s="110"/>
    </row>
    <row r="545" spans="4:26">
      <c r="D545" s="110"/>
      <c r="E545" s="110"/>
      <c r="G545" s="110"/>
      <c r="Y545" s="110"/>
      <c r="Z545" s="110"/>
    </row>
    <row r="546" spans="4:26">
      <c r="D546" s="110"/>
      <c r="E546" s="110"/>
      <c r="G546" s="110"/>
      <c r="Y546" s="110"/>
      <c r="Z546" s="110"/>
    </row>
    <row r="547" spans="4:26">
      <c r="D547" s="110"/>
      <c r="E547" s="110"/>
      <c r="G547" s="110"/>
      <c r="Y547" s="110"/>
      <c r="Z547" s="110"/>
    </row>
    <row r="548" spans="4:26">
      <c r="D548" s="110"/>
      <c r="E548" s="110"/>
      <c r="G548" s="110"/>
      <c r="Y548" s="110"/>
      <c r="Z548" s="110"/>
    </row>
    <row r="549" spans="4:26">
      <c r="D549" s="110"/>
      <c r="E549" s="110"/>
      <c r="G549" s="110"/>
      <c r="Y549" s="110"/>
      <c r="Z549" s="110"/>
    </row>
    <row r="550" spans="4:26">
      <c r="D550" s="110"/>
      <c r="E550" s="110"/>
      <c r="G550" s="110"/>
      <c r="Y550" s="110"/>
      <c r="Z550" s="110"/>
    </row>
    <row r="551" spans="4:26">
      <c r="D551" s="110"/>
      <c r="E551" s="110"/>
      <c r="G551" s="110"/>
      <c r="Y551" s="110"/>
      <c r="Z551" s="110"/>
    </row>
    <row r="552" spans="4:26">
      <c r="D552" s="110"/>
      <c r="E552" s="110"/>
      <c r="G552" s="110"/>
      <c r="Y552" s="110"/>
      <c r="Z552" s="110"/>
    </row>
    <row r="553" spans="4:26">
      <c r="D553" s="110"/>
      <c r="E553" s="110"/>
      <c r="G553" s="110"/>
      <c r="Y553" s="110"/>
      <c r="Z553" s="110"/>
    </row>
    <row r="554" spans="4:26">
      <c r="D554" s="110"/>
      <c r="E554" s="110"/>
      <c r="G554" s="110"/>
      <c r="Y554" s="110"/>
      <c r="Z554" s="110"/>
    </row>
    <row r="555" spans="4:26">
      <c r="D555" s="110"/>
      <c r="E555" s="110"/>
      <c r="G555" s="110"/>
      <c r="Y555" s="110"/>
      <c r="Z555" s="110"/>
    </row>
    <row r="556" spans="4:26">
      <c r="D556" s="110"/>
      <c r="E556" s="110"/>
      <c r="G556" s="110"/>
      <c r="Y556" s="110"/>
      <c r="Z556" s="110"/>
    </row>
    <row r="557" spans="4:26">
      <c r="D557" s="110"/>
      <c r="E557" s="110"/>
      <c r="G557" s="110"/>
      <c r="Y557" s="110"/>
      <c r="Z557" s="110"/>
    </row>
    <row r="558" spans="4:26">
      <c r="D558" s="110"/>
      <c r="E558" s="110"/>
      <c r="G558" s="110"/>
      <c r="Y558" s="110"/>
      <c r="Z558" s="110"/>
    </row>
    <row r="559" spans="4:26">
      <c r="D559" s="110"/>
      <c r="E559" s="110"/>
      <c r="G559" s="110"/>
      <c r="Y559" s="110"/>
      <c r="Z559" s="110"/>
    </row>
    <row r="560" spans="4:26">
      <c r="D560" s="110"/>
      <c r="E560" s="110"/>
      <c r="G560" s="110"/>
      <c r="Y560" s="110"/>
      <c r="Z560" s="110"/>
    </row>
    <row r="561" spans="4:26">
      <c r="D561" s="110"/>
      <c r="E561" s="110"/>
      <c r="G561" s="110"/>
      <c r="Y561" s="110"/>
      <c r="Z561" s="110"/>
    </row>
    <row r="562" spans="4:26">
      <c r="D562" s="110"/>
      <c r="E562" s="110"/>
      <c r="G562" s="110"/>
      <c r="Y562" s="110"/>
      <c r="Z562" s="110"/>
    </row>
    <row r="563" spans="4:26">
      <c r="D563" s="110"/>
      <c r="E563" s="110"/>
      <c r="G563" s="110"/>
      <c r="Y563" s="110"/>
      <c r="Z563" s="110"/>
    </row>
    <row r="564" spans="4:26">
      <c r="D564" s="110"/>
      <c r="E564" s="110"/>
      <c r="G564" s="110"/>
      <c r="Y564" s="110"/>
      <c r="Z564" s="110"/>
    </row>
    <row r="565" spans="4:26">
      <c r="D565" s="110"/>
      <c r="E565" s="110"/>
      <c r="G565" s="110"/>
      <c r="Y565" s="110"/>
      <c r="Z565" s="110"/>
    </row>
    <row r="566" spans="4:26">
      <c r="D566" s="110"/>
      <c r="E566" s="110"/>
      <c r="G566" s="110"/>
      <c r="Y566" s="110"/>
      <c r="Z566" s="110"/>
    </row>
    <row r="567" spans="4:26">
      <c r="D567" s="110"/>
      <c r="E567" s="110"/>
      <c r="G567" s="110"/>
      <c r="Y567" s="110"/>
      <c r="Z567" s="110"/>
    </row>
    <row r="568" spans="4:26">
      <c r="D568" s="110"/>
      <c r="E568" s="110"/>
      <c r="G568" s="110"/>
      <c r="Y568" s="110"/>
      <c r="Z568" s="110"/>
    </row>
    <row r="569" spans="4:26">
      <c r="D569" s="110"/>
      <c r="E569" s="110"/>
      <c r="G569" s="110"/>
      <c r="Y569" s="110"/>
      <c r="Z569" s="110"/>
    </row>
    <row r="570" spans="4:26">
      <c r="D570" s="110"/>
      <c r="E570" s="110"/>
      <c r="G570" s="110"/>
      <c r="Y570" s="110"/>
      <c r="Z570" s="110"/>
    </row>
    <row r="571" spans="4:26">
      <c r="D571" s="110"/>
      <c r="E571" s="110"/>
      <c r="G571" s="110"/>
      <c r="Y571" s="110"/>
      <c r="Z571" s="110"/>
    </row>
    <row r="572" spans="4:26">
      <c r="D572" s="110"/>
      <c r="E572" s="110"/>
      <c r="G572" s="110"/>
      <c r="Y572" s="110"/>
      <c r="Z572" s="110"/>
    </row>
    <row r="573" spans="4:26">
      <c r="D573" s="110"/>
      <c r="E573" s="110"/>
      <c r="G573" s="110"/>
      <c r="Y573" s="110"/>
      <c r="Z573" s="110"/>
    </row>
    <row r="574" spans="4:26">
      <c r="D574" s="110"/>
      <c r="E574" s="110"/>
      <c r="G574" s="110"/>
      <c r="Y574" s="110"/>
      <c r="Z574" s="110"/>
    </row>
    <row r="575" spans="4:26">
      <c r="D575" s="110"/>
      <c r="E575" s="110"/>
      <c r="G575" s="110"/>
      <c r="Y575" s="110"/>
      <c r="Z575" s="110"/>
    </row>
    <row r="576" spans="4:26">
      <c r="D576" s="110"/>
      <c r="E576" s="110"/>
      <c r="G576" s="110"/>
      <c r="Y576" s="110"/>
      <c r="Z576" s="110"/>
    </row>
    <row r="577" spans="4:26">
      <c r="D577" s="110"/>
      <c r="E577" s="110"/>
      <c r="G577" s="110"/>
      <c r="Y577" s="110"/>
      <c r="Z577" s="110"/>
    </row>
    <row r="578" spans="4:26">
      <c r="D578" s="110"/>
      <c r="E578" s="110"/>
      <c r="G578" s="110"/>
      <c r="Y578" s="110"/>
      <c r="Z578" s="110"/>
    </row>
    <row r="579" spans="4:26">
      <c r="D579" s="110"/>
      <c r="E579" s="110"/>
      <c r="G579" s="110"/>
      <c r="Y579" s="110"/>
      <c r="Z579" s="110"/>
    </row>
    <row r="580" spans="4:26">
      <c r="D580" s="110"/>
      <c r="E580" s="110"/>
      <c r="G580" s="110"/>
      <c r="Y580" s="110"/>
      <c r="Z580" s="110"/>
    </row>
    <row r="581" spans="4:26">
      <c r="D581" s="110"/>
      <c r="E581" s="110"/>
      <c r="G581" s="110"/>
      <c r="Y581" s="110"/>
      <c r="Z581" s="110"/>
    </row>
    <row r="582" spans="4:26">
      <c r="D582" s="110"/>
      <c r="E582" s="110"/>
      <c r="G582" s="110"/>
      <c r="Y582" s="110"/>
      <c r="Z582" s="110"/>
    </row>
    <row r="583" spans="4:26">
      <c r="D583" s="110"/>
      <c r="E583" s="110"/>
      <c r="G583" s="110"/>
      <c r="Y583" s="110"/>
      <c r="Z583" s="110"/>
    </row>
    <row r="584" spans="4:26">
      <c r="D584" s="110"/>
      <c r="E584" s="110"/>
      <c r="G584" s="110"/>
      <c r="Y584" s="110"/>
      <c r="Z584" s="110"/>
    </row>
    <row r="585" spans="4:26">
      <c r="D585" s="110"/>
      <c r="E585" s="110"/>
      <c r="G585" s="110"/>
      <c r="Y585" s="110"/>
      <c r="Z585" s="110"/>
    </row>
    <row r="586" spans="4:26">
      <c r="D586" s="110"/>
      <c r="E586" s="110"/>
      <c r="G586" s="110"/>
      <c r="Y586" s="110"/>
      <c r="Z586" s="110"/>
    </row>
    <row r="587" spans="4:26">
      <c r="D587" s="110"/>
      <c r="E587" s="110"/>
      <c r="G587" s="110"/>
      <c r="Y587" s="110"/>
      <c r="Z587" s="110"/>
    </row>
    <row r="588" spans="4:26">
      <c r="D588" s="110"/>
      <c r="E588" s="110"/>
      <c r="G588" s="110"/>
      <c r="Y588" s="110"/>
      <c r="Z588" s="110"/>
    </row>
    <row r="589" spans="4:26">
      <c r="D589" s="110"/>
      <c r="E589" s="110"/>
      <c r="G589" s="110"/>
      <c r="Y589" s="110"/>
      <c r="Z589" s="110"/>
    </row>
    <row r="590" spans="4:26">
      <c r="D590" s="110"/>
      <c r="E590" s="110"/>
      <c r="G590" s="110"/>
      <c r="Y590" s="110"/>
      <c r="Z590" s="110"/>
    </row>
    <row r="591" spans="4:26">
      <c r="D591" s="110"/>
      <c r="E591" s="110"/>
      <c r="G591" s="110"/>
      <c r="Y591" s="110"/>
      <c r="Z591" s="110"/>
    </row>
    <row r="592" spans="4:26">
      <c r="D592" s="110"/>
      <c r="E592" s="110"/>
      <c r="G592" s="110"/>
      <c r="Y592" s="110"/>
      <c r="Z592" s="110"/>
    </row>
    <row r="593" spans="4:26">
      <c r="D593" s="110"/>
      <c r="E593" s="110"/>
      <c r="G593" s="110"/>
      <c r="Y593" s="110"/>
      <c r="Z593" s="110"/>
    </row>
    <row r="594" spans="4:26">
      <c r="D594" s="110"/>
      <c r="E594" s="110"/>
      <c r="G594" s="110"/>
      <c r="Y594" s="110"/>
      <c r="Z594" s="110"/>
    </row>
    <row r="595" spans="4:26">
      <c r="D595" s="110"/>
      <c r="E595" s="110"/>
      <c r="G595" s="110"/>
      <c r="Y595" s="110"/>
      <c r="Z595" s="110"/>
    </row>
    <row r="596" spans="4:26">
      <c r="D596" s="110"/>
      <c r="E596" s="110"/>
      <c r="G596" s="110"/>
      <c r="Y596" s="110"/>
      <c r="Z596" s="110"/>
    </row>
    <row r="597" spans="4:26">
      <c r="D597" s="110"/>
      <c r="E597" s="110"/>
      <c r="G597" s="110"/>
      <c r="Y597" s="110"/>
      <c r="Z597" s="110"/>
    </row>
    <row r="598" spans="4:26">
      <c r="D598" s="110"/>
      <c r="E598" s="110"/>
      <c r="G598" s="110"/>
      <c r="Y598" s="110"/>
      <c r="Z598" s="110"/>
    </row>
    <row r="599" spans="4:26">
      <c r="D599" s="110"/>
      <c r="E599" s="110"/>
      <c r="G599" s="110"/>
      <c r="Y599" s="110"/>
      <c r="Z599" s="110"/>
    </row>
    <row r="600" spans="4:26">
      <c r="D600" s="110"/>
      <c r="E600" s="110"/>
      <c r="G600" s="110"/>
      <c r="Y600" s="110"/>
      <c r="Z600" s="110"/>
    </row>
    <row r="601" spans="4:26">
      <c r="D601" s="110"/>
      <c r="E601" s="110"/>
      <c r="G601" s="110"/>
      <c r="Y601" s="110"/>
      <c r="Z601" s="110"/>
    </row>
    <row r="602" spans="4:26">
      <c r="D602" s="110"/>
      <c r="E602" s="110"/>
      <c r="G602" s="110"/>
      <c r="Y602" s="110"/>
      <c r="Z602" s="110"/>
    </row>
    <row r="603" spans="4:26">
      <c r="D603" s="110"/>
      <c r="E603" s="110"/>
      <c r="G603" s="110"/>
      <c r="Y603" s="110"/>
      <c r="Z603" s="110"/>
    </row>
    <row r="604" spans="4:26">
      <c r="D604" s="110"/>
      <c r="E604" s="110"/>
      <c r="G604" s="110"/>
      <c r="Y604" s="110"/>
      <c r="Z604" s="110"/>
    </row>
    <row r="605" spans="4:26">
      <c r="D605" s="110"/>
      <c r="E605" s="110"/>
      <c r="G605" s="110"/>
      <c r="Y605" s="110"/>
      <c r="Z605" s="110"/>
    </row>
    <row r="606" spans="4:26">
      <c r="D606" s="110"/>
      <c r="E606" s="110"/>
      <c r="G606" s="110"/>
      <c r="Y606" s="110"/>
      <c r="Z606" s="110"/>
    </row>
    <row r="607" spans="4:26">
      <c r="D607" s="110"/>
      <c r="E607" s="110"/>
      <c r="G607" s="110"/>
      <c r="Y607" s="110"/>
      <c r="Z607" s="110"/>
    </row>
    <row r="608" spans="4:26">
      <c r="D608" s="110"/>
      <c r="E608" s="110"/>
      <c r="G608" s="110"/>
      <c r="Y608" s="110"/>
      <c r="Z608" s="110"/>
    </row>
    <row r="609" spans="4:26">
      <c r="D609" s="110"/>
      <c r="E609" s="110"/>
      <c r="G609" s="110"/>
      <c r="Y609" s="110"/>
      <c r="Z609" s="110"/>
    </row>
    <row r="610" spans="4:26">
      <c r="D610" s="110"/>
      <c r="E610" s="110"/>
      <c r="G610" s="110"/>
      <c r="Y610" s="110"/>
      <c r="Z610" s="110"/>
    </row>
    <row r="611" spans="4:26">
      <c r="D611" s="110"/>
      <c r="E611" s="110"/>
      <c r="G611" s="110"/>
      <c r="Y611" s="110"/>
      <c r="Z611" s="110"/>
    </row>
    <row r="612" spans="4:26">
      <c r="D612" s="110"/>
      <c r="E612" s="110"/>
      <c r="G612" s="110"/>
      <c r="Y612" s="110"/>
      <c r="Z612" s="110"/>
    </row>
    <row r="613" spans="4:26">
      <c r="D613" s="110"/>
      <c r="E613" s="110"/>
      <c r="G613" s="110"/>
      <c r="Y613" s="110"/>
      <c r="Z613" s="110"/>
    </row>
    <row r="614" spans="4:26">
      <c r="D614" s="110"/>
      <c r="E614" s="110"/>
      <c r="G614" s="110"/>
      <c r="Y614" s="110"/>
      <c r="Z614" s="110"/>
    </row>
    <row r="615" spans="4:26">
      <c r="D615" s="110"/>
      <c r="E615" s="110"/>
      <c r="G615" s="110"/>
      <c r="Y615" s="110"/>
      <c r="Z615" s="110"/>
    </row>
    <row r="616" spans="4:26">
      <c r="D616" s="110"/>
      <c r="E616" s="110"/>
      <c r="G616" s="110"/>
      <c r="Y616" s="110"/>
      <c r="Z616" s="110"/>
    </row>
    <row r="617" spans="4:26">
      <c r="D617" s="110"/>
      <c r="E617" s="110"/>
      <c r="G617" s="110"/>
      <c r="Y617" s="110"/>
      <c r="Z617" s="110"/>
    </row>
    <row r="618" spans="4:26">
      <c r="D618" s="110"/>
      <c r="E618" s="110"/>
      <c r="G618" s="110"/>
      <c r="Y618" s="110"/>
      <c r="Z618" s="110"/>
    </row>
    <row r="619" spans="4:26">
      <c r="D619" s="110"/>
      <c r="E619" s="110"/>
      <c r="G619" s="110"/>
      <c r="Y619" s="110"/>
      <c r="Z619" s="110"/>
    </row>
    <row r="620" spans="4:26">
      <c r="D620" s="110"/>
      <c r="E620" s="110"/>
      <c r="G620" s="110"/>
      <c r="Y620" s="110"/>
      <c r="Z620" s="110"/>
    </row>
    <row r="621" spans="4:26">
      <c r="D621" s="110"/>
      <c r="E621" s="110"/>
      <c r="G621" s="110"/>
      <c r="Y621" s="110"/>
      <c r="Z621" s="110"/>
    </row>
    <row r="622" spans="4:26">
      <c r="D622" s="110"/>
      <c r="E622" s="110"/>
      <c r="G622" s="110"/>
      <c r="Y622" s="110"/>
      <c r="Z622" s="110"/>
    </row>
    <row r="623" spans="4:26">
      <c r="D623" s="110"/>
      <c r="E623" s="110"/>
      <c r="G623" s="110"/>
      <c r="Y623" s="110"/>
      <c r="Z623" s="110"/>
    </row>
    <row r="624" spans="4:26">
      <c r="D624" s="110"/>
      <c r="E624" s="110"/>
      <c r="G624" s="110"/>
      <c r="Y624" s="110"/>
      <c r="Z624" s="110"/>
    </row>
    <row r="625" spans="4:26">
      <c r="D625" s="110"/>
      <c r="E625" s="110"/>
      <c r="G625" s="110"/>
      <c r="Y625" s="110"/>
      <c r="Z625" s="110"/>
    </row>
    <row r="626" spans="4:26">
      <c r="D626" s="110"/>
      <c r="E626" s="110"/>
      <c r="G626" s="110"/>
      <c r="Y626" s="110"/>
      <c r="Z626" s="110"/>
    </row>
    <row r="627" spans="4:26">
      <c r="D627" s="110"/>
      <c r="E627" s="110"/>
      <c r="G627" s="110"/>
      <c r="Y627" s="110"/>
      <c r="Z627" s="110"/>
    </row>
    <row r="628" spans="4:26">
      <c r="D628" s="110"/>
      <c r="E628" s="110"/>
      <c r="G628" s="110"/>
      <c r="Y628" s="110"/>
      <c r="Z628" s="110"/>
    </row>
    <row r="629" spans="4:26">
      <c r="D629" s="110"/>
      <c r="E629" s="110"/>
      <c r="G629" s="110"/>
      <c r="Y629" s="110"/>
      <c r="Z629" s="110"/>
    </row>
    <row r="630" spans="4:26">
      <c r="D630" s="110"/>
      <c r="E630" s="110"/>
      <c r="G630" s="110"/>
      <c r="Y630" s="110"/>
      <c r="Z630" s="110"/>
    </row>
    <row r="631" spans="4:26">
      <c r="D631" s="110"/>
      <c r="E631" s="110"/>
      <c r="G631" s="110"/>
      <c r="Y631" s="110"/>
      <c r="Z631" s="110"/>
    </row>
    <row r="632" spans="4:26">
      <c r="D632" s="110"/>
      <c r="E632" s="110"/>
      <c r="G632" s="110"/>
      <c r="Y632" s="110"/>
      <c r="Z632" s="110"/>
    </row>
    <row r="633" spans="4:26">
      <c r="D633" s="110"/>
      <c r="E633" s="110"/>
      <c r="G633" s="110"/>
      <c r="Y633" s="110"/>
      <c r="Z633" s="110"/>
    </row>
    <row r="634" spans="4:26">
      <c r="D634" s="110"/>
      <c r="E634" s="110"/>
      <c r="G634" s="110"/>
      <c r="Y634" s="110"/>
      <c r="Z634" s="110"/>
    </row>
    <row r="635" spans="4:26">
      <c r="D635" s="110"/>
      <c r="E635" s="110"/>
      <c r="G635" s="110"/>
      <c r="Y635" s="110"/>
      <c r="Z635" s="110"/>
    </row>
    <row r="636" spans="4:26">
      <c r="D636" s="110"/>
      <c r="E636" s="110"/>
      <c r="G636" s="110"/>
      <c r="Y636" s="110"/>
      <c r="Z636" s="110"/>
    </row>
    <row r="637" spans="4:26">
      <c r="D637" s="110"/>
      <c r="E637" s="110"/>
      <c r="G637" s="110"/>
      <c r="Y637" s="110"/>
      <c r="Z637" s="110"/>
    </row>
    <row r="638" spans="4:26">
      <c r="D638" s="110"/>
      <c r="E638" s="110"/>
      <c r="G638" s="110"/>
      <c r="Y638" s="110"/>
      <c r="Z638" s="110"/>
    </row>
    <row r="639" spans="4:26">
      <c r="D639" s="110"/>
      <c r="E639" s="110"/>
      <c r="G639" s="110"/>
      <c r="Y639" s="110"/>
      <c r="Z639" s="110"/>
    </row>
    <row r="640" spans="4:26">
      <c r="D640" s="110"/>
      <c r="E640" s="110"/>
      <c r="G640" s="110"/>
      <c r="Y640" s="110"/>
      <c r="Z640" s="110"/>
    </row>
    <row r="641" spans="4:26">
      <c r="D641" s="110"/>
      <c r="E641" s="110"/>
      <c r="G641" s="110"/>
      <c r="Y641" s="110"/>
      <c r="Z641" s="110"/>
    </row>
    <row r="642" spans="4:26">
      <c r="D642" s="110"/>
      <c r="E642" s="110"/>
      <c r="G642" s="110"/>
      <c r="Y642" s="110"/>
      <c r="Z642" s="110"/>
    </row>
    <row r="643" spans="4:26">
      <c r="D643" s="110"/>
      <c r="E643" s="110"/>
      <c r="G643" s="110"/>
      <c r="Y643" s="110"/>
      <c r="Z643" s="110"/>
    </row>
    <row r="644" spans="4:26">
      <c r="D644" s="110"/>
      <c r="E644" s="110"/>
      <c r="G644" s="110"/>
      <c r="Y644" s="110"/>
      <c r="Z644" s="110"/>
    </row>
    <row r="645" spans="4:26">
      <c r="D645" s="110"/>
      <c r="E645" s="110"/>
      <c r="G645" s="110"/>
      <c r="Y645" s="110"/>
      <c r="Z645" s="110"/>
    </row>
    <row r="646" spans="4:26">
      <c r="D646" s="110"/>
      <c r="E646" s="110"/>
      <c r="G646" s="110"/>
      <c r="Y646" s="110"/>
      <c r="Z646" s="110"/>
    </row>
    <row r="647" spans="4:26">
      <c r="D647" s="110"/>
      <c r="E647" s="110"/>
      <c r="G647" s="110"/>
      <c r="Y647" s="110"/>
      <c r="Z647" s="110"/>
    </row>
    <row r="648" spans="4:26">
      <c r="D648" s="110"/>
      <c r="E648" s="110"/>
      <c r="G648" s="110"/>
      <c r="Y648" s="110"/>
      <c r="Z648" s="110"/>
    </row>
    <row r="649" spans="4:26">
      <c r="D649" s="110"/>
      <c r="E649" s="110"/>
      <c r="G649" s="110"/>
      <c r="Y649" s="110"/>
      <c r="Z649" s="110"/>
    </row>
    <row r="650" spans="4:26">
      <c r="D650" s="110"/>
      <c r="E650" s="110"/>
      <c r="G650" s="110"/>
      <c r="Y650" s="110"/>
      <c r="Z650" s="110"/>
    </row>
    <row r="651" spans="4:26">
      <c r="D651" s="110"/>
      <c r="E651" s="110"/>
      <c r="G651" s="110"/>
      <c r="Y651" s="110"/>
      <c r="Z651" s="110"/>
    </row>
    <row r="652" spans="4:26">
      <c r="D652" s="110"/>
      <c r="E652" s="110"/>
      <c r="G652" s="110"/>
      <c r="Y652" s="110"/>
      <c r="Z652" s="110"/>
    </row>
    <row r="653" spans="4:26">
      <c r="D653" s="110"/>
      <c r="E653" s="110"/>
      <c r="G653" s="110"/>
      <c r="Y653" s="110"/>
      <c r="Z653" s="110"/>
    </row>
    <row r="654" spans="4:26">
      <c r="D654" s="110"/>
      <c r="E654" s="110"/>
      <c r="G654" s="110"/>
      <c r="Y654" s="110"/>
      <c r="Z654" s="110"/>
    </row>
    <row r="655" spans="4:26">
      <c r="D655" s="110"/>
      <c r="E655" s="110"/>
      <c r="G655" s="110"/>
      <c r="Y655" s="110"/>
      <c r="Z655" s="110"/>
    </row>
    <row r="656" spans="4:26">
      <c r="D656" s="110"/>
      <c r="E656" s="110"/>
      <c r="G656" s="110"/>
      <c r="Y656" s="110"/>
      <c r="Z656" s="110"/>
    </row>
    <row r="657" spans="4:26">
      <c r="D657" s="110"/>
      <c r="E657" s="110"/>
      <c r="G657" s="110"/>
      <c r="Y657" s="110"/>
      <c r="Z657" s="110"/>
    </row>
    <row r="658" spans="4:26">
      <c r="D658" s="110"/>
      <c r="E658" s="110"/>
      <c r="G658" s="110"/>
      <c r="Y658" s="110"/>
      <c r="Z658" s="110"/>
    </row>
    <row r="659" spans="4:26">
      <c r="D659" s="110"/>
      <c r="E659" s="110"/>
      <c r="G659" s="110"/>
      <c r="Y659" s="110"/>
      <c r="Z659" s="110"/>
    </row>
    <row r="660" spans="4:26">
      <c r="D660" s="110"/>
      <c r="E660" s="110"/>
      <c r="G660" s="110"/>
      <c r="Y660" s="110"/>
      <c r="Z660" s="110"/>
    </row>
    <row r="661" spans="4:26">
      <c r="D661" s="110"/>
      <c r="E661" s="110"/>
      <c r="G661" s="110"/>
      <c r="Y661" s="110"/>
      <c r="Z661" s="110"/>
    </row>
    <row r="662" spans="4:26">
      <c r="D662" s="110"/>
      <c r="E662" s="110"/>
      <c r="G662" s="110"/>
      <c r="Y662" s="110"/>
      <c r="Z662" s="110"/>
    </row>
    <row r="663" spans="4:26">
      <c r="D663" s="110"/>
      <c r="E663" s="110"/>
      <c r="G663" s="110"/>
      <c r="Y663" s="110"/>
      <c r="Z663" s="110"/>
    </row>
    <row r="664" spans="4:26">
      <c r="D664" s="110"/>
      <c r="E664" s="110"/>
      <c r="G664" s="110"/>
      <c r="Y664" s="110"/>
      <c r="Z664" s="110"/>
    </row>
    <row r="665" spans="4:26">
      <c r="D665" s="110"/>
      <c r="E665" s="110"/>
      <c r="G665" s="110"/>
      <c r="Y665" s="110"/>
      <c r="Z665" s="110"/>
    </row>
    <row r="666" spans="4:26">
      <c r="D666" s="110"/>
      <c r="E666" s="110"/>
      <c r="G666" s="110"/>
      <c r="Y666" s="110"/>
      <c r="Z666" s="110"/>
    </row>
    <row r="667" spans="4:26">
      <c r="D667" s="110"/>
      <c r="E667" s="110"/>
      <c r="G667" s="110"/>
      <c r="Y667" s="110"/>
      <c r="Z667" s="110"/>
    </row>
    <row r="668" spans="4:26">
      <c r="D668" s="110"/>
      <c r="E668" s="110"/>
      <c r="G668" s="110"/>
      <c r="Y668" s="110"/>
      <c r="Z668" s="110"/>
    </row>
    <row r="669" spans="4:26">
      <c r="D669" s="110"/>
      <c r="E669" s="110"/>
      <c r="G669" s="110"/>
      <c r="Y669" s="110"/>
      <c r="Z669" s="110"/>
    </row>
    <row r="670" spans="4:26">
      <c r="D670" s="110"/>
      <c r="E670" s="110"/>
      <c r="G670" s="110"/>
      <c r="Y670" s="110"/>
      <c r="Z670" s="110"/>
    </row>
    <row r="671" spans="4:26">
      <c r="D671" s="110"/>
      <c r="E671" s="110"/>
      <c r="G671" s="110"/>
      <c r="Y671" s="110"/>
      <c r="Z671" s="110"/>
    </row>
    <row r="672" spans="4:26">
      <c r="D672" s="110"/>
      <c r="E672" s="110"/>
      <c r="G672" s="110"/>
      <c r="Y672" s="110"/>
      <c r="Z672" s="110"/>
    </row>
    <row r="673" spans="4:26">
      <c r="D673" s="110"/>
      <c r="E673" s="110"/>
      <c r="G673" s="110"/>
      <c r="Y673" s="110"/>
      <c r="Z673" s="110"/>
    </row>
    <row r="674" spans="4:26">
      <c r="D674" s="110"/>
      <c r="E674" s="110"/>
      <c r="G674" s="110"/>
      <c r="Y674" s="110"/>
      <c r="Z674" s="110"/>
    </row>
    <row r="675" spans="4:26">
      <c r="D675" s="110"/>
      <c r="E675" s="110"/>
      <c r="G675" s="110"/>
      <c r="Y675" s="110"/>
      <c r="Z675" s="110"/>
    </row>
    <row r="676" spans="4:26">
      <c r="D676" s="110"/>
      <c r="E676" s="110"/>
      <c r="G676" s="110"/>
      <c r="Y676" s="110"/>
      <c r="Z676" s="110"/>
    </row>
    <row r="677" spans="4:26">
      <c r="D677" s="110"/>
      <c r="E677" s="110"/>
      <c r="G677" s="110"/>
      <c r="Y677" s="110"/>
      <c r="Z677" s="110"/>
    </row>
    <row r="678" spans="4:26">
      <c r="D678" s="110"/>
      <c r="E678" s="110"/>
      <c r="G678" s="110"/>
      <c r="Y678" s="110"/>
      <c r="Z678" s="110"/>
    </row>
    <row r="679" spans="4:26">
      <c r="D679" s="110"/>
      <c r="E679" s="110"/>
      <c r="G679" s="110"/>
      <c r="Y679" s="110"/>
      <c r="Z679" s="110"/>
    </row>
    <row r="680" spans="4:26">
      <c r="D680" s="110"/>
      <c r="E680" s="110"/>
      <c r="G680" s="110"/>
      <c r="Y680" s="110"/>
      <c r="Z680" s="110"/>
    </row>
    <row r="681" spans="4:26">
      <c r="D681" s="110"/>
      <c r="E681" s="110"/>
      <c r="G681" s="110"/>
      <c r="Y681" s="110"/>
      <c r="Z681" s="110"/>
    </row>
    <row r="682" spans="4:26">
      <c r="D682" s="110"/>
      <c r="E682" s="110"/>
      <c r="G682" s="110"/>
      <c r="Y682" s="110"/>
      <c r="Z682" s="110"/>
    </row>
    <row r="683" spans="4:26">
      <c r="D683" s="110"/>
      <c r="E683" s="110"/>
      <c r="G683" s="110"/>
      <c r="Y683" s="110"/>
      <c r="Z683" s="110"/>
    </row>
    <row r="684" spans="4:26">
      <c r="D684" s="110"/>
      <c r="E684" s="110"/>
      <c r="G684" s="110"/>
      <c r="Y684" s="110"/>
      <c r="Z684" s="110"/>
    </row>
    <row r="685" spans="4:26">
      <c r="D685" s="110"/>
      <c r="E685" s="110"/>
      <c r="G685" s="110"/>
      <c r="Y685" s="110"/>
      <c r="Z685" s="110"/>
    </row>
    <row r="686" spans="4:26">
      <c r="D686" s="110"/>
      <c r="E686" s="110"/>
      <c r="G686" s="110"/>
      <c r="Y686" s="110"/>
      <c r="Z686" s="110"/>
    </row>
    <row r="687" spans="4:26">
      <c r="D687" s="110"/>
      <c r="E687" s="110"/>
      <c r="G687" s="110"/>
      <c r="Y687" s="110"/>
      <c r="Z687" s="110"/>
    </row>
    <row r="688" spans="4:26">
      <c r="D688" s="110"/>
      <c r="E688" s="110"/>
      <c r="G688" s="110"/>
      <c r="Y688" s="110"/>
      <c r="Z688" s="110"/>
    </row>
    <row r="689" spans="4:26">
      <c r="D689" s="110"/>
      <c r="E689" s="110"/>
      <c r="G689" s="110"/>
      <c r="Y689" s="110"/>
      <c r="Z689" s="110"/>
    </row>
    <row r="690" spans="4:26">
      <c r="D690" s="110"/>
      <c r="E690" s="110"/>
      <c r="G690" s="110"/>
      <c r="Y690" s="110"/>
      <c r="Z690" s="110"/>
    </row>
    <row r="691" spans="4:26">
      <c r="D691" s="110"/>
      <c r="E691" s="110"/>
      <c r="G691" s="110"/>
      <c r="Y691" s="110"/>
      <c r="Z691" s="110"/>
    </row>
    <row r="692" spans="4:26">
      <c r="D692" s="110"/>
      <c r="E692" s="110"/>
      <c r="G692" s="110"/>
      <c r="Y692" s="110"/>
      <c r="Z692" s="110"/>
    </row>
    <row r="693" spans="4:26">
      <c r="D693" s="110"/>
      <c r="E693" s="110"/>
      <c r="G693" s="110"/>
      <c r="Y693" s="110"/>
      <c r="Z693" s="110"/>
    </row>
    <row r="694" spans="4:26">
      <c r="D694" s="110"/>
      <c r="E694" s="110"/>
      <c r="G694" s="110"/>
      <c r="Y694" s="110"/>
      <c r="Z694" s="110"/>
    </row>
    <row r="695" spans="4:26">
      <c r="D695" s="110"/>
      <c r="E695" s="110"/>
      <c r="G695" s="110"/>
      <c r="Y695" s="110"/>
      <c r="Z695" s="110"/>
    </row>
    <row r="696" spans="4:26">
      <c r="D696" s="110"/>
      <c r="E696" s="110"/>
      <c r="G696" s="110"/>
      <c r="Y696" s="110"/>
      <c r="Z696" s="110"/>
    </row>
    <row r="697" spans="4:26">
      <c r="D697" s="110"/>
      <c r="E697" s="110"/>
      <c r="G697" s="110"/>
      <c r="Y697" s="110"/>
      <c r="Z697" s="110"/>
    </row>
    <row r="698" spans="4:26">
      <c r="D698" s="110"/>
      <c r="E698" s="110"/>
      <c r="G698" s="110"/>
      <c r="Y698" s="110"/>
      <c r="Z698" s="110"/>
    </row>
    <row r="699" spans="4:26">
      <c r="D699" s="110"/>
      <c r="E699" s="110"/>
      <c r="G699" s="110"/>
      <c r="Y699" s="110"/>
      <c r="Z699" s="110"/>
    </row>
    <row r="700" spans="4:26">
      <c r="D700" s="110"/>
      <c r="E700" s="110"/>
      <c r="G700" s="110"/>
      <c r="Y700" s="110"/>
      <c r="Z700" s="110"/>
    </row>
    <row r="701" spans="4:26">
      <c r="D701" s="110"/>
      <c r="E701" s="110"/>
      <c r="G701" s="110"/>
      <c r="Y701" s="110"/>
      <c r="Z701" s="110"/>
    </row>
    <row r="702" spans="4:26">
      <c r="D702" s="110"/>
      <c r="E702" s="110"/>
      <c r="G702" s="110"/>
      <c r="Y702" s="110"/>
      <c r="Z702" s="110"/>
    </row>
    <row r="703" spans="4:26">
      <c r="D703" s="110"/>
      <c r="E703" s="110"/>
      <c r="G703" s="110"/>
      <c r="Y703" s="110"/>
      <c r="Z703" s="110"/>
    </row>
    <row r="704" spans="4:26">
      <c r="D704" s="110"/>
      <c r="E704" s="110"/>
      <c r="G704" s="110"/>
      <c r="Y704" s="110"/>
      <c r="Z704" s="110"/>
    </row>
    <row r="705" spans="4:26">
      <c r="D705" s="110"/>
      <c r="E705" s="110"/>
      <c r="G705" s="110"/>
      <c r="Y705" s="110"/>
      <c r="Z705" s="110"/>
    </row>
    <row r="706" spans="4:26">
      <c r="D706" s="110"/>
      <c r="E706" s="110"/>
      <c r="G706" s="110"/>
      <c r="Y706" s="110"/>
      <c r="Z706" s="110"/>
    </row>
    <row r="707" spans="4:26">
      <c r="D707" s="110"/>
      <c r="E707" s="110"/>
      <c r="G707" s="110"/>
      <c r="Y707" s="110"/>
      <c r="Z707" s="110"/>
    </row>
    <row r="708" spans="4:26">
      <c r="D708" s="110"/>
      <c r="E708" s="110"/>
      <c r="G708" s="110"/>
      <c r="Y708" s="110"/>
      <c r="Z708" s="110"/>
    </row>
    <row r="709" spans="4:26">
      <c r="D709" s="110"/>
      <c r="E709" s="110"/>
      <c r="G709" s="110"/>
      <c r="Y709" s="110"/>
      <c r="Z709" s="110"/>
    </row>
    <row r="710" spans="4:26">
      <c r="D710" s="110"/>
      <c r="E710" s="110"/>
      <c r="G710" s="110"/>
      <c r="Y710" s="110"/>
      <c r="Z710" s="110"/>
    </row>
    <row r="711" spans="4:26">
      <c r="D711" s="110"/>
      <c r="E711" s="110"/>
      <c r="G711" s="110"/>
      <c r="Y711" s="110"/>
      <c r="Z711" s="110"/>
    </row>
    <row r="712" spans="4:26">
      <c r="D712" s="110"/>
      <c r="E712" s="110"/>
      <c r="G712" s="110"/>
      <c r="Y712" s="110"/>
      <c r="Z712" s="110"/>
    </row>
    <row r="713" spans="4:26">
      <c r="D713" s="110"/>
      <c r="E713" s="110"/>
      <c r="G713" s="110"/>
      <c r="Y713" s="110"/>
      <c r="Z713" s="110"/>
    </row>
    <row r="714" spans="4:26">
      <c r="D714" s="110"/>
      <c r="E714" s="110"/>
      <c r="G714" s="110"/>
      <c r="Y714" s="110"/>
      <c r="Z714" s="110"/>
    </row>
    <row r="715" spans="4:26">
      <c r="D715" s="110"/>
      <c r="E715" s="110"/>
      <c r="G715" s="110"/>
      <c r="Y715" s="110"/>
      <c r="Z715" s="110"/>
    </row>
    <row r="716" spans="4:26">
      <c r="D716" s="110"/>
      <c r="E716" s="110"/>
      <c r="G716" s="110"/>
      <c r="Y716" s="110"/>
      <c r="Z716" s="110"/>
    </row>
    <row r="717" spans="4:26">
      <c r="D717" s="110"/>
      <c r="E717" s="110"/>
      <c r="G717" s="110"/>
      <c r="Y717" s="110"/>
      <c r="Z717" s="110"/>
    </row>
    <row r="718" spans="4:26">
      <c r="D718" s="110"/>
      <c r="E718" s="110"/>
      <c r="G718" s="110"/>
      <c r="Y718" s="110"/>
      <c r="Z718" s="110"/>
    </row>
    <row r="719" spans="4:26">
      <c r="D719" s="110"/>
      <c r="E719" s="110"/>
      <c r="G719" s="110"/>
      <c r="Y719" s="110"/>
      <c r="Z719" s="110"/>
    </row>
    <row r="720" spans="4:26">
      <c r="D720" s="110"/>
      <c r="E720" s="110"/>
      <c r="G720" s="110"/>
      <c r="Y720" s="110"/>
      <c r="Z720" s="110"/>
    </row>
    <row r="721" spans="4:26">
      <c r="D721" s="110"/>
      <c r="E721" s="110"/>
      <c r="G721" s="110"/>
      <c r="Y721" s="110"/>
      <c r="Z721" s="110"/>
    </row>
    <row r="722" spans="4:26">
      <c r="D722" s="110"/>
      <c r="E722" s="110"/>
      <c r="G722" s="110"/>
      <c r="Y722" s="110"/>
      <c r="Z722" s="110"/>
    </row>
    <row r="723" spans="4:26">
      <c r="D723" s="110"/>
      <c r="E723" s="110"/>
      <c r="G723" s="110"/>
      <c r="Y723" s="110"/>
      <c r="Z723" s="110"/>
    </row>
    <row r="724" spans="4:26">
      <c r="D724" s="110"/>
      <c r="E724" s="110"/>
      <c r="G724" s="110"/>
      <c r="Y724" s="110"/>
      <c r="Z724" s="110"/>
    </row>
    <row r="725" spans="4:26">
      <c r="D725" s="110"/>
      <c r="E725" s="110"/>
      <c r="G725" s="110"/>
      <c r="Y725" s="110"/>
      <c r="Z725" s="110"/>
    </row>
    <row r="726" spans="4:26">
      <c r="D726" s="110"/>
      <c r="E726" s="110"/>
      <c r="G726" s="110"/>
      <c r="Y726" s="110"/>
      <c r="Z726" s="110"/>
    </row>
    <row r="727" spans="4:26">
      <c r="D727" s="110"/>
      <c r="E727" s="110"/>
      <c r="G727" s="110"/>
      <c r="Y727" s="110"/>
      <c r="Z727" s="110"/>
    </row>
    <row r="728" spans="4:26">
      <c r="D728" s="110"/>
      <c r="E728" s="110"/>
      <c r="G728" s="110"/>
      <c r="Y728" s="110"/>
      <c r="Z728" s="110"/>
    </row>
    <row r="729" spans="4:26">
      <c r="D729" s="110"/>
      <c r="E729" s="110"/>
      <c r="G729" s="110"/>
      <c r="Y729" s="110"/>
      <c r="Z729" s="110"/>
    </row>
    <row r="730" spans="4:26">
      <c r="D730" s="110"/>
      <c r="E730" s="110"/>
      <c r="G730" s="110"/>
      <c r="Y730" s="110"/>
      <c r="Z730" s="110"/>
    </row>
    <row r="731" spans="4:26">
      <c r="D731" s="110"/>
      <c r="E731" s="110"/>
      <c r="G731" s="110"/>
      <c r="Y731" s="110"/>
      <c r="Z731" s="110"/>
    </row>
    <row r="732" spans="4:26">
      <c r="D732" s="110"/>
      <c r="E732" s="110"/>
      <c r="G732" s="110"/>
      <c r="Y732" s="110"/>
      <c r="Z732" s="110"/>
    </row>
    <row r="733" spans="4:26">
      <c r="D733" s="110"/>
      <c r="E733" s="110"/>
      <c r="G733" s="110"/>
      <c r="Y733" s="110"/>
      <c r="Z733" s="110"/>
    </row>
    <row r="734" spans="4:26">
      <c r="D734" s="110"/>
      <c r="E734" s="110"/>
      <c r="G734" s="110"/>
      <c r="Y734" s="110"/>
      <c r="Z734" s="110"/>
    </row>
    <row r="735" spans="4:26">
      <c r="D735" s="110"/>
      <c r="E735" s="110"/>
      <c r="G735" s="110"/>
      <c r="Y735" s="110"/>
      <c r="Z735" s="110"/>
    </row>
    <row r="736" spans="4:26">
      <c r="D736" s="110"/>
      <c r="E736" s="110"/>
      <c r="G736" s="110"/>
      <c r="Y736" s="110"/>
      <c r="Z736" s="110"/>
    </row>
    <row r="737" spans="4:26">
      <c r="D737" s="110"/>
      <c r="E737" s="110"/>
      <c r="G737" s="110"/>
      <c r="Y737" s="110"/>
      <c r="Z737" s="110"/>
    </row>
    <row r="738" spans="4:26">
      <c r="D738" s="110"/>
      <c r="E738" s="110"/>
      <c r="G738" s="110"/>
      <c r="Y738" s="110"/>
      <c r="Z738" s="110"/>
    </row>
    <row r="739" spans="4:26">
      <c r="D739" s="110"/>
      <c r="E739" s="110"/>
      <c r="G739" s="110"/>
      <c r="Y739" s="110"/>
      <c r="Z739" s="110"/>
    </row>
    <row r="740" spans="4:26">
      <c r="D740" s="110"/>
      <c r="E740" s="110"/>
      <c r="G740" s="110"/>
      <c r="Y740" s="110"/>
      <c r="Z740" s="110"/>
    </row>
    <row r="741" spans="4:26">
      <c r="D741" s="110"/>
      <c r="E741" s="110"/>
      <c r="G741" s="110"/>
      <c r="Y741" s="110"/>
      <c r="Z741" s="110"/>
    </row>
    <row r="742" spans="4:26">
      <c r="D742" s="110"/>
      <c r="E742" s="110"/>
      <c r="G742" s="110"/>
      <c r="Y742" s="110"/>
      <c r="Z742" s="110"/>
    </row>
    <row r="743" spans="4:26">
      <c r="D743" s="110"/>
      <c r="E743" s="110"/>
      <c r="G743" s="110"/>
      <c r="Y743" s="110"/>
      <c r="Z743" s="110"/>
    </row>
    <row r="744" spans="4:26">
      <c r="D744" s="110"/>
      <c r="E744" s="110"/>
      <c r="G744" s="110"/>
      <c r="Y744" s="110"/>
      <c r="Z744" s="110"/>
    </row>
    <row r="745" spans="4:26">
      <c r="D745" s="110"/>
      <c r="E745" s="110"/>
      <c r="G745" s="110"/>
      <c r="Y745" s="110"/>
      <c r="Z745" s="110"/>
    </row>
    <row r="746" spans="4:26">
      <c r="D746" s="110"/>
      <c r="E746" s="110"/>
      <c r="G746" s="110"/>
      <c r="Y746" s="110"/>
      <c r="Z746" s="110"/>
    </row>
    <row r="747" spans="4:26">
      <c r="D747" s="110"/>
      <c r="E747" s="110"/>
      <c r="G747" s="110"/>
      <c r="Y747" s="110"/>
      <c r="Z747" s="110"/>
    </row>
    <row r="748" spans="4:26">
      <c r="D748" s="110"/>
      <c r="E748" s="110"/>
      <c r="G748" s="110"/>
      <c r="Y748" s="110"/>
      <c r="Z748" s="110"/>
    </row>
    <row r="749" spans="4:26">
      <c r="D749" s="110"/>
      <c r="E749" s="110"/>
      <c r="G749" s="110"/>
      <c r="Y749" s="110"/>
      <c r="Z749" s="110"/>
    </row>
    <row r="750" spans="4:26">
      <c r="D750" s="110"/>
      <c r="E750" s="110"/>
      <c r="G750" s="110"/>
      <c r="Y750" s="110"/>
      <c r="Z750" s="110"/>
    </row>
    <row r="751" spans="4:26">
      <c r="D751" s="110"/>
      <c r="E751" s="110"/>
      <c r="G751" s="110"/>
      <c r="Y751" s="110"/>
      <c r="Z751" s="110"/>
    </row>
    <row r="752" spans="4:26">
      <c r="D752" s="110"/>
      <c r="E752" s="110"/>
      <c r="G752" s="110"/>
      <c r="Y752" s="110"/>
      <c r="Z752" s="110"/>
    </row>
    <row r="753" spans="4:26">
      <c r="D753" s="110"/>
      <c r="E753" s="110"/>
      <c r="G753" s="110"/>
      <c r="Y753" s="110"/>
      <c r="Z753" s="110"/>
    </row>
    <row r="754" spans="4:26">
      <c r="D754" s="110"/>
      <c r="E754" s="110"/>
      <c r="G754" s="110"/>
      <c r="Y754" s="110"/>
      <c r="Z754" s="110"/>
    </row>
    <row r="755" spans="4:26">
      <c r="D755" s="110"/>
      <c r="E755" s="110"/>
      <c r="G755" s="110"/>
      <c r="Y755" s="110"/>
      <c r="Z755" s="110"/>
    </row>
    <row r="756" spans="4:26">
      <c r="D756" s="110"/>
      <c r="E756" s="110"/>
      <c r="G756" s="110"/>
      <c r="Y756" s="110"/>
      <c r="Z756" s="110"/>
    </row>
    <row r="757" spans="4:26">
      <c r="D757" s="110"/>
      <c r="E757" s="110"/>
      <c r="G757" s="110"/>
      <c r="Y757" s="110"/>
      <c r="Z757" s="110"/>
    </row>
    <row r="758" spans="4:26">
      <c r="D758" s="110"/>
      <c r="E758" s="110"/>
      <c r="G758" s="110"/>
      <c r="Y758" s="110"/>
      <c r="Z758" s="110"/>
    </row>
    <row r="759" spans="4:26">
      <c r="D759" s="110"/>
      <c r="E759" s="110"/>
      <c r="G759" s="110"/>
      <c r="Y759" s="110"/>
      <c r="Z759" s="110"/>
    </row>
    <row r="760" spans="4:26">
      <c r="D760" s="110"/>
      <c r="E760" s="110"/>
      <c r="G760" s="110"/>
      <c r="Y760" s="110"/>
      <c r="Z760" s="110"/>
    </row>
    <row r="761" spans="4:26">
      <c r="D761" s="110"/>
      <c r="E761" s="110"/>
      <c r="G761" s="110"/>
      <c r="Y761" s="110"/>
      <c r="Z761" s="110"/>
    </row>
    <row r="762" spans="4:26">
      <c r="D762" s="110"/>
      <c r="E762" s="110"/>
      <c r="G762" s="110"/>
      <c r="Y762" s="110"/>
      <c r="Z762" s="110"/>
    </row>
    <row r="763" spans="4:26">
      <c r="D763" s="110"/>
      <c r="E763" s="110"/>
      <c r="G763" s="110"/>
      <c r="Y763" s="110"/>
      <c r="Z763" s="110"/>
    </row>
    <row r="764" spans="4:26">
      <c r="D764" s="110"/>
      <c r="E764" s="110"/>
      <c r="G764" s="110"/>
      <c r="Y764" s="110"/>
      <c r="Z764" s="110"/>
    </row>
    <row r="765" spans="4:26">
      <c r="D765" s="110"/>
      <c r="E765" s="110"/>
      <c r="G765" s="110"/>
      <c r="Y765" s="110"/>
      <c r="Z765" s="110"/>
    </row>
    <row r="766" spans="4:26">
      <c r="D766" s="110"/>
      <c r="E766" s="110"/>
      <c r="G766" s="110"/>
      <c r="Y766" s="110"/>
      <c r="Z766" s="110"/>
    </row>
    <row r="767" spans="4:26">
      <c r="D767" s="110"/>
      <c r="E767" s="110"/>
      <c r="G767" s="110"/>
      <c r="Y767" s="110"/>
      <c r="Z767" s="110"/>
    </row>
    <row r="768" spans="4:26">
      <c r="D768" s="110"/>
      <c r="E768" s="110"/>
      <c r="G768" s="110"/>
      <c r="Y768" s="110"/>
      <c r="Z768" s="110"/>
    </row>
    <row r="769" spans="4:26">
      <c r="D769" s="110"/>
      <c r="E769" s="110"/>
      <c r="G769" s="110"/>
      <c r="Y769" s="110"/>
      <c r="Z769" s="110"/>
    </row>
    <row r="770" spans="4:26">
      <c r="D770" s="110"/>
      <c r="E770" s="110"/>
      <c r="G770" s="110"/>
      <c r="Y770" s="110"/>
      <c r="Z770" s="110"/>
    </row>
    <row r="771" spans="4:26">
      <c r="D771" s="110"/>
      <c r="E771" s="110"/>
      <c r="G771" s="110"/>
      <c r="Y771" s="110"/>
      <c r="Z771" s="110"/>
    </row>
    <row r="772" spans="4:26">
      <c r="D772" s="110"/>
      <c r="E772" s="110"/>
      <c r="G772" s="110"/>
      <c r="Y772" s="110"/>
      <c r="Z772" s="110"/>
    </row>
    <row r="773" spans="4:26">
      <c r="D773" s="110"/>
      <c r="E773" s="110"/>
      <c r="G773" s="110"/>
      <c r="Y773" s="110"/>
      <c r="Z773" s="110"/>
    </row>
    <row r="774" spans="4:26">
      <c r="D774" s="110"/>
      <c r="E774" s="110"/>
      <c r="G774" s="110"/>
      <c r="Y774" s="110"/>
      <c r="Z774" s="110"/>
    </row>
    <row r="775" spans="4:26">
      <c r="D775" s="110"/>
      <c r="E775" s="110"/>
      <c r="G775" s="110"/>
      <c r="Y775" s="110"/>
      <c r="Z775" s="110"/>
    </row>
    <row r="776" spans="4:26">
      <c r="D776" s="110"/>
      <c r="E776" s="110"/>
      <c r="G776" s="110"/>
      <c r="Y776" s="110"/>
      <c r="Z776" s="110"/>
    </row>
    <row r="777" spans="4:26">
      <c r="D777" s="110"/>
      <c r="E777" s="110"/>
      <c r="G777" s="110"/>
      <c r="Y777" s="110"/>
      <c r="Z777" s="110"/>
    </row>
    <row r="778" spans="4:26">
      <c r="D778" s="110"/>
      <c r="E778" s="110"/>
      <c r="G778" s="110"/>
      <c r="Y778" s="110"/>
      <c r="Z778" s="110"/>
    </row>
    <row r="779" spans="4:26">
      <c r="D779" s="110"/>
      <c r="E779" s="110"/>
      <c r="G779" s="110"/>
      <c r="Y779" s="110"/>
      <c r="Z779" s="110"/>
    </row>
    <row r="780" spans="4:26">
      <c r="D780" s="110"/>
      <c r="E780" s="110"/>
      <c r="G780" s="110"/>
      <c r="Y780" s="110"/>
      <c r="Z780" s="110"/>
    </row>
    <row r="781" spans="4:26">
      <c r="D781" s="110"/>
      <c r="E781" s="110"/>
      <c r="G781" s="110"/>
      <c r="Y781" s="110"/>
      <c r="Z781" s="110"/>
    </row>
    <row r="782" spans="4:26">
      <c r="D782" s="110"/>
      <c r="E782" s="110"/>
      <c r="G782" s="110"/>
      <c r="Y782" s="110"/>
      <c r="Z782" s="110"/>
    </row>
    <row r="783" spans="4:26">
      <c r="D783" s="110"/>
      <c r="E783" s="110"/>
      <c r="G783" s="110"/>
      <c r="Y783" s="110"/>
      <c r="Z783" s="110"/>
    </row>
    <row r="784" spans="4:26">
      <c r="D784" s="110"/>
      <c r="E784" s="110"/>
      <c r="G784" s="110"/>
      <c r="Y784" s="110"/>
      <c r="Z784" s="110"/>
    </row>
    <row r="785" spans="4:26">
      <c r="D785" s="110"/>
      <c r="E785" s="110"/>
      <c r="G785" s="110"/>
      <c r="Y785" s="110"/>
      <c r="Z785" s="110"/>
    </row>
    <row r="786" spans="4:26">
      <c r="D786" s="110"/>
      <c r="E786" s="110"/>
      <c r="G786" s="110"/>
      <c r="Y786" s="110"/>
      <c r="Z786" s="110"/>
    </row>
    <row r="787" spans="4:26">
      <c r="D787" s="110"/>
      <c r="E787" s="110"/>
      <c r="G787" s="110"/>
      <c r="Y787" s="110"/>
      <c r="Z787" s="110"/>
    </row>
    <row r="788" spans="4:26">
      <c r="D788" s="110"/>
      <c r="E788" s="110"/>
      <c r="G788" s="110"/>
      <c r="Y788" s="110"/>
      <c r="Z788" s="110"/>
    </row>
    <row r="789" spans="4:26">
      <c r="D789" s="110"/>
      <c r="E789" s="110"/>
      <c r="G789" s="110"/>
      <c r="Y789" s="110"/>
      <c r="Z789" s="110"/>
    </row>
    <row r="790" spans="4:26">
      <c r="D790" s="110"/>
      <c r="E790" s="110"/>
      <c r="G790" s="110"/>
      <c r="Y790" s="110"/>
      <c r="Z790" s="110"/>
    </row>
    <row r="791" spans="4:26">
      <c r="D791" s="110"/>
      <c r="E791" s="110"/>
      <c r="G791" s="110"/>
      <c r="Y791" s="110"/>
      <c r="Z791" s="110"/>
    </row>
    <row r="792" spans="4:26">
      <c r="D792" s="110"/>
      <c r="E792" s="110"/>
      <c r="G792" s="110"/>
      <c r="Y792" s="110"/>
      <c r="Z792" s="110"/>
    </row>
    <row r="793" spans="4:26">
      <c r="D793" s="110"/>
      <c r="E793" s="110"/>
      <c r="G793" s="110"/>
      <c r="Y793" s="110"/>
      <c r="Z793" s="110"/>
    </row>
    <row r="794" spans="4:26">
      <c r="D794" s="110"/>
      <c r="E794" s="110"/>
      <c r="G794" s="110"/>
      <c r="Y794" s="110"/>
      <c r="Z794" s="110"/>
    </row>
    <row r="795" spans="4:26">
      <c r="D795" s="110"/>
      <c r="E795" s="110"/>
      <c r="G795" s="110"/>
      <c r="Y795" s="110"/>
      <c r="Z795" s="110"/>
    </row>
    <row r="796" spans="4:26">
      <c r="D796" s="110"/>
      <c r="E796" s="110"/>
      <c r="G796" s="110"/>
      <c r="Y796" s="110"/>
      <c r="Z796" s="110"/>
    </row>
    <row r="797" spans="4:26">
      <c r="D797" s="110"/>
      <c r="E797" s="110"/>
      <c r="G797" s="110"/>
      <c r="Y797" s="110"/>
      <c r="Z797" s="110"/>
    </row>
    <row r="798" spans="4:26">
      <c r="D798" s="110"/>
      <c r="E798" s="110"/>
      <c r="G798" s="110"/>
      <c r="Y798" s="110"/>
      <c r="Z798" s="110"/>
    </row>
    <row r="799" spans="4:26">
      <c r="D799" s="110"/>
      <c r="E799" s="110"/>
      <c r="G799" s="110"/>
      <c r="Y799" s="110"/>
      <c r="Z799" s="110"/>
    </row>
    <row r="800" spans="4:26">
      <c r="D800" s="110"/>
      <c r="E800" s="110"/>
      <c r="G800" s="110"/>
      <c r="Y800" s="110"/>
      <c r="Z800" s="110"/>
    </row>
    <row r="801" spans="4:26">
      <c r="D801" s="110"/>
      <c r="E801" s="110"/>
      <c r="G801" s="110"/>
      <c r="Y801" s="110"/>
      <c r="Z801" s="110"/>
    </row>
    <row r="802" spans="4:26">
      <c r="D802" s="110"/>
      <c r="E802" s="110"/>
      <c r="G802" s="110"/>
      <c r="Y802" s="110"/>
      <c r="Z802" s="110"/>
    </row>
    <row r="803" spans="4:26">
      <c r="D803" s="110"/>
      <c r="E803" s="110"/>
      <c r="G803" s="110"/>
      <c r="Y803" s="110"/>
      <c r="Z803" s="110"/>
    </row>
    <row r="804" spans="4:26">
      <c r="D804" s="110"/>
      <c r="E804" s="110"/>
      <c r="G804" s="110"/>
      <c r="Y804" s="110"/>
      <c r="Z804" s="110"/>
    </row>
    <row r="805" spans="4:26">
      <c r="D805" s="110"/>
      <c r="E805" s="110"/>
      <c r="G805" s="110"/>
      <c r="Y805" s="110"/>
      <c r="Z805" s="110"/>
    </row>
    <row r="806" spans="4:26">
      <c r="D806" s="110"/>
      <c r="E806" s="110"/>
      <c r="G806" s="110"/>
      <c r="Y806" s="110"/>
      <c r="Z806" s="110"/>
    </row>
    <row r="807" spans="4:26">
      <c r="D807" s="110"/>
      <c r="E807" s="110"/>
      <c r="G807" s="110"/>
      <c r="Y807" s="110"/>
      <c r="Z807" s="110"/>
    </row>
    <row r="808" spans="4:26">
      <c r="D808" s="110"/>
      <c r="E808" s="110"/>
      <c r="G808" s="110"/>
      <c r="Y808" s="110"/>
      <c r="Z808" s="110"/>
    </row>
    <row r="809" spans="4:26">
      <c r="D809" s="110"/>
      <c r="E809" s="110"/>
      <c r="G809" s="110"/>
      <c r="Y809" s="110"/>
      <c r="Z809" s="110"/>
    </row>
    <row r="810" spans="4:26">
      <c r="D810" s="110"/>
      <c r="E810" s="110"/>
      <c r="G810" s="110"/>
      <c r="Y810" s="110"/>
      <c r="Z810" s="110"/>
    </row>
    <row r="811" spans="4:26">
      <c r="D811" s="110"/>
      <c r="E811" s="110"/>
      <c r="G811" s="110"/>
      <c r="Y811" s="110"/>
      <c r="Z811" s="110"/>
    </row>
    <row r="812" spans="4:26">
      <c r="D812" s="110"/>
      <c r="E812" s="110"/>
      <c r="G812" s="110"/>
      <c r="Y812" s="110"/>
      <c r="Z812" s="110"/>
    </row>
    <row r="813" spans="4:26">
      <c r="D813" s="110"/>
      <c r="E813" s="110"/>
      <c r="G813" s="110"/>
      <c r="Y813" s="110"/>
      <c r="Z813" s="110"/>
    </row>
    <row r="814" spans="4:26">
      <c r="D814" s="110"/>
      <c r="E814" s="110"/>
      <c r="G814" s="110"/>
      <c r="Y814" s="110"/>
      <c r="Z814" s="110"/>
    </row>
    <row r="815" spans="4:26">
      <c r="D815" s="110"/>
      <c r="E815" s="110"/>
      <c r="G815" s="110"/>
      <c r="Y815" s="110"/>
      <c r="Z815" s="110"/>
    </row>
    <row r="816" spans="4:26">
      <c r="D816" s="110"/>
      <c r="E816" s="110"/>
      <c r="G816" s="110"/>
      <c r="Y816" s="110"/>
      <c r="Z816" s="110"/>
    </row>
    <row r="817" spans="4:26">
      <c r="D817" s="110"/>
      <c r="E817" s="110"/>
      <c r="G817" s="110"/>
      <c r="Y817" s="110"/>
      <c r="Z817" s="110"/>
    </row>
    <row r="818" spans="4:26">
      <c r="D818" s="110"/>
      <c r="E818" s="110"/>
      <c r="G818" s="110"/>
      <c r="Y818" s="110"/>
      <c r="Z818" s="110"/>
    </row>
    <row r="819" spans="4:26">
      <c r="D819" s="110"/>
      <c r="E819" s="110"/>
      <c r="G819" s="110"/>
      <c r="Y819" s="110"/>
      <c r="Z819" s="110"/>
    </row>
    <row r="820" spans="4:26">
      <c r="D820" s="110"/>
      <c r="E820" s="110"/>
      <c r="G820" s="110"/>
      <c r="Y820" s="110"/>
      <c r="Z820" s="110"/>
    </row>
    <row r="821" spans="4:26">
      <c r="D821" s="110"/>
      <c r="E821" s="110"/>
      <c r="G821" s="110"/>
      <c r="Y821" s="110"/>
      <c r="Z821" s="110"/>
    </row>
    <row r="822" spans="4:26">
      <c r="D822" s="110"/>
      <c r="E822" s="110"/>
      <c r="G822" s="110"/>
      <c r="Y822" s="110"/>
      <c r="Z822" s="110"/>
    </row>
    <row r="823" spans="4:26">
      <c r="D823" s="110"/>
      <c r="E823" s="110"/>
      <c r="G823" s="110"/>
      <c r="Y823" s="110"/>
      <c r="Z823" s="110"/>
    </row>
    <row r="824" spans="4:26">
      <c r="D824" s="110"/>
      <c r="E824" s="110"/>
      <c r="G824" s="110"/>
      <c r="Y824" s="110"/>
      <c r="Z824" s="110"/>
    </row>
    <row r="825" spans="4:26">
      <c r="D825" s="110"/>
      <c r="E825" s="110"/>
      <c r="G825" s="110"/>
      <c r="Y825" s="110"/>
      <c r="Z825" s="110"/>
    </row>
    <row r="826" spans="4:26">
      <c r="D826" s="110"/>
      <c r="E826" s="110"/>
      <c r="G826" s="110"/>
      <c r="Y826" s="110"/>
      <c r="Z826" s="110"/>
    </row>
    <row r="827" spans="4:26">
      <c r="D827" s="110"/>
      <c r="E827" s="110"/>
      <c r="G827" s="110"/>
      <c r="Y827" s="110"/>
      <c r="Z827" s="110"/>
    </row>
    <row r="828" spans="4:26">
      <c r="D828" s="110"/>
      <c r="E828" s="110"/>
      <c r="G828" s="110"/>
      <c r="Y828" s="110"/>
      <c r="Z828" s="110"/>
    </row>
    <row r="829" spans="4:26">
      <c r="D829" s="110"/>
      <c r="E829" s="110"/>
      <c r="G829" s="110"/>
      <c r="Y829" s="110"/>
      <c r="Z829" s="110"/>
    </row>
    <row r="830" spans="4:26">
      <c r="D830" s="110"/>
      <c r="E830" s="110"/>
      <c r="G830" s="110"/>
      <c r="Y830" s="110"/>
      <c r="Z830" s="110"/>
    </row>
    <row r="831" spans="4:26">
      <c r="D831" s="110"/>
      <c r="E831" s="110"/>
      <c r="G831" s="110"/>
      <c r="Y831" s="110"/>
      <c r="Z831" s="110"/>
    </row>
    <row r="832" spans="4:26">
      <c r="D832" s="110"/>
      <c r="E832" s="110"/>
      <c r="G832" s="110"/>
      <c r="Y832" s="110"/>
      <c r="Z832" s="110"/>
    </row>
    <row r="833" spans="4:26">
      <c r="D833" s="110"/>
      <c r="E833" s="110"/>
      <c r="G833" s="110"/>
      <c r="Y833" s="110"/>
      <c r="Z833" s="110"/>
    </row>
    <row r="834" spans="4:26">
      <c r="D834" s="110"/>
      <c r="E834" s="110"/>
      <c r="G834" s="110"/>
      <c r="Y834" s="110"/>
      <c r="Z834" s="110"/>
    </row>
    <row r="835" spans="4:26">
      <c r="D835" s="110"/>
      <c r="E835" s="110"/>
      <c r="G835" s="110"/>
      <c r="Y835" s="110"/>
      <c r="Z835" s="110"/>
    </row>
    <row r="836" spans="4:26">
      <c r="D836" s="110"/>
      <c r="E836" s="110"/>
      <c r="G836" s="110"/>
      <c r="Y836" s="110"/>
      <c r="Z836" s="110"/>
    </row>
    <row r="837" spans="4:26">
      <c r="D837" s="110"/>
      <c r="E837" s="110"/>
      <c r="G837" s="110"/>
      <c r="Y837" s="110"/>
      <c r="Z837" s="110"/>
    </row>
    <row r="838" spans="4:26">
      <c r="D838" s="110"/>
      <c r="E838" s="110"/>
      <c r="G838" s="110"/>
      <c r="Y838" s="110"/>
      <c r="Z838" s="110"/>
    </row>
    <row r="839" spans="4:26">
      <c r="D839" s="110"/>
      <c r="E839" s="110"/>
      <c r="G839" s="110"/>
      <c r="Y839" s="110"/>
      <c r="Z839" s="110"/>
    </row>
    <row r="840" spans="4:26">
      <c r="D840" s="110"/>
      <c r="E840" s="110"/>
      <c r="G840" s="110"/>
      <c r="Y840" s="110"/>
      <c r="Z840" s="110"/>
    </row>
    <row r="841" spans="4:26">
      <c r="D841" s="110"/>
      <c r="E841" s="110"/>
      <c r="G841" s="110"/>
      <c r="Y841" s="110"/>
      <c r="Z841" s="110"/>
    </row>
    <row r="842" spans="4:26">
      <c r="D842" s="110"/>
      <c r="E842" s="110"/>
      <c r="G842" s="110"/>
      <c r="Y842" s="110"/>
      <c r="Z842" s="110"/>
    </row>
    <row r="843" spans="4:26">
      <c r="D843" s="110"/>
      <c r="E843" s="110"/>
      <c r="G843" s="110"/>
      <c r="Y843" s="110"/>
      <c r="Z843" s="110"/>
    </row>
    <row r="844" spans="4:26">
      <c r="D844" s="110"/>
      <c r="E844" s="110"/>
      <c r="G844" s="110"/>
      <c r="Y844" s="110"/>
      <c r="Z844" s="110"/>
    </row>
    <row r="845" spans="4:26">
      <c r="D845" s="110"/>
      <c r="E845" s="110"/>
      <c r="G845" s="110"/>
      <c r="Y845" s="110"/>
      <c r="Z845" s="110"/>
    </row>
    <row r="846" spans="4:26">
      <c r="D846" s="110"/>
      <c r="E846" s="110"/>
      <c r="G846" s="110"/>
      <c r="Y846" s="110"/>
      <c r="Z846" s="110"/>
    </row>
    <row r="847" spans="4:26">
      <c r="D847" s="110"/>
      <c r="E847" s="110"/>
      <c r="G847" s="110"/>
      <c r="Y847" s="110"/>
      <c r="Z847" s="110"/>
    </row>
    <row r="848" spans="4:26">
      <c r="D848" s="110"/>
      <c r="E848" s="110"/>
      <c r="G848" s="110"/>
      <c r="Y848" s="110"/>
      <c r="Z848" s="110"/>
    </row>
    <row r="849" spans="4:26">
      <c r="D849" s="110"/>
      <c r="E849" s="110"/>
      <c r="G849" s="110"/>
      <c r="Y849" s="110"/>
      <c r="Z849" s="110"/>
    </row>
    <row r="850" spans="4:26">
      <c r="D850" s="110"/>
      <c r="E850" s="110"/>
      <c r="G850" s="110"/>
      <c r="Y850" s="110"/>
      <c r="Z850" s="110"/>
    </row>
    <row r="851" spans="4:26">
      <c r="D851" s="110"/>
      <c r="E851" s="110"/>
      <c r="G851" s="110"/>
      <c r="Y851" s="110"/>
      <c r="Z851" s="110"/>
    </row>
    <row r="852" spans="4:26">
      <c r="D852" s="110"/>
      <c r="E852" s="110"/>
      <c r="G852" s="110"/>
      <c r="Y852" s="110"/>
      <c r="Z852" s="110"/>
    </row>
    <row r="853" spans="4:26">
      <c r="D853" s="110"/>
      <c r="E853" s="110"/>
      <c r="G853" s="110"/>
      <c r="Y853" s="110"/>
      <c r="Z853" s="110"/>
    </row>
    <row r="854" spans="4:26">
      <c r="D854" s="110"/>
      <c r="E854" s="110"/>
      <c r="G854" s="110"/>
      <c r="Y854" s="110"/>
      <c r="Z854" s="110"/>
    </row>
    <row r="855" spans="4:26">
      <c r="D855" s="110"/>
      <c r="E855" s="110"/>
      <c r="G855" s="110"/>
      <c r="Y855" s="110"/>
      <c r="Z855" s="110"/>
    </row>
    <row r="856" spans="4:26">
      <c r="D856" s="110"/>
      <c r="E856" s="110"/>
      <c r="G856" s="110"/>
      <c r="Y856" s="110"/>
      <c r="Z856" s="110"/>
    </row>
    <row r="857" spans="4:26">
      <c r="D857" s="110"/>
      <c r="E857" s="110"/>
      <c r="G857" s="110"/>
      <c r="Y857" s="110"/>
      <c r="Z857" s="110"/>
    </row>
    <row r="858" spans="4:26">
      <c r="D858" s="110"/>
      <c r="E858" s="110"/>
      <c r="G858" s="110"/>
      <c r="Y858" s="110"/>
      <c r="Z858" s="110"/>
    </row>
    <row r="859" spans="4:26">
      <c r="D859" s="110"/>
      <c r="E859" s="110"/>
      <c r="G859" s="110"/>
      <c r="Y859" s="110"/>
      <c r="Z859" s="110"/>
    </row>
    <row r="860" spans="4:26">
      <c r="D860" s="110"/>
      <c r="E860" s="110"/>
      <c r="G860" s="110"/>
      <c r="Y860" s="110"/>
      <c r="Z860" s="110"/>
    </row>
    <row r="861" spans="4:26">
      <c r="D861" s="110"/>
      <c r="E861" s="110"/>
      <c r="G861" s="110"/>
      <c r="Y861" s="110"/>
      <c r="Z861" s="110"/>
    </row>
    <row r="862" spans="4:26">
      <c r="D862" s="110"/>
      <c r="E862" s="110"/>
      <c r="G862" s="110"/>
      <c r="Y862" s="110"/>
      <c r="Z862" s="110"/>
    </row>
    <row r="863" spans="4:26">
      <c r="D863" s="110"/>
      <c r="E863" s="110"/>
      <c r="G863" s="110"/>
      <c r="Y863" s="110"/>
      <c r="Z863" s="110"/>
    </row>
    <row r="864" spans="4:26">
      <c r="D864" s="110"/>
      <c r="E864" s="110"/>
      <c r="G864" s="110"/>
      <c r="Y864" s="110"/>
      <c r="Z864" s="110"/>
    </row>
    <row r="865" spans="4:26">
      <c r="D865" s="110"/>
      <c r="E865" s="110"/>
      <c r="G865" s="110"/>
      <c r="Y865" s="110"/>
      <c r="Z865" s="110"/>
    </row>
    <row r="866" spans="4:26">
      <c r="D866" s="110"/>
      <c r="E866" s="110"/>
      <c r="G866" s="110"/>
      <c r="Y866" s="110"/>
      <c r="Z866" s="110"/>
    </row>
    <row r="867" spans="4:26">
      <c r="D867" s="110"/>
      <c r="E867" s="110"/>
      <c r="G867" s="110"/>
      <c r="Y867" s="110"/>
      <c r="Z867" s="110"/>
    </row>
    <row r="868" spans="4:26">
      <c r="D868" s="110"/>
      <c r="E868" s="110"/>
      <c r="G868" s="110"/>
      <c r="Y868" s="110"/>
      <c r="Z868" s="110"/>
    </row>
    <row r="869" spans="4:26">
      <c r="D869" s="110"/>
      <c r="E869" s="110"/>
      <c r="G869" s="110"/>
      <c r="Y869" s="110"/>
      <c r="Z869" s="110"/>
    </row>
    <row r="870" spans="4:26">
      <c r="D870" s="110"/>
      <c r="E870" s="110"/>
      <c r="G870" s="110"/>
      <c r="Y870" s="110"/>
      <c r="Z870" s="110"/>
    </row>
    <row r="871" spans="4:26">
      <c r="D871" s="110"/>
      <c r="E871" s="110"/>
      <c r="G871" s="110"/>
      <c r="Y871" s="110"/>
      <c r="Z871" s="110"/>
    </row>
    <row r="872" spans="4:26">
      <c r="D872" s="110"/>
      <c r="E872" s="110"/>
      <c r="G872" s="110"/>
      <c r="Y872" s="110"/>
      <c r="Z872" s="110"/>
    </row>
    <row r="873" spans="4:26">
      <c r="D873" s="110"/>
      <c r="E873" s="110"/>
      <c r="G873" s="110"/>
      <c r="Y873" s="110"/>
      <c r="Z873" s="110"/>
    </row>
    <row r="874" spans="4:26">
      <c r="D874" s="110"/>
      <c r="E874" s="110"/>
      <c r="G874" s="110"/>
      <c r="Y874" s="110"/>
      <c r="Z874" s="110"/>
    </row>
    <row r="875" spans="4:26">
      <c r="D875" s="110"/>
      <c r="E875" s="110"/>
      <c r="G875" s="110"/>
      <c r="Y875" s="110"/>
      <c r="Z875" s="110"/>
    </row>
    <row r="876" spans="4:26">
      <c r="D876" s="110"/>
      <c r="E876" s="110"/>
      <c r="G876" s="110"/>
      <c r="Y876" s="110"/>
      <c r="Z876" s="110"/>
    </row>
    <row r="877" spans="4:26">
      <c r="D877" s="110"/>
      <c r="E877" s="110"/>
      <c r="G877" s="110"/>
      <c r="Y877" s="110"/>
      <c r="Z877" s="110"/>
    </row>
    <row r="878" spans="4:26">
      <c r="D878" s="110"/>
      <c r="E878" s="110"/>
      <c r="G878" s="110"/>
      <c r="Y878" s="110"/>
      <c r="Z878" s="110"/>
    </row>
    <row r="879" spans="4:26">
      <c r="D879" s="110"/>
      <c r="E879" s="110"/>
      <c r="G879" s="110"/>
      <c r="Y879" s="110"/>
      <c r="Z879" s="110"/>
    </row>
    <row r="880" spans="4:26">
      <c r="D880" s="110"/>
      <c r="E880" s="110"/>
      <c r="G880" s="110"/>
      <c r="Y880" s="110"/>
      <c r="Z880" s="110"/>
    </row>
    <row r="881" spans="4:26">
      <c r="D881" s="110"/>
      <c r="E881" s="110"/>
      <c r="G881" s="110"/>
      <c r="Y881" s="110"/>
      <c r="Z881" s="110"/>
    </row>
    <row r="882" spans="4:26">
      <c r="D882" s="110"/>
      <c r="E882" s="110"/>
      <c r="G882" s="110"/>
      <c r="Y882" s="110"/>
      <c r="Z882" s="110"/>
    </row>
    <row r="883" spans="4:26">
      <c r="D883" s="110"/>
      <c r="E883" s="110"/>
      <c r="G883" s="110"/>
      <c r="Y883" s="110"/>
      <c r="Z883" s="110"/>
    </row>
    <row r="884" spans="4:26">
      <c r="D884" s="110"/>
      <c r="E884" s="110"/>
      <c r="G884" s="110"/>
      <c r="Y884" s="110"/>
      <c r="Z884" s="110"/>
    </row>
    <row r="885" spans="4:26">
      <c r="D885" s="110"/>
      <c r="E885" s="110"/>
      <c r="G885" s="110"/>
      <c r="Y885" s="110"/>
      <c r="Z885" s="110"/>
    </row>
    <row r="886" spans="4:26">
      <c r="D886" s="110"/>
      <c r="E886" s="110"/>
      <c r="G886" s="110"/>
      <c r="Y886" s="110"/>
      <c r="Z886" s="110"/>
    </row>
    <row r="887" spans="4:26">
      <c r="D887" s="110"/>
      <c r="E887" s="110"/>
      <c r="G887" s="110"/>
      <c r="Y887" s="110"/>
      <c r="Z887" s="110"/>
    </row>
    <row r="888" spans="4:26">
      <c r="D888" s="110"/>
      <c r="E888" s="110"/>
      <c r="G888" s="110"/>
      <c r="Y888" s="110"/>
      <c r="Z888" s="110"/>
    </row>
    <row r="889" spans="4:26">
      <c r="D889" s="110"/>
      <c r="E889" s="110"/>
      <c r="G889" s="110"/>
      <c r="Y889" s="110"/>
      <c r="Z889" s="110"/>
    </row>
    <row r="890" spans="4:26">
      <c r="D890" s="110"/>
      <c r="E890" s="110"/>
      <c r="G890" s="110"/>
      <c r="Y890" s="110"/>
      <c r="Z890" s="110"/>
    </row>
    <row r="891" spans="4:26">
      <c r="D891" s="110"/>
      <c r="E891" s="110"/>
      <c r="G891" s="110"/>
      <c r="Y891" s="110"/>
      <c r="Z891" s="110"/>
    </row>
    <row r="892" spans="4:26">
      <c r="D892" s="110"/>
      <c r="E892" s="110"/>
      <c r="G892" s="110"/>
      <c r="Y892" s="110"/>
      <c r="Z892" s="110"/>
    </row>
    <row r="893" spans="4:26">
      <c r="D893" s="110"/>
      <c r="E893" s="110"/>
      <c r="G893" s="110"/>
      <c r="Y893" s="110"/>
      <c r="Z893" s="110"/>
    </row>
    <row r="894" spans="4:26">
      <c r="D894" s="110"/>
      <c r="E894" s="110"/>
      <c r="G894" s="110"/>
      <c r="Y894" s="110"/>
      <c r="Z894" s="110"/>
    </row>
    <row r="895" spans="4:26">
      <c r="D895" s="110"/>
      <c r="E895" s="110"/>
      <c r="G895" s="110"/>
      <c r="Y895" s="110"/>
      <c r="Z895" s="110"/>
    </row>
    <row r="896" spans="4:26">
      <c r="D896" s="110"/>
      <c r="E896" s="110"/>
      <c r="G896" s="110"/>
      <c r="Y896" s="110"/>
      <c r="Z896" s="110"/>
    </row>
    <row r="897" spans="4:26">
      <c r="D897" s="110"/>
      <c r="E897" s="110"/>
      <c r="G897" s="110"/>
      <c r="Y897" s="110"/>
      <c r="Z897" s="110"/>
    </row>
    <row r="898" spans="4:26">
      <c r="D898" s="110"/>
      <c r="E898" s="110"/>
      <c r="G898" s="110"/>
      <c r="Y898" s="110"/>
      <c r="Z898" s="110"/>
    </row>
    <row r="899" spans="4:26">
      <c r="D899" s="110"/>
      <c r="E899" s="110"/>
      <c r="G899" s="110"/>
      <c r="Y899" s="110"/>
      <c r="Z899" s="110"/>
    </row>
    <row r="900" spans="4:26">
      <c r="D900" s="110"/>
      <c r="E900" s="110"/>
      <c r="G900" s="110"/>
      <c r="Y900" s="110"/>
      <c r="Z900" s="110"/>
    </row>
    <row r="901" spans="4:26">
      <c r="D901" s="110"/>
      <c r="E901" s="110"/>
      <c r="G901" s="110"/>
      <c r="Y901" s="110"/>
      <c r="Z901" s="110"/>
    </row>
    <row r="902" spans="4:26">
      <c r="D902" s="110"/>
      <c r="E902" s="110"/>
      <c r="G902" s="110"/>
      <c r="Y902" s="110"/>
      <c r="Z902" s="110"/>
    </row>
    <row r="903" spans="4:26">
      <c r="D903" s="110"/>
      <c r="E903" s="110"/>
      <c r="G903" s="110"/>
      <c r="Y903" s="110"/>
      <c r="Z903" s="110"/>
    </row>
    <row r="904" spans="4:26">
      <c r="D904" s="110"/>
      <c r="E904" s="110"/>
      <c r="G904" s="110"/>
      <c r="Y904" s="110"/>
      <c r="Z904" s="110"/>
    </row>
    <row r="905" spans="4:26">
      <c r="D905" s="110"/>
      <c r="E905" s="110"/>
      <c r="G905" s="110"/>
      <c r="Y905" s="110"/>
      <c r="Z905" s="110"/>
    </row>
    <row r="906" spans="4:26">
      <c r="D906" s="110"/>
      <c r="E906" s="110"/>
      <c r="G906" s="110"/>
      <c r="Y906" s="110"/>
      <c r="Z906" s="110"/>
    </row>
    <row r="907" spans="4:26">
      <c r="D907" s="110"/>
      <c r="E907" s="110"/>
      <c r="G907" s="110"/>
      <c r="Y907" s="110"/>
      <c r="Z907" s="110"/>
    </row>
    <row r="908" spans="4:26">
      <c r="D908" s="110"/>
      <c r="E908" s="110"/>
      <c r="G908" s="110"/>
      <c r="Y908" s="110"/>
      <c r="Z908" s="110"/>
    </row>
    <row r="909" spans="4:26">
      <c r="D909" s="110"/>
      <c r="E909" s="110"/>
      <c r="G909" s="110"/>
      <c r="Y909" s="110"/>
      <c r="Z909" s="110"/>
    </row>
    <row r="910" spans="4:26">
      <c r="D910" s="110"/>
      <c r="E910" s="110"/>
      <c r="G910" s="110"/>
      <c r="Y910" s="110"/>
      <c r="Z910" s="110"/>
    </row>
    <row r="911" spans="4:26">
      <c r="D911" s="110"/>
      <c r="E911" s="110"/>
      <c r="G911" s="110"/>
      <c r="Y911" s="110"/>
      <c r="Z911" s="110"/>
    </row>
    <row r="912" spans="4:26">
      <c r="D912" s="110"/>
      <c r="E912" s="110"/>
      <c r="G912" s="110"/>
      <c r="Y912" s="110"/>
      <c r="Z912" s="110"/>
    </row>
    <row r="913" spans="4:26">
      <c r="D913" s="110"/>
      <c r="E913" s="110"/>
      <c r="G913" s="110"/>
      <c r="Y913" s="110"/>
      <c r="Z913" s="110"/>
    </row>
    <row r="914" spans="4:26">
      <c r="D914" s="110"/>
      <c r="E914" s="110"/>
      <c r="G914" s="110"/>
      <c r="Y914" s="110"/>
      <c r="Z914" s="110"/>
    </row>
    <row r="915" spans="4:26">
      <c r="D915" s="110"/>
      <c r="E915" s="110"/>
      <c r="G915" s="110"/>
      <c r="Y915" s="110"/>
      <c r="Z915" s="110"/>
    </row>
    <row r="916" spans="4:26">
      <c r="D916" s="110"/>
      <c r="E916" s="110"/>
      <c r="G916" s="110"/>
      <c r="Y916" s="110"/>
      <c r="Z916" s="110"/>
    </row>
    <row r="917" spans="4:26">
      <c r="D917" s="110"/>
      <c r="E917" s="110"/>
      <c r="G917" s="110"/>
      <c r="Y917" s="110"/>
      <c r="Z917" s="110"/>
    </row>
    <row r="918" spans="4:26">
      <c r="D918" s="110"/>
      <c r="E918" s="110"/>
      <c r="G918" s="110"/>
      <c r="Y918" s="110"/>
      <c r="Z918" s="110"/>
    </row>
    <row r="919" spans="4:26">
      <c r="D919" s="110"/>
      <c r="E919" s="110"/>
      <c r="G919" s="110"/>
      <c r="Y919" s="110"/>
      <c r="Z919" s="110"/>
    </row>
    <row r="920" spans="4:26">
      <c r="D920" s="110"/>
      <c r="E920" s="110"/>
      <c r="G920" s="110"/>
      <c r="Y920" s="110"/>
      <c r="Z920" s="110"/>
    </row>
    <row r="921" spans="4:26">
      <c r="D921" s="110"/>
      <c r="E921" s="110"/>
      <c r="G921" s="110"/>
      <c r="Y921" s="110"/>
      <c r="Z921" s="110"/>
    </row>
    <row r="922" spans="4:26">
      <c r="D922" s="110"/>
      <c r="E922" s="110"/>
      <c r="G922" s="110"/>
      <c r="Y922" s="110"/>
      <c r="Z922" s="110"/>
    </row>
    <row r="923" spans="4:26">
      <c r="D923" s="110"/>
      <c r="E923" s="110"/>
      <c r="G923" s="110"/>
      <c r="Y923" s="110"/>
      <c r="Z923" s="110"/>
    </row>
    <row r="924" spans="4:26">
      <c r="D924" s="110"/>
      <c r="E924" s="110"/>
      <c r="G924" s="110"/>
      <c r="Y924" s="110"/>
      <c r="Z924" s="110"/>
    </row>
    <row r="925" spans="4:26">
      <c r="D925" s="110"/>
      <c r="E925" s="110"/>
      <c r="G925" s="110"/>
      <c r="Y925" s="110"/>
      <c r="Z925" s="110"/>
    </row>
    <row r="926" spans="4:26">
      <c r="D926" s="110"/>
      <c r="E926" s="110"/>
      <c r="G926" s="110"/>
      <c r="Y926" s="110"/>
      <c r="Z926" s="110"/>
    </row>
    <row r="927" spans="4:26">
      <c r="D927" s="110"/>
      <c r="E927" s="110"/>
      <c r="G927" s="110"/>
      <c r="Y927" s="110"/>
      <c r="Z927" s="110"/>
    </row>
    <row r="928" spans="4:26">
      <c r="D928" s="110"/>
      <c r="E928" s="110"/>
      <c r="G928" s="110"/>
      <c r="Y928" s="110"/>
      <c r="Z928" s="110"/>
    </row>
    <row r="929" spans="4:26">
      <c r="D929" s="110"/>
      <c r="E929" s="110"/>
      <c r="G929" s="110"/>
      <c r="Y929" s="110"/>
      <c r="Z929" s="110"/>
    </row>
    <row r="930" spans="4:26">
      <c r="D930" s="110"/>
      <c r="E930" s="110"/>
      <c r="G930" s="110"/>
      <c r="Y930" s="110"/>
      <c r="Z930" s="110"/>
    </row>
    <row r="931" spans="4:26">
      <c r="D931" s="110"/>
      <c r="E931" s="110"/>
      <c r="G931" s="110"/>
      <c r="Y931" s="110"/>
      <c r="Z931" s="110"/>
    </row>
    <row r="932" spans="4:26">
      <c r="D932" s="110"/>
      <c r="E932" s="110"/>
      <c r="G932" s="110"/>
      <c r="Y932" s="110"/>
      <c r="Z932" s="110"/>
    </row>
    <row r="933" spans="4:26">
      <c r="D933" s="110"/>
      <c r="E933" s="110"/>
      <c r="G933" s="110"/>
      <c r="Y933" s="110"/>
      <c r="Z933" s="110"/>
    </row>
    <row r="934" spans="4:26">
      <c r="D934" s="110"/>
      <c r="E934" s="110"/>
      <c r="G934" s="110"/>
      <c r="Y934" s="110"/>
      <c r="Z934" s="110"/>
    </row>
    <row r="935" spans="4:26">
      <c r="D935" s="110"/>
      <c r="E935" s="110"/>
      <c r="G935" s="110"/>
      <c r="Y935" s="110"/>
      <c r="Z935" s="110"/>
    </row>
    <row r="936" spans="4:26">
      <c r="D936" s="110"/>
      <c r="E936" s="110"/>
      <c r="G936" s="110"/>
      <c r="Y936" s="110"/>
      <c r="Z936" s="110"/>
    </row>
    <row r="937" spans="4:26">
      <c r="D937" s="110"/>
      <c r="E937" s="110"/>
      <c r="G937" s="110"/>
      <c r="Y937" s="110"/>
      <c r="Z937" s="110"/>
    </row>
    <row r="938" spans="4:26">
      <c r="D938" s="110"/>
      <c r="E938" s="110"/>
      <c r="G938" s="110"/>
      <c r="Y938" s="110"/>
      <c r="Z938" s="110"/>
    </row>
    <row r="939" spans="4:26">
      <c r="D939" s="110"/>
      <c r="E939" s="110"/>
      <c r="G939" s="110"/>
      <c r="Y939" s="110"/>
      <c r="Z939" s="110"/>
    </row>
    <row r="940" spans="4:26">
      <c r="D940" s="110"/>
      <c r="E940" s="110"/>
      <c r="G940" s="110"/>
      <c r="Y940" s="110"/>
      <c r="Z940" s="110"/>
    </row>
    <row r="941" spans="4:26">
      <c r="D941" s="110"/>
      <c r="E941" s="110"/>
      <c r="G941" s="110"/>
      <c r="Y941" s="110"/>
      <c r="Z941" s="110"/>
    </row>
    <row r="942" spans="4:26">
      <c r="D942" s="110"/>
      <c r="E942" s="110"/>
      <c r="G942" s="110"/>
      <c r="Y942" s="110"/>
      <c r="Z942" s="110"/>
    </row>
    <row r="943" spans="4:26">
      <c r="D943" s="110"/>
      <c r="E943" s="110"/>
      <c r="G943" s="110"/>
      <c r="Y943" s="110"/>
      <c r="Z943" s="110"/>
    </row>
    <row r="944" spans="4:26">
      <c r="D944" s="110"/>
      <c r="E944" s="110"/>
      <c r="G944" s="110"/>
      <c r="Y944" s="110"/>
      <c r="Z944" s="110"/>
    </row>
    <row r="945" spans="4:26">
      <c r="D945" s="110"/>
      <c r="E945" s="110"/>
      <c r="G945" s="110"/>
      <c r="Y945" s="110"/>
      <c r="Z945" s="110"/>
    </row>
    <row r="946" spans="4:26">
      <c r="D946" s="110"/>
      <c r="E946" s="110"/>
      <c r="G946" s="110"/>
      <c r="Y946" s="110"/>
      <c r="Z946" s="110"/>
    </row>
    <row r="947" spans="4:26">
      <c r="D947" s="110"/>
      <c r="E947" s="110"/>
      <c r="G947" s="110"/>
      <c r="Y947" s="110"/>
      <c r="Z947" s="110"/>
    </row>
    <row r="948" spans="4:26">
      <c r="D948" s="110"/>
      <c r="E948" s="110"/>
      <c r="G948" s="110"/>
      <c r="Y948" s="110"/>
      <c r="Z948" s="110"/>
    </row>
    <row r="949" spans="4:26">
      <c r="D949" s="110"/>
      <c r="E949" s="110"/>
      <c r="G949" s="110"/>
      <c r="Y949" s="110"/>
      <c r="Z949" s="110"/>
    </row>
    <row r="950" spans="4:26">
      <c r="D950" s="110"/>
      <c r="E950" s="110"/>
      <c r="G950" s="110"/>
      <c r="Y950" s="110"/>
      <c r="Z950" s="110"/>
    </row>
    <row r="951" spans="4:26">
      <c r="D951" s="110"/>
      <c r="E951" s="110"/>
      <c r="G951" s="110"/>
      <c r="Y951" s="110"/>
      <c r="Z951" s="110"/>
    </row>
    <row r="952" spans="4:26">
      <c r="D952" s="110"/>
      <c r="E952" s="110"/>
      <c r="G952" s="110"/>
      <c r="Y952" s="110"/>
      <c r="Z952" s="110"/>
    </row>
    <row r="953" spans="4:26">
      <c r="D953" s="110"/>
      <c r="E953" s="110"/>
      <c r="G953" s="110"/>
      <c r="Y953" s="110"/>
      <c r="Z953" s="110"/>
    </row>
    <row r="954" spans="4:26">
      <c r="D954" s="110"/>
      <c r="E954" s="110"/>
      <c r="G954" s="110"/>
      <c r="Y954" s="110"/>
      <c r="Z954" s="110"/>
    </row>
    <row r="955" spans="4:26">
      <c r="D955" s="110"/>
      <c r="E955" s="110"/>
      <c r="G955" s="110"/>
      <c r="Y955" s="110"/>
      <c r="Z955" s="110"/>
    </row>
    <row r="956" spans="4:26">
      <c r="D956" s="110"/>
      <c r="E956" s="110"/>
      <c r="G956" s="110"/>
      <c r="Y956" s="110"/>
      <c r="Z956" s="110"/>
    </row>
    <row r="957" spans="4:26">
      <c r="D957" s="110"/>
      <c r="E957" s="110"/>
      <c r="G957" s="110"/>
      <c r="Y957" s="110"/>
      <c r="Z957" s="110"/>
    </row>
    <row r="958" spans="4:26">
      <c r="D958" s="110"/>
      <c r="E958" s="110"/>
      <c r="G958" s="110"/>
      <c r="Y958" s="110"/>
      <c r="Z958" s="110"/>
    </row>
    <row r="959" spans="4:26">
      <c r="D959" s="110"/>
      <c r="E959" s="110"/>
      <c r="G959" s="110"/>
      <c r="Y959" s="110"/>
      <c r="Z959" s="110"/>
    </row>
    <row r="960" spans="4:26">
      <c r="D960" s="110"/>
      <c r="E960" s="110"/>
      <c r="G960" s="110"/>
      <c r="Y960" s="110"/>
      <c r="Z960" s="110"/>
    </row>
    <row r="961" spans="4:26">
      <c r="D961" s="110"/>
      <c r="E961" s="110"/>
      <c r="G961" s="110"/>
      <c r="Y961" s="110"/>
      <c r="Z961" s="110"/>
    </row>
    <row r="962" spans="4:26">
      <c r="D962" s="110"/>
      <c r="E962" s="110"/>
      <c r="G962" s="110"/>
      <c r="Y962" s="110"/>
      <c r="Z962" s="110"/>
    </row>
    <row r="963" spans="4:26">
      <c r="D963" s="110"/>
      <c r="E963" s="110"/>
      <c r="G963" s="110"/>
      <c r="Y963" s="110"/>
      <c r="Z963" s="110"/>
    </row>
    <row r="964" spans="4:26">
      <c r="D964" s="110"/>
      <c r="E964" s="110"/>
      <c r="G964" s="110"/>
      <c r="Y964" s="110"/>
      <c r="Z964" s="110"/>
    </row>
    <row r="965" spans="4:26">
      <c r="D965" s="110"/>
      <c r="E965" s="110"/>
      <c r="G965" s="110"/>
      <c r="Y965" s="110"/>
      <c r="Z965" s="110"/>
    </row>
    <row r="966" spans="4:26">
      <c r="D966" s="110"/>
      <c r="E966" s="110"/>
      <c r="G966" s="110"/>
      <c r="Y966" s="110"/>
      <c r="Z966" s="110"/>
    </row>
    <row r="967" spans="4:26">
      <c r="D967" s="110"/>
      <c r="E967" s="110"/>
      <c r="G967" s="110"/>
      <c r="Y967" s="110"/>
      <c r="Z967" s="110"/>
    </row>
    <row r="968" spans="4:26">
      <c r="D968" s="110"/>
      <c r="E968" s="110"/>
      <c r="G968" s="110"/>
      <c r="Y968" s="110"/>
      <c r="Z968" s="110"/>
    </row>
    <row r="969" spans="4:26">
      <c r="D969" s="110"/>
      <c r="E969" s="110"/>
      <c r="G969" s="110"/>
      <c r="Y969" s="110"/>
      <c r="Z969" s="110"/>
    </row>
    <row r="970" spans="4:26">
      <c r="D970" s="110"/>
      <c r="E970" s="110"/>
      <c r="G970" s="110"/>
      <c r="Y970" s="110"/>
      <c r="Z970" s="110"/>
    </row>
    <row r="971" spans="4:26">
      <c r="D971" s="110"/>
      <c r="E971" s="110"/>
      <c r="G971" s="110"/>
      <c r="Y971" s="110"/>
      <c r="Z971" s="110"/>
    </row>
    <row r="972" spans="4:26">
      <c r="D972" s="110"/>
      <c r="E972" s="110"/>
      <c r="G972" s="110"/>
      <c r="Y972" s="110"/>
      <c r="Z972" s="110"/>
    </row>
    <row r="973" spans="4:26">
      <c r="D973" s="110"/>
      <c r="E973" s="110"/>
      <c r="G973" s="110"/>
      <c r="Y973" s="110"/>
      <c r="Z973" s="110"/>
    </row>
    <row r="974" spans="4:26">
      <c r="D974" s="110"/>
      <c r="E974" s="110"/>
      <c r="G974" s="110"/>
      <c r="Y974" s="110"/>
      <c r="Z974" s="110"/>
    </row>
    <row r="975" spans="4:26">
      <c r="D975" s="110"/>
      <c r="E975" s="110"/>
      <c r="G975" s="110"/>
      <c r="Y975" s="110"/>
      <c r="Z975" s="110"/>
    </row>
    <row r="976" spans="4:26">
      <c r="D976" s="110"/>
      <c r="E976" s="110"/>
      <c r="G976" s="110"/>
      <c r="Y976" s="110"/>
      <c r="Z976" s="110"/>
    </row>
    <row r="977" spans="4:26">
      <c r="D977" s="110"/>
      <c r="E977" s="110"/>
      <c r="G977" s="110"/>
      <c r="Y977" s="110"/>
      <c r="Z977" s="110"/>
    </row>
    <row r="978" spans="4:26">
      <c r="D978" s="110"/>
      <c r="E978" s="110"/>
      <c r="G978" s="110"/>
      <c r="Y978" s="110"/>
      <c r="Z978" s="110"/>
    </row>
    <row r="979" spans="4:26">
      <c r="D979" s="110"/>
      <c r="E979" s="110"/>
      <c r="G979" s="110"/>
      <c r="Y979" s="110"/>
      <c r="Z979" s="110"/>
    </row>
    <row r="980" spans="4:26">
      <c r="D980" s="110"/>
      <c r="E980" s="110"/>
      <c r="G980" s="110"/>
      <c r="Y980" s="110"/>
      <c r="Z980" s="110"/>
    </row>
    <row r="981" spans="4:26">
      <c r="D981" s="110"/>
      <c r="E981" s="110"/>
      <c r="G981" s="110"/>
      <c r="Y981" s="110"/>
      <c r="Z981" s="110"/>
    </row>
    <row r="982" spans="4:26">
      <c r="D982" s="110"/>
      <c r="E982" s="110"/>
      <c r="G982" s="110"/>
      <c r="Y982" s="110"/>
      <c r="Z982" s="110"/>
    </row>
    <row r="983" spans="4:26">
      <c r="D983" s="110"/>
      <c r="E983" s="110"/>
      <c r="G983" s="110"/>
      <c r="Y983" s="110"/>
      <c r="Z983" s="110"/>
    </row>
    <row r="984" spans="4:26">
      <c r="D984" s="110"/>
      <c r="E984" s="110"/>
      <c r="G984" s="110"/>
      <c r="Y984" s="110"/>
      <c r="Z984" s="110"/>
    </row>
    <row r="985" spans="4:26">
      <c r="D985" s="110"/>
      <c r="E985" s="110"/>
      <c r="G985" s="110"/>
      <c r="Y985" s="110"/>
      <c r="Z985" s="110"/>
    </row>
    <row r="986" spans="4:26">
      <c r="D986" s="110"/>
      <c r="E986" s="110"/>
      <c r="G986" s="110"/>
      <c r="Y986" s="110"/>
      <c r="Z986" s="110"/>
    </row>
    <row r="987" spans="4:26">
      <c r="D987" s="110"/>
      <c r="E987" s="110"/>
      <c r="G987" s="110"/>
      <c r="Y987" s="110"/>
      <c r="Z987" s="110"/>
    </row>
    <row r="988" spans="4:26">
      <c r="D988" s="110"/>
      <c r="E988" s="110"/>
      <c r="G988" s="110"/>
      <c r="Y988" s="110"/>
      <c r="Z988" s="110"/>
    </row>
    <row r="989" spans="4:26">
      <c r="D989" s="110"/>
      <c r="E989" s="110"/>
      <c r="G989" s="110"/>
      <c r="Y989" s="110"/>
      <c r="Z989" s="110"/>
    </row>
    <row r="990" spans="4:26">
      <c r="D990" s="110"/>
      <c r="E990" s="110"/>
      <c r="G990" s="110"/>
      <c r="Y990" s="110"/>
      <c r="Z990" s="110"/>
    </row>
    <row r="991" spans="4:26">
      <c r="D991" s="110"/>
      <c r="E991" s="110"/>
      <c r="G991" s="110"/>
      <c r="Y991" s="110"/>
      <c r="Z991" s="110"/>
    </row>
    <row r="992" spans="4:26">
      <c r="D992" s="110"/>
      <c r="E992" s="110"/>
      <c r="G992" s="110"/>
      <c r="Y992" s="110"/>
      <c r="Z992" s="110"/>
    </row>
    <row r="993" spans="4:26">
      <c r="D993" s="110"/>
      <c r="E993" s="110"/>
      <c r="G993" s="110"/>
      <c r="Y993" s="110"/>
      <c r="Z993" s="110"/>
    </row>
    <row r="994" spans="4:26">
      <c r="D994" s="110"/>
      <c r="E994" s="110"/>
      <c r="G994" s="110"/>
      <c r="Y994" s="110"/>
      <c r="Z994" s="110"/>
    </row>
    <row r="995" spans="4:26">
      <c r="D995" s="110"/>
      <c r="E995" s="110"/>
      <c r="G995" s="110"/>
      <c r="Y995" s="110"/>
      <c r="Z995" s="110"/>
    </row>
    <row r="996" spans="4:26">
      <c r="D996" s="110"/>
      <c r="E996" s="110"/>
      <c r="G996" s="110"/>
      <c r="Y996" s="110"/>
      <c r="Z996" s="110"/>
    </row>
    <row r="997" spans="4:26">
      <c r="D997" s="110"/>
      <c r="E997" s="110"/>
      <c r="G997" s="110"/>
      <c r="Y997" s="110"/>
      <c r="Z997" s="110"/>
    </row>
    <row r="998" spans="4:26">
      <c r="D998" s="110"/>
      <c r="E998" s="110"/>
      <c r="G998" s="110"/>
      <c r="Y998" s="110"/>
      <c r="Z998" s="110"/>
    </row>
    <row r="999" spans="4:26">
      <c r="D999" s="110"/>
      <c r="E999" s="110"/>
      <c r="G999" s="110"/>
      <c r="Y999" s="110"/>
      <c r="Z999" s="110"/>
    </row>
    <row r="1000" spans="4:26">
      <c r="D1000" s="110"/>
      <c r="E1000" s="110"/>
      <c r="G1000" s="110"/>
      <c r="Y1000" s="110"/>
      <c r="Z1000" s="110"/>
    </row>
    <row r="1001" spans="4:26">
      <c r="D1001" s="110"/>
      <c r="E1001" s="110"/>
      <c r="G1001" s="110"/>
      <c r="Y1001" s="110"/>
      <c r="Z1001" s="110"/>
    </row>
    <row r="1002" spans="4:26">
      <c r="D1002" s="110"/>
      <c r="E1002" s="110"/>
      <c r="G1002" s="110"/>
      <c r="Y1002" s="110"/>
      <c r="Z1002" s="110"/>
    </row>
    <row r="1003" spans="4:26">
      <c r="D1003" s="110"/>
      <c r="E1003" s="110"/>
      <c r="G1003" s="110"/>
      <c r="Y1003" s="110"/>
      <c r="Z1003" s="110"/>
    </row>
    <row r="1004" spans="4:26">
      <c r="D1004" s="110"/>
      <c r="E1004" s="110"/>
      <c r="G1004" s="110"/>
      <c r="Y1004" s="110"/>
      <c r="Z1004" s="110"/>
    </row>
    <row r="1005" spans="4:26">
      <c r="D1005" s="110"/>
      <c r="E1005" s="110"/>
      <c r="G1005" s="110"/>
      <c r="Y1005" s="110"/>
      <c r="Z1005" s="110"/>
    </row>
    <row r="1006" spans="4:26">
      <c r="D1006" s="110"/>
      <c r="E1006" s="110"/>
      <c r="G1006" s="110"/>
      <c r="Y1006" s="110"/>
      <c r="Z1006" s="110"/>
    </row>
    <row r="1007" spans="4:26">
      <c r="D1007" s="110"/>
      <c r="E1007" s="110"/>
      <c r="G1007" s="110"/>
      <c r="Y1007" s="110"/>
      <c r="Z1007" s="110"/>
    </row>
    <row r="1008" spans="4:26">
      <c r="D1008" s="110"/>
      <c r="E1008" s="110"/>
      <c r="G1008" s="110"/>
      <c r="Y1008" s="110"/>
      <c r="Z1008" s="110"/>
    </row>
    <row r="1009" spans="4:26">
      <c r="D1009" s="110"/>
      <c r="E1009" s="110"/>
      <c r="G1009" s="110"/>
      <c r="Y1009" s="110"/>
      <c r="Z1009" s="110"/>
    </row>
    <row r="1010" spans="4:26">
      <c r="D1010" s="110"/>
      <c r="E1010" s="110"/>
      <c r="G1010" s="110"/>
      <c r="Y1010" s="110"/>
      <c r="Z1010" s="110"/>
    </row>
    <row r="1011" spans="4:26">
      <c r="D1011" s="110"/>
      <c r="E1011" s="110"/>
      <c r="G1011" s="110"/>
      <c r="Y1011" s="110"/>
      <c r="Z1011" s="110"/>
    </row>
    <row r="1012" spans="4:26">
      <c r="D1012" s="110"/>
      <c r="E1012" s="110"/>
      <c r="G1012" s="110"/>
      <c r="Y1012" s="110"/>
      <c r="Z1012" s="110"/>
    </row>
    <row r="1013" spans="4:26">
      <c r="D1013" s="110"/>
      <c r="E1013" s="110"/>
      <c r="G1013" s="110"/>
      <c r="Y1013" s="110"/>
      <c r="Z1013" s="110"/>
    </row>
    <row r="1014" spans="4:26">
      <c r="D1014" s="110"/>
      <c r="E1014" s="110"/>
      <c r="G1014" s="110"/>
      <c r="Y1014" s="110"/>
      <c r="Z1014" s="110"/>
    </row>
    <row r="1015" spans="4:26">
      <c r="D1015" s="110"/>
      <c r="E1015" s="110"/>
      <c r="G1015" s="110"/>
      <c r="Y1015" s="110"/>
      <c r="Z1015" s="110"/>
    </row>
    <row r="1016" spans="4:26">
      <c r="D1016" s="110"/>
      <c r="E1016" s="110"/>
      <c r="G1016" s="110"/>
      <c r="Y1016" s="110"/>
      <c r="Z1016" s="110"/>
    </row>
    <row r="1017" spans="4:26">
      <c r="D1017" s="110"/>
      <c r="E1017" s="110"/>
      <c r="G1017" s="110"/>
      <c r="Y1017" s="110"/>
      <c r="Z1017" s="110"/>
    </row>
    <row r="1018" spans="4:26">
      <c r="D1018" s="110"/>
      <c r="E1018" s="110"/>
      <c r="G1018" s="110"/>
      <c r="Y1018" s="110"/>
      <c r="Z1018" s="110"/>
    </row>
    <row r="1019" spans="4:26">
      <c r="D1019" s="110"/>
      <c r="E1019" s="110"/>
      <c r="G1019" s="110"/>
      <c r="Y1019" s="110"/>
      <c r="Z1019" s="110"/>
    </row>
    <row r="1020" spans="4:26">
      <c r="D1020" s="110"/>
      <c r="E1020" s="110"/>
      <c r="G1020" s="110"/>
      <c r="Y1020" s="110"/>
      <c r="Z1020" s="110"/>
    </row>
    <row r="1021" spans="4:26">
      <c r="D1021" s="110"/>
      <c r="E1021" s="110"/>
      <c r="G1021" s="110"/>
      <c r="Y1021" s="110"/>
      <c r="Z1021" s="110"/>
    </row>
    <row r="1022" spans="4:26">
      <c r="D1022" s="110"/>
      <c r="E1022" s="110"/>
      <c r="G1022" s="110"/>
      <c r="Y1022" s="110"/>
      <c r="Z1022" s="110"/>
    </row>
    <row r="1023" spans="4:26">
      <c r="D1023" s="110"/>
      <c r="E1023" s="110"/>
      <c r="G1023" s="110"/>
      <c r="Y1023" s="110"/>
      <c r="Z1023" s="110"/>
    </row>
    <row r="1024" spans="4:26">
      <c r="D1024" s="110"/>
      <c r="E1024" s="110"/>
      <c r="G1024" s="110"/>
      <c r="Y1024" s="110"/>
      <c r="Z1024" s="110"/>
    </row>
    <row r="1025" spans="4:26">
      <c r="D1025" s="110"/>
      <c r="E1025" s="110"/>
      <c r="G1025" s="110"/>
      <c r="Y1025" s="110"/>
      <c r="Z1025" s="110"/>
    </row>
    <row r="1026" spans="4:26">
      <c r="D1026" s="110"/>
      <c r="E1026" s="110"/>
      <c r="G1026" s="110"/>
      <c r="Y1026" s="110"/>
      <c r="Z1026" s="110"/>
    </row>
    <row r="1027" spans="4:26">
      <c r="D1027" s="110"/>
      <c r="E1027" s="110"/>
      <c r="G1027" s="110"/>
      <c r="Y1027" s="110"/>
      <c r="Z1027" s="110"/>
    </row>
    <row r="1028" spans="4:26">
      <c r="D1028" s="110"/>
      <c r="E1028" s="110"/>
      <c r="G1028" s="110"/>
      <c r="Y1028" s="110"/>
      <c r="Z1028" s="110"/>
    </row>
    <row r="1029" spans="4:26">
      <c r="D1029" s="110"/>
      <c r="E1029" s="110"/>
      <c r="G1029" s="110"/>
      <c r="Y1029" s="110"/>
      <c r="Z1029" s="110"/>
    </row>
    <row r="1030" spans="4:26">
      <c r="D1030" s="110"/>
      <c r="E1030" s="110"/>
      <c r="G1030" s="110"/>
      <c r="Y1030" s="110"/>
      <c r="Z1030" s="110"/>
    </row>
    <row r="1031" spans="4:26">
      <c r="D1031" s="110"/>
      <c r="E1031" s="110"/>
      <c r="G1031" s="110"/>
      <c r="Y1031" s="110"/>
      <c r="Z1031" s="110"/>
    </row>
    <row r="1032" spans="4:26">
      <c r="D1032" s="110"/>
      <c r="E1032" s="110"/>
      <c r="G1032" s="110"/>
      <c r="Y1032" s="110"/>
      <c r="Z1032" s="110"/>
    </row>
    <row r="1033" spans="4:26">
      <c r="D1033" s="110"/>
      <c r="E1033" s="110"/>
      <c r="G1033" s="110"/>
      <c r="Y1033" s="110"/>
      <c r="Z1033" s="110"/>
    </row>
    <row r="1034" spans="4:26">
      <c r="D1034" s="110"/>
      <c r="E1034" s="110"/>
      <c r="G1034" s="110"/>
      <c r="Y1034" s="110"/>
      <c r="Z1034" s="110"/>
    </row>
    <row r="1035" spans="4:26">
      <c r="D1035" s="110"/>
      <c r="E1035" s="110"/>
      <c r="G1035" s="110"/>
      <c r="Y1035" s="110"/>
      <c r="Z1035" s="110"/>
    </row>
    <row r="1036" spans="4:26">
      <c r="D1036" s="110"/>
      <c r="E1036" s="110"/>
      <c r="G1036" s="110"/>
      <c r="Y1036" s="110"/>
      <c r="Z1036" s="110"/>
    </row>
  </sheetData>
  <phoneticPr fontId="41" type="noConversion"/>
  <printOptions horizontalCentered="1"/>
  <pageMargins left="0.25" right="0" top="0.5" bottom="0.5" header="0.25" footer="0.25"/>
  <pageSetup scale="55" fitToHeight="0" orientation="landscape" r:id="rId1"/>
  <headerFooter alignWithMargins="0">
    <oddHeader xml:space="preserve">&amp;C&amp;"Arial,Bold"&amp;12Sanlando Utilities Corp
&amp;"Arial,Regular"&amp;10
</oddHeader>
    <oddFooter>&amp;RPage &amp;P of &amp;N</oddFooter>
  </headerFooter>
  <rowBreaks count="2" manualBreakCount="2">
    <brk id="72" max="18" man="1"/>
    <brk id="149" max="16383"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dimension ref="A1:BC139"/>
  <sheetViews>
    <sheetView workbookViewId="0"/>
  </sheetViews>
  <sheetFormatPr defaultColWidth="9.140625" defaultRowHeight="12.75"/>
  <cols>
    <col min="1" max="1" width="7.42578125" style="1607" customWidth="1"/>
    <col min="2" max="2" width="28.5703125" style="84" bestFit="1" customWidth="1"/>
    <col min="3" max="18" width="12.7109375" style="92" customWidth="1"/>
    <col min="19" max="19" width="2" style="92" customWidth="1"/>
    <col min="20" max="20" width="9.42578125" style="92" customWidth="1"/>
    <col min="21" max="21" width="30.7109375" style="92" customWidth="1"/>
    <col min="22" max="36" width="12.7109375" style="92" customWidth="1"/>
    <col min="37" max="37" width="13.42578125" style="93" customWidth="1"/>
    <col min="38" max="55" width="9.140625" style="93"/>
    <col min="56" max="16384" width="9.140625" style="84"/>
  </cols>
  <sheetData>
    <row r="1" spans="1:37" ht="27" customHeight="1">
      <c r="C1" s="207">
        <v>41982</v>
      </c>
      <c r="D1" s="207" t="s">
        <v>1717</v>
      </c>
      <c r="E1" s="208" t="s">
        <v>1894</v>
      </c>
      <c r="F1" s="207">
        <v>42014</v>
      </c>
      <c r="G1" s="208">
        <v>42036</v>
      </c>
      <c r="H1" s="208">
        <v>42064</v>
      </c>
      <c r="I1" s="208">
        <v>42095</v>
      </c>
      <c r="J1" s="208">
        <v>42125</v>
      </c>
      <c r="K1" s="208">
        <v>42156</v>
      </c>
      <c r="L1" s="208">
        <v>42186</v>
      </c>
      <c r="M1" s="208">
        <v>42217</v>
      </c>
      <c r="N1" s="208">
        <v>42248</v>
      </c>
      <c r="O1" s="208">
        <v>42278</v>
      </c>
      <c r="P1" s="208">
        <v>42309</v>
      </c>
      <c r="Q1" s="208">
        <v>42339</v>
      </c>
      <c r="R1" s="687" t="s">
        <v>388</v>
      </c>
      <c r="S1" s="94"/>
      <c r="T1" s="94"/>
      <c r="U1" s="94"/>
      <c r="V1" s="207">
        <v>41982</v>
      </c>
      <c r="W1" s="207" t="s">
        <v>1717</v>
      </c>
      <c r="X1" s="208" t="s">
        <v>1894</v>
      </c>
      <c r="Y1" s="207">
        <v>42014</v>
      </c>
      <c r="Z1" s="208">
        <v>42036</v>
      </c>
      <c r="AA1" s="208">
        <v>42064</v>
      </c>
      <c r="AB1" s="208">
        <v>42095</v>
      </c>
      <c r="AC1" s="208">
        <v>42125</v>
      </c>
      <c r="AD1" s="208">
        <v>42156</v>
      </c>
      <c r="AE1" s="208">
        <v>42186</v>
      </c>
      <c r="AF1" s="208">
        <v>42217</v>
      </c>
      <c r="AG1" s="208">
        <v>42248</v>
      </c>
      <c r="AH1" s="208">
        <v>42278</v>
      </c>
      <c r="AI1" s="208">
        <v>42309</v>
      </c>
      <c r="AJ1" s="208">
        <v>42339</v>
      </c>
      <c r="AK1" s="818" t="s">
        <v>388</v>
      </c>
    </row>
    <row r="2" spans="1:37">
      <c r="A2" s="1608" t="s">
        <v>2213</v>
      </c>
      <c r="B2" s="85" t="s">
        <v>1295</v>
      </c>
      <c r="C2" s="1617">
        <v>2</v>
      </c>
      <c r="D2" s="1617"/>
      <c r="E2" s="1617"/>
      <c r="F2" s="1617">
        <v>3</v>
      </c>
      <c r="G2" s="1617">
        <v>4</v>
      </c>
      <c r="H2" s="1617">
        <v>5</v>
      </c>
      <c r="I2" s="1617">
        <v>6</v>
      </c>
      <c r="J2" s="1617">
        <v>7</v>
      </c>
      <c r="K2" s="1617">
        <v>8</v>
      </c>
      <c r="L2" s="1617">
        <v>9</v>
      </c>
      <c r="M2" s="1617">
        <v>10</v>
      </c>
      <c r="N2" s="1617">
        <v>11</v>
      </c>
      <c r="O2" s="1617">
        <v>12</v>
      </c>
      <c r="P2" s="1617">
        <v>13</v>
      </c>
      <c r="Q2" s="1617">
        <v>14</v>
      </c>
      <c r="R2" s="610"/>
      <c r="S2" s="86"/>
      <c r="T2" s="93"/>
      <c r="U2" s="93"/>
      <c r="V2" s="1617">
        <v>2</v>
      </c>
      <c r="W2" s="1617"/>
      <c r="X2" s="1617"/>
      <c r="Y2" s="1617">
        <v>3</v>
      </c>
      <c r="Z2" s="1617">
        <v>4</v>
      </c>
      <c r="AA2" s="1617">
        <v>5</v>
      </c>
      <c r="AB2" s="1617">
        <v>6</v>
      </c>
      <c r="AC2" s="1617">
        <v>7</v>
      </c>
      <c r="AD2" s="1617">
        <v>8</v>
      </c>
      <c r="AE2" s="1617">
        <v>9</v>
      </c>
      <c r="AF2" s="1617">
        <v>10</v>
      </c>
      <c r="AG2" s="1617">
        <v>11</v>
      </c>
      <c r="AH2" s="1617">
        <v>12</v>
      </c>
      <c r="AI2" s="1617">
        <v>13</v>
      </c>
      <c r="AJ2" s="1617">
        <v>14</v>
      </c>
    </row>
    <row r="3" spans="1:37">
      <c r="A3" s="1609"/>
      <c r="B3" s="95" t="s">
        <v>1222</v>
      </c>
      <c r="C3" s="610"/>
      <c r="D3" s="610"/>
      <c r="E3" s="610"/>
      <c r="F3" s="610"/>
      <c r="G3" s="610"/>
      <c r="H3" s="610"/>
      <c r="I3" s="610"/>
      <c r="J3" s="610"/>
      <c r="K3" s="610"/>
      <c r="L3" s="610"/>
      <c r="M3" s="610"/>
      <c r="N3" s="610"/>
      <c r="O3" s="610"/>
      <c r="P3" s="610"/>
      <c r="Q3" s="610"/>
      <c r="R3" s="610"/>
      <c r="S3" s="86"/>
      <c r="T3" s="1618" t="s">
        <v>2213</v>
      </c>
      <c r="U3" s="96" t="s">
        <v>1223</v>
      </c>
      <c r="V3" s="610"/>
      <c r="W3" s="610"/>
      <c r="X3" s="610"/>
      <c r="Y3" s="610"/>
      <c r="Z3" s="610"/>
      <c r="AA3" s="610"/>
      <c r="AB3" s="610"/>
      <c r="AC3" s="610"/>
      <c r="AD3" s="610"/>
      <c r="AE3" s="610"/>
      <c r="AF3" s="610"/>
      <c r="AG3" s="610"/>
      <c r="AH3" s="610"/>
      <c r="AI3" s="610"/>
      <c r="AJ3" s="610"/>
    </row>
    <row r="4" spans="1:37" ht="6.75" customHeight="1">
      <c r="A4" s="1609"/>
      <c r="B4" s="95"/>
      <c r="C4" s="610"/>
      <c r="D4" s="610"/>
      <c r="E4" s="610"/>
      <c r="F4" s="610"/>
      <c r="G4" s="610"/>
      <c r="H4" s="610"/>
      <c r="I4" s="610"/>
      <c r="J4" s="610"/>
      <c r="K4" s="610"/>
      <c r="L4" s="610"/>
      <c r="M4" s="610"/>
      <c r="N4" s="610"/>
      <c r="O4" s="610"/>
      <c r="P4" s="610"/>
      <c r="Q4" s="610"/>
      <c r="R4" s="610"/>
      <c r="S4" s="86"/>
      <c r="T4" s="1619"/>
      <c r="U4" s="84"/>
      <c r="V4" s="610"/>
      <c r="W4" s="610"/>
      <c r="X4" s="610"/>
      <c r="Y4" s="610"/>
      <c r="Z4" s="610"/>
      <c r="AA4" s="610"/>
      <c r="AB4" s="610"/>
      <c r="AC4" s="610"/>
      <c r="AD4" s="610"/>
      <c r="AE4" s="610"/>
      <c r="AF4" s="610"/>
      <c r="AG4" s="610"/>
      <c r="AH4" s="610"/>
      <c r="AI4" s="610"/>
      <c r="AJ4" s="610"/>
      <c r="AK4" s="87"/>
    </row>
    <row r="5" spans="1:37">
      <c r="A5" s="1610">
        <v>3340</v>
      </c>
      <c r="B5" s="97" t="s">
        <v>238</v>
      </c>
      <c r="C5" s="627"/>
      <c r="D5" s="610"/>
      <c r="E5" s="856">
        <f t="shared" ref="E5" si="0">SUM(C5:D5)</f>
        <v>0</v>
      </c>
      <c r="F5" s="627"/>
      <c r="G5" s="627"/>
      <c r="H5" s="627"/>
      <c r="I5" s="627"/>
      <c r="J5" s="627"/>
      <c r="K5" s="627"/>
      <c r="L5" s="627"/>
      <c r="M5" s="627"/>
      <c r="N5" s="627"/>
      <c r="O5" s="627"/>
      <c r="P5" s="627"/>
      <c r="Q5" s="627"/>
      <c r="R5" s="87">
        <f>AVERAGE(E5:Q5)</f>
        <v>0</v>
      </c>
      <c r="S5" s="86"/>
      <c r="T5" s="1556">
        <v>3885</v>
      </c>
      <c r="U5" s="97" t="s">
        <v>245</v>
      </c>
      <c r="V5" s="627"/>
      <c r="W5" s="610"/>
      <c r="X5" s="856">
        <f t="shared" ref="X5" si="1">SUM(V5:W5)</f>
        <v>0</v>
      </c>
      <c r="Y5" s="627"/>
      <c r="Z5" s="627"/>
      <c r="AA5" s="627"/>
      <c r="AB5" s="627"/>
      <c r="AC5" s="627"/>
      <c r="AD5" s="627"/>
      <c r="AE5" s="627"/>
      <c r="AF5" s="627"/>
      <c r="AG5" s="627"/>
      <c r="AH5" s="627"/>
      <c r="AI5" s="627"/>
      <c r="AJ5" s="627"/>
      <c r="AK5" s="87">
        <f>AVERAGE(X5:AJ5)</f>
        <v>0</v>
      </c>
    </row>
    <row r="6" spans="1:37">
      <c r="A6" s="1610">
        <v>3345</v>
      </c>
      <c r="B6" s="97" t="s">
        <v>218</v>
      </c>
      <c r="C6" s="627"/>
      <c r="D6" s="610"/>
      <c r="E6" s="856">
        <f t="shared" ref="E6:E7" si="2">SUM(C6:D6)</f>
        <v>0</v>
      </c>
      <c r="F6" s="627"/>
      <c r="G6" s="627"/>
      <c r="H6" s="627"/>
      <c r="I6" s="627"/>
      <c r="J6" s="627"/>
      <c r="K6" s="627"/>
      <c r="L6" s="627"/>
      <c r="M6" s="627"/>
      <c r="N6" s="627"/>
      <c r="O6" s="627"/>
      <c r="P6" s="627"/>
      <c r="Q6" s="627"/>
      <c r="R6" s="87">
        <f>AVERAGE(E6:Q6)</f>
        <v>0</v>
      </c>
      <c r="S6" s="86"/>
      <c r="T6" s="1556">
        <v>3890</v>
      </c>
      <c r="U6" s="97" t="s">
        <v>246</v>
      </c>
      <c r="V6" s="627"/>
      <c r="W6" s="610"/>
      <c r="X6" s="856">
        <f t="shared" ref="X6:X7" si="3">SUM(V6:W6)</f>
        <v>0</v>
      </c>
      <c r="Y6" s="627"/>
      <c r="Z6" s="627"/>
      <c r="AA6" s="627"/>
      <c r="AB6" s="627"/>
      <c r="AC6" s="627"/>
      <c r="AD6" s="627"/>
      <c r="AE6" s="627"/>
      <c r="AF6" s="627"/>
      <c r="AG6" s="627"/>
      <c r="AH6" s="627"/>
      <c r="AI6" s="627"/>
      <c r="AJ6" s="627"/>
      <c r="AK6" s="87">
        <f>AVERAGE(X6:AJ6)</f>
        <v>0</v>
      </c>
    </row>
    <row r="7" spans="1:37">
      <c r="A7" s="1610">
        <v>3305</v>
      </c>
      <c r="B7" s="97" t="s">
        <v>1819</v>
      </c>
      <c r="C7" s="627"/>
      <c r="D7" s="610"/>
      <c r="E7" s="856">
        <f t="shared" si="2"/>
        <v>0</v>
      </c>
      <c r="F7" s="627"/>
      <c r="G7" s="627"/>
      <c r="H7" s="627"/>
      <c r="I7" s="627"/>
      <c r="J7" s="627"/>
      <c r="K7" s="627"/>
      <c r="L7" s="627"/>
      <c r="M7" s="627"/>
      <c r="N7" s="627"/>
      <c r="O7" s="627"/>
      <c r="P7" s="627"/>
      <c r="Q7" s="627"/>
      <c r="R7" s="87">
        <f>AVERAGE(E7:Q7)</f>
        <v>0</v>
      </c>
      <c r="S7" s="86"/>
      <c r="T7" s="1556">
        <v>3850</v>
      </c>
      <c r="U7" s="93" t="s">
        <v>1821</v>
      </c>
      <c r="V7" s="627"/>
      <c r="W7" s="610"/>
      <c r="X7" s="856">
        <f t="shared" si="3"/>
        <v>0</v>
      </c>
      <c r="Y7" s="627"/>
      <c r="Z7" s="627"/>
      <c r="AA7" s="627"/>
      <c r="AB7" s="627"/>
      <c r="AC7" s="627"/>
      <c r="AD7" s="627"/>
      <c r="AE7" s="627"/>
      <c r="AF7" s="627"/>
      <c r="AG7" s="627"/>
      <c r="AH7" s="627"/>
      <c r="AI7" s="627"/>
      <c r="AJ7" s="627"/>
      <c r="AK7" s="87">
        <f>AVERAGE(X7:AJ7)</f>
        <v>0</v>
      </c>
    </row>
    <row r="8" spans="1:37">
      <c r="A8" s="1610"/>
      <c r="B8" s="98" t="s">
        <v>1224</v>
      </c>
      <c r="C8" s="612">
        <f>SUM(C5:C7)</f>
        <v>0</v>
      </c>
      <c r="D8" s="612">
        <f t="shared" ref="D8" si="4">SUM(D5:D7)</f>
        <v>0</v>
      </c>
      <c r="E8" s="856">
        <f t="shared" ref="E8" si="5">SUM(E5:E7)</f>
        <v>0</v>
      </c>
      <c r="F8" s="856">
        <f t="shared" ref="F8:P8" si="6">SUM(F5:F7)</f>
        <v>0</v>
      </c>
      <c r="G8" s="856">
        <f t="shared" si="6"/>
        <v>0</v>
      </c>
      <c r="H8" s="856">
        <f t="shared" si="6"/>
        <v>0</v>
      </c>
      <c r="I8" s="856">
        <f t="shared" si="6"/>
        <v>0</v>
      </c>
      <c r="J8" s="856">
        <f t="shared" si="6"/>
        <v>0</v>
      </c>
      <c r="K8" s="856">
        <f t="shared" si="6"/>
        <v>0</v>
      </c>
      <c r="L8" s="856">
        <f t="shared" si="6"/>
        <v>0</v>
      </c>
      <c r="M8" s="856">
        <f t="shared" si="6"/>
        <v>0</v>
      </c>
      <c r="N8" s="856">
        <f t="shared" si="6"/>
        <v>0</v>
      </c>
      <c r="O8" s="856">
        <f t="shared" si="6"/>
        <v>0</v>
      </c>
      <c r="P8" s="856">
        <f t="shared" si="6"/>
        <v>0</v>
      </c>
      <c r="Q8" s="612">
        <f>SUM(Q5:Q7)</f>
        <v>0</v>
      </c>
      <c r="R8" s="612"/>
      <c r="S8" s="99"/>
      <c r="T8" s="1556"/>
      <c r="U8" s="98" t="s">
        <v>1224</v>
      </c>
      <c r="V8" s="612">
        <f>SUM(V3:V7)</f>
        <v>0</v>
      </c>
      <c r="W8" s="612">
        <f t="shared" ref="W8:AI8" si="7">SUM(W3:W7)</f>
        <v>0</v>
      </c>
      <c r="X8" s="612">
        <f t="shared" si="7"/>
        <v>0</v>
      </c>
      <c r="Y8" s="612">
        <f t="shared" si="7"/>
        <v>0</v>
      </c>
      <c r="Z8" s="612">
        <f t="shared" si="7"/>
        <v>0</v>
      </c>
      <c r="AA8" s="612">
        <f t="shared" si="7"/>
        <v>0</v>
      </c>
      <c r="AB8" s="612">
        <f t="shared" si="7"/>
        <v>0</v>
      </c>
      <c r="AC8" s="612">
        <f t="shared" si="7"/>
        <v>0</v>
      </c>
      <c r="AD8" s="612">
        <f t="shared" si="7"/>
        <v>0</v>
      </c>
      <c r="AE8" s="612">
        <f t="shared" si="7"/>
        <v>0</v>
      </c>
      <c r="AF8" s="612">
        <f t="shared" si="7"/>
        <v>0</v>
      </c>
      <c r="AG8" s="612">
        <f t="shared" si="7"/>
        <v>0</v>
      </c>
      <c r="AH8" s="612">
        <f t="shared" si="7"/>
        <v>0</v>
      </c>
      <c r="AI8" s="612">
        <f t="shared" si="7"/>
        <v>0</v>
      </c>
      <c r="AJ8" s="612">
        <f>SUM(AJ3:AJ7)</f>
        <v>0</v>
      </c>
    </row>
    <row r="9" spans="1:37">
      <c r="A9" s="1609"/>
      <c r="B9" s="100" t="s">
        <v>883</v>
      </c>
      <c r="C9" s="610"/>
      <c r="D9" s="610"/>
      <c r="E9" s="853"/>
      <c r="F9" s="853"/>
      <c r="G9" s="853"/>
      <c r="H9" s="853"/>
      <c r="I9" s="853"/>
      <c r="J9" s="853"/>
      <c r="K9" s="853"/>
      <c r="L9" s="853"/>
      <c r="M9" s="853"/>
      <c r="N9" s="853"/>
      <c r="O9" s="853"/>
      <c r="P9" s="853"/>
      <c r="Q9" s="610"/>
      <c r="R9" s="610"/>
      <c r="S9" s="86"/>
      <c r="T9" s="1556"/>
      <c r="U9" s="98"/>
      <c r="V9" s="610"/>
      <c r="W9" s="610"/>
      <c r="X9" s="610"/>
      <c r="Y9" s="853"/>
      <c r="Z9" s="853"/>
      <c r="AA9" s="853"/>
      <c r="AB9" s="853"/>
      <c r="AC9" s="853"/>
      <c r="AD9" s="853"/>
      <c r="AE9" s="853"/>
      <c r="AF9" s="853"/>
      <c r="AG9" s="853"/>
      <c r="AH9" s="853"/>
      <c r="AI9" s="853"/>
      <c r="AJ9" s="610"/>
    </row>
    <row r="10" spans="1:37">
      <c r="A10" s="1610">
        <v>3430</v>
      </c>
      <c r="B10" s="93" t="s">
        <v>236</v>
      </c>
      <c r="C10" s="627"/>
      <c r="D10" s="610"/>
      <c r="E10" s="856">
        <f t="shared" ref="E10" si="8">SUM(C10:D10)</f>
        <v>0</v>
      </c>
      <c r="F10" s="627"/>
      <c r="G10" s="627"/>
      <c r="H10" s="627"/>
      <c r="I10" s="627"/>
      <c r="J10" s="627"/>
      <c r="K10" s="627"/>
      <c r="L10" s="627"/>
      <c r="M10" s="627"/>
      <c r="N10" s="627"/>
      <c r="O10" s="627"/>
      <c r="P10" s="627"/>
      <c r="Q10" s="627"/>
      <c r="R10" s="87">
        <f>AVERAGE(E10:Q10)</f>
        <v>0</v>
      </c>
      <c r="S10" s="86"/>
      <c r="T10" s="1556">
        <v>3800</v>
      </c>
      <c r="U10" s="93" t="s">
        <v>250</v>
      </c>
      <c r="V10" s="627"/>
      <c r="W10" s="610"/>
      <c r="X10" s="856">
        <f t="shared" ref="X10:X21" si="9">SUM(V10:W10)</f>
        <v>0</v>
      </c>
      <c r="Y10" s="627"/>
      <c r="Z10" s="627"/>
      <c r="AA10" s="627"/>
      <c r="AB10" s="627"/>
      <c r="AC10" s="627"/>
      <c r="AD10" s="627"/>
      <c r="AE10" s="627"/>
      <c r="AF10" s="627"/>
      <c r="AG10" s="627"/>
      <c r="AH10" s="627"/>
      <c r="AI10" s="627"/>
      <c r="AJ10" s="627"/>
      <c r="AK10" s="87">
        <f t="shared" ref="AK10:AK21" si="10">AVERAGE(X10:AJ10)</f>
        <v>0</v>
      </c>
    </row>
    <row r="11" spans="1:37">
      <c r="A11" s="1610"/>
      <c r="B11" s="93"/>
      <c r="C11" s="610"/>
      <c r="D11" s="610"/>
      <c r="E11" s="853"/>
      <c r="F11" s="853"/>
      <c r="G11" s="853"/>
      <c r="H11" s="853"/>
      <c r="I11" s="853"/>
      <c r="J11" s="853"/>
      <c r="K11" s="853"/>
      <c r="L11" s="853"/>
      <c r="M11" s="853"/>
      <c r="N11" s="853"/>
      <c r="O11" s="853"/>
      <c r="P11" s="853"/>
      <c r="Q11" s="610"/>
      <c r="R11" s="610"/>
      <c r="S11" s="86"/>
      <c r="T11" s="1556">
        <v>3975</v>
      </c>
      <c r="U11" s="93" t="s">
        <v>266</v>
      </c>
      <c r="V11" s="627"/>
      <c r="W11" s="610"/>
      <c r="X11" s="856">
        <f t="shared" si="9"/>
        <v>0</v>
      </c>
      <c r="Y11" s="627"/>
      <c r="Z11" s="627"/>
      <c r="AA11" s="627"/>
      <c r="AB11" s="627"/>
      <c r="AC11" s="627"/>
      <c r="AD11" s="627"/>
      <c r="AE11" s="627"/>
      <c r="AF11" s="627"/>
      <c r="AG11" s="627"/>
      <c r="AH11" s="627"/>
      <c r="AI11" s="627"/>
      <c r="AJ11" s="627"/>
      <c r="AK11" s="87">
        <f t="shared" si="10"/>
        <v>0</v>
      </c>
    </row>
    <row r="12" spans="1:37">
      <c r="A12" s="1610">
        <v>3295</v>
      </c>
      <c r="B12" s="93" t="s">
        <v>215</v>
      </c>
      <c r="C12" s="627"/>
      <c r="D12" s="610"/>
      <c r="E12" s="856">
        <f t="shared" ref="E12:E13" si="11">SUM(C12:D12)</f>
        <v>0</v>
      </c>
      <c r="F12" s="627"/>
      <c r="G12" s="627"/>
      <c r="H12" s="627"/>
      <c r="I12" s="627"/>
      <c r="J12" s="627"/>
      <c r="K12" s="627"/>
      <c r="L12" s="627"/>
      <c r="M12" s="627"/>
      <c r="N12" s="627"/>
      <c r="O12" s="627"/>
      <c r="P12" s="627"/>
      <c r="Q12" s="627"/>
      <c r="R12" s="87">
        <f t="shared" ref="R12:R13" si="12">AVERAGE(E12:Q12)</f>
        <v>0</v>
      </c>
      <c r="S12" s="86"/>
      <c r="T12" s="1556">
        <v>3840</v>
      </c>
      <c r="U12" s="93" t="s">
        <v>242</v>
      </c>
      <c r="V12" s="627"/>
      <c r="W12" s="610"/>
      <c r="X12" s="856">
        <f t="shared" si="9"/>
        <v>0</v>
      </c>
      <c r="Y12" s="627"/>
      <c r="Z12" s="627"/>
      <c r="AA12" s="627"/>
      <c r="AB12" s="627"/>
      <c r="AC12" s="627"/>
      <c r="AD12" s="627"/>
      <c r="AE12" s="627"/>
      <c r="AF12" s="627"/>
      <c r="AG12" s="627"/>
      <c r="AH12" s="627"/>
      <c r="AI12" s="627"/>
      <c r="AJ12" s="627"/>
      <c r="AK12" s="87">
        <f t="shared" si="10"/>
        <v>0</v>
      </c>
    </row>
    <row r="13" spans="1:37">
      <c r="A13" s="1610">
        <v>3315</v>
      </c>
      <c r="B13" s="93" t="s">
        <v>237</v>
      </c>
      <c r="C13" s="627"/>
      <c r="D13" s="610"/>
      <c r="E13" s="856">
        <f t="shared" si="11"/>
        <v>0</v>
      </c>
      <c r="F13" s="627"/>
      <c r="G13" s="627"/>
      <c r="H13" s="627"/>
      <c r="I13" s="627"/>
      <c r="J13" s="627"/>
      <c r="K13" s="627"/>
      <c r="L13" s="627"/>
      <c r="M13" s="627"/>
      <c r="N13" s="627"/>
      <c r="O13" s="627"/>
      <c r="P13" s="627"/>
      <c r="Q13" s="627"/>
      <c r="R13" s="87">
        <f t="shared" si="12"/>
        <v>0</v>
      </c>
      <c r="S13" s="86"/>
      <c r="T13" s="1556">
        <v>3860</v>
      </c>
      <c r="U13" s="93" t="s">
        <v>241</v>
      </c>
      <c r="V13" s="627"/>
      <c r="W13" s="610"/>
      <c r="X13" s="856">
        <f t="shared" si="9"/>
        <v>0</v>
      </c>
      <c r="Y13" s="627"/>
      <c r="Z13" s="627"/>
      <c r="AA13" s="627"/>
      <c r="AB13" s="627"/>
      <c r="AC13" s="627"/>
      <c r="AD13" s="627"/>
      <c r="AE13" s="627"/>
      <c r="AF13" s="627"/>
      <c r="AG13" s="627"/>
      <c r="AH13" s="627"/>
      <c r="AI13" s="627"/>
      <c r="AJ13" s="627"/>
      <c r="AK13" s="87">
        <f t="shared" si="10"/>
        <v>0</v>
      </c>
    </row>
    <row r="14" spans="1:37">
      <c r="A14" s="1610"/>
      <c r="B14" s="93"/>
      <c r="C14" s="610"/>
      <c r="D14" s="610"/>
      <c r="E14" s="853"/>
      <c r="F14" s="853"/>
      <c r="G14" s="853"/>
      <c r="H14" s="853"/>
      <c r="I14" s="853"/>
      <c r="J14" s="853"/>
      <c r="K14" s="853"/>
      <c r="L14" s="853"/>
      <c r="M14" s="853"/>
      <c r="N14" s="853"/>
      <c r="O14" s="853"/>
      <c r="P14" s="853"/>
      <c r="Q14" s="853"/>
      <c r="R14" s="87"/>
      <c r="S14" s="86"/>
      <c r="T14" s="1557">
        <v>3865</v>
      </c>
      <c r="U14" s="508" t="s">
        <v>1574</v>
      </c>
      <c r="V14" s="627"/>
      <c r="W14" s="610"/>
      <c r="X14" s="856">
        <f t="shared" si="9"/>
        <v>0</v>
      </c>
      <c r="Y14" s="627"/>
      <c r="Z14" s="627"/>
      <c r="AA14" s="627"/>
      <c r="AB14" s="627"/>
      <c r="AC14" s="627"/>
      <c r="AD14" s="627"/>
      <c r="AE14" s="627"/>
      <c r="AF14" s="627"/>
      <c r="AG14" s="627"/>
      <c r="AH14" s="627"/>
      <c r="AI14" s="627"/>
      <c r="AJ14" s="627"/>
      <c r="AK14" s="87">
        <f t="shared" si="10"/>
        <v>0</v>
      </c>
    </row>
    <row r="15" spans="1:37">
      <c r="A15" s="1610">
        <v>3265</v>
      </c>
      <c r="B15" s="93" t="s">
        <v>213</v>
      </c>
      <c r="C15" s="627"/>
      <c r="D15" s="610"/>
      <c r="E15" s="856">
        <f t="shared" ref="E15:E16" si="13">SUM(C15:D15)</f>
        <v>0</v>
      </c>
      <c r="F15" s="627"/>
      <c r="G15" s="627"/>
      <c r="H15" s="627"/>
      <c r="I15" s="627"/>
      <c r="J15" s="627"/>
      <c r="K15" s="627"/>
      <c r="L15" s="627"/>
      <c r="M15" s="627"/>
      <c r="N15" s="627"/>
      <c r="O15" s="627"/>
      <c r="P15" s="627"/>
      <c r="Q15" s="627"/>
      <c r="R15" s="87">
        <f t="shared" ref="R15:R16" si="14">AVERAGE(E15:Q15)</f>
        <v>0</v>
      </c>
      <c r="S15" s="86"/>
      <c r="T15" s="1556">
        <v>3810</v>
      </c>
      <c r="U15" s="93" t="s">
        <v>239</v>
      </c>
      <c r="V15" s="627"/>
      <c r="W15" s="610"/>
      <c r="X15" s="856">
        <f t="shared" si="9"/>
        <v>0</v>
      </c>
      <c r="Y15" s="627"/>
      <c r="Z15" s="627"/>
      <c r="AA15" s="627"/>
      <c r="AB15" s="627"/>
      <c r="AC15" s="627"/>
      <c r="AD15" s="627"/>
      <c r="AE15" s="627"/>
      <c r="AF15" s="627"/>
      <c r="AG15" s="627"/>
      <c r="AH15" s="627"/>
      <c r="AI15" s="627"/>
      <c r="AJ15" s="627"/>
      <c r="AK15" s="87">
        <f t="shared" si="10"/>
        <v>0</v>
      </c>
    </row>
    <row r="16" spans="1:37">
      <c r="A16" s="1610">
        <v>3270</v>
      </c>
      <c r="B16" s="93" t="s">
        <v>214</v>
      </c>
      <c r="C16" s="627"/>
      <c r="D16" s="610"/>
      <c r="E16" s="856">
        <f t="shared" si="13"/>
        <v>0</v>
      </c>
      <c r="F16" s="627"/>
      <c r="G16" s="627"/>
      <c r="H16" s="627"/>
      <c r="I16" s="627"/>
      <c r="J16" s="627"/>
      <c r="K16" s="627"/>
      <c r="L16" s="627"/>
      <c r="M16" s="627"/>
      <c r="N16" s="627"/>
      <c r="O16" s="627"/>
      <c r="P16" s="627"/>
      <c r="Q16" s="627"/>
      <c r="R16" s="87">
        <f t="shared" si="14"/>
        <v>0</v>
      </c>
      <c r="S16" s="86"/>
      <c r="T16" s="1556">
        <v>3815</v>
      </c>
      <c r="U16" s="93" t="s">
        <v>240</v>
      </c>
      <c r="V16" s="627"/>
      <c r="W16" s="610"/>
      <c r="X16" s="856">
        <f t="shared" si="9"/>
        <v>0</v>
      </c>
      <c r="Y16" s="627"/>
      <c r="Z16" s="627"/>
      <c r="AA16" s="627"/>
      <c r="AB16" s="627"/>
      <c r="AC16" s="627"/>
      <c r="AD16" s="627"/>
      <c r="AE16" s="627"/>
      <c r="AF16" s="627"/>
      <c r="AG16" s="627"/>
      <c r="AH16" s="627"/>
      <c r="AI16" s="627"/>
      <c r="AJ16" s="627"/>
      <c r="AK16" s="87">
        <f t="shared" si="10"/>
        <v>0</v>
      </c>
    </row>
    <row r="17" spans="1:37">
      <c r="A17" s="1610"/>
      <c r="B17" s="93"/>
      <c r="C17" s="610"/>
      <c r="D17" s="610"/>
      <c r="E17" s="853"/>
      <c r="F17" s="853"/>
      <c r="G17" s="853"/>
      <c r="H17" s="853"/>
      <c r="I17" s="853"/>
      <c r="J17" s="853"/>
      <c r="K17" s="853"/>
      <c r="L17" s="853"/>
      <c r="M17" s="853"/>
      <c r="N17" s="853"/>
      <c r="O17" s="853"/>
      <c r="P17" s="853"/>
      <c r="Q17" s="610"/>
      <c r="R17" s="87"/>
      <c r="S17" s="86"/>
      <c r="T17" s="1557">
        <v>3870</v>
      </c>
      <c r="U17" s="508" t="s">
        <v>1578</v>
      </c>
      <c r="V17" s="627"/>
      <c r="W17" s="610"/>
      <c r="X17" s="856">
        <f t="shared" si="9"/>
        <v>0</v>
      </c>
      <c r="Y17" s="627"/>
      <c r="Z17" s="627"/>
      <c r="AA17" s="627"/>
      <c r="AB17" s="627"/>
      <c r="AC17" s="627"/>
      <c r="AD17" s="627"/>
      <c r="AE17" s="627"/>
      <c r="AF17" s="627"/>
      <c r="AG17" s="627"/>
      <c r="AH17" s="627"/>
      <c r="AI17" s="627"/>
      <c r="AJ17" s="627"/>
      <c r="AK17" s="87">
        <f t="shared" si="10"/>
        <v>0</v>
      </c>
    </row>
    <row r="18" spans="1:37">
      <c r="A18" s="1610">
        <v>3330</v>
      </c>
      <c r="B18" s="93" t="s">
        <v>216</v>
      </c>
      <c r="C18" s="627"/>
      <c r="D18" s="610"/>
      <c r="E18" s="856">
        <f t="shared" ref="E18:E21" si="15">SUM(C18:D18)</f>
        <v>0</v>
      </c>
      <c r="F18" s="627"/>
      <c r="G18" s="627"/>
      <c r="H18" s="627"/>
      <c r="I18" s="627"/>
      <c r="J18" s="627"/>
      <c r="K18" s="627"/>
      <c r="L18" s="627"/>
      <c r="M18" s="627"/>
      <c r="N18" s="627"/>
      <c r="O18" s="627"/>
      <c r="P18" s="627"/>
      <c r="Q18" s="627"/>
      <c r="R18" s="87">
        <f t="shared" ref="R18:R21" si="16">AVERAGE(E18:Q18)</f>
        <v>0</v>
      </c>
      <c r="S18" s="86"/>
      <c r="T18" s="1556">
        <v>3875</v>
      </c>
      <c r="U18" s="93" t="s">
        <v>243</v>
      </c>
      <c r="V18" s="627"/>
      <c r="W18" s="610"/>
      <c r="X18" s="856">
        <f t="shared" si="9"/>
        <v>0</v>
      </c>
      <c r="Y18" s="627"/>
      <c r="Z18" s="627"/>
      <c r="AA18" s="627"/>
      <c r="AB18" s="627"/>
      <c r="AC18" s="627"/>
      <c r="AD18" s="627"/>
      <c r="AE18" s="627"/>
      <c r="AF18" s="627"/>
      <c r="AG18" s="627"/>
      <c r="AH18" s="627"/>
      <c r="AI18" s="627"/>
      <c r="AJ18" s="627"/>
      <c r="AK18" s="87">
        <f t="shared" si="10"/>
        <v>0</v>
      </c>
    </row>
    <row r="19" spans="1:37">
      <c r="A19" s="1610">
        <v>3335</v>
      </c>
      <c r="B19" s="93" t="s">
        <v>217</v>
      </c>
      <c r="C19" s="627"/>
      <c r="D19" s="610"/>
      <c r="E19" s="856">
        <f t="shared" si="15"/>
        <v>0</v>
      </c>
      <c r="F19" s="627"/>
      <c r="G19" s="627"/>
      <c r="H19" s="627"/>
      <c r="I19" s="627"/>
      <c r="J19" s="627"/>
      <c r="K19" s="627"/>
      <c r="L19" s="627"/>
      <c r="M19" s="627"/>
      <c r="N19" s="627"/>
      <c r="O19" s="627"/>
      <c r="P19" s="627"/>
      <c r="Q19" s="627"/>
      <c r="R19" s="87">
        <f t="shared" si="16"/>
        <v>0</v>
      </c>
      <c r="S19" s="86"/>
      <c r="T19" s="1556">
        <v>3880</v>
      </c>
      <c r="U19" s="93" t="s">
        <v>244</v>
      </c>
      <c r="V19" s="627"/>
      <c r="W19" s="610"/>
      <c r="X19" s="856">
        <f t="shared" si="9"/>
        <v>0</v>
      </c>
      <c r="Y19" s="627"/>
      <c r="Z19" s="627"/>
      <c r="AA19" s="627"/>
      <c r="AB19" s="627"/>
      <c r="AC19" s="627"/>
      <c r="AD19" s="627"/>
      <c r="AE19" s="627"/>
      <c r="AF19" s="627"/>
      <c r="AG19" s="627"/>
      <c r="AH19" s="627"/>
      <c r="AI19" s="627"/>
      <c r="AJ19" s="627"/>
      <c r="AK19" s="87">
        <f t="shared" si="10"/>
        <v>0</v>
      </c>
    </row>
    <row r="20" spans="1:37">
      <c r="A20" s="1610">
        <v>3450</v>
      </c>
      <c r="B20" s="93" t="s">
        <v>224</v>
      </c>
      <c r="C20" s="627"/>
      <c r="D20" s="610"/>
      <c r="E20" s="856">
        <f t="shared" si="15"/>
        <v>0</v>
      </c>
      <c r="F20" s="627"/>
      <c r="G20" s="627"/>
      <c r="H20" s="627"/>
      <c r="I20" s="627"/>
      <c r="J20" s="627"/>
      <c r="K20" s="627"/>
      <c r="L20" s="627"/>
      <c r="M20" s="627"/>
      <c r="N20" s="627"/>
      <c r="O20" s="627"/>
      <c r="P20" s="627"/>
      <c r="Q20" s="627"/>
      <c r="R20" s="87">
        <f t="shared" si="16"/>
        <v>0</v>
      </c>
      <c r="S20" s="86"/>
      <c r="T20" s="1556">
        <v>4000</v>
      </c>
      <c r="U20" s="93" t="s">
        <v>253</v>
      </c>
      <c r="V20" s="627"/>
      <c r="W20" s="610"/>
      <c r="X20" s="856">
        <f t="shared" si="9"/>
        <v>0</v>
      </c>
      <c r="Y20" s="627"/>
      <c r="Z20" s="627"/>
      <c r="AA20" s="627"/>
      <c r="AB20" s="627"/>
      <c r="AC20" s="627"/>
      <c r="AD20" s="627"/>
      <c r="AE20" s="627"/>
      <c r="AF20" s="627"/>
      <c r="AG20" s="627"/>
      <c r="AH20" s="627"/>
      <c r="AI20" s="627"/>
      <c r="AJ20" s="627"/>
      <c r="AK20" s="87">
        <f t="shared" si="10"/>
        <v>0</v>
      </c>
    </row>
    <row r="21" spans="1:37">
      <c r="A21" s="1610">
        <v>3455</v>
      </c>
      <c r="B21" s="93" t="s">
        <v>225</v>
      </c>
      <c r="C21" s="627"/>
      <c r="D21" s="610"/>
      <c r="E21" s="856">
        <f t="shared" si="15"/>
        <v>0</v>
      </c>
      <c r="F21" s="627"/>
      <c r="G21" s="627"/>
      <c r="H21" s="627"/>
      <c r="I21" s="627"/>
      <c r="J21" s="627"/>
      <c r="K21" s="627"/>
      <c r="L21" s="627"/>
      <c r="M21" s="627"/>
      <c r="N21" s="627"/>
      <c r="O21" s="627"/>
      <c r="P21" s="627"/>
      <c r="Q21" s="627"/>
      <c r="R21" s="87">
        <f t="shared" si="16"/>
        <v>0</v>
      </c>
      <c r="S21" s="86"/>
      <c r="T21" s="1556">
        <v>4005</v>
      </c>
      <c r="U21" s="93" t="s">
        <v>265</v>
      </c>
      <c r="V21" s="627"/>
      <c r="W21" s="610"/>
      <c r="X21" s="856">
        <f t="shared" si="9"/>
        <v>0</v>
      </c>
      <c r="Y21" s="627"/>
      <c r="Z21" s="627"/>
      <c r="AA21" s="627"/>
      <c r="AB21" s="627"/>
      <c r="AC21" s="627"/>
      <c r="AD21" s="627"/>
      <c r="AE21" s="627"/>
      <c r="AF21" s="627"/>
      <c r="AG21" s="627"/>
      <c r="AH21" s="627"/>
      <c r="AI21" s="627"/>
      <c r="AJ21" s="627"/>
      <c r="AK21" s="87">
        <f t="shared" si="10"/>
        <v>0</v>
      </c>
    </row>
    <row r="22" spans="1:37">
      <c r="A22" s="1611"/>
      <c r="B22" s="101"/>
      <c r="C22" s="611"/>
      <c r="D22" s="618"/>
      <c r="E22" s="854"/>
      <c r="F22" s="855"/>
      <c r="G22" s="855"/>
      <c r="H22" s="855"/>
      <c r="I22" s="855"/>
      <c r="J22" s="855"/>
      <c r="K22" s="855"/>
      <c r="L22" s="855"/>
      <c r="M22" s="855"/>
      <c r="N22" s="855"/>
      <c r="O22" s="855"/>
      <c r="P22" s="855"/>
      <c r="Q22" s="611"/>
      <c r="R22" s="614"/>
      <c r="S22" s="86"/>
      <c r="T22" s="1556"/>
      <c r="U22" s="98"/>
      <c r="V22" s="618"/>
      <c r="W22" s="618"/>
      <c r="X22" s="618"/>
      <c r="Y22" s="854"/>
      <c r="Z22" s="854"/>
      <c r="AA22" s="854"/>
      <c r="AB22" s="854"/>
      <c r="AC22" s="854"/>
      <c r="AD22" s="854"/>
      <c r="AE22" s="854"/>
      <c r="AF22" s="854"/>
      <c r="AG22" s="854"/>
      <c r="AH22" s="854"/>
      <c r="AI22" s="854"/>
      <c r="AJ22" s="618"/>
    </row>
    <row r="23" spans="1:37">
      <c r="A23" s="1610"/>
      <c r="B23" s="98" t="s">
        <v>1225</v>
      </c>
      <c r="C23" s="612">
        <f>SUM(C10:C22)</f>
        <v>0</v>
      </c>
      <c r="D23" s="612">
        <f t="shared" ref="D23" si="17">SUM(D10:D22)</f>
        <v>0</v>
      </c>
      <c r="E23" s="856">
        <f t="shared" ref="E23" si="18">SUM(E10:E22)</f>
        <v>0</v>
      </c>
      <c r="F23" s="856">
        <f t="shared" ref="F23:P23" si="19">SUM(F10:F22)</f>
        <v>0</v>
      </c>
      <c r="G23" s="856">
        <f t="shared" si="19"/>
        <v>0</v>
      </c>
      <c r="H23" s="856">
        <f t="shared" si="19"/>
        <v>0</v>
      </c>
      <c r="I23" s="856">
        <f t="shared" si="19"/>
        <v>0</v>
      </c>
      <c r="J23" s="856">
        <f t="shared" si="19"/>
        <v>0</v>
      </c>
      <c r="K23" s="856">
        <f t="shared" si="19"/>
        <v>0</v>
      </c>
      <c r="L23" s="856">
        <f t="shared" si="19"/>
        <v>0</v>
      </c>
      <c r="M23" s="856">
        <f t="shared" si="19"/>
        <v>0</v>
      </c>
      <c r="N23" s="856">
        <f t="shared" si="19"/>
        <v>0</v>
      </c>
      <c r="O23" s="856">
        <f t="shared" si="19"/>
        <v>0</v>
      </c>
      <c r="P23" s="856">
        <f t="shared" si="19"/>
        <v>0</v>
      </c>
      <c r="Q23" s="612">
        <f>SUM(Q10:Q22)</f>
        <v>0</v>
      </c>
      <c r="R23" s="612"/>
      <c r="S23" s="99"/>
      <c r="T23" s="1556"/>
      <c r="U23" s="98" t="s">
        <v>1225</v>
      </c>
      <c r="V23" s="612">
        <f>SUM(V10:V22)</f>
        <v>0</v>
      </c>
      <c r="W23" s="612">
        <f t="shared" ref="W23:X23" si="20">SUM(W10:W22)</f>
        <v>0</v>
      </c>
      <c r="X23" s="612">
        <f t="shared" si="20"/>
        <v>0</v>
      </c>
      <c r="Y23" s="856">
        <f t="shared" ref="Y23:AI23" si="21">SUM(Y10:Y22)</f>
        <v>0</v>
      </c>
      <c r="Z23" s="856">
        <f t="shared" si="21"/>
        <v>0</v>
      </c>
      <c r="AA23" s="856">
        <f t="shared" si="21"/>
        <v>0</v>
      </c>
      <c r="AB23" s="856">
        <f t="shared" si="21"/>
        <v>0</v>
      </c>
      <c r="AC23" s="856">
        <f t="shared" si="21"/>
        <v>0</v>
      </c>
      <c r="AD23" s="856">
        <f t="shared" si="21"/>
        <v>0</v>
      </c>
      <c r="AE23" s="856">
        <f t="shared" si="21"/>
        <v>0</v>
      </c>
      <c r="AF23" s="856">
        <f t="shared" si="21"/>
        <v>0</v>
      </c>
      <c r="AG23" s="856">
        <f t="shared" si="21"/>
        <v>0</v>
      </c>
      <c r="AH23" s="856">
        <f t="shared" si="21"/>
        <v>0</v>
      </c>
      <c r="AI23" s="856">
        <f t="shared" si="21"/>
        <v>0</v>
      </c>
      <c r="AJ23" s="612">
        <f>SUM(AJ10:AJ22)</f>
        <v>0</v>
      </c>
    </row>
    <row r="24" spans="1:37" ht="6" customHeight="1">
      <c r="A24" s="1610"/>
      <c r="B24" s="98"/>
      <c r="C24" s="612"/>
      <c r="D24" s="612"/>
      <c r="E24" s="856"/>
      <c r="F24" s="856"/>
      <c r="G24" s="856"/>
      <c r="H24" s="856"/>
      <c r="I24" s="856"/>
      <c r="J24" s="856"/>
      <c r="K24" s="856"/>
      <c r="L24" s="856"/>
      <c r="M24" s="856"/>
      <c r="N24" s="856"/>
      <c r="O24" s="856"/>
      <c r="P24" s="856"/>
      <c r="Q24" s="612"/>
      <c r="R24" s="612"/>
      <c r="S24" s="99"/>
      <c r="T24" s="1556"/>
      <c r="U24" s="98"/>
      <c r="V24" s="612"/>
      <c r="W24" s="612"/>
      <c r="X24" s="612"/>
      <c r="Y24" s="856"/>
      <c r="Z24" s="856"/>
      <c r="AA24" s="856"/>
      <c r="AB24" s="856"/>
      <c r="AC24" s="856"/>
      <c r="AD24" s="856"/>
      <c r="AE24" s="856"/>
      <c r="AF24" s="856"/>
      <c r="AG24" s="856"/>
      <c r="AH24" s="856"/>
      <c r="AI24" s="856"/>
      <c r="AJ24" s="612"/>
    </row>
    <row r="25" spans="1:37">
      <c r="A25" s="1610">
        <v>3445</v>
      </c>
      <c r="B25" s="93" t="s">
        <v>223</v>
      </c>
      <c r="C25" s="627"/>
      <c r="D25" s="610"/>
      <c r="E25" s="856">
        <f t="shared" ref="E25" si="22">SUM(C25:D25)</f>
        <v>0</v>
      </c>
      <c r="F25" s="627"/>
      <c r="G25" s="627"/>
      <c r="H25" s="627"/>
      <c r="I25" s="627"/>
      <c r="J25" s="627"/>
      <c r="K25" s="627"/>
      <c r="L25" s="627"/>
      <c r="M25" s="627"/>
      <c r="N25" s="627"/>
      <c r="O25" s="627"/>
      <c r="P25" s="627"/>
      <c r="Q25" s="627"/>
      <c r="R25" s="87">
        <f t="shared" ref="R25" si="23">AVERAGE(E25:Q25)</f>
        <v>0</v>
      </c>
      <c r="S25" s="86"/>
      <c r="T25" s="1556">
        <v>3995</v>
      </c>
      <c r="U25" s="93" t="s">
        <v>252</v>
      </c>
      <c r="V25" s="627"/>
      <c r="W25" s="610"/>
      <c r="X25" s="856">
        <f t="shared" ref="X25" si="24">SUM(V25:W25)</f>
        <v>0</v>
      </c>
      <c r="Y25" s="627"/>
      <c r="Z25" s="627"/>
      <c r="AA25" s="627"/>
      <c r="AB25" s="627"/>
      <c r="AC25" s="627"/>
      <c r="AD25" s="627"/>
      <c r="AE25" s="627"/>
      <c r="AF25" s="627"/>
      <c r="AG25" s="627"/>
      <c r="AH25" s="627"/>
      <c r="AI25" s="627"/>
      <c r="AJ25" s="627"/>
      <c r="AK25" s="87">
        <f t="shared" ref="AK25" si="25">AVERAGE(X25:AJ25)</f>
        <v>0</v>
      </c>
    </row>
    <row r="26" spans="1:37">
      <c r="A26" s="1610"/>
      <c r="B26" s="93"/>
      <c r="C26" s="610"/>
      <c r="D26" s="610"/>
      <c r="E26" s="853"/>
      <c r="F26" s="853"/>
      <c r="G26" s="853"/>
      <c r="H26" s="853"/>
      <c r="I26" s="853"/>
      <c r="J26" s="853"/>
      <c r="K26" s="853"/>
      <c r="L26" s="853"/>
      <c r="M26" s="853"/>
      <c r="N26" s="853"/>
      <c r="O26" s="853"/>
      <c r="P26" s="853"/>
      <c r="Q26" s="853"/>
      <c r="R26" s="87"/>
      <c r="S26" s="86"/>
      <c r="T26" s="1556"/>
      <c r="U26" s="93"/>
      <c r="V26" s="610"/>
      <c r="W26" s="610"/>
      <c r="X26" s="610"/>
      <c r="Y26" s="853"/>
      <c r="Z26" s="853"/>
      <c r="AA26" s="853"/>
      <c r="AB26" s="853"/>
      <c r="AC26" s="853"/>
      <c r="AD26" s="853"/>
      <c r="AE26" s="853"/>
      <c r="AF26" s="853"/>
      <c r="AG26" s="853"/>
      <c r="AH26" s="853"/>
      <c r="AI26" s="853"/>
      <c r="AJ26" s="610"/>
      <c r="AK26" s="87"/>
    </row>
    <row r="27" spans="1:37">
      <c r="A27" s="1610">
        <v>3350</v>
      </c>
      <c r="B27" s="97" t="s">
        <v>219</v>
      </c>
      <c r="C27" s="627"/>
      <c r="D27" s="610"/>
      <c r="E27" s="856">
        <f t="shared" ref="E27:E29" si="26">SUM(C27:D27)</f>
        <v>0</v>
      </c>
      <c r="F27" s="627"/>
      <c r="G27" s="627"/>
      <c r="H27" s="627"/>
      <c r="I27" s="627"/>
      <c r="J27" s="627"/>
      <c r="K27" s="627"/>
      <c r="L27" s="627"/>
      <c r="M27" s="627"/>
      <c r="N27" s="627"/>
      <c r="O27" s="627"/>
      <c r="P27" s="627"/>
      <c r="Q27" s="627"/>
      <c r="R27" s="87">
        <f>AVERAGE(E27:Q27)</f>
        <v>0</v>
      </c>
      <c r="S27" s="99"/>
      <c r="T27" s="1556">
        <v>3895</v>
      </c>
      <c r="U27" s="97" t="s">
        <v>247</v>
      </c>
      <c r="V27" s="627"/>
      <c r="W27" s="610"/>
      <c r="X27" s="856">
        <f t="shared" ref="X27:X29" si="27">SUM(V27:W27)</f>
        <v>0</v>
      </c>
      <c r="Y27" s="627"/>
      <c r="Z27" s="627"/>
      <c r="AA27" s="627"/>
      <c r="AB27" s="627"/>
      <c r="AC27" s="627"/>
      <c r="AD27" s="627"/>
      <c r="AE27" s="627"/>
      <c r="AF27" s="627"/>
      <c r="AG27" s="627"/>
      <c r="AH27" s="627"/>
      <c r="AI27" s="627"/>
      <c r="AJ27" s="627"/>
      <c r="AK27" s="87">
        <f t="shared" ref="AK27" si="28">AVERAGE(X27:AJ27)</f>
        <v>0</v>
      </c>
    </row>
    <row r="28" spans="1:37">
      <c r="A28" s="1610">
        <v>3355</v>
      </c>
      <c r="B28" s="97" t="s">
        <v>220</v>
      </c>
      <c r="C28" s="627"/>
      <c r="D28" s="610"/>
      <c r="E28" s="856">
        <f t="shared" si="26"/>
        <v>0</v>
      </c>
      <c r="F28" s="627"/>
      <c r="G28" s="627"/>
      <c r="H28" s="627"/>
      <c r="I28" s="627"/>
      <c r="J28" s="627"/>
      <c r="K28" s="627"/>
      <c r="L28" s="627"/>
      <c r="M28" s="627"/>
      <c r="N28" s="627"/>
      <c r="O28" s="627"/>
      <c r="P28" s="627"/>
      <c r="Q28" s="627"/>
      <c r="R28" s="87">
        <f t="shared" ref="R28:R29" si="29">AVERAGE(E28:Q28)</f>
        <v>0</v>
      </c>
      <c r="S28" s="99"/>
      <c r="T28" s="1556">
        <v>3900</v>
      </c>
      <c r="U28" s="97" t="s">
        <v>248</v>
      </c>
      <c r="V28" s="627"/>
      <c r="W28" s="610"/>
      <c r="X28" s="856">
        <f t="shared" si="27"/>
        <v>0</v>
      </c>
      <c r="Y28" s="627"/>
      <c r="Z28" s="627"/>
      <c r="AA28" s="627"/>
      <c r="AB28" s="627"/>
      <c r="AC28" s="627"/>
      <c r="AD28" s="627"/>
      <c r="AE28" s="627"/>
      <c r="AF28" s="627"/>
      <c r="AG28" s="627"/>
      <c r="AH28" s="627"/>
      <c r="AI28" s="627"/>
      <c r="AJ28" s="627"/>
      <c r="AK28" s="87">
        <f t="shared" ref="AK28:AK29" si="30">AVERAGE(X28:AJ28)</f>
        <v>0</v>
      </c>
    </row>
    <row r="29" spans="1:37">
      <c r="A29" s="1610">
        <v>3360</v>
      </c>
      <c r="B29" s="97" t="s">
        <v>221</v>
      </c>
      <c r="C29" s="627"/>
      <c r="D29" s="610"/>
      <c r="E29" s="856">
        <f t="shared" si="26"/>
        <v>0</v>
      </c>
      <c r="F29" s="627"/>
      <c r="G29" s="627"/>
      <c r="H29" s="627"/>
      <c r="I29" s="627"/>
      <c r="J29" s="627"/>
      <c r="K29" s="627"/>
      <c r="L29" s="627"/>
      <c r="M29" s="627"/>
      <c r="N29" s="627"/>
      <c r="O29" s="627"/>
      <c r="P29" s="627"/>
      <c r="Q29" s="627"/>
      <c r="R29" s="87">
        <f t="shared" si="29"/>
        <v>0</v>
      </c>
      <c r="S29" s="99"/>
      <c r="T29" s="1556">
        <v>3905</v>
      </c>
      <c r="U29" s="97" t="s">
        <v>249</v>
      </c>
      <c r="V29" s="627"/>
      <c r="W29" s="610"/>
      <c r="X29" s="856">
        <f t="shared" si="27"/>
        <v>0</v>
      </c>
      <c r="Y29" s="627"/>
      <c r="Z29" s="627"/>
      <c r="AA29" s="627"/>
      <c r="AB29" s="627"/>
      <c r="AC29" s="627"/>
      <c r="AD29" s="627"/>
      <c r="AE29" s="627"/>
      <c r="AF29" s="627"/>
      <c r="AG29" s="627"/>
      <c r="AH29" s="627"/>
      <c r="AI29" s="627"/>
      <c r="AJ29" s="627"/>
      <c r="AK29" s="87">
        <f t="shared" si="30"/>
        <v>0</v>
      </c>
    </row>
    <row r="30" spans="1:37">
      <c r="A30" s="1610"/>
      <c r="B30" s="98"/>
      <c r="C30" s="613"/>
      <c r="D30" s="618"/>
      <c r="E30" s="854"/>
      <c r="F30" s="857"/>
      <c r="G30" s="857"/>
      <c r="H30" s="857"/>
      <c r="I30" s="857"/>
      <c r="J30" s="857"/>
      <c r="K30" s="857"/>
      <c r="L30" s="857"/>
      <c r="M30" s="857"/>
      <c r="N30" s="857"/>
      <c r="O30" s="857"/>
      <c r="P30" s="857"/>
      <c r="Q30" s="613"/>
      <c r="R30" s="619"/>
      <c r="S30" s="99"/>
      <c r="T30" s="1556"/>
      <c r="U30" s="98"/>
      <c r="V30" s="618"/>
      <c r="W30" s="618"/>
      <c r="X30" s="618"/>
      <c r="Y30" s="854"/>
      <c r="Z30" s="854"/>
      <c r="AA30" s="854"/>
      <c r="AB30" s="854"/>
      <c r="AC30" s="854"/>
      <c r="AD30" s="854"/>
      <c r="AE30" s="854"/>
      <c r="AF30" s="854"/>
      <c r="AG30" s="854"/>
      <c r="AH30" s="854"/>
      <c r="AI30" s="854"/>
      <c r="AJ30" s="618"/>
    </row>
    <row r="31" spans="1:37">
      <c r="A31" s="1610"/>
      <c r="B31" s="98" t="s">
        <v>1226</v>
      </c>
      <c r="C31" s="612">
        <f>SUM(C27:C30)</f>
        <v>0</v>
      </c>
      <c r="D31" s="612">
        <f t="shared" ref="D31" si="31">SUM(D27:D30)</f>
        <v>0</v>
      </c>
      <c r="E31" s="856">
        <f t="shared" ref="E31" si="32">SUM(E27:E30)</f>
        <v>0</v>
      </c>
      <c r="F31" s="856">
        <f t="shared" ref="F31:P31" si="33">SUM(F27:F30)</f>
        <v>0</v>
      </c>
      <c r="G31" s="856">
        <f t="shared" si="33"/>
        <v>0</v>
      </c>
      <c r="H31" s="856">
        <f t="shared" si="33"/>
        <v>0</v>
      </c>
      <c r="I31" s="856">
        <f t="shared" si="33"/>
        <v>0</v>
      </c>
      <c r="J31" s="856">
        <f t="shared" si="33"/>
        <v>0</v>
      </c>
      <c r="K31" s="856">
        <f t="shared" si="33"/>
        <v>0</v>
      </c>
      <c r="L31" s="856">
        <f t="shared" si="33"/>
        <v>0</v>
      </c>
      <c r="M31" s="856">
        <f t="shared" si="33"/>
        <v>0</v>
      </c>
      <c r="N31" s="856">
        <f t="shared" si="33"/>
        <v>0</v>
      </c>
      <c r="O31" s="856">
        <f t="shared" si="33"/>
        <v>0</v>
      </c>
      <c r="P31" s="856">
        <f t="shared" si="33"/>
        <v>0</v>
      </c>
      <c r="Q31" s="612">
        <f>SUM(Q27:Q30)</f>
        <v>0</v>
      </c>
      <c r="R31" s="612"/>
      <c r="S31" s="99"/>
      <c r="T31" s="1556"/>
      <c r="U31" s="98" t="s">
        <v>1226</v>
      </c>
      <c r="V31" s="612">
        <f>SUM(V27:V30)</f>
        <v>0</v>
      </c>
      <c r="W31" s="612">
        <f t="shared" ref="W31:X31" si="34">SUM(W27:W30)</f>
        <v>0</v>
      </c>
      <c r="X31" s="612">
        <f t="shared" si="34"/>
        <v>0</v>
      </c>
      <c r="Y31" s="856">
        <f t="shared" ref="Y31:AI31" si="35">SUM(Y27:Y30)</f>
        <v>0</v>
      </c>
      <c r="Z31" s="856">
        <f t="shared" si="35"/>
        <v>0</v>
      </c>
      <c r="AA31" s="856">
        <f t="shared" si="35"/>
        <v>0</v>
      </c>
      <c r="AB31" s="856">
        <f t="shared" si="35"/>
        <v>0</v>
      </c>
      <c r="AC31" s="856">
        <f t="shared" si="35"/>
        <v>0</v>
      </c>
      <c r="AD31" s="856">
        <f t="shared" si="35"/>
        <v>0</v>
      </c>
      <c r="AE31" s="856">
        <f t="shared" si="35"/>
        <v>0</v>
      </c>
      <c r="AF31" s="856">
        <f t="shared" si="35"/>
        <v>0</v>
      </c>
      <c r="AG31" s="856">
        <f t="shared" si="35"/>
        <v>0</v>
      </c>
      <c r="AH31" s="856">
        <f t="shared" si="35"/>
        <v>0</v>
      </c>
      <c r="AI31" s="856">
        <f t="shared" si="35"/>
        <v>0</v>
      </c>
      <c r="AJ31" s="612">
        <f>SUM(AJ27:AJ30)</f>
        <v>0</v>
      </c>
    </row>
    <row r="32" spans="1:37">
      <c r="A32" s="1611"/>
      <c r="B32" s="101"/>
      <c r="C32" s="610"/>
      <c r="D32" s="610"/>
      <c r="E32" s="853"/>
      <c r="F32" s="853"/>
      <c r="G32" s="853"/>
      <c r="H32" s="853"/>
      <c r="I32" s="853"/>
      <c r="J32" s="853"/>
      <c r="K32" s="853"/>
      <c r="L32" s="853"/>
      <c r="M32" s="853"/>
      <c r="N32" s="853"/>
      <c r="O32" s="853"/>
      <c r="P32" s="853"/>
      <c r="Q32" s="610"/>
      <c r="R32" s="610"/>
      <c r="S32" s="86"/>
      <c r="T32" s="1620"/>
      <c r="U32" s="101"/>
      <c r="V32" s="610"/>
      <c r="W32" s="610"/>
      <c r="X32" s="610"/>
      <c r="Y32" s="853"/>
      <c r="Z32" s="853"/>
      <c r="AA32" s="853"/>
      <c r="AB32" s="853"/>
      <c r="AC32" s="853"/>
      <c r="AD32" s="853"/>
      <c r="AE32" s="853"/>
      <c r="AF32" s="853"/>
      <c r="AG32" s="853"/>
      <c r="AH32" s="853"/>
      <c r="AI32" s="853"/>
      <c r="AJ32" s="610"/>
    </row>
    <row r="33" spans="1:55">
      <c r="A33" s="1610">
        <v>3435</v>
      </c>
      <c r="B33" s="93" t="s">
        <v>222</v>
      </c>
      <c r="C33" s="627"/>
      <c r="D33" s="610"/>
      <c r="E33" s="856">
        <f t="shared" ref="E33" si="36">SUM(C33:D33)</f>
        <v>0</v>
      </c>
      <c r="F33" s="627"/>
      <c r="G33" s="627"/>
      <c r="H33" s="627"/>
      <c r="I33" s="627"/>
      <c r="J33" s="627"/>
      <c r="K33" s="627"/>
      <c r="L33" s="627"/>
      <c r="M33" s="627"/>
      <c r="N33" s="627"/>
      <c r="O33" s="627"/>
      <c r="P33" s="627"/>
      <c r="Q33" s="627"/>
      <c r="R33" s="87">
        <f>AVERAGE(E33:Q33)</f>
        <v>0</v>
      </c>
      <c r="S33" s="102"/>
      <c r="T33" s="1536">
        <v>3980</v>
      </c>
      <c r="U33" s="510" t="s">
        <v>251</v>
      </c>
      <c r="V33" s="627"/>
      <c r="W33" s="610"/>
      <c r="X33" s="856">
        <f t="shared" ref="X33" si="37">SUM(V33:W33)</f>
        <v>0</v>
      </c>
      <c r="Y33" s="627"/>
      <c r="Z33" s="627"/>
      <c r="AA33" s="627"/>
      <c r="AB33" s="627"/>
      <c r="AC33" s="627"/>
      <c r="AD33" s="627"/>
      <c r="AE33" s="627"/>
      <c r="AF33" s="627"/>
      <c r="AG33" s="627"/>
      <c r="AH33" s="627"/>
      <c r="AI33" s="627"/>
      <c r="AJ33" s="627"/>
      <c r="AK33" s="87">
        <f>AVERAGE(X33:AJ33)</f>
        <v>0</v>
      </c>
    </row>
    <row r="34" spans="1:55">
      <c r="A34" s="1608"/>
      <c r="B34" s="85"/>
      <c r="C34" s="610"/>
      <c r="D34" s="610"/>
      <c r="E34" s="853"/>
      <c r="F34" s="853"/>
      <c r="G34" s="853"/>
      <c r="H34" s="853"/>
      <c r="I34" s="853"/>
      <c r="J34" s="853"/>
      <c r="K34" s="853"/>
      <c r="L34" s="853"/>
      <c r="M34" s="853"/>
      <c r="N34" s="853"/>
      <c r="O34" s="853"/>
      <c r="P34" s="853"/>
      <c r="Q34" s="610"/>
      <c r="R34" s="610"/>
      <c r="S34" s="86"/>
      <c r="T34" s="1621"/>
      <c r="U34" s="85"/>
      <c r="V34" s="610"/>
      <c r="W34" s="610"/>
      <c r="X34" s="610"/>
      <c r="Y34" s="853"/>
      <c r="Z34" s="853"/>
      <c r="AA34" s="853"/>
      <c r="AB34" s="853"/>
      <c r="AC34" s="853"/>
      <c r="AD34" s="853"/>
      <c r="AE34" s="853"/>
      <c r="AF34" s="853"/>
      <c r="AG34" s="853"/>
      <c r="AH34" s="853"/>
      <c r="AI34" s="853"/>
      <c r="AJ34" s="610"/>
    </row>
    <row r="35" spans="1:55" ht="13.5" thickBot="1">
      <c r="A35" s="1608"/>
      <c r="B35" s="103" t="s">
        <v>1227</v>
      </c>
      <c r="C35" s="615">
        <f>+C8+C23+C33+C31+C25</f>
        <v>0</v>
      </c>
      <c r="D35" s="615">
        <f>+D8+D23+D33+D31</f>
        <v>0</v>
      </c>
      <c r="E35" s="615">
        <f t="shared" ref="E35:Q35" si="38">+E8+E23+E33+E31+E25</f>
        <v>0</v>
      </c>
      <c r="F35" s="615">
        <f t="shared" si="38"/>
        <v>0</v>
      </c>
      <c r="G35" s="615">
        <f t="shared" si="38"/>
        <v>0</v>
      </c>
      <c r="H35" s="615">
        <f t="shared" si="38"/>
        <v>0</v>
      </c>
      <c r="I35" s="615">
        <f t="shared" si="38"/>
        <v>0</v>
      </c>
      <c r="J35" s="615">
        <f t="shared" si="38"/>
        <v>0</v>
      </c>
      <c r="K35" s="615">
        <f t="shared" si="38"/>
        <v>0</v>
      </c>
      <c r="L35" s="615">
        <f t="shared" si="38"/>
        <v>0</v>
      </c>
      <c r="M35" s="615">
        <f t="shared" si="38"/>
        <v>0</v>
      </c>
      <c r="N35" s="615">
        <f t="shared" si="38"/>
        <v>0</v>
      </c>
      <c r="O35" s="615">
        <f t="shared" si="38"/>
        <v>0</v>
      </c>
      <c r="P35" s="615">
        <f t="shared" si="38"/>
        <v>0</v>
      </c>
      <c r="Q35" s="615">
        <f t="shared" si="38"/>
        <v>0</v>
      </c>
      <c r="R35" s="87">
        <f>AVERAGE(E35:Q35)</f>
        <v>0</v>
      </c>
      <c r="S35" s="99"/>
      <c r="T35" s="1621"/>
      <c r="U35" s="103" t="s">
        <v>1228</v>
      </c>
      <c r="V35" s="615">
        <f>+V8+V23+V33+V31+V25</f>
        <v>0</v>
      </c>
      <c r="W35" s="615">
        <f>+W8+W23+W33+W31</f>
        <v>0</v>
      </c>
      <c r="X35" s="615">
        <f t="shared" ref="X35:AJ35" si="39">+X8+X23+X33+X31+X25</f>
        <v>0</v>
      </c>
      <c r="Y35" s="615">
        <f t="shared" si="39"/>
        <v>0</v>
      </c>
      <c r="Z35" s="615">
        <f t="shared" si="39"/>
        <v>0</v>
      </c>
      <c r="AA35" s="615">
        <f t="shared" si="39"/>
        <v>0</v>
      </c>
      <c r="AB35" s="615">
        <f t="shared" si="39"/>
        <v>0</v>
      </c>
      <c r="AC35" s="615">
        <f t="shared" si="39"/>
        <v>0</v>
      </c>
      <c r="AD35" s="615">
        <f t="shared" si="39"/>
        <v>0</v>
      </c>
      <c r="AE35" s="615">
        <f t="shared" si="39"/>
        <v>0</v>
      </c>
      <c r="AF35" s="615">
        <f t="shared" si="39"/>
        <v>0</v>
      </c>
      <c r="AG35" s="615">
        <f t="shared" si="39"/>
        <v>0</v>
      </c>
      <c r="AH35" s="615">
        <f t="shared" si="39"/>
        <v>0</v>
      </c>
      <c r="AI35" s="615">
        <f t="shared" si="39"/>
        <v>0</v>
      </c>
      <c r="AJ35" s="615">
        <f t="shared" si="39"/>
        <v>0</v>
      </c>
      <c r="AK35" s="87">
        <f>AVERAGE(X35:AJ35)</f>
        <v>0</v>
      </c>
    </row>
    <row r="36" spans="1:55" s="496" customFormat="1" ht="13.5" thickTop="1">
      <c r="A36" s="1612"/>
      <c r="B36" s="493" t="s">
        <v>132</v>
      </c>
      <c r="C36" s="616"/>
      <c r="D36" s="616"/>
      <c r="E36" s="858"/>
      <c r="F36" s="858"/>
      <c r="G36" s="858"/>
      <c r="H36" s="858"/>
      <c r="I36" s="858"/>
      <c r="J36" s="858"/>
      <c r="K36" s="858"/>
      <c r="L36" s="858"/>
      <c r="M36" s="858"/>
      <c r="N36" s="858"/>
      <c r="O36" s="858"/>
      <c r="P36" s="858"/>
      <c r="Q36" s="616"/>
      <c r="R36" s="616"/>
      <c r="S36" s="494"/>
      <c r="T36" s="1554"/>
      <c r="U36" s="493" t="s">
        <v>132</v>
      </c>
      <c r="V36" s="616"/>
      <c r="W36" s="616"/>
      <c r="X36" s="616"/>
      <c r="Y36" s="858"/>
      <c r="Z36" s="858"/>
      <c r="AA36" s="858"/>
      <c r="AB36" s="858"/>
      <c r="AC36" s="858"/>
      <c r="AD36" s="858"/>
      <c r="AE36" s="858"/>
      <c r="AF36" s="858"/>
      <c r="AG36" s="858"/>
      <c r="AH36" s="858"/>
      <c r="AI36" s="858"/>
      <c r="AJ36" s="616"/>
      <c r="AK36" s="495"/>
      <c r="AL36" s="495"/>
      <c r="AM36" s="495"/>
      <c r="AN36" s="495"/>
      <c r="AO36" s="495"/>
      <c r="AP36" s="495"/>
      <c r="AQ36" s="495"/>
      <c r="AR36" s="495"/>
      <c r="AS36" s="495"/>
      <c r="AT36" s="495"/>
      <c r="AU36" s="495"/>
      <c r="AV36" s="495"/>
      <c r="AW36" s="495"/>
      <c r="AX36" s="495"/>
      <c r="AY36" s="495"/>
      <c r="AZ36" s="495"/>
      <c r="BA36" s="495"/>
      <c r="BB36" s="495"/>
      <c r="BC36" s="495"/>
    </row>
    <row r="37" spans="1:55" s="496" customFormat="1">
      <c r="A37" s="1612"/>
      <c r="B37" s="497" t="s">
        <v>138</v>
      </c>
      <c r="C37" s="616"/>
      <c r="D37" s="616"/>
      <c r="E37" s="858"/>
      <c r="F37" s="858"/>
      <c r="G37" s="858"/>
      <c r="H37" s="858"/>
      <c r="I37" s="858"/>
      <c r="J37" s="858"/>
      <c r="K37" s="858"/>
      <c r="L37" s="858"/>
      <c r="M37" s="858"/>
      <c r="N37" s="858"/>
      <c r="O37" s="858"/>
      <c r="P37" s="858"/>
      <c r="Q37" s="616"/>
      <c r="R37" s="616"/>
      <c r="S37" s="494"/>
      <c r="T37" s="1554"/>
      <c r="U37" s="497" t="s">
        <v>141</v>
      </c>
      <c r="V37" s="616"/>
      <c r="W37" s="616"/>
      <c r="X37" s="616"/>
      <c r="Y37" s="858"/>
      <c r="Z37" s="858"/>
      <c r="AA37" s="858"/>
      <c r="AB37" s="858"/>
      <c r="AC37" s="858"/>
      <c r="AD37" s="858"/>
      <c r="AE37" s="858"/>
      <c r="AF37" s="858"/>
      <c r="AG37" s="858"/>
      <c r="AH37" s="858"/>
      <c r="AI37" s="858"/>
      <c r="AJ37" s="616"/>
      <c r="AK37" s="495"/>
      <c r="AL37" s="495"/>
      <c r="AM37" s="495"/>
      <c r="AN37" s="495"/>
      <c r="AO37" s="495"/>
      <c r="AP37" s="495"/>
      <c r="AQ37" s="495"/>
      <c r="AR37" s="495"/>
      <c r="AS37" s="495"/>
      <c r="AT37" s="495"/>
      <c r="AU37" s="495"/>
      <c r="AV37" s="495"/>
      <c r="AW37" s="495"/>
      <c r="AX37" s="495"/>
      <c r="AY37" s="495"/>
      <c r="AZ37" s="495"/>
      <c r="BA37" s="495"/>
      <c r="BB37" s="495"/>
      <c r="BC37" s="495"/>
    </row>
    <row r="38" spans="1:55" s="496" customFormat="1">
      <c r="A38" s="1612"/>
      <c r="B38" s="493" t="s">
        <v>134</v>
      </c>
      <c r="C38" s="617">
        <f>+C35-C37</f>
        <v>0</v>
      </c>
      <c r="D38" s="621"/>
      <c r="E38" s="859"/>
      <c r="F38" s="860"/>
      <c r="G38" s="860"/>
      <c r="H38" s="860"/>
      <c r="I38" s="860"/>
      <c r="J38" s="860"/>
      <c r="K38" s="860"/>
      <c r="L38" s="860"/>
      <c r="M38" s="860"/>
      <c r="N38" s="860"/>
      <c r="O38" s="860"/>
      <c r="P38" s="860"/>
      <c r="Q38" s="617">
        <f>+Q35-Q37</f>
        <v>0</v>
      </c>
      <c r="R38" s="617"/>
      <c r="S38" s="494"/>
      <c r="T38" s="1554"/>
      <c r="U38" s="493" t="s">
        <v>134</v>
      </c>
      <c r="V38" s="621">
        <f>+V35-V37</f>
        <v>0</v>
      </c>
      <c r="W38" s="621"/>
      <c r="X38" s="621"/>
      <c r="Y38" s="859"/>
      <c r="Z38" s="859"/>
      <c r="AA38" s="859"/>
      <c r="AB38" s="859"/>
      <c r="AC38" s="859"/>
      <c r="AD38" s="859"/>
      <c r="AE38" s="859"/>
      <c r="AF38" s="859"/>
      <c r="AG38" s="859"/>
      <c r="AH38" s="859"/>
      <c r="AI38" s="859"/>
      <c r="AJ38" s="621">
        <f>+AJ35-AJ37</f>
        <v>0</v>
      </c>
      <c r="AK38" s="495"/>
      <c r="AL38" s="495"/>
      <c r="AM38" s="495"/>
      <c r="AN38" s="495"/>
      <c r="AO38" s="495"/>
      <c r="AP38" s="495"/>
      <c r="AQ38" s="495"/>
      <c r="AR38" s="495"/>
      <c r="AS38" s="495"/>
      <c r="AT38" s="495"/>
      <c r="AU38" s="495"/>
      <c r="AV38" s="495"/>
      <c r="AW38" s="495"/>
      <c r="AX38" s="495"/>
      <c r="AY38" s="495"/>
      <c r="AZ38" s="495"/>
      <c r="BA38" s="495"/>
      <c r="BB38" s="495"/>
      <c r="BC38" s="495"/>
    </row>
    <row r="39" spans="1:55" ht="8.25" customHeight="1">
      <c r="A39" s="1608"/>
      <c r="B39" s="85"/>
      <c r="C39" s="610"/>
      <c r="D39" s="622"/>
      <c r="E39" s="861"/>
      <c r="F39" s="853"/>
      <c r="G39" s="853"/>
      <c r="H39" s="853"/>
      <c r="I39" s="853"/>
      <c r="J39" s="853"/>
      <c r="K39" s="853"/>
      <c r="L39" s="853"/>
      <c r="M39" s="853"/>
      <c r="N39" s="853"/>
      <c r="O39" s="853"/>
      <c r="P39" s="853"/>
      <c r="Q39" s="610"/>
      <c r="R39" s="610"/>
      <c r="S39" s="86"/>
      <c r="T39" s="1621"/>
      <c r="U39" s="103"/>
      <c r="V39" s="622"/>
      <c r="W39" s="622"/>
      <c r="X39" s="622"/>
      <c r="Y39" s="861"/>
      <c r="Z39" s="861"/>
      <c r="AA39" s="861"/>
      <c r="AB39" s="861"/>
      <c r="AC39" s="861"/>
      <c r="AD39" s="861"/>
      <c r="AE39" s="861"/>
      <c r="AF39" s="861"/>
      <c r="AG39" s="861"/>
      <c r="AH39" s="861"/>
      <c r="AI39" s="861"/>
      <c r="AJ39" s="622"/>
    </row>
    <row r="40" spans="1:55">
      <c r="A40" s="1608"/>
      <c r="B40" s="85" t="s">
        <v>1229</v>
      </c>
      <c r="C40" s="610"/>
      <c r="D40" s="623"/>
      <c r="E40" s="862"/>
      <c r="F40" s="853"/>
      <c r="G40" s="853"/>
      <c r="H40" s="853"/>
      <c r="I40" s="853"/>
      <c r="J40" s="853"/>
      <c r="K40" s="853"/>
      <c r="L40" s="853"/>
      <c r="M40" s="853"/>
      <c r="N40" s="853"/>
      <c r="O40" s="853"/>
      <c r="P40" s="853"/>
      <c r="Q40" s="610"/>
      <c r="R40" s="610"/>
      <c r="S40" s="86"/>
      <c r="T40" s="1621"/>
      <c r="U40" s="103"/>
      <c r="V40" s="623"/>
      <c r="W40" s="623"/>
      <c r="X40" s="623"/>
      <c r="Y40" s="862"/>
      <c r="Z40" s="862"/>
      <c r="AA40" s="862"/>
      <c r="AB40" s="862"/>
      <c r="AC40" s="862"/>
      <c r="AD40" s="862"/>
      <c r="AE40" s="862"/>
      <c r="AF40" s="862"/>
      <c r="AG40" s="862"/>
      <c r="AH40" s="862"/>
      <c r="AI40" s="862"/>
      <c r="AJ40" s="623"/>
    </row>
    <row r="41" spans="1:55">
      <c r="A41" s="1609"/>
      <c r="B41" s="95" t="s">
        <v>1222</v>
      </c>
      <c r="C41" s="610"/>
      <c r="D41" s="623"/>
      <c r="E41" s="862"/>
      <c r="F41" s="853"/>
      <c r="G41" s="853"/>
      <c r="H41" s="853"/>
      <c r="I41" s="853"/>
      <c r="J41" s="853"/>
      <c r="K41" s="853"/>
      <c r="L41" s="853"/>
      <c r="M41" s="853"/>
      <c r="N41" s="853"/>
      <c r="O41" s="853"/>
      <c r="P41" s="853"/>
      <c r="Q41" s="610"/>
      <c r="R41" s="610"/>
      <c r="S41" s="98"/>
      <c r="T41" s="1618"/>
      <c r="U41" s="96" t="s">
        <v>1230</v>
      </c>
      <c r="V41" s="623"/>
      <c r="W41" s="623"/>
      <c r="X41" s="623"/>
      <c r="Y41" s="862"/>
      <c r="Z41" s="862"/>
      <c r="AA41" s="862"/>
      <c r="AB41" s="862"/>
      <c r="AC41" s="862"/>
      <c r="AD41" s="862"/>
      <c r="AE41" s="862"/>
      <c r="AF41" s="862"/>
      <c r="AG41" s="862"/>
      <c r="AH41" s="862"/>
      <c r="AI41" s="862"/>
      <c r="AJ41" s="623"/>
    </row>
    <row r="42" spans="1:55">
      <c r="A42" s="1610">
        <v>3550</v>
      </c>
      <c r="B42" s="97" t="s">
        <v>228</v>
      </c>
      <c r="C42" s="627">
        <f>-IFERROR(VLOOKUP($A42,'Trial Blc'!$B$4:P$377,C$2,FALSE),0)</f>
        <v>93599.6</v>
      </c>
      <c r="D42" s="610"/>
      <c r="E42" s="856">
        <f t="shared" ref="E42:E47" si="40">SUM(C42:D42)</f>
        <v>93599.6</v>
      </c>
      <c r="F42" s="627">
        <f>-IFERROR(VLOOKUP($A42,'Trial Blc'!$B$4:S$377,F$2,FALSE),0)</f>
        <v>93599.6</v>
      </c>
      <c r="G42" s="627">
        <f>-IFERROR(VLOOKUP($A42,'Trial Blc'!$B$4:T$377,G$2,FALSE),0)</f>
        <v>93599.6</v>
      </c>
      <c r="H42" s="627">
        <f>-IFERROR(VLOOKUP($A42,'Trial Blc'!$B$4:U$377,H$2,FALSE),0)</f>
        <v>93599.6</v>
      </c>
      <c r="I42" s="627">
        <f>-IFERROR(VLOOKUP($A42,'Trial Blc'!$B$4:V$377,I$2,FALSE),0)</f>
        <v>93599.6</v>
      </c>
      <c r="J42" s="627">
        <f>-IFERROR(VLOOKUP($A42,'Trial Blc'!$B$4:W$377,J$2,FALSE),0)</f>
        <v>93599.6</v>
      </c>
      <c r="K42" s="627">
        <f>-IFERROR(VLOOKUP($A42,'Trial Blc'!$B$4:X$377,K$2,FALSE),0)</f>
        <v>93599.6</v>
      </c>
      <c r="L42" s="627">
        <f>-IFERROR(VLOOKUP($A42,'Trial Blc'!$B$4:Y$377,L$2,FALSE),0)</f>
        <v>93599.6</v>
      </c>
      <c r="M42" s="627">
        <f>-IFERROR(VLOOKUP($A42,'Trial Blc'!$B$4:Z$377,M$2,FALSE),0)</f>
        <v>93599.6</v>
      </c>
      <c r="N42" s="627">
        <f>-IFERROR(VLOOKUP($A42,'Trial Blc'!$B$4:AA$377,N$2,FALSE),0)</f>
        <v>93599.6</v>
      </c>
      <c r="O42" s="627">
        <f>-IFERROR(VLOOKUP($A42,'Trial Blc'!$B$4:AB$377,O$2,FALSE),0)</f>
        <v>93599.6</v>
      </c>
      <c r="P42" s="627">
        <f>-IFERROR(VLOOKUP($A42,'Trial Blc'!$B$4:AC$377,P$2,FALSE),0)</f>
        <v>93599.6</v>
      </c>
      <c r="Q42" s="627">
        <f>-IFERROR(VLOOKUP($A42,'Trial Blc'!$B$4:AD$377,Q$2,FALSE),0)</f>
        <v>93599.6</v>
      </c>
      <c r="R42" s="87">
        <f t="shared" ref="R42:R47" si="41">AVERAGE(E42:Q42)</f>
        <v>93599.6</v>
      </c>
      <c r="S42" s="98"/>
      <c r="T42" s="1556">
        <v>4100</v>
      </c>
      <c r="U42" s="97" t="s">
        <v>258</v>
      </c>
      <c r="V42" s="627">
        <f>IFERROR(VLOOKUP($T42,'Trial Blc'!$B$4:AI$377,V$2,FALSE),0)</f>
        <v>23314.7</v>
      </c>
      <c r="W42" s="610"/>
      <c r="X42" s="856">
        <f t="shared" ref="X42" si="42">SUM(V42:W42)</f>
        <v>23314.7</v>
      </c>
      <c r="Y42" s="627">
        <f>IFERROR(VLOOKUP($T42,'Trial Blc'!$B$4:AL$377,Y$2,FALSE),0)</f>
        <v>23574.7</v>
      </c>
      <c r="Z42" s="627">
        <f>IFERROR(VLOOKUP($T42,'Trial Blc'!$B$4:AM$377,Z$2,FALSE),0)</f>
        <v>23834.7</v>
      </c>
      <c r="AA42" s="627">
        <f>IFERROR(VLOOKUP($T42,'Trial Blc'!$B$4:AN$377,AA$2,FALSE),0)</f>
        <v>24094.7</v>
      </c>
      <c r="AB42" s="627">
        <f>IFERROR(VLOOKUP($T42,'Trial Blc'!$B$4:AO$377,AB$2,FALSE),0)</f>
        <v>24354.7</v>
      </c>
      <c r="AC42" s="627">
        <f>IFERROR(VLOOKUP($T42,'Trial Blc'!$B$4:AP$377,AC$2,FALSE),0)</f>
        <v>24614.7</v>
      </c>
      <c r="AD42" s="627">
        <f>IFERROR(VLOOKUP($T42,'Trial Blc'!$B$4:AQ$377,AD$2,FALSE),0)</f>
        <v>24874.7</v>
      </c>
      <c r="AE42" s="627">
        <f>IFERROR(VLOOKUP($T42,'Trial Blc'!$B$4:AR$377,AE$2,FALSE),0)</f>
        <v>25134.7</v>
      </c>
      <c r="AF42" s="627">
        <f>IFERROR(VLOOKUP($T42,'Trial Blc'!$B$4:AS$377,AF$2,FALSE),0)</f>
        <v>25394.7</v>
      </c>
      <c r="AG42" s="627">
        <f>IFERROR(VLOOKUP($T42,'Trial Blc'!$B$4:AT$377,AG$2,FALSE),0)</f>
        <v>25654.7</v>
      </c>
      <c r="AH42" s="627">
        <f>IFERROR(VLOOKUP($T42,'Trial Blc'!$B$4:AU$377,AH$2,FALSE),0)</f>
        <v>25914.7</v>
      </c>
      <c r="AI42" s="627">
        <f>IFERROR(VLOOKUP($T42,'Trial Blc'!$B$4:AV$377,AI$2,FALSE),0)</f>
        <v>26174.7</v>
      </c>
      <c r="AJ42" s="627">
        <f>IFERROR(VLOOKUP($T42,'Trial Blc'!$B$4:AW$377,AJ$2,FALSE),0)</f>
        <v>26434.7</v>
      </c>
      <c r="AK42" s="87">
        <f t="shared" ref="AK42" si="43">AVERAGE(X42:AJ42)</f>
        <v>24874.700000000008</v>
      </c>
    </row>
    <row r="43" spans="1:55">
      <c r="A43" s="1610">
        <v>3555</v>
      </c>
      <c r="B43" s="97" t="s">
        <v>229</v>
      </c>
      <c r="C43" s="627">
        <f>-IFERROR(VLOOKUP($A43,'Trial Blc'!$B$4:P$377,C$2,FALSE),0)</f>
        <v>535385.25</v>
      </c>
      <c r="D43" s="610"/>
      <c r="E43" s="856">
        <f t="shared" si="40"/>
        <v>535385.25</v>
      </c>
      <c r="F43" s="627">
        <f>-IFERROR(VLOOKUP($A43,'Trial Blc'!$B$4:S$377,F$2,FALSE),0)</f>
        <v>535385.25</v>
      </c>
      <c r="G43" s="627">
        <f>-IFERROR(VLOOKUP($A43,'Trial Blc'!$B$4:T$377,G$2,FALSE),0)</f>
        <v>535385.25</v>
      </c>
      <c r="H43" s="627">
        <f>-IFERROR(VLOOKUP($A43,'Trial Blc'!$B$4:U$377,H$2,FALSE),0)</f>
        <v>535385.25</v>
      </c>
      <c r="I43" s="627">
        <f>-IFERROR(VLOOKUP($A43,'Trial Blc'!$B$4:V$377,I$2,FALSE),0)</f>
        <v>535385.25</v>
      </c>
      <c r="J43" s="627">
        <f>-IFERROR(VLOOKUP($A43,'Trial Blc'!$B$4:W$377,J$2,FALSE),0)</f>
        <v>535385.25</v>
      </c>
      <c r="K43" s="627">
        <f>-IFERROR(VLOOKUP($A43,'Trial Blc'!$B$4:X$377,K$2,FALSE),0)</f>
        <v>535385.25</v>
      </c>
      <c r="L43" s="627">
        <f>-IFERROR(VLOOKUP($A43,'Trial Blc'!$B$4:Y$377,L$2,FALSE),0)</f>
        <v>535385.25</v>
      </c>
      <c r="M43" s="627">
        <f>-IFERROR(VLOOKUP($A43,'Trial Blc'!$B$4:Z$377,M$2,FALSE),0)</f>
        <v>535385.25</v>
      </c>
      <c r="N43" s="627">
        <f>-IFERROR(VLOOKUP($A43,'Trial Blc'!$B$4:AA$377,N$2,FALSE),0)</f>
        <v>535385.25</v>
      </c>
      <c r="O43" s="627">
        <f>-IFERROR(VLOOKUP($A43,'Trial Blc'!$B$4:AB$377,O$2,FALSE),0)</f>
        <v>535385.25</v>
      </c>
      <c r="P43" s="627">
        <f>-IFERROR(VLOOKUP($A43,'Trial Blc'!$B$4:AC$377,P$2,FALSE),0)</f>
        <v>535385.25</v>
      </c>
      <c r="Q43" s="627">
        <f>-IFERROR(VLOOKUP($A43,'Trial Blc'!$B$4:AD$377,Q$2,FALSE),0)</f>
        <v>535385.25</v>
      </c>
      <c r="R43" s="87">
        <f t="shared" si="41"/>
        <v>535385.25</v>
      </c>
      <c r="S43" s="98"/>
      <c r="T43" s="1556">
        <v>4105</v>
      </c>
      <c r="U43" s="97" t="s">
        <v>257</v>
      </c>
      <c r="V43" s="627">
        <f>IFERROR(VLOOKUP($T43,'Trial Blc'!$B$4:AI$377,V$2,FALSE),0)</f>
        <v>137712.72</v>
      </c>
      <c r="W43" s="610"/>
      <c r="X43" s="856">
        <f t="shared" ref="X43:X47" si="44">SUM(V43:W43)</f>
        <v>137712.72</v>
      </c>
      <c r="Y43" s="627">
        <f>IFERROR(VLOOKUP($T43,'Trial Blc'!$B$4:AL$377,Y$2,FALSE),0)</f>
        <v>138702.34</v>
      </c>
      <c r="Z43" s="627">
        <f>IFERROR(VLOOKUP($T43,'Trial Blc'!$B$4:AM$377,Z$2,FALSE),0)</f>
        <v>139691.96</v>
      </c>
      <c r="AA43" s="627">
        <f>IFERROR(VLOOKUP($T43,'Trial Blc'!$B$4:AN$377,AA$2,FALSE),0)</f>
        <v>140681.57999999999</v>
      </c>
      <c r="AB43" s="627">
        <f>IFERROR(VLOOKUP($T43,'Trial Blc'!$B$4:AO$377,AB$2,FALSE),0)</f>
        <v>141671.20000000001</v>
      </c>
      <c r="AC43" s="627">
        <f>IFERROR(VLOOKUP($T43,'Trial Blc'!$B$4:AP$377,AC$2,FALSE),0)</f>
        <v>142660.82</v>
      </c>
      <c r="AD43" s="627">
        <f>IFERROR(VLOOKUP($T43,'Trial Blc'!$B$4:AQ$377,AD$2,FALSE),0)</f>
        <v>143650.44</v>
      </c>
      <c r="AE43" s="627">
        <f>IFERROR(VLOOKUP($T43,'Trial Blc'!$B$4:AR$377,AE$2,FALSE),0)</f>
        <v>144640.06</v>
      </c>
      <c r="AF43" s="627">
        <f>IFERROR(VLOOKUP($T43,'Trial Blc'!$B$4:AS$377,AF$2,FALSE),0)</f>
        <v>145629.68</v>
      </c>
      <c r="AG43" s="627">
        <f>IFERROR(VLOOKUP($T43,'Trial Blc'!$B$4:AT$377,AG$2,FALSE),0)</f>
        <v>146619.29999999999</v>
      </c>
      <c r="AH43" s="627">
        <f>IFERROR(VLOOKUP($T43,'Trial Blc'!$B$4:AU$377,AH$2,FALSE),0)</f>
        <v>147608.92000000001</v>
      </c>
      <c r="AI43" s="627">
        <f>IFERROR(VLOOKUP($T43,'Trial Blc'!$B$4:AV$377,AI$2,FALSE),0)</f>
        <v>148598.54</v>
      </c>
      <c r="AJ43" s="627">
        <f>IFERROR(VLOOKUP($T43,'Trial Blc'!$B$4:AW$377,AJ$2,FALSE),0)</f>
        <v>149588.16</v>
      </c>
      <c r="AK43" s="87">
        <f t="shared" ref="AK43:AK47" si="45">AVERAGE(X43:AJ43)</f>
        <v>143650.44</v>
      </c>
    </row>
    <row r="44" spans="1:55">
      <c r="A44" s="1610">
        <v>3557</v>
      </c>
      <c r="B44" s="97" t="s">
        <v>1572</v>
      </c>
      <c r="C44" s="627">
        <f>-IFERROR(VLOOKUP($A44,'Trial Blc'!$B$4:P$377,C$2,FALSE),0)</f>
        <v>23459.64</v>
      </c>
      <c r="D44" s="610"/>
      <c r="E44" s="856">
        <f t="shared" si="40"/>
        <v>23459.64</v>
      </c>
      <c r="F44" s="627">
        <f>-IFERROR(VLOOKUP($A44,'Trial Blc'!$B$4:S$377,F$2,FALSE),0)</f>
        <v>23459.64</v>
      </c>
      <c r="G44" s="627">
        <f>-IFERROR(VLOOKUP($A44,'Trial Blc'!$B$4:T$377,G$2,FALSE),0)</f>
        <v>23459.64</v>
      </c>
      <c r="H44" s="627">
        <f>-IFERROR(VLOOKUP($A44,'Trial Blc'!$B$4:U$377,H$2,FALSE),0)</f>
        <v>23459.64</v>
      </c>
      <c r="I44" s="627">
        <f>-IFERROR(VLOOKUP($A44,'Trial Blc'!$B$4:V$377,I$2,FALSE),0)</f>
        <v>23459.64</v>
      </c>
      <c r="J44" s="627">
        <f>-IFERROR(VLOOKUP($A44,'Trial Blc'!$B$4:W$377,J$2,FALSE),0)</f>
        <v>23459.64</v>
      </c>
      <c r="K44" s="627">
        <f>-IFERROR(VLOOKUP($A44,'Trial Blc'!$B$4:X$377,K$2,FALSE),0)</f>
        <v>23459.64</v>
      </c>
      <c r="L44" s="627">
        <f>-IFERROR(VLOOKUP($A44,'Trial Blc'!$B$4:Y$377,L$2,FALSE),0)</f>
        <v>23459.64</v>
      </c>
      <c r="M44" s="627">
        <f>-IFERROR(VLOOKUP($A44,'Trial Blc'!$B$4:Z$377,M$2,FALSE),0)</f>
        <v>23459.64</v>
      </c>
      <c r="N44" s="627">
        <f>-IFERROR(VLOOKUP($A44,'Trial Blc'!$B$4:AA$377,N$2,FALSE),0)</f>
        <v>23459.64</v>
      </c>
      <c r="O44" s="627">
        <f>-IFERROR(VLOOKUP($A44,'Trial Blc'!$B$4:AB$377,O$2,FALSE),0)</f>
        <v>23459.64</v>
      </c>
      <c r="P44" s="627">
        <f>-IFERROR(VLOOKUP($A44,'Trial Blc'!$B$4:AC$377,P$2,FALSE),0)</f>
        <v>23459.64</v>
      </c>
      <c r="Q44" s="627">
        <f>-IFERROR(VLOOKUP($A44,'Trial Blc'!$B$4:AD$377,Q$2,FALSE),0)</f>
        <v>23459.64</v>
      </c>
      <c r="R44" s="87">
        <f t="shared" si="41"/>
        <v>23459.640000000007</v>
      </c>
      <c r="S44" s="98"/>
      <c r="T44" s="1556">
        <v>4107</v>
      </c>
      <c r="U44" s="97" t="s">
        <v>1576</v>
      </c>
      <c r="V44" s="627">
        <f>IFERROR(VLOOKUP($T44,'Trial Blc'!$B$4:AI$377,V$2,FALSE),0)</f>
        <v>6902.72</v>
      </c>
      <c r="W44" s="610"/>
      <c r="X44" s="856">
        <f t="shared" si="44"/>
        <v>6902.72</v>
      </c>
      <c r="Y44" s="627">
        <f>IFERROR(VLOOKUP($T44,'Trial Blc'!$B$4:AL$377,Y$2,FALSE),0)</f>
        <v>6946.08</v>
      </c>
      <c r="Z44" s="627">
        <f>IFERROR(VLOOKUP($T44,'Trial Blc'!$B$4:AM$377,Z$2,FALSE),0)</f>
        <v>6989.44</v>
      </c>
      <c r="AA44" s="627">
        <f>IFERROR(VLOOKUP($T44,'Trial Blc'!$B$4:AN$377,AA$2,FALSE),0)</f>
        <v>7032.8</v>
      </c>
      <c r="AB44" s="627">
        <f>IFERROR(VLOOKUP($T44,'Trial Blc'!$B$4:AO$377,AB$2,FALSE),0)</f>
        <v>7076.16</v>
      </c>
      <c r="AC44" s="627">
        <f>IFERROR(VLOOKUP($T44,'Trial Blc'!$B$4:AP$377,AC$2,FALSE),0)</f>
        <v>7119.52</v>
      </c>
      <c r="AD44" s="627">
        <f>IFERROR(VLOOKUP($T44,'Trial Blc'!$B$4:AQ$377,AD$2,FALSE),0)</f>
        <v>7162.88</v>
      </c>
      <c r="AE44" s="627">
        <f>IFERROR(VLOOKUP($T44,'Trial Blc'!$B$4:AR$377,AE$2,FALSE),0)</f>
        <v>7206.24</v>
      </c>
      <c r="AF44" s="627">
        <f>IFERROR(VLOOKUP($T44,'Trial Blc'!$B$4:AS$377,AF$2,FALSE),0)</f>
        <v>7249.6</v>
      </c>
      <c r="AG44" s="627">
        <f>IFERROR(VLOOKUP($T44,'Trial Blc'!$B$4:AT$377,AG$2,FALSE),0)</f>
        <v>7292.96</v>
      </c>
      <c r="AH44" s="627">
        <f>IFERROR(VLOOKUP($T44,'Trial Blc'!$B$4:AU$377,AH$2,FALSE),0)</f>
        <v>7336.32</v>
      </c>
      <c r="AI44" s="627">
        <f>IFERROR(VLOOKUP($T44,'Trial Blc'!$B$4:AV$377,AI$2,FALSE),0)</f>
        <v>7379.68</v>
      </c>
      <c r="AJ44" s="627">
        <f>IFERROR(VLOOKUP($T44,'Trial Blc'!$B$4:AW$377,AJ$2,FALSE),0)</f>
        <v>7423.04</v>
      </c>
      <c r="AK44" s="87">
        <f t="shared" si="45"/>
        <v>7162.8799999999992</v>
      </c>
    </row>
    <row r="45" spans="1:55">
      <c r="A45" s="1610">
        <v>3565</v>
      </c>
      <c r="B45" s="97" t="s">
        <v>1573</v>
      </c>
      <c r="C45" s="627">
        <f>-IFERROR(VLOOKUP($A45,'Trial Blc'!$B$4:P$377,C$2,FALSE),0)</f>
        <v>41114.47</v>
      </c>
      <c r="D45" s="610"/>
      <c r="E45" s="856">
        <f t="shared" si="40"/>
        <v>41114.47</v>
      </c>
      <c r="F45" s="627">
        <f>-IFERROR(VLOOKUP($A45,'Trial Blc'!$B$4:S$377,F$2,FALSE),0)</f>
        <v>41114.47</v>
      </c>
      <c r="G45" s="627">
        <f>-IFERROR(VLOOKUP($A45,'Trial Blc'!$B$4:T$377,G$2,FALSE),0)</f>
        <v>41114.47</v>
      </c>
      <c r="H45" s="627">
        <f>-IFERROR(VLOOKUP($A45,'Trial Blc'!$B$4:U$377,H$2,FALSE),0)</f>
        <v>41114.47</v>
      </c>
      <c r="I45" s="627">
        <f>-IFERROR(VLOOKUP($A45,'Trial Blc'!$B$4:V$377,I$2,FALSE),0)</f>
        <v>41114.47</v>
      </c>
      <c r="J45" s="627">
        <f>-IFERROR(VLOOKUP($A45,'Trial Blc'!$B$4:W$377,J$2,FALSE),0)</f>
        <v>41114.47</v>
      </c>
      <c r="K45" s="627">
        <f>-IFERROR(VLOOKUP($A45,'Trial Blc'!$B$4:X$377,K$2,FALSE),0)</f>
        <v>41114.47</v>
      </c>
      <c r="L45" s="627">
        <f>-IFERROR(VLOOKUP($A45,'Trial Blc'!$B$4:Y$377,L$2,FALSE),0)</f>
        <v>41114.47</v>
      </c>
      <c r="M45" s="627">
        <f>-IFERROR(VLOOKUP($A45,'Trial Blc'!$B$4:Z$377,M$2,FALSE),0)</f>
        <v>41114.47</v>
      </c>
      <c r="N45" s="627">
        <f>-IFERROR(VLOOKUP($A45,'Trial Blc'!$B$4:AA$377,N$2,FALSE),0)</f>
        <v>41114.47</v>
      </c>
      <c r="O45" s="627">
        <f>-IFERROR(VLOOKUP($A45,'Trial Blc'!$B$4:AB$377,O$2,FALSE),0)</f>
        <v>41114.47</v>
      </c>
      <c r="P45" s="627">
        <f>-IFERROR(VLOOKUP($A45,'Trial Blc'!$B$4:AC$377,P$2,FALSE),0)</f>
        <v>41114.47</v>
      </c>
      <c r="Q45" s="627">
        <f>-IFERROR(VLOOKUP($A45,'Trial Blc'!$B$4:AD$377,Q$2,FALSE),0)</f>
        <v>41114.47</v>
      </c>
      <c r="R45" s="87">
        <f t="shared" si="41"/>
        <v>41114.469999999987</v>
      </c>
      <c r="S45" s="98"/>
      <c r="T45" s="1556">
        <v>4115</v>
      </c>
      <c r="U45" s="97" t="s">
        <v>1577</v>
      </c>
      <c r="V45" s="627">
        <f>IFERROR(VLOOKUP($T45,'Trial Blc'!$B$4:AI$377,V$2,FALSE),0)</f>
        <v>13324.07</v>
      </c>
      <c r="W45" s="610"/>
      <c r="X45" s="856">
        <f t="shared" si="44"/>
        <v>13324.07</v>
      </c>
      <c r="Y45" s="627">
        <f>IFERROR(VLOOKUP($T45,'Trial Blc'!$B$4:AL$377,Y$2,FALSE),0)</f>
        <v>13438.28</v>
      </c>
      <c r="Z45" s="627">
        <f>IFERROR(VLOOKUP($T45,'Trial Blc'!$B$4:AM$377,Z$2,FALSE),0)</f>
        <v>13552.49</v>
      </c>
      <c r="AA45" s="627">
        <f>IFERROR(VLOOKUP($T45,'Trial Blc'!$B$4:AN$377,AA$2,FALSE),0)</f>
        <v>13666.7</v>
      </c>
      <c r="AB45" s="627">
        <f>IFERROR(VLOOKUP($T45,'Trial Blc'!$B$4:AO$377,AB$2,FALSE),0)</f>
        <v>13780.91</v>
      </c>
      <c r="AC45" s="627">
        <f>IFERROR(VLOOKUP($T45,'Trial Blc'!$B$4:AP$377,AC$2,FALSE),0)</f>
        <v>13895.12</v>
      </c>
      <c r="AD45" s="627">
        <f>IFERROR(VLOOKUP($T45,'Trial Blc'!$B$4:AQ$377,AD$2,FALSE),0)</f>
        <v>14009.33</v>
      </c>
      <c r="AE45" s="627">
        <f>IFERROR(VLOOKUP($T45,'Trial Blc'!$B$4:AR$377,AE$2,FALSE),0)</f>
        <v>14123.54</v>
      </c>
      <c r="AF45" s="627">
        <f>IFERROR(VLOOKUP($T45,'Trial Blc'!$B$4:AS$377,AF$2,FALSE),0)</f>
        <v>14237.75</v>
      </c>
      <c r="AG45" s="627">
        <f>IFERROR(VLOOKUP($T45,'Trial Blc'!$B$4:AT$377,AG$2,FALSE),0)</f>
        <v>14351.96</v>
      </c>
      <c r="AH45" s="627">
        <f>IFERROR(VLOOKUP($T45,'Trial Blc'!$B$4:AU$377,AH$2,FALSE),0)</f>
        <v>14466.17</v>
      </c>
      <c r="AI45" s="627">
        <f>IFERROR(VLOOKUP($T45,'Trial Blc'!$B$4:AV$377,AI$2,FALSE),0)</f>
        <v>14580.38</v>
      </c>
      <c r="AJ45" s="627">
        <f>IFERROR(VLOOKUP($T45,'Trial Blc'!$B$4:AW$377,AJ$2,FALSE),0)</f>
        <v>14694.59</v>
      </c>
      <c r="AK45" s="87">
        <f t="shared" si="45"/>
        <v>14009.33</v>
      </c>
    </row>
    <row r="46" spans="1:55" s="477" customFormat="1">
      <c r="A46" s="1613">
        <v>3750</v>
      </c>
      <c r="B46" s="509" t="s">
        <v>235</v>
      </c>
      <c r="C46" s="627">
        <f>-IFERROR(VLOOKUP($A46,'Trial Blc'!$B$4:P$377,C$2,FALSE),0)</f>
        <v>0</v>
      </c>
      <c r="D46" s="610"/>
      <c r="E46" s="856">
        <f t="shared" si="40"/>
        <v>0</v>
      </c>
      <c r="F46" s="627">
        <f>-IFERROR(VLOOKUP($A46,'Trial Blc'!$B$4:S$377,F$2,FALSE),0)</f>
        <v>0</v>
      </c>
      <c r="G46" s="627">
        <f>-IFERROR(VLOOKUP($A46,'Trial Blc'!$B$4:T$377,G$2,FALSE),0)</f>
        <v>0</v>
      </c>
      <c r="H46" s="627">
        <f>-IFERROR(VLOOKUP($A46,'Trial Blc'!$B$4:U$377,H$2,FALSE),0)</f>
        <v>0</v>
      </c>
      <c r="I46" s="627">
        <f>-IFERROR(VLOOKUP($A46,'Trial Blc'!$B$4:V$377,I$2,FALSE),0)</f>
        <v>0</v>
      </c>
      <c r="J46" s="627">
        <f>-IFERROR(VLOOKUP($A46,'Trial Blc'!$B$4:W$377,J$2,FALSE),0)</f>
        <v>0</v>
      </c>
      <c r="K46" s="627">
        <f>-IFERROR(VLOOKUP($A46,'Trial Blc'!$B$4:X$377,K$2,FALSE),0)</f>
        <v>0</v>
      </c>
      <c r="L46" s="627">
        <f>-IFERROR(VLOOKUP($A46,'Trial Blc'!$B$4:Y$377,L$2,FALSE),0)</f>
        <v>0</v>
      </c>
      <c r="M46" s="627">
        <f>-IFERROR(VLOOKUP($A46,'Trial Blc'!$B$4:Z$377,M$2,FALSE),0)</f>
        <v>0</v>
      </c>
      <c r="N46" s="627">
        <f>-IFERROR(VLOOKUP($A46,'Trial Blc'!$B$4:AA$377,N$2,FALSE),0)</f>
        <v>0</v>
      </c>
      <c r="O46" s="627">
        <f>-IFERROR(VLOOKUP($A46,'Trial Blc'!$B$4:AB$377,O$2,FALSE),0)</f>
        <v>0</v>
      </c>
      <c r="P46" s="627">
        <f>-IFERROR(VLOOKUP($A46,'Trial Blc'!$B$4:AC$377,P$2,FALSE),0)</f>
        <v>0</v>
      </c>
      <c r="Q46" s="627">
        <f>-IFERROR(VLOOKUP($A46,'Trial Blc'!$B$4:AD$377,Q$2,FALSE),0)</f>
        <v>0</v>
      </c>
      <c r="R46" s="87">
        <f t="shared" si="41"/>
        <v>0</v>
      </c>
      <c r="S46" s="97"/>
      <c r="T46" s="1556">
        <v>4310</v>
      </c>
      <c r="U46" s="97" t="s">
        <v>264</v>
      </c>
      <c r="V46" s="627">
        <f>IFERROR(VLOOKUP($T46,'Trial Blc'!$B$4:AI$377,V$2,FALSE),0)</f>
        <v>0</v>
      </c>
      <c r="W46" s="610"/>
      <c r="X46" s="856">
        <f t="shared" si="44"/>
        <v>0</v>
      </c>
      <c r="Y46" s="627">
        <f>IFERROR(VLOOKUP($T46,'Trial Blc'!$B$4:AL$377,Y$2,FALSE),0)</f>
        <v>0</v>
      </c>
      <c r="Z46" s="627">
        <f>IFERROR(VLOOKUP($T46,'Trial Blc'!$B$4:AM$377,Z$2,FALSE),0)</f>
        <v>0</v>
      </c>
      <c r="AA46" s="627">
        <f>IFERROR(VLOOKUP($T46,'Trial Blc'!$B$4:AN$377,AA$2,FALSE),0)</f>
        <v>0</v>
      </c>
      <c r="AB46" s="627">
        <f>IFERROR(VLOOKUP($T46,'Trial Blc'!$B$4:AO$377,AB$2,FALSE),0)</f>
        <v>0</v>
      </c>
      <c r="AC46" s="627">
        <f>IFERROR(VLOOKUP($T46,'Trial Blc'!$B$4:AP$377,AC$2,FALSE),0)</f>
        <v>0</v>
      </c>
      <c r="AD46" s="627">
        <f>IFERROR(VLOOKUP($T46,'Trial Blc'!$B$4:AQ$377,AD$2,FALSE),0)</f>
        <v>0</v>
      </c>
      <c r="AE46" s="627">
        <f>IFERROR(VLOOKUP($T46,'Trial Blc'!$B$4:AR$377,AE$2,FALSE),0)</f>
        <v>0</v>
      </c>
      <c r="AF46" s="627">
        <f>IFERROR(VLOOKUP($T46,'Trial Blc'!$B$4:AS$377,AF$2,FALSE),0)</f>
        <v>0</v>
      </c>
      <c r="AG46" s="627">
        <f>IFERROR(VLOOKUP($T46,'Trial Blc'!$B$4:AT$377,AG$2,FALSE),0)</f>
        <v>0</v>
      </c>
      <c r="AH46" s="627">
        <f>IFERROR(VLOOKUP($T46,'Trial Blc'!$B$4:AU$377,AH$2,FALSE),0)</f>
        <v>0</v>
      </c>
      <c r="AI46" s="627">
        <f>IFERROR(VLOOKUP($T46,'Trial Blc'!$B$4:AV$377,AI$2,FALSE),0)</f>
        <v>0</v>
      </c>
      <c r="AJ46" s="627">
        <f>IFERROR(VLOOKUP($T46,'Trial Blc'!$B$4:AW$377,AJ$2,FALSE),0)</f>
        <v>0</v>
      </c>
      <c r="AK46" s="87">
        <f t="shared" si="45"/>
        <v>0</v>
      </c>
      <c r="AL46" s="97"/>
      <c r="AM46" s="97"/>
      <c r="AN46" s="97"/>
      <c r="AO46" s="97"/>
      <c r="AP46" s="97"/>
      <c r="AQ46" s="97"/>
      <c r="AR46" s="97"/>
      <c r="AS46" s="97"/>
      <c r="AT46" s="97"/>
      <c r="AU46" s="97"/>
      <c r="AV46" s="97"/>
      <c r="AW46" s="97"/>
      <c r="AX46" s="97"/>
      <c r="AY46" s="97"/>
      <c r="AZ46" s="97"/>
      <c r="BA46" s="97"/>
      <c r="BB46" s="97"/>
      <c r="BC46" s="97"/>
    </row>
    <row r="47" spans="1:55">
      <c r="A47" s="1610">
        <v>3625</v>
      </c>
      <c r="B47" s="97" t="s">
        <v>231</v>
      </c>
      <c r="C47" s="627">
        <f>-IFERROR(VLOOKUP($A47,'Trial Blc'!$B$4:P$377,C$2,FALSE),0)</f>
        <v>0</v>
      </c>
      <c r="D47" s="610"/>
      <c r="E47" s="856">
        <f t="shared" si="40"/>
        <v>0</v>
      </c>
      <c r="F47" s="627">
        <f>-IFERROR(VLOOKUP($A47,'Trial Blc'!$B$4:S$377,F$2,FALSE),0)</f>
        <v>0</v>
      </c>
      <c r="G47" s="627">
        <f>-IFERROR(VLOOKUP($A47,'Trial Blc'!$B$4:T$377,G$2,FALSE),0)</f>
        <v>0</v>
      </c>
      <c r="H47" s="627">
        <f>-IFERROR(VLOOKUP($A47,'Trial Blc'!$B$4:U$377,H$2,FALSE),0)</f>
        <v>0</v>
      </c>
      <c r="I47" s="627">
        <f>-IFERROR(VLOOKUP($A47,'Trial Blc'!$B$4:V$377,I$2,FALSE),0)</f>
        <v>0</v>
      </c>
      <c r="J47" s="627">
        <f>-IFERROR(VLOOKUP($A47,'Trial Blc'!$B$4:W$377,J$2,FALSE),0)</f>
        <v>0</v>
      </c>
      <c r="K47" s="627">
        <f>-IFERROR(VLOOKUP($A47,'Trial Blc'!$B$4:X$377,K$2,FALSE),0)</f>
        <v>0</v>
      </c>
      <c r="L47" s="627">
        <f>-IFERROR(VLOOKUP($A47,'Trial Blc'!$B$4:Y$377,L$2,FALSE),0)</f>
        <v>0</v>
      </c>
      <c r="M47" s="627">
        <f>-IFERROR(VLOOKUP($A47,'Trial Blc'!$B$4:Z$377,M$2,FALSE),0)</f>
        <v>0</v>
      </c>
      <c r="N47" s="627">
        <f>-IFERROR(VLOOKUP($A47,'Trial Blc'!$B$4:AA$377,N$2,FALSE),0)</f>
        <v>0</v>
      </c>
      <c r="O47" s="627">
        <f>-IFERROR(VLOOKUP($A47,'Trial Blc'!$B$4:AB$377,O$2,FALSE),0)</f>
        <v>0</v>
      </c>
      <c r="P47" s="627">
        <f>-IFERROR(VLOOKUP($A47,'Trial Blc'!$B$4:AC$377,P$2,FALSE),0)</f>
        <v>0</v>
      </c>
      <c r="Q47" s="627">
        <f>-IFERROR(VLOOKUP($A47,'Trial Blc'!$B$4:AD$377,Q$2,FALSE),0)</f>
        <v>0</v>
      </c>
      <c r="R47" s="87">
        <f t="shared" si="41"/>
        <v>0</v>
      </c>
      <c r="S47" s="98"/>
      <c r="T47" s="1556">
        <v>4175</v>
      </c>
      <c r="U47" s="97" t="s">
        <v>260</v>
      </c>
      <c r="V47" s="627">
        <f>IFERROR(VLOOKUP($T47,'Trial Blc'!$B$4:AI$377,V$2,FALSE),0)</f>
        <v>0</v>
      </c>
      <c r="W47" s="610"/>
      <c r="X47" s="856">
        <f t="shared" si="44"/>
        <v>0</v>
      </c>
      <c r="Y47" s="627">
        <f>IFERROR(VLOOKUP($T47,'Trial Blc'!$B$4:AL$377,Y$2,FALSE),0)</f>
        <v>0</v>
      </c>
      <c r="Z47" s="627">
        <f>IFERROR(VLOOKUP($T47,'Trial Blc'!$B$4:AM$377,Z$2,FALSE),0)</f>
        <v>0</v>
      </c>
      <c r="AA47" s="627">
        <f>IFERROR(VLOOKUP($T47,'Trial Blc'!$B$4:AN$377,AA$2,FALSE),0)</f>
        <v>0</v>
      </c>
      <c r="AB47" s="627">
        <f>IFERROR(VLOOKUP($T47,'Trial Blc'!$B$4:AO$377,AB$2,FALSE),0)</f>
        <v>0</v>
      </c>
      <c r="AC47" s="627">
        <f>IFERROR(VLOOKUP($T47,'Trial Blc'!$B$4:AP$377,AC$2,FALSE),0)</f>
        <v>0</v>
      </c>
      <c r="AD47" s="627">
        <f>IFERROR(VLOOKUP($T47,'Trial Blc'!$B$4:AQ$377,AD$2,FALSE),0)</f>
        <v>0</v>
      </c>
      <c r="AE47" s="627">
        <f>IFERROR(VLOOKUP($T47,'Trial Blc'!$B$4:AR$377,AE$2,FALSE),0)</f>
        <v>0</v>
      </c>
      <c r="AF47" s="627">
        <f>IFERROR(VLOOKUP($T47,'Trial Blc'!$B$4:AS$377,AF$2,FALSE),0)</f>
        <v>0</v>
      </c>
      <c r="AG47" s="627">
        <f>IFERROR(VLOOKUP($T47,'Trial Blc'!$B$4:AT$377,AG$2,FALSE),0)</f>
        <v>0</v>
      </c>
      <c r="AH47" s="627">
        <f>IFERROR(VLOOKUP($T47,'Trial Blc'!$B$4:AU$377,AH$2,FALSE),0)</f>
        <v>0</v>
      </c>
      <c r="AI47" s="627">
        <f>IFERROR(VLOOKUP($T47,'Trial Blc'!$B$4:AV$377,AI$2,FALSE),0)</f>
        <v>0</v>
      </c>
      <c r="AJ47" s="627">
        <f>IFERROR(VLOOKUP($T47,'Trial Blc'!$B$4:AW$377,AJ$2,FALSE),0)</f>
        <v>0</v>
      </c>
      <c r="AK47" s="87">
        <f t="shared" si="45"/>
        <v>0</v>
      </c>
    </row>
    <row r="48" spans="1:55">
      <c r="A48" s="1610"/>
      <c r="B48" s="98" t="s">
        <v>1224</v>
      </c>
      <c r="C48" s="612">
        <f>SUM(C42:C47)</f>
        <v>693558.96</v>
      </c>
      <c r="D48" s="612">
        <f t="shared" ref="D48" si="46">SUM(D41:D47)</f>
        <v>0</v>
      </c>
      <c r="E48" s="863">
        <f t="shared" ref="E48" si="47">SUM(E41:E47)</f>
        <v>693558.96</v>
      </c>
      <c r="F48" s="856">
        <f t="shared" ref="F48:P48" si="48">SUM(F42:F47)</f>
        <v>693558.96</v>
      </c>
      <c r="G48" s="856">
        <f t="shared" si="48"/>
        <v>693558.96</v>
      </c>
      <c r="H48" s="856">
        <f t="shared" si="48"/>
        <v>693558.96</v>
      </c>
      <c r="I48" s="856">
        <f t="shared" si="48"/>
        <v>693558.96</v>
      </c>
      <c r="J48" s="856">
        <f t="shared" si="48"/>
        <v>693558.96</v>
      </c>
      <c r="K48" s="856">
        <f t="shared" si="48"/>
        <v>693558.96</v>
      </c>
      <c r="L48" s="856">
        <f t="shared" si="48"/>
        <v>693558.96</v>
      </c>
      <c r="M48" s="856">
        <f t="shared" si="48"/>
        <v>693558.96</v>
      </c>
      <c r="N48" s="856">
        <f t="shared" si="48"/>
        <v>693558.96</v>
      </c>
      <c r="O48" s="856">
        <f t="shared" si="48"/>
        <v>693558.96</v>
      </c>
      <c r="P48" s="856">
        <f t="shared" si="48"/>
        <v>693558.96</v>
      </c>
      <c r="Q48" s="612">
        <f>SUM(Q42:Q47)</f>
        <v>693558.96</v>
      </c>
      <c r="R48" s="612"/>
      <c r="S48" s="103"/>
      <c r="T48" s="1556"/>
      <c r="U48" s="98" t="s">
        <v>1224</v>
      </c>
      <c r="V48" s="612">
        <f>SUM(V41:V47)</f>
        <v>181254.21000000002</v>
      </c>
      <c r="W48" s="612">
        <f t="shared" ref="W48:X48" si="49">SUM(W41:W47)</f>
        <v>0</v>
      </c>
      <c r="X48" s="849">
        <f t="shared" si="49"/>
        <v>181254.21000000002</v>
      </c>
      <c r="Y48" s="856">
        <f t="shared" ref="Y48:AI48" si="50">SUM(Y41:Y47)</f>
        <v>182661.4</v>
      </c>
      <c r="Z48" s="856">
        <f t="shared" si="50"/>
        <v>184068.59</v>
      </c>
      <c r="AA48" s="856">
        <f t="shared" si="50"/>
        <v>185475.78</v>
      </c>
      <c r="AB48" s="856">
        <f t="shared" si="50"/>
        <v>186882.97000000003</v>
      </c>
      <c r="AC48" s="856">
        <f t="shared" si="50"/>
        <v>188290.16</v>
      </c>
      <c r="AD48" s="856">
        <f t="shared" si="50"/>
        <v>189697.35</v>
      </c>
      <c r="AE48" s="856">
        <f t="shared" si="50"/>
        <v>191104.54</v>
      </c>
      <c r="AF48" s="856">
        <f t="shared" si="50"/>
        <v>192511.73</v>
      </c>
      <c r="AG48" s="856">
        <f t="shared" si="50"/>
        <v>193918.91999999998</v>
      </c>
      <c r="AH48" s="856">
        <f t="shared" si="50"/>
        <v>195326.11000000004</v>
      </c>
      <c r="AI48" s="856">
        <f t="shared" si="50"/>
        <v>196733.30000000002</v>
      </c>
      <c r="AJ48" s="612">
        <f>SUM(AJ41:AJ47)</f>
        <v>198140.49000000002</v>
      </c>
    </row>
    <row r="49" spans="1:37">
      <c r="A49" s="1609"/>
      <c r="B49" s="100" t="s">
        <v>883</v>
      </c>
      <c r="C49" s="610"/>
      <c r="D49" s="610"/>
      <c r="E49" s="853"/>
      <c r="F49" s="853"/>
      <c r="G49" s="853"/>
      <c r="H49" s="853"/>
      <c r="I49" s="853"/>
      <c r="J49" s="853"/>
      <c r="K49" s="853"/>
      <c r="L49" s="853"/>
      <c r="M49" s="853"/>
      <c r="N49" s="853"/>
      <c r="O49" s="853"/>
      <c r="P49" s="853"/>
      <c r="Q49" s="610"/>
      <c r="R49" s="610"/>
      <c r="S49" s="98"/>
      <c r="T49" s="1556"/>
      <c r="U49" s="93"/>
      <c r="V49" s="610"/>
      <c r="W49" s="610"/>
      <c r="X49" s="610"/>
      <c r="Y49" s="853"/>
      <c r="Z49" s="853"/>
      <c r="AA49" s="853"/>
      <c r="AB49" s="853"/>
      <c r="AC49" s="853"/>
      <c r="AD49" s="853"/>
      <c r="AE49" s="853"/>
      <c r="AF49" s="853"/>
      <c r="AG49" s="853"/>
      <c r="AH49" s="853"/>
      <c r="AI49" s="853"/>
      <c r="AJ49" s="610"/>
    </row>
    <row r="50" spans="1:37">
      <c r="A50" s="1611"/>
      <c r="B50" s="101"/>
      <c r="C50" s="610"/>
      <c r="D50" s="623"/>
      <c r="E50" s="853"/>
      <c r="F50" s="853"/>
      <c r="G50" s="853"/>
      <c r="H50" s="853"/>
      <c r="I50" s="853"/>
      <c r="J50" s="853"/>
      <c r="K50" s="853"/>
      <c r="L50" s="853"/>
      <c r="M50" s="853"/>
      <c r="N50" s="853"/>
      <c r="O50" s="853"/>
      <c r="P50" s="853"/>
      <c r="Q50" s="610"/>
      <c r="R50" s="610"/>
      <c r="S50" s="98"/>
      <c r="T50" s="1556">
        <v>4030</v>
      </c>
      <c r="U50" s="93" t="s">
        <v>254</v>
      </c>
      <c r="V50" s="627">
        <f>IFERROR(VLOOKUP($T50,'Trial Blc'!$B$4:AI$377,V$2,FALSE),0)</f>
        <v>-11134</v>
      </c>
      <c r="W50" s="610"/>
      <c r="X50" s="856">
        <f t="shared" ref="X50:X56" si="51">SUM(V50:W50)</f>
        <v>-11134</v>
      </c>
      <c r="Y50" s="627">
        <f>IFERROR(VLOOKUP($T50,'Trial Blc'!$B$4:AL$377,Y$2,FALSE),0)</f>
        <v>-11134</v>
      </c>
      <c r="Z50" s="627">
        <f>IFERROR(VLOOKUP($T50,'Trial Blc'!$B$4:AM$377,Z$2,FALSE),0)</f>
        <v>-11134</v>
      </c>
      <c r="AA50" s="627">
        <f>IFERROR(VLOOKUP($T50,'Trial Blc'!$B$4:AN$377,AA$2,FALSE),0)</f>
        <v>-11134</v>
      </c>
      <c r="AB50" s="627">
        <f>IFERROR(VLOOKUP($T50,'Trial Blc'!$B$4:AO$377,AB$2,FALSE),0)</f>
        <v>-11134</v>
      </c>
      <c r="AC50" s="627">
        <f>IFERROR(VLOOKUP($T50,'Trial Blc'!$B$4:AP$377,AC$2,FALSE),0)</f>
        <v>-11134</v>
      </c>
      <c r="AD50" s="627">
        <f>IFERROR(VLOOKUP($T50,'Trial Blc'!$B$4:AQ$377,AD$2,FALSE),0)</f>
        <v>-11134</v>
      </c>
      <c r="AE50" s="627">
        <f>IFERROR(VLOOKUP($T50,'Trial Blc'!$B$4:AR$377,AE$2,FALSE),0)</f>
        <v>-11134</v>
      </c>
      <c r="AF50" s="627">
        <f>IFERROR(VLOOKUP($T50,'Trial Blc'!$B$4:AS$377,AF$2,FALSE),0)</f>
        <v>-11134</v>
      </c>
      <c r="AG50" s="627">
        <f>IFERROR(VLOOKUP($T50,'Trial Blc'!$B$4:AT$377,AG$2,FALSE),0)</f>
        <v>-11134</v>
      </c>
      <c r="AH50" s="627">
        <f>IFERROR(VLOOKUP($T50,'Trial Blc'!$B$4:AU$377,AH$2,FALSE),0)</f>
        <v>-11134</v>
      </c>
      <c r="AI50" s="627">
        <f>IFERROR(VLOOKUP($T50,'Trial Blc'!$B$4:AV$377,AI$2,FALSE),0)</f>
        <v>-11134</v>
      </c>
      <c r="AJ50" s="627">
        <f>IFERROR(VLOOKUP($T50,'Trial Blc'!$B$4:AW$377,AJ$2,FALSE),0)</f>
        <v>-11134</v>
      </c>
      <c r="AK50" s="87">
        <f t="shared" ref="AK50:AK56" si="52">AVERAGE(X50:AJ50)</f>
        <v>-11134</v>
      </c>
    </row>
    <row r="51" spans="1:37">
      <c r="A51" s="1610">
        <v>3520</v>
      </c>
      <c r="B51" s="93" t="s">
        <v>227</v>
      </c>
      <c r="C51" s="627">
        <f>-IFERROR(VLOOKUP($A51,'Trial Blc'!$B$4:P$377,C$2,FALSE),0)</f>
        <v>1595267.88</v>
      </c>
      <c r="D51" s="610"/>
      <c r="E51" s="856">
        <f t="shared" ref="E51" si="53">SUM(C51:D51)</f>
        <v>1595267.88</v>
      </c>
      <c r="F51" s="627">
        <f>-IFERROR(VLOOKUP($A51,'Trial Blc'!$B$4:S$377,F$2,FALSE),0)</f>
        <v>1595267.88</v>
      </c>
      <c r="G51" s="627">
        <f>-IFERROR(VLOOKUP($A51,'Trial Blc'!$B$4:T$377,G$2,FALSE),0)</f>
        <v>1595267.88</v>
      </c>
      <c r="H51" s="627">
        <f>-IFERROR(VLOOKUP($A51,'Trial Blc'!$B$4:U$377,H$2,FALSE),0)</f>
        <v>1595267.88</v>
      </c>
      <c r="I51" s="627">
        <f>-IFERROR(VLOOKUP($A51,'Trial Blc'!$B$4:V$377,I$2,FALSE),0)</f>
        <v>1595267.88</v>
      </c>
      <c r="J51" s="627">
        <f>-IFERROR(VLOOKUP($A51,'Trial Blc'!$B$4:W$377,J$2,FALSE),0)</f>
        <v>1595267.88</v>
      </c>
      <c r="K51" s="627">
        <f>-IFERROR(VLOOKUP($A51,'Trial Blc'!$B$4:X$377,K$2,FALSE),0)</f>
        <v>1595267.88</v>
      </c>
      <c r="L51" s="627">
        <f>-IFERROR(VLOOKUP($A51,'Trial Blc'!$B$4:Y$377,L$2,FALSE),0)</f>
        <v>1595267.88</v>
      </c>
      <c r="M51" s="627">
        <f>-IFERROR(VLOOKUP($A51,'Trial Blc'!$B$4:Z$377,M$2,FALSE),0)</f>
        <v>1595267.88</v>
      </c>
      <c r="N51" s="627">
        <f>-IFERROR(VLOOKUP($A51,'Trial Blc'!$B$4:AA$377,N$2,FALSE),0)</f>
        <v>1595267.88</v>
      </c>
      <c r="O51" s="627">
        <f>-IFERROR(VLOOKUP($A51,'Trial Blc'!$B$4:AB$377,O$2,FALSE),0)</f>
        <v>1595267.88</v>
      </c>
      <c r="P51" s="627">
        <f>-IFERROR(VLOOKUP($A51,'Trial Blc'!$B$4:AC$377,P$2,FALSE),0)</f>
        <v>1595267.88</v>
      </c>
      <c r="Q51" s="627">
        <f>-IFERROR(VLOOKUP($A51,'Trial Blc'!$B$4:AD$377,Q$2,FALSE),0)</f>
        <v>1595267.88</v>
      </c>
      <c r="R51" s="87">
        <f t="shared" ref="R51" si="54">AVERAGE(E51:Q51)</f>
        <v>1595267.8799999994</v>
      </c>
      <c r="S51" s="98"/>
      <c r="T51" s="1556">
        <v>4070</v>
      </c>
      <c r="U51" s="93" t="s">
        <v>256</v>
      </c>
      <c r="V51" s="627">
        <f>IFERROR(VLOOKUP($T51,'Trial Blc'!$B$4:AI$377,V$2,FALSE),0)</f>
        <v>1843044.2</v>
      </c>
      <c r="W51" s="610"/>
      <c r="X51" s="856">
        <f t="shared" si="51"/>
        <v>1843044.2</v>
      </c>
      <c r="Y51" s="627">
        <f>IFERROR(VLOOKUP($T51,'Trial Blc'!$B$4:AL$377,Y$2,FALSE),0)</f>
        <v>1847209.39</v>
      </c>
      <c r="Z51" s="627">
        <f>IFERROR(VLOOKUP($T51,'Trial Blc'!$B$4:AM$377,Z$2,FALSE),0)</f>
        <v>1851374.58</v>
      </c>
      <c r="AA51" s="627">
        <f>IFERROR(VLOOKUP($T51,'Trial Blc'!$B$4:AN$377,AA$2,FALSE),0)</f>
        <v>1855539.77</v>
      </c>
      <c r="AB51" s="627">
        <f>IFERROR(VLOOKUP($T51,'Trial Blc'!$B$4:AO$377,AB$2,FALSE),0)</f>
        <v>1859704.96</v>
      </c>
      <c r="AC51" s="627">
        <f>IFERROR(VLOOKUP($T51,'Trial Blc'!$B$4:AP$377,AC$2,FALSE),0)</f>
        <v>1863870.15</v>
      </c>
      <c r="AD51" s="627">
        <f>IFERROR(VLOOKUP($T51,'Trial Blc'!$B$4:AQ$377,AD$2,FALSE),0)</f>
        <v>1868035.34</v>
      </c>
      <c r="AE51" s="627">
        <f>IFERROR(VLOOKUP($T51,'Trial Blc'!$B$4:AR$377,AE$2,FALSE),0)</f>
        <v>1872200.53</v>
      </c>
      <c r="AF51" s="627">
        <f>IFERROR(VLOOKUP($T51,'Trial Blc'!$B$4:AS$377,AF$2,FALSE),0)</f>
        <v>1876365.72</v>
      </c>
      <c r="AG51" s="627">
        <f>IFERROR(VLOOKUP($T51,'Trial Blc'!$B$4:AT$377,AG$2,FALSE),0)</f>
        <v>1880530.91</v>
      </c>
      <c r="AH51" s="627">
        <f>IFERROR(VLOOKUP($T51,'Trial Blc'!$B$4:AU$377,AH$2,FALSE),0)</f>
        <v>1884696.1</v>
      </c>
      <c r="AI51" s="627">
        <f>IFERROR(VLOOKUP($T51,'Trial Blc'!$B$4:AV$377,AI$2,FALSE),0)</f>
        <v>1888861.29</v>
      </c>
      <c r="AJ51" s="627">
        <f>IFERROR(VLOOKUP($T51,'Trial Blc'!$B$4:AW$377,AJ$2,FALSE),0)</f>
        <v>1893026.48</v>
      </c>
      <c r="AK51" s="87">
        <f t="shared" si="52"/>
        <v>1868035.3399999999</v>
      </c>
    </row>
    <row r="52" spans="1:37">
      <c r="A52" s="1613">
        <v>3500</v>
      </c>
      <c r="B52" s="508" t="s">
        <v>226</v>
      </c>
      <c r="C52" s="627">
        <f>-IFERROR(VLOOKUP($A52,'Trial Blc'!$B$4:P$377,C$2,FALSE),0)</f>
        <v>55439.19</v>
      </c>
      <c r="D52" s="610"/>
      <c r="E52" s="856">
        <f t="shared" ref="E52:E56" si="55">SUM(C52:D52)</f>
        <v>55439.19</v>
      </c>
      <c r="F52" s="627">
        <f>-IFERROR(VLOOKUP($A52,'Trial Blc'!$B$4:S$377,F$2,FALSE),0)</f>
        <v>55439.19</v>
      </c>
      <c r="G52" s="627">
        <f>-IFERROR(VLOOKUP($A52,'Trial Blc'!$B$4:T$377,G$2,FALSE),0)</f>
        <v>55439.19</v>
      </c>
      <c r="H52" s="627">
        <f>-IFERROR(VLOOKUP($A52,'Trial Blc'!$B$4:U$377,H$2,FALSE),0)</f>
        <v>55439.19</v>
      </c>
      <c r="I52" s="627">
        <f>-IFERROR(VLOOKUP($A52,'Trial Blc'!$B$4:V$377,I$2,FALSE),0)</f>
        <v>55439.19</v>
      </c>
      <c r="J52" s="627">
        <f>-IFERROR(VLOOKUP($A52,'Trial Blc'!$B$4:W$377,J$2,FALSE),0)</f>
        <v>55439.19</v>
      </c>
      <c r="K52" s="627">
        <f>-IFERROR(VLOOKUP($A52,'Trial Blc'!$B$4:X$377,K$2,FALSE),0)</f>
        <v>55439.19</v>
      </c>
      <c r="L52" s="627">
        <f>-IFERROR(VLOOKUP($A52,'Trial Blc'!$B$4:Y$377,L$2,FALSE),0)</f>
        <v>55439.19</v>
      </c>
      <c r="M52" s="627">
        <f>-IFERROR(VLOOKUP($A52,'Trial Blc'!$B$4:Z$377,M$2,FALSE),0)</f>
        <v>55439.19</v>
      </c>
      <c r="N52" s="627">
        <f>-IFERROR(VLOOKUP($A52,'Trial Blc'!$B$4:AA$377,N$2,FALSE),0)</f>
        <v>55439.19</v>
      </c>
      <c r="O52" s="627">
        <f>-IFERROR(VLOOKUP($A52,'Trial Blc'!$B$4:AB$377,O$2,FALSE),0)</f>
        <v>55439.19</v>
      </c>
      <c r="P52" s="627">
        <f>-IFERROR(VLOOKUP($A52,'Trial Blc'!$B$4:AC$377,P$2,FALSE),0)</f>
        <v>55439.19</v>
      </c>
      <c r="Q52" s="627">
        <f>-IFERROR(VLOOKUP($A52,'Trial Blc'!$B$4:AD$377,Q$2,FALSE),0)</f>
        <v>55439.19</v>
      </c>
      <c r="R52" s="87">
        <f t="shared" ref="R52:R56" si="56">AVERAGE(E52:Q52)</f>
        <v>55439.189999999995</v>
      </c>
      <c r="S52" s="98"/>
      <c r="T52" s="1556">
        <v>4050</v>
      </c>
      <c r="U52" s="93" t="s">
        <v>255</v>
      </c>
      <c r="V52" s="627">
        <f>IFERROR(VLOOKUP($T52,'Trial Blc'!$B$4:AI$377,V$2,FALSE),0)</f>
        <v>25570.6</v>
      </c>
      <c r="W52" s="610"/>
      <c r="X52" s="856">
        <f t="shared" si="51"/>
        <v>25570.6</v>
      </c>
      <c r="Y52" s="627">
        <f>IFERROR(VLOOKUP($T52,'Trial Blc'!$B$4:AL$377,Y$2,FALSE),0)</f>
        <v>25755.4</v>
      </c>
      <c r="Z52" s="627">
        <f>IFERROR(VLOOKUP($T52,'Trial Blc'!$B$4:AM$377,Z$2,FALSE),0)</f>
        <v>25940.2</v>
      </c>
      <c r="AA52" s="627">
        <f>IFERROR(VLOOKUP($T52,'Trial Blc'!$B$4:AN$377,AA$2,FALSE),0)</f>
        <v>26125</v>
      </c>
      <c r="AB52" s="627">
        <f>IFERROR(VLOOKUP($T52,'Trial Blc'!$B$4:AO$377,AB$2,FALSE),0)</f>
        <v>26309.8</v>
      </c>
      <c r="AC52" s="627">
        <f>IFERROR(VLOOKUP($T52,'Trial Blc'!$B$4:AP$377,AC$2,FALSE),0)</f>
        <v>26494.6</v>
      </c>
      <c r="AD52" s="627">
        <f>IFERROR(VLOOKUP($T52,'Trial Blc'!$B$4:AQ$377,AD$2,FALSE),0)</f>
        <v>26679.4</v>
      </c>
      <c r="AE52" s="627">
        <f>IFERROR(VLOOKUP($T52,'Trial Blc'!$B$4:AR$377,AE$2,FALSE),0)</f>
        <v>26864.2</v>
      </c>
      <c r="AF52" s="627">
        <f>IFERROR(VLOOKUP($T52,'Trial Blc'!$B$4:AS$377,AF$2,FALSE),0)</f>
        <v>27049</v>
      </c>
      <c r="AG52" s="627">
        <f>IFERROR(VLOOKUP($T52,'Trial Blc'!$B$4:AT$377,AG$2,FALSE),0)</f>
        <v>27233.8</v>
      </c>
      <c r="AH52" s="627">
        <f>IFERROR(VLOOKUP($T52,'Trial Blc'!$B$4:AU$377,AH$2,FALSE),0)</f>
        <v>27418.6</v>
      </c>
      <c r="AI52" s="627">
        <f>IFERROR(VLOOKUP($T52,'Trial Blc'!$B$4:AV$377,AI$2,FALSE),0)</f>
        <v>27603.4</v>
      </c>
      <c r="AJ52" s="627">
        <f>IFERROR(VLOOKUP($T52,'Trial Blc'!$B$4:AW$377,AJ$2,FALSE),0)</f>
        <v>27788.2</v>
      </c>
      <c r="AK52" s="87">
        <f t="shared" si="52"/>
        <v>26679.4</v>
      </c>
    </row>
    <row r="53" spans="1:37">
      <c r="A53" s="1613">
        <v>3505</v>
      </c>
      <c r="B53" s="508" t="s">
        <v>1571</v>
      </c>
      <c r="C53" s="627">
        <f>-IFERROR(VLOOKUP($A53,'Trial Blc'!$B$4:P$377,C$2,FALSE),0)</f>
        <v>0</v>
      </c>
      <c r="D53" s="610"/>
      <c r="E53" s="856">
        <f t="shared" si="55"/>
        <v>0</v>
      </c>
      <c r="F53" s="627">
        <f>-IFERROR(VLOOKUP($A53,'Trial Blc'!$B$4:S$377,F$2,FALSE),0)</f>
        <v>0</v>
      </c>
      <c r="G53" s="627">
        <f>-IFERROR(VLOOKUP($A53,'Trial Blc'!$B$4:T$377,G$2,FALSE),0)</f>
        <v>0</v>
      </c>
      <c r="H53" s="627">
        <f>-IFERROR(VLOOKUP($A53,'Trial Blc'!$B$4:U$377,H$2,FALSE),0)</f>
        <v>0</v>
      </c>
      <c r="I53" s="627">
        <f>-IFERROR(VLOOKUP($A53,'Trial Blc'!$B$4:V$377,I$2,FALSE),0)</f>
        <v>0</v>
      </c>
      <c r="J53" s="627">
        <f>-IFERROR(VLOOKUP($A53,'Trial Blc'!$B$4:W$377,J$2,FALSE),0)</f>
        <v>0</v>
      </c>
      <c r="K53" s="627">
        <f>-IFERROR(VLOOKUP($A53,'Trial Blc'!$B$4:X$377,K$2,FALSE),0)</f>
        <v>0</v>
      </c>
      <c r="L53" s="627">
        <f>-IFERROR(VLOOKUP($A53,'Trial Blc'!$B$4:Y$377,L$2,FALSE),0)</f>
        <v>0</v>
      </c>
      <c r="M53" s="627">
        <f>-IFERROR(VLOOKUP($A53,'Trial Blc'!$B$4:Z$377,M$2,FALSE),0)</f>
        <v>0</v>
      </c>
      <c r="N53" s="627">
        <f>-IFERROR(VLOOKUP($A53,'Trial Blc'!$B$4:AA$377,N$2,FALSE),0)</f>
        <v>0</v>
      </c>
      <c r="O53" s="627">
        <f>-IFERROR(VLOOKUP($A53,'Trial Blc'!$B$4:AB$377,O$2,FALSE),0)</f>
        <v>0</v>
      </c>
      <c r="P53" s="627">
        <f>-IFERROR(VLOOKUP($A53,'Trial Blc'!$B$4:AC$377,P$2,FALSE),0)</f>
        <v>0</v>
      </c>
      <c r="Q53" s="627">
        <f>-IFERROR(VLOOKUP($A53,'Trial Blc'!$B$4:AD$377,Q$2,FALSE),0)</f>
        <v>0</v>
      </c>
      <c r="R53" s="87">
        <f t="shared" si="56"/>
        <v>0</v>
      </c>
      <c r="S53" s="98"/>
      <c r="T53" s="1556">
        <v>4055</v>
      </c>
      <c r="U53" s="93" t="s">
        <v>1575</v>
      </c>
      <c r="V53" s="627">
        <f>IFERROR(VLOOKUP($T53,'Trial Blc'!$B$4:AI$377,V$2,FALSE),0)</f>
        <v>0</v>
      </c>
      <c r="W53" s="610"/>
      <c r="X53" s="856">
        <f t="shared" si="51"/>
        <v>0</v>
      </c>
      <c r="Y53" s="627">
        <f>IFERROR(VLOOKUP($T53,'Trial Blc'!$B$4:AL$377,Y$2,FALSE),0)</f>
        <v>0</v>
      </c>
      <c r="Z53" s="627">
        <f>IFERROR(VLOOKUP($T53,'Trial Blc'!$B$4:AM$377,Z$2,FALSE),0)</f>
        <v>0</v>
      </c>
      <c r="AA53" s="627">
        <f>IFERROR(VLOOKUP($T53,'Trial Blc'!$B$4:AN$377,AA$2,FALSE),0)</f>
        <v>0</v>
      </c>
      <c r="AB53" s="627">
        <f>IFERROR(VLOOKUP($T53,'Trial Blc'!$B$4:AO$377,AB$2,FALSE),0)</f>
        <v>0</v>
      </c>
      <c r="AC53" s="627">
        <f>IFERROR(VLOOKUP($T53,'Trial Blc'!$B$4:AP$377,AC$2,FALSE),0)</f>
        <v>0</v>
      </c>
      <c r="AD53" s="627">
        <f>IFERROR(VLOOKUP($T53,'Trial Blc'!$B$4:AQ$377,AD$2,FALSE),0)</f>
        <v>0</v>
      </c>
      <c r="AE53" s="627">
        <f>IFERROR(VLOOKUP($T53,'Trial Blc'!$B$4:AR$377,AE$2,FALSE),0)</f>
        <v>0</v>
      </c>
      <c r="AF53" s="627">
        <f>IFERROR(VLOOKUP($T53,'Trial Blc'!$B$4:AS$377,AF$2,FALSE),0)</f>
        <v>0</v>
      </c>
      <c r="AG53" s="627">
        <f>IFERROR(VLOOKUP($T53,'Trial Blc'!$B$4:AT$377,AG$2,FALSE),0)</f>
        <v>0</v>
      </c>
      <c r="AH53" s="627">
        <f>IFERROR(VLOOKUP($T53,'Trial Blc'!$B$4:AU$377,AH$2,FALSE),0)</f>
        <v>0</v>
      </c>
      <c r="AI53" s="627">
        <f>IFERROR(VLOOKUP($T53,'Trial Blc'!$B$4:AV$377,AI$2,FALSE),0)</f>
        <v>0</v>
      </c>
      <c r="AJ53" s="627">
        <f>IFERROR(VLOOKUP($T53,'Trial Blc'!$B$4:AW$377,AJ$2,FALSE),0)</f>
        <v>0</v>
      </c>
      <c r="AK53" s="87">
        <f t="shared" si="52"/>
        <v>0</v>
      </c>
    </row>
    <row r="54" spans="1:37">
      <c r="A54" s="1613">
        <v>3600</v>
      </c>
      <c r="B54" s="508" t="s">
        <v>2278</v>
      </c>
      <c r="C54" s="627">
        <f>-IFERROR(VLOOKUP($A54,'Trial Blc'!$B$4:P$377,C$2,FALSE),0)</f>
        <v>13813.34</v>
      </c>
      <c r="D54" s="610"/>
      <c r="E54" s="856">
        <f t="shared" si="55"/>
        <v>13813.34</v>
      </c>
      <c r="F54" s="627">
        <f>-IFERROR(VLOOKUP($A54,'Trial Blc'!$B$4:S$377,F$2,FALSE),0)</f>
        <v>13813.34</v>
      </c>
      <c r="G54" s="627">
        <f>-IFERROR(VLOOKUP($A54,'Trial Blc'!$B$4:T$377,G$2,FALSE),0)</f>
        <v>13813.34</v>
      </c>
      <c r="H54" s="627">
        <f>-IFERROR(VLOOKUP($A54,'Trial Blc'!$B$4:U$377,H$2,FALSE),0)</f>
        <v>13813.34</v>
      </c>
      <c r="I54" s="627">
        <f>-IFERROR(VLOOKUP($A54,'Trial Blc'!$B$4:V$377,I$2,FALSE),0)</f>
        <v>13813.34</v>
      </c>
      <c r="J54" s="627">
        <f>-IFERROR(VLOOKUP($A54,'Trial Blc'!$B$4:W$377,J$2,FALSE),0)</f>
        <v>13813.34</v>
      </c>
      <c r="K54" s="627">
        <f>-IFERROR(VLOOKUP($A54,'Trial Blc'!$B$4:X$377,K$2,FALSE),0)</f>
        <v>13813.34</v>
      </c>
      <c r="L54" s="627">
        <f>-IFERROR(VLOOKUP($A54,'Trial Blc'!$B$4:Y$377,L$2,FALSE),0)</f>
        <v>13813.34</v>
      </c>
      <c r="M54" s="627">
        <f>-IFERROR(VLOOKUP($A54,'Trial Blc'!$B$4:Z$377,M$2,FALSE),0)</f>
        <v>13813.34</v>
      </c>
      <c r="N54" s="627">
        <f>-IFERROR(VLOOKUP($A54,'Trial Blc'!$B$4:AA$377,N$2,FALSE),0)</f>
        <v>13813.34</v>
      </c>
      <c r="O54" s="627">
        <f>-IFERROR(VLOOKUP($A54,'Trial Blc'!$B$4:AB$377,O$2,FALSE),0)</f>
        <v>13813.34</v>
      </c>
      <c r="P54" s="627">
        <f>-IFERROR(VLOOKUP($A54,'Trial Blc'!$B$4:AC$377,P$2,FALSE),0)</f>
        <v>13813.34</v>
      </c>
      <c r="Q54" s="627">
        <f>-IFERROR(VLOOKUP($A54,'Trial Blc'!$B$4:AD$377,Q$2,FALSE),0)</f>
        <v>13813.34</v>
      </c>
      <c r="R54" s="87">
        <f t="shared" si="56"/>
        <v>13813.339999999998</v>
      </c>
      <c r="S54" s="98"/>
      <c r="T54" s="1661">
        <v>4150</v>
      </c>
      <c r="U54" s="1662" t="s">
        <v>2279</v>
      </c>
      <c r="V54" s="627">
        <f>IFERROR(VLOOKUP($T54,'Trial Blc'!$B$4:AI$377,V$2,FALSE),0)</f>
        <v>8092.11</v>
      </c>
      <c r="W54" s="610"/>
      <c r="X54" s="856">
        <f t="shared" si="51"/>
        <v>8092.11</v>
      </c>
      <c r="Y54" s="627">
        <f>IFERROR(VLOOKUP($T54,'Trial Blc'!$B$4:AL$377,Y$2,FALSE),0)</f>
        <v>8156.06</v>
      </c>
      <c r="Z54" s="627">
        <f>IFERROR(VLOOKUP($T54,'Trial Blc'!$B$4:AM$377,Z$2,FALSE),0)</f>
        <v>8220.01</v>
      </c>
      <c r="AA54" s="627">
        <f>IFERROR(VLOOKUP($T54,'Trial Blc'!$B$4:AN$377,AA$2,FALSE),0)</f>
        <v>8283.9599999999991</v>
      </c>
      <c r="AB54" s="627">
        <f>IFERROR(VLOOKUP($T54,'Trial Blc'!$B$4:AO$377,AB$2,FALSE),0)</f>
        <v>8347.91</v>
      </c>
      <c r="AC54" s="627">
        <f>IFERROR(VLOOKUP($T54,'Trial Blc'!$B$4:AP$377,AC$2,FALSE),0)</f>
        <v>8411.86</v>
      </c>
      <c r="AD54" s="627">
        <f>IFERROR(VLOOKUP($T54,'Trial Blc'!$B$4:AQ$377,AD$2,FALSE),0)</f>
        <v>8475.81</v>
      </c>
      <c r="AE54" s="627">
        <f>IFERROR(VLOOKUP($T54,'Trial Blc'!$B$4:AR$377,AE$2,FALSE),0)</f>
        <v>8539.76</v>
      </c>
      <c r="AF54" s="627">
        <f>IFERROR(VLOOKUP($T54,'Trial Blc'!$B$4:AS$377,AF$2,FALSE),0)</f>
        <v>8603.7099999999991</v>
      </c>
      <c r="AG54" s="627">
        <f>IFERROR(VLOOKUP($T54,'Trial Blc'!$B$4:AT$377,AG$2,FALSE),0)</f>
        <v>8667.66</v>
      </c>
      <c r="AH54" s="627">
        <f>IFERROR(VLOOKUP($T54,'Trial Blc'!$B$4:AU$377,AH$2,FALSE),0)</f>
        <v>8731.61</v>
      </c>
      <c r="AI54" s="627">
        <f>IFERROR(VLOOKUP($T54,'Trial Blc'!$B$4:AV$377,AI$2,FALSE),0)</f>
        <v>8795.56</v>
      </c>
      <c r="AJ54" s="627">
        <f>IFERROR(VLOOKUP($T54,'Trial Blc'!$B$4:AW$377,AJ$2,FALSE),0)</f>
        <v>8859.51</v>
      </c>
      <c r="AK54" s="87">
        <f t="shared" si="52"/>
        <v>8475.81</v>
      </c>
    </row>
    <row r="55" spans="1:37">
      <c r="A55" s="1613">
        <v>3720</v>
      </c>
      <c r="B55" s="508" t="s">
        <v>234</v>
      </c>
      <c r="C55" s="627">
        <f>-IFERROR(VLOOKUP($A55,'Trial Blc'!$B$4:P$377,C$2,FALSE),0)</f>
        <v>1646.48</v>
      </c>
      <c r="D55" s="610"/>
      <c r="E55" s="856">
        <f t="shared" si="55"/>
        <v>1646.48</v>
      </c>
      <c r="F55" s="627">
        <f>-IFERROR(VLOOKUP($A55,'Trial Blc'!$B$4:S$377,F$2,FALSE),0)</f>
        <v>1646.48</v>
      </c>
      <c r="G55" s="627">
        <f>-IFERROR(VLOOKUP($A55,'Trial Blc'!$B$4:T$377,G$2,FALSE),0)</f>
        <v>1646.48</v>
      </c>
      <c r="H55" s="627">
        <f>-IFERROR(VLOOKUP($A55,'Trial Blc'!$B$4:U$377,H$2,FALSE),0)</f>
        <v>1646.48</v>
      </c>
      <c r="I55" s="627">
        <f>-IFERROR(VLOOKUP($A55,'Trial Blc'!$B$4:V$377,I$2,FALSE),0)</f>
        <v>1646.48</v>
      </c>
      <c r="J55" s="627">
        <f>-IFERROR(VLOOKUP($A55,'Trial Blc'!$B$4:W$377,J$2,FALSE),0)</f>
        <v>1646.48</v>
      </c>
      <c r="K55" s="627">
        <f>-IFERROR(VLOOKUP($A55,'Trial Blc'!$B$4:X$377,K$2,FALSE),0)</f>
        <v>1646.48</v>
      </c>
      <c r="L55" s="627">
        <f>-IFERROR(VLOOKUP($A55,'Trial Blc'!$B$4:Y$377,L$2,FALSE),0)</f>
        <v>1646.48</v>
      </c>
      <c r="M55" s="627">
        <f>-IFERROR(VLOOKUP($A55,'Trial Blc'!$B$4:Z$377,M$2,FALSE),0)</f>
        <v>1646.48</v>
      </c>
      <c r="N55" s="627">
        <f>-IFERROR(VLOOKUP($A55,'Trial Blc'!$B$4:AA$377,N$2,FALSE),0)</f>
        <v>1646.48</v>
      </c>
      <c r="O55" s="627">
        <f>-IFERROR(VLOOKUP($A55,'Trial Blc'!$B$4:AB$377,O$2,FALSE),0)</f>
        <v>1646.48</v>
      </c>
      <c r="P55" s="627">
        <f>-IFERROR(VLOOKUP($A55,'Trial Blc'!$B$4:AC$377,P$2,FALSE),0)</f>
        <v>1646.48</v>
      </c>
      <c r="Q55" s="627">
        <f>-IFERROR(VLOOKUP($A55,'Trial Blc'!$B$4:AD$377,Q$2,FALSE),0)</f>
        <v>1646.48</v>
      </c>
      <c r="R55" s="87">
        <f t="shared" si="56"/>
        <v>1646.4799999999998</v>
      </c>
      <c r="S55" s="98"/>
      <c r="T55" s="1556">
        <v>4280</v>
      </c>
      <c r="U55" s="93" t="s">
        <v>263</v>
      </c>
      <c r="V55" s="627">
        <f>IFERROR(VLOOKUP($T55,'Trial Blc'!$B$4:AI$377,V$2,FALSE),0)</f>
        <v>321.17</v>
      </c>
      <c r="W55" s="610"/>
      <c r="X55" s="856">
        <f t="shared" si="51"/>
        <v>321.17</v>
      </c>
      <c r="Y55" s="627">
        <f>IFERROR(VLOOKUP($T55,'Trial Blc'!$B$4:AL$377,Y$2,FALSE),0)</f>
        <v>324.60000000000002</v>
      </c>
      <c r="Z55" s="627">
        <f>IFERROR(VLOOKUP($T55,'Trial Blc'!$B$4:AM$377,Z$2,FALSE),0)</f>
        <v>328.03</v>
      </c>
      <c r="AA55" s="627">
        <f>IFERROR(VLOOKUP($T55,'Trial Blc'!$B$4:AN$377,AA$2,FALSE),0)</f>
        <v>331.46</v>
      </c>
      <c r="AB55" s="627">
        <f>IFERROR(VLOOKUP($T55,'Trial Blc'!$B$4:AO$377,AB$2,FALSE),0)</f>
        <v>334.89</v>
      </c>
      <c r="AC55" s="627">
        <f>IFERROR(VLOOKUP($T55,'Trial Blc'!$B$4:AP$377,AC$2,FALSE),0)</f>
        <v>338.32</v>
      </c>
      <c r="AD55" s="627">
        <f>IFERROR(VLOOKUP($T55,'Trial Blc'!$B$4:AQ$377,AD$2,FALSE),0)</f>
        <v>341.75</v>
      </c>
      <c r="AE55" s="627">
        <f>IFERROR(VLOOKUP($T55,'Trial Blc'!$B$4:AR$377,AE$2,FALSE),0)</f>
        <v>345.18</v>
      </c>
      <c r="AF55" s="627">
        <f>IFERROR(VLOOKUP($T55,'Trial Blc'!$B$4:AS$377,AF$2,FALSE),0)</f>
        <v>348.61</v>
      </c>
      <c r="AG55" s="627">
        <f>IFERROR(VLOOKUP($T55,'Trial Blc'!$B$4:AT$377,AG$2,FALSE),0)</f>
        <v>352.04</v>
      </c>
      <c r="AH55" s="627">
        <f>IFERROR(VLOOKUP($T55,'Trial Blc'!$B$4:AU$377,AH$2,FALSE),0)</f>
        <v>355.47</v>
      </c>
      <c r="AI55" s="627">
        <f>IFERROR(VLOOKUP($T55,'Trial Blc'!$B$4:AV$377,AI$2,FALSE),0)</f>
        <v>358.9</v>
      </c>
      <c r="AJ55" s="627">
        <f>IFERROR(VLOOKUP($T55,'Trial Blc'!$B$4:AW$377,AJ$2,FALSE),0)</f>
        <v>362.33</v>
      </c>
      <c r="AK55" s="87">
        <f t="shared" si="52"/>
        <v>341.75000000000006</v>
      </c>
    </row>
    <row r="56" spans="1:37">
      <c r="A56" s="1613">
        <v>3605</v>
      </c>
      <c r="B56" s="508" t="s">
        <v>230</v>
      </c>
      <c r="C56" s="1658">
        <f>-IFERROR(VLOOKUP($A56,'Trial Blc'!$B$4:P$377,C$2,FALSE),0)</f>
        <v>248257.14</v>
      </c>
      <c r="D56" s="1668"/>
      <c r="E56" s="1669">
        <f t="shared" si="55"/>
        <v>248257.14</v>
      </c>
      <c r="F56" s="1658">
        <f>-IFERROR(VLOOKUP($A56,'Trial Blc'!$B$4:S$377,F$2,FALSE),0)</f>
        <v>248257.14</v>
      </c>
      <c r="G56" s="1658">
        <f>-IFERROR(VLOOKUP($A56,'Trial Blc'!$B$4:T$377,G$2,FALSE),0)</f>
        <v>248257.14</v>
      </c>
      <c r="H56" s="1658">
        <f>-IFERROR(VLOOKUP($A56,'Trial Blc'!$B$4:U$377,H$2,FALSE),0)</f>
        <v>248257.14</v>
      </c>
      <c r="I56" s="1658">
        <f>-IFERROR(VLOOKUP($A56,'Trial Blc'!$B$4:V$377,I$2,FALSE),0)</f>
        <v>248257.14</v>
      </c>
      <c r="J56" s="1658">
        <f>-IFERROR(VLOOKUP($A56,'Trial Blc'!$B$4:W$377,J$2,FALSE),0)</f>
        <v>248257.14</v>
      </c>
      <c r="K56" s="1658">
        <f>-IFERROR(VLOOKUP($A56,'Trial Blc'!$B$4:X$377,K$2,FALSE),0)</f>
        <v>248257.14</v>
      </c>
      <c r="L56" s="1658">
        <f>-IFERROR(VLOOKUP($A56,'Trial Blc'!$B$4:Y$377,L$2,FALSE),0)</f>
        <v>248257.14</v>
      </c>
      <c r="M56" s="1658">
        <f>-IFERROR(VLOOKUP($A56,'Trial Blc'!$B$4:Z$377,M$2,FALSE),0)</f>
        <v>248257.14</v>
      </c>
      <c r="N56" s="1658">
        <f>-IFERROR(VLOOKUP($A56,'Trial Blc'!$B$4:AA$377,N$2,FALSE),0)</f>
        <v>248257.14</v>
      </c>
      <c r="O56" s="1658">
        <f>-IFERROR(VLOOKUP($A56,'Trial Blc'!$B$4:AB$377,O$2,FALSE),0)</f>
        <v>248257.14</v>
      </c>
      <c r="P56" s="1658">
        <f>-IFERROR(VLOOKUP($A56,'Trial Blc'!$B$4:AC$377,P$2,FALSE),0)</f>
        <v>248257.14</v>
      </c>
      <c r="Q56" s="1658">
        <f>-IFERROR(VLOOKUP($A56,'Trial Blc'!$B$4:AD$377,Q$2,FALSE),0)</f>
        <v>248257.14</v>
      </c>
      <c r="R56" s="1666">
        <f t="shared" si="56"/>
        <v>248257.1400000001</v>
      </c>
      <c r="S56" s="98"/>
      <c r="T56" s="1556">
        <v>4155</v>
      </c>
      <c r="U56" s="93" t="s">
        <v>259</v>
      </c>
      <c r="V56" s="1658">
        <f>IFERROR(VLOOKUP($T56,'Trial Blc'!$B$4:AI$377,V$2,FALSE),0)</f>
        <v>138938.81</v>
      </c>
      <c r="W56" s="1668"/>
      <c r="X56" s="1669">
        <f t="shared" si="51"/>
        <v>138938.81</v>
      </c>
      <c r="Y56" s="1658">
        <f>IFERROR(VLOOKUP($T56,'Trial Blc'!$B$4:AL$377,Y$2,FALSE),0)</f>
        <v>140088.15</v>
      </c>
      <c r="Z56" s="1658">
        <f>IFERROR(VLOOKUP($T56,'Trial Blc'!$B$4:AM$377,Z$2,FALSE),0)</f>
        <v>141237.49</v>
      </c>
      <c r="AA56" s="1658">
        <f>IFERROR(VLOOKUP($T56,'Trial Blc'!$B$4:AN$377,AA$2,FALSE),0)</f>
        <v>142386.82999999999</v>
      </c>
      <c r="AB56" s="1658">
        <f>IFERROR(VLOOKUP($T56,'Trial Blc'!$B$4:AO$377,AB$2,FALSE),0)</f>
        <v>143536.17000000001</v>
      </c>
      <c r="AC56" s="1658">
        <f>IFERROR(VLOOKUP($T56,'Trial Blc'!$B$4:AP$377,AC$2,FALSE),0)</f>
        <v>144685.51</v>
      </c>
      <c r="AD56" s="1658">
        <f>IFERROR(VLOOKUP($T56,'Trial Blc'!$B$4:AQ$377,AD$2,FALSE),0)</f>
        <v>145834.85</v>
      </c>
      <c r="AE56" s="1658">
        <f>IFERROR(VLOOKUP($T56,'Trial Blc'!$B$4:AR$377,AE$2,FALSE),0)</f>
        <v>146984.19</v>
      </c>
      <c r="AF56" s="1658">
        <f>IFERROR(VLOOKUP($T56,'Trial Blc'!$B$4:AS$377,AF$2,FALSE),0)</f>
        <v>148133.53</v>
      </c>
      <c r="AG56" s="1658">
        <f>IFERROR(VLOOKUP($T56,'Trial Blc'!$B$4:AT$377,AG$2,FALSE),0)</f>
        <v>149282.87</v>
      </c>
      <c r="AH56" s="1658">
        <f>IFERROR(VLOOKUP($T56,'Trial Blc'!$B$4:AU$377,AH$2,FALSE),0)</f>
        <v>150432.21</v>
      </c>
      <c r="AI56" s="1658">
        <f>IFERROR(VLOOKUP($T56,'Trial Blc'!$B$4:AV$377,AI$2,FALSE),0)</f>
        <v>151581.54999999999</v>
      </c>
      <c r="AJ56" s="1658">
        <f>IFERROR(VLOOKUP($T56,'Trial Blc'!$B$4:AW$377,AJ$2,FALSE),0)</f>
        <v>152730.89000000001</v>
      </c>
      <c r="AK56" s="1666">
        <f t="shared" si="52"/>
        <v>145834.84999999998</v>
      </c>
    </row>
    <row r="57" spans="1:37">
      <c r="A57" s="1610"/>
      <c r="B57" s="98" t="s">
        <v>1225</v>
      </c>
      <c r="C57" s="612">
        <f t="shared" ref="C57:Q57" si="57">SUM(C50:C56)</f>
        <v>1914424.0299999998</v>
      </c>
      <c r="D57" s="612">
        <f t="shared" si="57"/>
        <v>0</v>
      </c>
      <c r="E57" s="1667">
        <f t="shared" si="57"/>
        <v>1914424.0299999998</v>
      </c>
      <c r="F57" s="856">
        <f t="shared" si="57"/>
        <v>1914424.0299999998</v>
      </c>
      <c r="G57" s="856">
        <f t="shared" si="57"/>
        <v>1914424.0299999998</v>
      </c>
      <c r="H57" s="856">
        <f t="shared" si="57"/>
        <v>1914424.0299999998</v>
      </c>
      <c r="I57" s="856">
        <f t="shared" si="57"/>
        <v>1914424.0299999998</v>
      </c>
      <c r="J57" s="856">
        <f t="shared" si="57"/>
        <v>1914424.0299999998</v>
      </c>
      <c r="K57" s="856">
        <f t="shared" si="57"/>
        <v>1914424.0299999998</v>
      </c>
      <c r="L57" s="856">
        <f t="shared" si="57"/>
        <v>1914424.0299999998</v>
      </c>
      <c r="M57" s="856">
        <f t="shared" si="57"/>
        <v>1914424.0299999998</v>
      </c>
      <c r="N57" s="856">
        <f t="shared" si="57"/>
        <v>1914424.0299999998</v>
      </c>
      <c r="O57" s="856">
        <f t="shared" si="57"/>
        <v>1914424.0299999998</v>
      </c>
      <c r="P57" s="856">
        <f t="shared" si="57"/>
        <v>1914424.0299999998</v>
      </c>
      <c r="Q57" s="612">
        <f t="shared" si="57"/>
        <v>1914424.0299999998</v>
      </c>
      <c r="R57" s="612"/>
      <c r="S57" s="98"/>
      <c r="T57" s="1556"/>
      <c r="U57" s="98" t="s">
        <v>1225</v>
      </c>
      <c r="V57" s="612">
        <f t="shared" ref="V57:AJ57" si="58">SUM(V50:V56)</f>
        <v>2004832.8900000001</v>
      </c>
      <c r="W57" s="612">
        <f t="shared" si="58"/>
        <v>0</v>
      </c>
      <c r="X57" s="619">
        <f t="shared" si="58"/>
        <v>2004832.8900000001</v>
      </c>
      <c r="Y57" s="856">
        <f t="shared" si="58"/>
        <v>2010399.5999999999</v>
      </c>
      <c r="Z57" s="856">
        <f t="shared" si="58"/>
        <v>2015966.31</v>
      </c>
      <c r="AA57" s="856">
        <f t="shared" si="58"/>
        <v>2021533.02</v>
      </c>
      <c r="AB57" s="856">
        <f t="shared" si="58"/>
        <v>2027099.7299999997</v>
      </c>
      <c r="AC57" s="856">
        <f t="shared" si="58"/>
        <v>2032666.4400000002</v>
      </c>
      <c r="AD57" s="856">
        <f t="shared" si="58"/>
        <v>2038233.1500000001</v>
      </c>
      <c r="AE57" s="856">
        <f t="shared" si="58"/>
        <v>2043799.8599999999</v>
      </c>
      <c r="AF57" s="856">
        <f t="shared" si="58"/>
        <v>2049366.57</v>
      </c>
      <c r="AG57" s="856">
        <f t="shared" si="58"/>
        <v>2054933.2799999998</v>
      </c>
      <c r="AH57" s="856">
        <f t="shared" si="58"/>
        <v>2060499.9900000002</v>
      </c>
      <c r="AI57" s="856">
        <f t="shared" si="58"/>
        <v>2066066.7</v>
      </c>
      <c r="AJ57" s="612">
        <f t="shared" si="58"/>
        <v>2071633.4100000001</v>
      </c>
    </row>
    <row r="58" spans="1:37">
      <c r="A58" s="1610"/>
      <c r="B58" s="98"/>
      <c r="C58" s="610"/>
      <c r="D58" s="610"/>
      <c r="E58" s="853"/>
      <c r="F58" s="853"/>
      <c r="G58" s="853"/>
      <c r="H58" s="853"/>
      <c r="I58" s="853"/>
      <c r="J58" s="853"/>
      <c r="K58" s="853"/>
      <c r="L58" s="853"/>
      <c r="M58" s="853"/>
      <c r="N58" s="853"/>
      <c r="O58" s="853"/>
      <c r="P58" s="853"/>
      <c r="Q58" s="610"/>
      <c r="R58" s="610"/>
      <c r="S58" s="98"/>
      <c r="T58" s="1556"/>
      <c r="U58" s="98"/>
      <c r="V58" s="610"/>
      <c r="W58" s="610"/>
      <c r="X58" s="610"/>
      <c r="Y58" s="853"/>
      <c r="Z58" s="853"/>
      <c r="AA58" s="853"/>
      <c r="AB58" s="853"/>
      <c r="AC58" s="853"/>
      <c r="AD58" s="853"/>
      <c r="AE58" s="853"/>
      <c r="AF58" s="853"/>
      <c r="AG58" s="853"/>
      <c r="AH58" s="853"/>
      <c r="AI58" s="853"/>
      <c r="AJ58" s="610"/>
    </row>
    <row r="59" spans="1:37">
      <c r="A59" s="1613">
        <v>3715</v>
      </c>
      <c r="B59" s="508" t="s">
        <v>233</v>
      </c>
      <c r="C59" s="627">
        <f>-IFERROR(VLOOKUP($A59,'Trial Blc'!$B$4:P$377,C$2,FALSE),0)</f>
        <v>62788.31</v>
      </c>
      <c r="D59" s="610"/>
      <c r="E59" s="856">
        <f t="shared" ref="E59" si="59">SUM(C59:D59)</f>
        <v>62788.31</v>
      </c>
      <c r="F59" s="627">
        <f>-IFERROR(VLOOKUP($A59,'Trial Blc'!$B$4:S$377,F$2,FALSE),0)</f>
        <v>62788.31</v>
      </c>
      <c r="G59" s="627">
        <f>-IFERROR(VLOOKUP($A59,'Trial Blc'!$B$4:T$377,G$2,FALSE),0)</f>
        <v>126544.31</v>
      </c>
      <c r="H59" s="627">
        <f>-IFERROR(VLOOKUP($A59,'Trial Blc'!$B$4:U$377,H$2,FALSE),0)</f>
        <v>126544.31</v>
      </c>
      <c r="I59" s="627">
        <f>-IFERROR(VLOOKUP($A59,'Trial Blc'!$B$4:V$377,I$2,FALSE),0)</f>
        <v>126544.31</v>
      </c>
      <c r="J59" s="627">
        <f>-IFERROR(VLOOKUP($A59,'Trial Blc'!$B$4:W$377,J$2,FALSE),0)</f>
        <v>126544.31</v>
      </c>
      <c r="K59" s="627">
        <f>-IFERROR(VLOOKUP($A59,'Trial Blc'!$B$4:X$377,K$2,FALSE),0)</f>
        <v>126544.31</v>
      </c>
      <c r="L59" s="627">
        <f>-IFERROR(VLOOKUP($A59,'Trial Blc'!$B$4:Y$377,L$2,FALSE),0)</f>
        <v>126544.31</v>
      </c>
      <c r="M59" s="627">
        <f>-IFERROR(VLOOKUP($A59,'Trial Blc'!$B$4:Z$377,M$2,FALSE),0)</f>
        <v>126544.31</v>
      </c>
      <c r="N59" s="627">
        <f>-IFERROR(VLOOKUP($A59,'Trial Blc'!$B$4:AA$377,N$2,FALSE),0)</f>
        <v>126544.31</v>
      </c>
      <c r="O59" s="627">
        <f>-IFERROR(VLOOKUP($A59,'Trial Blc'!$B$4:AB$377,O$2,FALSE),0)</f>
        <v>126544.31</v>
      </c>
      <c r="P59" s="627">
        <f>-IFERROR(VLOOKUP($A59,'Trial Blc'!$B$4:AC$377,P$2,FALSE),0)</f>
        <v>126544.31</v>
      </c>
      <c r="Q59" s="627">
        <f>-IFERROR(VLOOKUP($A59,'Trial Blc'!$B$4:AD$377,Q$2,FALSE),0)</f>
        <v>126544.31</v>
      </c>
      <c r="R59" s="87">
        <f t="shared" ref="R59" si="60">AVERAGE(E59:Q59)</f>
        <v>116735.69461538464</v>
      </c>
      <c r="S59" s="98"/>
      <c r="T59" s="1556">
        <v>4275</v>
      </c>
      <c r="U59" s="93" t="s">
        <v>262</v>
      </c>
      <c r="V59" s="627">
        <f>IFERROR(VLOOKUP($T59,'Trial Blc'!$B$4:AI$377,V$2,FALSE),0)</f>
        <v>5432.07</v>
      </c>
      <c r="W59" s="610"/>
      <c r="X59" s="856">
        <f t="shared" ref="X59" si="61">SUM(V59:W59)</f>
        <v>5432.07</v>
      </c>
      <c r="Y59" s="627">
        <f>IFERROR(VLOOKUP($T59,'Trial Blc'!$B$4:AL$377,Y$2,FALSE),0)</f>
        <v>5562.88</v>
      </c>
      <c r="Z59" s="627">
        <f>IFERROR(VLOOKUP($T59,'Trial Blc'!$B$4:AM$377,Z$2,FALSE),0)</f>
        <v>5826.51</v>
      </c>
      <c r="AA59" s="627">
        <f>IFERROR(VLOOKUP($T59,'Trial Blc'!$B$4:AN$377,AA$2,FALSE),0)</f>
        <v>6090.14</v>
      </c>
      <c r="AB59" s="627">
        <f>IFERROR(VLOOKUP($T59,'Trial Blc'!$B$4:AO$377,AB$2,FALSE),0)</f>
        <v>6353.77</v>
      </c>
      <c r="AC59" s="627">
        <f>IFERROR(VLOOKUP($T59,'Trial Blc'!$B$4:AP$377,AC$2,FALSE),0)</f>
        <v>6617.4</v>
      </c>
      <c r="AD59" s="627">
        <f>IFERROR(VLOOKUP($T59,'Trial Blc'!$B$4:AQ$377,AD$2,FALSE),0)</f>
        <v>6881.03</v>
      </c>
      <c r="AE59" s="627">
        <f>IFERROR(VLOOKUP($T59,'Trial Blc'!$B$4:AR$377,AE$2,FALSE),0)</f>
        <v>7144.66</v>
      </c>
      <c r="AF59" s="627">
        <f>IFERROR(VLOOKUP($T59,'Trial Blc'!$B$4:AS$377,AF$2,FALSE),0)</f>
        <v>7408.29</v>
      </c>
      <c r="AG59" s="627">
        <f>IFERROR(VLOOKUP($T59,'Trial Blc'!$B$4:AT$377,AG$2,FALSE),0)</f>
        <v>7671.92</v>
      </c>
      <c r="AH59" s="627">
        <f>IFERROR(VLOOKUP($T59,'Trial Blc'!$B$4:AU$377,AH$2,FALSE),0)</f>
        <v>7935.55</v>
      </c>
      <c r="AI59" s="627">
        <f>IFERROR(VLOOKUP($T59,'Trial Blc'!$B$4:AV$377,AI$2,FALSE),0)</f>
        <v>8199.18</v>
      </c>
      <c r="AJ59" s="627">
        <f>IFERROR(VLOOKUP($T59,'Trial Blc'!$B$4:AW$377,AJ$2,FALSE),0)</f>
        <v>8462.81</v>
      </c>
      <c r="AK59" s="87">
        <f t="shared" ref="AK59" si="62">AVERAGE(X59:AJ59)</f>
        <v>6891.246923076922</v>
      </c>
    </row>
    <row r="60" spans="1:37">
      <c r="A60" s="1613"/>
      <c r="B60" s="508"/>
      <c r="C60" s="610"/>
      <c r="D60" s="610"/>
      <c r="E60" s="853"/>
      <c r="F60" s="853"/>
      <c r="G60" s="853"/>
      <c r="H60" s="853"/>
      <c r="I60" s="853"/>
      <c r="J60" s="853"/>
      <c r="K60" s="853"/>
      <c r="L60" s="853"/>
      <c r="M60" s="853"/>
      <c r="N60" s="853"/>
      <c r="O60" s="853"/>
      <c r="P60" s="853"/>
      <c r="Q60" s="610"/>
      <c r="R60" s="87"/>
      <c r="S60" s="98"/>
      <c r="T60" s="1556"/>
      <c r="U60" s="93"/>
      <c r="V60" s="610"/>
      <c r="W60" s="610"/>
      <c r="X60" s="610"/>
      <c r="Y60" s="853"/>
      <c r="Z60" s="853"/>
      <c r="AA60" s="853"/>
      <c r="AB60" s="853"/>
      <c r="AC60" s="853"/>
      <c r="AD60" s="853"/>
      <c r="AE60" s="853"/>
      <c r="AF60" s="853"/>
      <c r="AG60" s="853"/>
      <c r="AH60" s="853"/>
      <c r="AI60" s="853"/>
      <c r="AJ60" s="610"/>
      <c r="AK60" s="87"/>
    </row>
    <row r="61" spans="1:37">
      <c r="A61" s="1610">
        <v>3770</v>
      </c>
      <c r="B61" s="97" t="s">
        <v>1820</v>
      </c>
      <c r="C61" s="627">
        <f>-IFERROR(VLOOKUP($A61,'Trial Blc'!$B$4:P$377,C$2,FALSE),0)</f>
        <v>0</v>
      </c>
      <c r="D61" s="610"/>
      <c r="E61" s="856">
        <f t="shared" ref="E61" si="63">SUM(C61:D61)</f>
        <v>0</v>
      </c>
      <c r="F61" s="627">
        <f>-IFERROR(VLOOKUP($A61,'Trial Blc'!$B$4:S$377,F$2,FALSE),0)</f>
        <v>0</v>
      </c>
      <c r="G61" s="627">
        <f>-IFERROR(VLOOKUP($A61,'Trial Blc'!$B$4:T$377,G$2,FALSE),0)</f>
        <v>0</v>
      </c>
      <c r="H61" s="627">
        <f>-IFERROR(VLOOKUP($A61,'Trial Blc'!$B$4:U$377,H$2,FALSE),0)</f>
        <v>0</v>
      </c>
      <c r="I61" s="627">
        <f>-IFERROR(VLOOKUP($A61,'Trial Blc'!$B$4:V$377,I$2,FALSE),0)</f>
        <v>0</v>
      </c>
      <c r="J61" s="627">
        <f>-IFERROR(VLOOKUP($A61,'Trial Blc'!$B$4:W$377,J$2,FALSE),0)</f>
        <v>0</v>
      </c>
      <c r="K61" s="627">
        <f>-IFERROR(VLOOKUP($A61,'Trial Blc'!$B$4:X$377,K$2,FALSE),0)</f>
        <v>0</v>
      </c>
      <c r="L61" s="627">
        <f>-IFERROR(VLOOKUP($A61,'Trial Blc'!$B$4:Y$377,L$2,FALSE),0)</f>
        <v>0</v>
      </c>
      <c r="M61" s="627">
        <f>-IFERROR(VLOOKUP($A61,'Trial Blc'!$B$4:Z$377,M$2,FALSE),0)</f>
        <v>0</v>
      </c>
      <c r="N61" s="627">
        <f>-IFERROR(VLOOKUP($A61,'Trial Blc'!$B$4:AA$377,N$2,FALSE),0)</f>
        <v>0</v>
      </c>
      <c r="O61" s="627">
        <f>-IFERROR(VLOOKUP($A61,'Trial Blc'!$B$4:AB$377,O$2,FALSE),0)</f>
        <v>0</v>
      </c>
      <c r="P61" s="627">
        <f>-IFERROR(VLOOKUP($A61,'Trial Blc'!$B$4:AC$377,P$2,FALSE),0)</f>
        <v>0</v>
      </c>
      <c r="Q61" s="627">
        <f>-IFERROR(VLOOKUP($A61,'Trial Blc'!$B$4:AD$377,Q$2,FALSE),0)</f>
        <v>0</v>
      </c>
      <c r="R61" s="87">
        <f t="shared" ref="R61" si="64">AVERAGE(E61:Q61)</f>
        <v>0</v>
      </c>
      <c r="S61" s="98"/>
      <c r="T61" s="1557">
        <v>4330</v>
      </c>
      <c r="U61" s="509" t="s">
        <v>1822</v>
      </c>
      <c r="V61" s="627">
        <f>IFERROR(VLOOKUP($T61,'Trial Blc'!$B$4:AI$377,V$2,FALSE),0)</f>
        <v>0</v>
      </c>
      <c r="W61" s="610"/>
      <c r="X61" s="856">
        <f t="shared" ref="X61" si="65">SUM(V61:W61)</f>
        <v>0</v>
      </c>
      <c r="Y61" s="627">
        <f>IFERROR(VLOOKUP($T61,'Trial Blc'!$B$4:AL$377,Y$2,FALSE),0)</f>
        <v>0</v>
      </c>
      <c r="Z61" s="627">
        <f>IFERROR(VLOOKUP($T61,'Trial Blc'!$B$4:AM$377,Z$2,FALSE),0)</f>
        <v>0</v>
      </c>
      <c r="AA61" s="627">
        <f>IFERROR(VLOOKUP($T61,'Trial Blc'!$B$4:AN$377,AA$2,FALSE),0)</f>
        <v>0</v>
      </c>
      <c r="AB61" s="627">
        <f>IFERROR(VLOOKUP($T61,'Trial Blc'!$B$4:AO$377,AB$2,FALSE),0)</f>
        <v>0</v>
      </c>
      <c r="AC61" s="627">
        <f>IFERROR(VLOOKUP($T61,'Trial Blc'!$B$4:AP$377,AC$2,FALSE),0)</f>
        <v>0</v>
      </c>
      <c r="AD61" s="627">
        <f>IFERROR(VLOOKUP($T61,'Trial Blc'!$B$4:AQ$377,AD$2,FALSE),0)</f>
        <v>0</v>
      </c>
      <c r="AE61" s="627">
        <f>IFERROR(VLOOKUP($T61,'Trial Blc'!$B$4:AR$377,AE$2,FALSE),0)</f>
        <v>0</v>
      </c>
      <c r="AF61" s="627">
        <f>IFERROR(VLOOKUP($T61,'Trial Blc'!$B$4:AS$377,AF$2,FALSE),0)</f>
        <v>0</v>
      </c>
      <c r="AG61" s="627">
        <f>IFERROR(VLOOKUP($T61,'Trial Blc'!$B$4:AT$377,AG$2,FALSE),0)</f>
        <v>0</v>
      </c>
      <c r="AH61" s="627">
        <f>IFERROR(VLOOKUP($T61,'Trial Blc'!$B$4:AU$377,AH$2,FALSE),0)</f>
        <v>0</v>
      </c>
      <c r="AI61" s="627">
        <f>IFERROR(VLOOKUP($T61,'Trial Blc'!$B$4:AV$377,AI$2,FALSE),0)</f>
        <v>0</v>
      </c>
      <c r="AJ61" s="627">
        <f>IFERROR(VLOOKUP($T61,'Trial Blc'!$B$4:AW$377,AJ$2,FALSE),0)</f>
        <v>0</v>
      </c>
      <c r="AK61" s="87">
        <f t="shared" ref="AK61" si="66">AVERAGE(X61:AJ61)</f>
        <v>0</v>
      </c>
    </row>
    <row r="62" spans="1:37">
      <c r="A62" s="1610"/>
      <c r="B62" s="97"/>
      <c r="C62" s="610"/>
      <c r="D62" s="610"/>
      <c r="E62" s="853"/>
      <c r="F62" s="853"/>
      <c r="G62" s="853"/>
      <c r="H62" s="853"/>
      <c r="I62" s="853"/>
      <c r="J62" s="853"/>
      <c r="K62" s="853"/>
      <c r="L62" s="853"/>
      <c r="M62" s="853"/>
      <c r="N62" s="853"/>
      <c r="O62" s="853"/>
      <c r="P62" s="853"/>
      <c r="Q62" s="610"/>
      <c r="R62" s="610"/>
      <c r="S62" s="98"/>
      <c r="T62" s="1556"/>
      <c r="U62" s="98"/>
      <c r="V62" s="610"/>
      <c r="W62" s="610"/>
      <c r="X62" s="610"/>
      <c r="Y62" s="853"/>
      <c r="Z62" s="853"/>
      <c r="AA62" s="853"/>
      <c r="AB62" s="853"/>
      <c r="AC62" s="853"/>
      <c r="AD62" s="853"/>
      <c r="AE62" s="853"/>
      <c r="AF62" s="853"/>
      <c r="AG62" s="853"/>
      <c r="AH62" s="853"/>
      <c r="AI62" s="853"/>
      <c r="AJ62" s="610"/>
    </row>
    <row r="63" spans="1:37">
      <c r="A63" s="1610">
        <v>3705</v>
      </c>
      <c r="B63" s="93" t="s">
        <v>232</v>
      </c>
      <c r="C63" s="627">
        <f>-IFERROR(VLOOKUP($A63,'Trial Blc'!$B$4:P$377,C$2,FALSE),0)</f>
        <v>419944.93</v>
      </c>
      <c r="D63" s="610"/>
      <c r="E63" s="856">
        <f t="shared" ref="E63" si="67">SUM(C63:D63)</f>
        <v>419944.93</v>
      </c>
      <c r="F63" s="627">
        <f>-IFERROR(VLOOKUP($A63,'Trial Blc'!$B$4:S$377,F$2,FALSE),0)</f>
        <v>419944.93</v>
      </c>
      <c r="G63" s="627">
        <f>-IFERROR(VLOOKUP($A63,'Trial Blc'!$B$4:T$377,G$2,FALSE),0)</f>
        <v>419944.93</v>
      </c>
      <c r="H63" s="627">
        <f>-IFERROR(VLOOKUP($A63,'Trial Blc'!$B$4:U$377,H$2,FALSE),0)</f>
        <v>419944.93</v>
      </c>
      <c r="I63" s="627">
        <f>-IFERROR(VLOOKUP($A63,'Trial Blc'!$B$4:V$377,I$2,FALSE),0)</f>
        <v>419944.93</v>
      </c>
      <c r="J63" s="627">
        <f>-IFERROR(VLOOKUP($A63,'Trial Blc'!$B$4:W$377,J$2,FALSE),0)</f>
        <v>419986.93</v>
      </c>
      <c r="K63" s="627">
        <f>-IFERROR(VLOOKUP($A63,'Trial Blc'!$B$4:X$377,K$2,FALSE),0)</f>
        <v>419986.93</v>
      </c>
      <c r="L63" s="627">
        <f>-IFERROR(VLOOKUP($A63,'Trial Blc'!$B$4:Y$377,L$2,FALSE),0)</f>
        <v>419986.93</v>
      </c>
      <c r="M63" s="627">
        <f>-IFERROR(VLOOKUP($A63,'Trial Blc'!$B$4:Z$377,M$2,FALSE),0)</f>
        <v>419986.93</v>
      </c>
      <c r="N63" s="627">
        <f>-IFERROR(VLOOKUP($A63,'Trial Blc'!$B$4:AA$377,N$2,FALSE),0)</f>
        <v>419986.93</v>
      </c>
      <c r="O63" s="627">
        <f>-IFERROR(VLOOKUP($A63,'Trial Blc'!$B$4:AB$377,O$2,FALSE),0)</f>
        <v>419986.93</v>
      </c>
      <c r="P63" s="627">
        <f>-IFERROR(VLOOKUP($A63,'Trial Blc'!$B$4:AC$377,P$2,FALSE),0)</f>
        <v>419965.93</v>
      </c>
      <c r="Q63" s="627">
        <f>-IFERROR(VLOOKUP($A63,'Trial Blc'!$B$4:AD$377,Q$2,FALSE),0)</f>
        <v>419965.93</v>
      </c>
      <c r="R63" s="87">
        <f t="shared" ref="R63" si="68">AVERAGE(E63:Q63)</f>
        <v>419967.54538461537</v>
      </c>
      <c r="S63" s="104"/>
      <c r="T63" s="1536">
        <v>4265</v>
      </c>
      <c r="U63" s="510" t="s">
        <v>261</v>
      </c>
      <c r="V63" s="627">
        <f>IFERROR(VLOOKUP($T63,'Trial Blc'!$B$4:AI$377,V$2,FALSE),0)</f>
        <v>118976.43</v>
      </c>
      <c r="W63" s="610"/>
      <c r="X63" s="856">
        <f t="shared" ref="X63" si="69">SUM(V63:W63)</f>
        <v>118976.43</v>
      </c>
      <c r="Y63" s="627">
        <f>IFERROR(VLOOKUP($T63,'Trial Blc'!$B$4:AL$377,Y$2,FALSE),0)</f>
        <v>119851.31</v>
      </c>
      <c r="Z63" s="627">
        <f>IFERROR(VLOOKUP($T63,'Trial Blc'!$B$4:AM$377,Z$2,FALSE),0)</f>
        <v>120726.19</v>
      </c>
      <c r="AA63" s="627">
        <f>IFERROR(VLOOKUP($T63,'Trial Blc'!$B$4:AN$377,AA$2,FALSE),0)</f>
        <v>121601.07</v>
      </c>
      <c r="AB63" s="627">
        <f>IFERROR(VLOOKUP($T63,'Trial Blc'!$B$4:AO$377,AB$2,FALSE),0)</f>
        <v>122475.95</v>
      </c>
      <c r="AC63" s="627">
        <f>IFERROR(VLOOKUP($T63,'Trial Blc'!$B$4:AP$377,AC$2,FALSE),0)</f>
        <v>123350.91</v>
      </c>
      <c r="AD63" s="627">
        <f>IFERROR(VLOOKUP($T63,'Trial Blc'!$B$4:AQ$377,AD$2,FALSE),0)</f>
        <v>124225.87</v>
      </c>
      <c r="AE63" s="627">
        <f>IFERROR(VLOOKUP($T63,'Trial Blc'!$B$4:AR$377,AE$2,FALSE),0)</f>
        <v>125100.83</v>
      </c>
      <c r="AF63" s="627">
        <f>IFERROR(VLOOKUP($T63,'Trial Blc'!$B$4:AS$377,AF$2,FALSE),0)</f>
        <v>125975.79</v>
      </c>
      <c r="AG63" s="627">
        <f>IFERROR(VLOOKUP($T63,'Trial Blc'!$B$4:AT$377,AG$2,FALSE),0)</f>
        <v>126850.75</v>
      </c>
      <c r="AH63" s="627">
        <f>IFERROR(VLOOKUP($T63,'Trial Blc'!$B$4:AU$377,AH$2,FALSE),0)</f>
        <v>127725.71</v>
      </c>
      <c r="AI63" s="627">
        <f>IFERROR(VLOOKUP($T63,'Trial Blc'!$B$4:AV$377,AI$2,FALSE),0)</f>
        <v>128600.63</v>
      </c>
      <c r="AJ63" s="627">
        <f>IFERROR(VLOOKUP($T63,'Trial Blc'!$B$4:AW$377,AJ$2,FALSE),0)</f>
        <v>129475.55</v>
      </c>
      <c r="AK63" s="87">
        <f t="shared" ref="AK63" si="70">AVERAGE(X63:AJ63)</f>
        <v>124225.92230769231</v>
      </c>
    </row>
    <row r="64" spans="1:37">
      <c r="A64" s="1610"/>
      <c r="B64" s="98"/>
      <c r="C64" s="614"/>
      <c r="D64" s="610"/>
      <c r="E64" s="864"/>
      <c r="F64" s="614"/>
      <c r="G64" s="614"/>
      <c r="H64" s="614"/>
      <c r="I64" s="614"/>
      <c r="J64" s="614"/>
      <c r="K64" s="614"/>
      <c r="L64" s="614"/>
      <c r="M64" s="614"/>
      <c r="N64" s="614"/>
      <c r="O64" s="614"/>
      <c r="P64" s="614"/>
      <c r="Q64" s="614"/>
      <c r="R64" s="614"/>
      <c r="S64" s="104"/>
      <c r="T64" s="1556"/>
      <c r="U64" s="93"/>
      <c r="V64" s="610"/>
      <c r="W64" s="610"/>
      <c r="X64" s="850"/>
      <c r="Y64" s="853"/>
      <c r="Z64" s="853"/>
      <c r="AA64" s="853"/>
      <c r="AB64" s="853"/>
      <c r="AC64" s="853"/>
      <c r="AD64" s="853"/>
      <c r="AE64" s="853"/>
      <c r="AF64" s="853"/>
      <c r="AG64" s="853"/>
      <c r="AH64" s="853"/>
      <c r="AI64" s="853"/>
      <c r="AJ64" s="610"/>
    </row>
    <row r="65" spans="1:55" ht="13.5" thickBot="1">
      <c r="A65" s="1608"/>
      <c r="B65" s="103" t="s">
        <v>1231</v>
      </c>
      <c r="C65" s="615">
        <f>+C48+C57+C63+C61+C59</f>
        <v>3090716.23</v>
      </c>
      <c r="D65" s="615">
        <f>+D48+D57+D63+D61</f>
        <v>0</v>
      </c>
      <c r="E65" s="615">
        <f t="shared" ref="E65:Q65" si="71">+E48+E57+E63+E61+E59</f>
        <v>3090716.23</v>
      </c>
      <c r="F65" s="615">
        <f t="shared" si="71"/>
        <v>3090716.23</v>
      </c>
      <c r="G65" s="615">
        <f t="shared" si="71"/>
        <v>3154472.23</v>
      </c>
      <c r="H65" s="615">
        <f t="shared" si="71"/>
        <v>3154472.23</v>
      </c>
      <c r="I65" s="615">
        <f t="shared" si="71"/>
        <v>3154472.23</v>
      </c>
      <c r="J65" s="615">
        <f t="shared" si="71"/>
        <v>3154514.23</v>
      </c>
      <c r="K65" s="615">
        <f t="shared" si="71"/>
        <v>3154514.23</v>
      </c>
      <c r="L65" s="615">
        <f t="shared" si="71"/>
        <v>3154514.23</v>
      </c>
      <c r="M65" s="615">
        <f t="shared" si="71"/>
        <v>3154514.23</v>
      </c>
      <c r="N65" s="615">
        <f t="shared" si="71"/>
        <v>3154514.23</v>
      </c>
      <c r="O65" s="615">
        <f t="shared" si="71"/>
        <v>3154514.23</v>
      </c>
      <c r="P65" s="615">
        <f t="shared" si="71"/>
        <v>3154493.23</v>
      </c>
      <c r="Q65" s="615">
        <f t="shared" si="71"/>
        <v>3154493.23</v>
      </c>
      <c r="R65" s="87">
        <f>AVERAGE(E65:Q65)</f>
        <v>3144686.2299999995</v>
      </c>
      <c r="S65" s="98"/>
      <c r="T65" s="1621"/>
      <c r="U65" s="103" t="s">
        <v>1232</v>
      </c>
      <c r="V65" s="624">
        <f>+V48+V57+V63+V61+V59</f>
        <v>2310495.6</v>
      </c>
      <c r="W65" s="624">
        <f>+W48+W57+W63+W61</f>
        <v>0</v>
      </c>
      <c r="X65" s="624">
        <f t="shared" ref="X65:AJ65" si="72">+X48+X57+X63+X61+X59</f>
        <v>2310495.6</v>
      </c>
      <c r="Y65" s="624">
        <f t="shared" si="72"/>
        <v>2318475.19</v>
      </c>
      <c r="Z65" s="624">
        <f t="shared" si="72"/>
        <v>2326587.5999999996</v>
      </c>
      <c r="AA65" s="624">
        <f t="shared" si="72"/>
        <v>2334700.0099999998</v>
      </c>
      <c r="AB65" s="624">
        <f t="shared" si="72"/>
        <v>2342812.42</v>
      </c>
      <c r="AC65" s="624">
        <f t="shared" si="72"/>
        <v>2350924.91</v>
      </c>
      <c r="AD65" s="624">
        <f t="shared" si="72"/>
        <v>2359037.4</v>
      </c>
      <c r="AE65" s="624">
        <f t="shared" si="72"/>
        <v>2367149.89</v>
      </c>
      <c r="AF65" s="624">
        <f t="shared" si="72"/>
        <v>2375262.3800000004</v>
      </c>
      <c r="AG65" s="624">
        <f t="shared" si="72"/>
        <v>2383374.8699999996</v>
      </c>
      <c r="AH65" s="624">
        <f t="shared" si="72"/>
        <v>2391487.36</v>
      </c>
      <c r="AI65" s="624">
        <f t="shared" si="72"/>
        <v>2399599.81</v>
      </c>
      <c r="AJ65" s="624">
        <f t="shared" si="72"/>
        <v>2407712.2600000002</v>
      </c>
      <c r="AK65" s="87">
        <f>AVERAGE(X65:AJ65)</f>
        <v>2359047.6692307694</v>
      </c>
    </row>
    <row r="66" spans="1:55" ht="13.5" thickTop="1">
      <c r="A66" s="1608"/>
      <c r="B66" s="103"/>
      <c r="C66" s="619"/>
      <c r="D66" s="625"/>
      <c r="E66" s="632"/>
      <c r="F66" s="619"/>
      <c r="G66" s="619"/>
      <c r="H66" s="619"/>
      <c r="I66" s="619"/>
      <c r="J66" s="619"/>
      <c r="K66" s="619"/>
      <c r="L66" s="619"/>
      <c r="M66" s="619"/>
      <c r="N66" s="619"/>
      <c r="O66" s="619"/>
      <c r="P66" s="619"/>
      <c r="Q66" s="619"/>
      <c r="R66" s="619"/>
      <c r="S66" s="98"/>
      <c r="T66" s="1621"/>
      <c r="U66" s="103"/>
      <c r="V66" s="625"/>
      <c r="W66" s="625"/>
      <c r="X66" s="625"/>
      <c r="Y66" s="632"/>
      <c r="Z66" s="632"/>
      <c r="AA66" s="632"/>
      <c r="AB66" s="632"/>
      <c r="AC66" s="632"/>
      <c r="AD66" s="632"/>
      <c r="AE66" s="632"/>
      <c r="AF66" s="632"/>
      <c r="AG66" s="632"/>
      <c r="AH66" s="632"/>
      <c r="AI66" s="632"/>
      <c r="AJ66" s="625"/>
    </row>
    <row r="67" spans="1:55">
      <c r="A67" s="1608"/>
      <c r="B67" s="103" t="s">
        <v>274</v>
      </c>
      <c r="C67" s="1678">
        <f t="shared" ref="C67:Q67" si="73">+C35+C65</f>
        <v>3090716.23</v>
      </c>
      <c r="D67" s="625">
        <f t="shared" si="73"/>
        <v>0</v>
      </c>
      <c r="E67" s="632">
        <f t="shared" si="73"/>
        <v>3090716.23</v>
      </c>
      <c r="F67" s="619">
        <f t="shared" si="73"/>
        <v>3090716.23</v>
      </c>
      <c r="G67" s="619">
        <f t="shared" si="73"/>
        <v>3154472.23</v>
      </c>
      <c r="H67" s="619">
        <f t="shared" si="73"/>
        <v>3154472.23</v>
      </c>
      <c r="I67" s="619">
        <f t="shared" si="73"/>
        <v>3154472.23</v>
      </c>
      <c r="J67" s="619">
        <f t="shared" si="73"/>
        <v>3154514.23</v>
      </c>
      <c r="K67" s="619">
        <f t="shared" si="73"/>
        <v>3154514.23</v>
      </c>
      <c r="L67" s="619">
        <f t="shared" si="73"/>
        <v>3154514.23</v>
      </c>
      <c r="M67" s="619">
        <f t="shared" si="73"/>
        <v>3154514.23</v>
      </c>
      <c r="N67" s="619">
        <f t="shared" si="73"/>
        <v>3154514.23</v>
      </c>
      <c r="O67" s="619">
        <f t="shared" si="73"/>
        <v>3154514.23</v>
      </c>
      <c r="P67" s="619">
        <f t="shared" si="73"/>
        <v>3154493.23</v>
      </c>
      <c r="Q67" s="619">
        <f t="shared" si="73"/>
        <v>3154493.23</v>
      </c>
      <c r="R67" s="87">
        <f t="shared" ref="R67:R68" si="74">AVERAGE(E67:Q67)</f>
        <v>3144686.2299999995</v>
      </c>
      <c r="S67" s="98"/>
      <c r="T67" s="1621"/>
      <c r="U67" s="103" t="s">
        <v>275</v>
      </c>
      <c r="V67" s="1673">
        <f t="shared" ref="V67:AJ67" si="75">+V35+V65</f>
        <v>2310495.6</v>
      </c>
      <c r="W67" s="625">
        <f t="shared" si="75"/>
        <v>0</v>
      </c>
      <c r="X67" s="625">
        <f t="shared" si="75"/>
        <v>2310495.6</v>
      </c>
      <c r="Y67" s="632">
        <f t="shared" si="75"/>
        <v>2318475.19</v>
      </c>
      <c r="Z67" s="632">
        <f t="shared" si="75"/>
        <v>2326587.5999999996</v>
      </c>
      <c r="AA67" s="632">
        <f t="shared" si="75"/>
        <v>2334700.0099999998</v>
      </c>
      <c r="AB67" s="632">
        <f t="shared" si="75"/>
        <v>2342812.42</v>
      </c>
      <c r="AC67" s="632">
        <f t="shared" si="75"/>
        <v>2350924.91</v>
      </c>
      <c r="AD67" s="632">
        <f t="shared" si="75"/>
        <v>2359037.4</v>
      </c>
      <c r="AE67" s="632">
        <f t="shared" si="75"/>
        <v>2367149.89</v>
      </c>
      <c r="AF67" s="632">
        <f t="shared" si="75"/>
        <v>2375262.3800000004</v>
      </c>
      <c r="AG67" s="632">
        <f t="shared" si="75"/>
        <v>2383374.8699999996</v>
      </c>
      <c r="AH67" s="632">
        <f t="shared" si="75"/>
        <v>2391487.36</v>
      </c>
      <c r="AI67" s="632">
        <f t="shared" si="75"/>
        <v>2399599.81</v>
      </c>
      <c r="AJ67" s="625">
        <f t="shared" si="75"/>
        <v>2407712.2600000002</v>
      </c>
      <c r="AK67" s="87">
        <f t="shared" ref="AK67:AK68" si="76">AVERAGE(X67:AJ67)</f>
        <v>2359047.6692307694</v>
      </c>
    </row>
    <row r="68" spans="1:55" ht="13.5" thickBot="1">
      <c r="A68" s="1608"/>
      <c r="B68" s="103" t="s">
        <v>2287</v>
      </c>
      <c r="C68" s="619">
        <f>SUM('Trial Blc'!C126:C136)</f>
        <v>-3090716.2300000004</v>
      </c>
      <c r="D68" s="625"/>
      <c r="E68" s="619">
        <f>SUM('Trial Blc'!C126:C136)</f>
        <v>-3090716.2300000004</v>
      </c>
      <c r="F68" s="619">
        <f>SUM('Trial Blc'!D126:D136)</f>
        <v>-3090716.2300000004</v>
      </c>
      <c r="G68" s="619">
        <f>SUM('Trial Blc'!E126:E136)</f>
        <v>-3154472.2300000004</v>
      </c>
      <c r="H68" s="619">
        <f>SUM('Trial Blc'!F126:F136)</f>
        <v>-3154472.2300000004</v>
      </c>
      <c r="I68" s="619">
        <f>SUM('Trial Blc'!G126:G136)</f>
        <v>-3154472.2300000004</v>
      </c>
      <c r="J68" s="619">
        <f>SUM('Trial Blc'!H126:H136)</f>
        <v>-3154514.2300000004</v>
      </c>
      <c r="K68" s="619">
        <f>SUM('Trial Blc'!I126:I136)</f>
        <v>-3154514.2300000004</v>
      </c>
      <c r="L68" s="619">
        <f>SUM('Trial Blc'!J126:J136)</f>
        <v>-3154514.2300000004</v>
      </c>
      <c r="M68" s="619">
        <f>SUM('Trial Blc'!K126:K136)</f>
        <v>-3154514.2300000004</v>
      </c>
      <c r="N68" s="619">
        <f>SUM('Trial Blc'!L126:L136)</f>
        <v>-3154514.2300000004</v>
      </c>
      <c r="O68" s="619">
        <f>SUM('Trial Blc'!M126:M136)</f>
        <v>-3154514.2300000004</v>
      </c>
      <c r="P68" s="619">
        <f>SUM('Trial Blc'!N126:N136)</f>
        <v>-3154493.2300000004</v>
      </c>
      <c r="Q68" s="619">
        <f>SUM('Trial Blc'!O126:O136)</f>
        <v>-3154493.2300000004</v>
      </c>
      <c r="R68" s="87">
        <f t="shared" si="74"/>
        <v>-3144686.2300000009</v>
      </c>
      <c r="S68" s="98"/>
      <c r="T68" s="1621"/>
      <c r="U68" s="103" t="s">
        <v>2287</v>
      </c>
      <c r="V68" s="625"/>
      <c r="W68" s="625"/>
      <c r="X68" s="625">
        <f>SUM('Trial Blc'!C138:C149)</f>
        <v>2310495.6</v>
      </c>
      <c r="Y68" s="625">
        <f>SUM('Trial Blc'!D138:D149)</f>
        <v>2318475.19</v>
      </c>
      <c r="Z68" s="625">
        <f>SUM('Trial Blc'!E138:E149)</f>
        <v>2326587.5999999996</v>
      </c>
      <c r="AA68" s="625">
        <f>SUM('Trial Blc'!F138:F149)</f>
        <v>2334700.0099999998</v>
      </c>
      <c r="AB68" s="625">
        <f>SUM('Trial Blc'!G138:G149)</f>
        <v>2342812.42</v>
      </c>
      <c r="AC68" s="625">
        <f>SUM('Trial Blc'!H138:H149)</f>
        <v>2350924.91</v>
      </c>
      <c r="AD68" s="625">
        <f>SUM('Trial Blc'!I138:I149)</f>
        <v>2359037.4</v>
      </c>
      <c r="AE68" s="625">
        <f>SUM('Trial Blc'!J138:J149)</f>
        <v>2367149.8900000006</v>
      </c>
      <c r="AF68" s="625">
        <f>SUM('Trial Blc'!K138:K149)</f>
        <v>2375262.38</v>
      </c>
      <c r="AG68" s="625">
        <f>SUM('Trial Blc'!L138:L149)</f>
        <v>2383374.87</v>
      </c>
      <c r="AH68" s="625">
        <f>SUM('Trial Blc'!M138:M149)</f>
        <v>2391487.36</v>
      </c>
      <c r="AI68" s="625">
        <f>SUM('Trial Blc'!N138:N149)</f>
        <v>2399599.8099999996</v>
      </c>
      <c r="AJ68" s="625">
        <f>SUM('Trial Blc'!O138:O149)</f>
        <v>2407712.2599999998</v>
      </c>
      <c r="AK68" s="87">
        <f t="shared" si="76"/>
        <v>2359047.6692307689</v>
      </c>
    </row>
    <row r="69" spans="1:55" s="496" customFormat="1">
      <c r="A69" s="1614"/>
      <c r="B69" s="515" t="s">
        <v>132</v>
      </c>
      <c r="C69" s="620"/>
      <c r="D69" s="626"/>
      <c r="E69" s="631"/>
      <c r="F69" s="617"/>
      <c r="G69" s="617"/>
      <c r="H69" s="617"/>
      <c r="I69" s="617"/>
      <c r="J69" s="617"/>
      <c r="K69" s="617"/>
      <c r="L69" s="617"/>
      <c r="M69" s="617"/>
      <c r="N69" s="617"/>
      <c r="O69" s="617"/>
      <c r="P69" s="617"/>
      <c r="Q69" s="617"/>
      <c r="R69" s="617"/>
      <c r="S69" s="499"/>
      <c r="T69" s="1554"/>
      <c r="U69" s="493" t="s">
        <v>132</v>
      </c>
      <c r="V69" s="626"/>
      <c r="W69" s="626"/>
      <c r="X69" s="626"/>
      <c r="Y69" s="626"/>
      <c r="Z69" s="626"/>
      <c r="AA69" s="626"/>
      <c r="AB69" s="626"/>
      <c r="AC69" s="626"/>
      <c r="AD69" s="626"/>
      <c r="AE69" s="626"/>
      <c r="AF69" s="626"/>
      <c r="AG69" s="626"/>
      <c r="AH69" s="626"/>
      <c r="AI69" s="626"/>
      <c r="AJ69" s="626"/>
      <c r="AK69" s="500"/>
      <c r="AL69" s="500"/>
      <c r="AM69" s="500"/>
      <c r="AN69" s="500"/>
      <c r="AO69" s="500"/>
      <c r="AP69" s="500"/>
      <c r="AQ69" s="500"/>
      <c r="AR69" s="500"/>
      <c r="AS69" s="500"/>
      <c r="AT69" s="500"/>
      <c r="AU69" s="500"/>
      <c r="AV69" s="495"/>
      <c r="AW69" s="495"/>
      <c r="AX69" s="495"/>
      <c r="AY69" s="495"/>
      <c r="AZ69" s="495"/>
      <c r="BA69" s="495"/>
      <c r="BB69" s="495"/>
      <c r="BC69" s="495"/>
    </row>
    <row r="70" spans="1:55" s="496" customFormat="1">
      <c r="A70" s="1612"/>
      <c r="B70" s="497" t="s">
        <v>139</v>
      </c>
      <c r="C70" s="617"/>
      <c r="D70" s="621"/>
      <c r="E70" s="859"/>
      <c r="F70" s="617"/>
      <c r="G70" s="617"/>
      <c r="H70" s="617"/>
      <c r="I70" s="617"/>
      <c r="J70" s="617"/>
      <c r="K70" s="617"/>
      <c r="L70" s="617"/>
      <c r="M70" s="617"/>
      <c r="N70" s="617"/>
      <c r="O70" s="617"/>
      <c r="P70" s="617"/>
      <c r="Q70" s="617"/>
      <c r="R70" s="617"/>
      <c r="S70" s="499"/>
      <c r="T70" s="1554"/>
      <c r="U70" s="497" t="s">
        <v>140</v>
      </c>
      <c r="V70" s="621"/>
      <c r="W70" s="621"/>
      <c r="X70" s="621"/>
      <c r="Y70" s="621"/>
      <c r="Z70" s="621"/>
      <c r="AA70" s="621"/>
      <c r="AB70" s="621"/>
      <c r="AC70" s="621"/>
      <c r="AD70" s="621"/>
      <c r="AE70" s="621"/>
      <c r="AF70" s="621"/>
      <c r="AG70" s="621"/>
      <c r="AH70" s="621"/>
      <c r="AI70" s="621"/>
      <c r="AJ70" s="621"/>
      <c r="AK70" s="495"/>
      <c r="AL70" s="495"/>
      <c r="AM70" s="495"/>
      <c r="AN70" s="495"/>
      <c r="AO70" s="495"/>
      <c r="AP70" s="495"/>
      <c r="AQ70" s="495"/>
      <c r="AR70" s="495"/>
      <c r="AS70" s="495"/>
      <c r="AT70" s="495"/>
      <c r="AU70" s="495"/>
      <c r="AV70" s="495"/>
      <c r="AW70" s="495"/>
      <c r="AX70" s="495"/>
      <c r="AY70" s="495"/>
      <c r="AZ70" s="495"/>
      <c r="BA70" s="495"/>
      <c r="BB70" s="495"/>
      <c r="BC70" s="495"/>
    </row>
    <row r="71" spans="1:55" s="496" customFormat="1">
      <c r="A71" s="1612"/>
      <c r="B71" s="493" t="s">
        <v>134</v>
      </c>
      <c r="C71" s="498">
        <f>+C65-C70</f>
        <v>3090716.23</v>
      </c>
      <c r="D71" s="617"/>
      <c r="E71" s="860"/>
      <c r="F71" s="498"/>
      <c r="G71" s="498"/>
      <c r="H71" s="498"/>
      <c r="I71" s="498"/>
      <c r="J71" s="498"/>
      <c r="K71" s="498"/>
      <c r="L71" s="498"/>
      <c r="M71" s="498"/>
      <c r="N71" s="498"/>
      <c r="O71" s="498"/>
      <c r="P71" s="498"/>
      <c r="Q71" s="617">
        <f>+Q65-Q70</f>
        <v>3154493.23</v>
      </c>
      <c r="R71" s="617"/>
      <c r="S71" s="499"/>
      <c r="T71" s="1554"/>
      <c r="U71" s="493" t="s">
        <v>134</v>
      </c>
      <c r="V71" s="617">
        <f>+V65-V70</f>
        <v>2310495.6</v>
      </c>
      <c r="W71" s="617"/>
      <c r="X71" s="617"/>
      <c r="Y71" s="617"/>
      <c r="Z71" s="617"/>
      <c r="AA71" s="617"/>
      <c r="AB71" s="617"/>
      <c r="AC71" s="617"/>
      <c r="AD71" s="617"/>
      <c r="AE71" s="617"/>
      <c r="AF71" s="617"/>
      <c r="AG71" s="617"/>
      <c r="AH71" s="617"/>
      <c r="AI71" s="617"/>
      <c r="AJ71" s="617">
        <f>+AJ65-AJ70</f>
        <v>2407712.2600000002</v>
      </c>
      <c r="AK71" s="495"/>
      <c r="AL71" s="495"/>
      <c r="AM71" s="495"/>
      <c r="AN71" s="495"/>
      <c r="AO71" s="495"/>
      <c r="AP71" s="495"/>
      <c r="AQ71" s="495"/>
      <c r="AR71" s="495"/>
      <c r="AS71" s="495"/>
      <c r="AT71" s="495"/>
      <c r="AU71" s="495"/>
      <c r="AV71" s="495"/>
      <c r="AW71" s="495"/>
      <c r="AX71" s="495"/>
      <c r="AY71" s="495"/>
      <c r="AZ71" s="495"/>
      <c r="BA71" s="495"/>
      <c r="BB71" s="495"/>
      <c r="BC71" s="495"/>
    </row>
    <row r="72" spans="1:55">
      <c r="A72" s="1608"/>
      <c r="B72" s="103"/>
      <c r="C72" s="99"/>
      <c r="D72" s="86"/>
      <c r="E72" s="865"/>
      <c r="F72" s="99"/>
      <c r="G72" s="99"/>
      <c r="H72" s="99"/>
      <c r="I72" s="99"/>
      <c r="J72" s="99"/>
      <c r="K72" s="99"/>
      <c r="L72" s="99"/>
      <c r="M72" s="99"/>
      <c r="N72" s="99"/>
      <c r="O72" s="99"/>
      <c r="P72" s="99"/>
      <c r="Q72" s="99"/>
      <c r="R72" s="99"/>
      <c r="S72" s="103"/>
      <c r="T72" s="1556"/>
      <c r="U72" s="86"/>
      <c r="V72" s="86"/>
      <c r="W72" s="86"/>
      <c r="X72" s="86"/>
      <c r="Y72" s="86"/>
      <c r="Z72" s="86"/>
      <c r="AA72" s="86"/>
      <c r="AB72" s="86"/>
      <c r="AC72" s="86"/>
      <c r="AD72" s="86"/>
      <c r="AE72" s="86"/>
      <c r="AF72" s="86"/>
      <c r="AG72" s="86"/>
      <c r="AH72" s="86"/>
      <c r="AI72" s="86"/>
      <c r="AJ72" s="86"/>
    </row>
    <row r="73" spans="1:55" ht="15.75">
      <c r="A73" s="1615"/>
      <c r="B73" s="511" t="s">
        <v>267</v>
      </c>
      <c r="C73" s="512"/>
      <c r="D73" s="513"/>
      <c r="E73" s="866"/>
      <c r="F73" s="512"/>
      <c r="G73" s="512"/>
      <c r="H73" s="512"/>
      <c r="I73" s="512"/>
      <c r="J73" s="512"/>
      <c r="K73" s="512"/>
      <c r="L73" s="512"/>
      <c r="M73" s="512"/>
      <c r="N73" s="512"/>
      <c r="O73" s="512"/>
      <c r="P73" s="512"/>
      <c r="Q73" s="512"/>
      <c r="R73" s="512"/>
      <c r="S73" s="103"/>
      <c r="T73" s="1622"/>
      <c r="U73" s="511" t="s">
        <v>268</v>
      </c>
      <c r="V73" s="513"/>
      <c r="W73" s="513"/>
      <c r="X73" s="513"/>
      <c r="Y73" s="513"/>
      <c r="Z73" s="513"/>
      <c r="AA73" s="513"/>
      <c r="AB73" s="513"/>
      <c r="AC73" s="513"/>
      <c r="AD73" s="513"/>
      <c r="AE73" s="513"/>
      <c r="AF73" s="513"/>
      <c r="AG73" s="513"/>
      <c r="AH73" s="513"/>
      <c r="AI73" s="513"/>
      <c r="AJ73" s="513"/>
    </row>
    <row r="74" spans="1:55">
      <c r="A74" s="1608"/>
      <c r="B74" s="103"/>
      <c r="C74" s="99"/>
      <c r="D74" s="86"/>
      <c r="E74" s="865"/>
      <c r="F74" s="99"/>
      <c r="G74" s="99"/>
      <c r="H74" s="99"/>
      <c r="I74" s="99"/>
      <c r="J74" s="99"/>
      <c r="K74" s="99"/>
      <c r="L74" s="99"/>
      <c r="M74" s="99"/>
      <c r="N74" s="99"/>
      <c r="O74" s="99"/>
      <c r="P74" s="99"/>
      <c r="Q74" s="99"/>
      <c r="R74" s="99"/>
      <c r="S74" s="103"/>
      <c r="T74" s="86"/>
      <c r="U74" s="86"/>
      <c r="V74" s="86"/>
      <c r="W74" s="86"/>
      <c r="X74" s="86"/>
      <c r="Y74" s="86"/>
      <c r="Z74" s="86"/>
      <c r="AA74" s="86"/>
      <c r="AB74" s="86"/>
      <c r="AC74" s="86"/>
      <c r="AD74" s="86"/>
      <c r="AE74" s="86"/>
      <c r="AF74" s="86"/>
      <c r="AG74" s="86"/>
      <c r="AH74" s="86"/>
      <c r="AI74" s="86"/>
      <c r="AJ74" s="86"/>
    </row>
    <row r="75" spans="1:55">
      <c r="A75" s="1608"/>
      <c r="B75" s="103"/>
      <c r="C75" s="99"/>
      <c r="D75" s="86"/>
      <c r="E75" s="865"/>
      <c r="F75" s="99"/>
      <c r="G75" s="99"/>
      <c r="H75" s="99"/>
      <c r="I75" s="99"/>
      <c r="J75" s="99"/>
      <c r="K75" s="99"/>
      <c r="L75" s="99"/>
      <c r="M75" s="99"/>
      <c r="N75" s="99"/>
      <c r="O75" s="99"/>
      <c r="P75" s="99"/>
      <c r="Q75" s="99"/>
      <c r="R75" s="99"/>
      <c r="S75" s="103"/>
      <c r="T75" s="86"/>
      <c r="U75" s="86"/>
      <c r="V75" s="86"/>
      <c r="W75" s="86"/>
      <c r="X75" s="86"/>
      <c r="Y75" s="86"/>
      <c r="Z75" s="86"/>
      <c r="AA75" s="86"/>
      <c r="AB75" s="86"/>
      <c r="AC75" s="86"/>
      <c r="AD75" s="86"/>
      <c r="AE75" s="86"/>
      <c r="AF75" s="86"/>
      <c r="AG75" s="86"/>
      <c r="AH75" s="86"/>
      <c r="AI75" s="86"/>
      <c r="AJ75" s="86"/>
    </row>
    <row r="76" spans="1:55">
      <c r="A76" s="1616"/>
      <c r="B76" s="105"/>
      <c r="C76" s="86"/>
      <c r="D76" s="86"/>
      <c r="E76" s="865"/>
      <c r="F76" s="86"/>
      <c r="G76" s="86"/>
      <c r="H76" s="86"/>
      <c r="I76" s="86"/>
      <c r="J76" s="86"/>
      <c r="K76" s="86"/>
      <c r="L76" s="86"/>
      <c r="M76" s="86"/>
      <c r="N76" s="86"/>
      <c r="O76" s="86"/>
      <c r="P76" s="86"/>
      <c r="Q76" s="86"/>
      <c r="R76" s="86"/>
      <c r="S76" s="98"/>
      <c r="T76" s="86"/>
      <c r="U76" s="86"/>
      <c r="V76" s="86"/>
      <c r="W76" s="86"/>
      <c r="X76" s="86"/>
      <c r="Y76" s="86"/>
      <c r="Z76" s="86"/>
      <c r="AA76" s="86"/>
      <c r="AB76" s="86"/>
      <c r="AC76" s="86"/>
      <c r="AD76" s="86"/>
      <c r="AE76" s="86"/>
      <c r="AF76" s="86"/>
      <c r="AG76" s="86"/>
      <c r="AH76" s="86"/>
      <c r="AI76" s="86"/>
      <c r="AJ76" s="86"/>
    </row>
    <row r="77" spans="1:55">
      <c r="A77" s="1610"/>
      <c r="B77" s="98"/>
      <c r="C77" s="98"/>
      <c r="D77" s="86"/>
      <c r="E77" s="865"/>
      <c r="F77" s="98"/>
      <c r="G77" s="98"/>
      <c r="H77" s="98"/>
      <c r="I77" s="98"/>
      <c r="J77" s="98"/>
      <c r="K77" s="98"/>
      <c r="L77" s="98"/>
      <c r="M77" s="98"/>
      <c r="N77" s="98"/>
      <c r="O77" s="98"/>
      <c r="P77" s="98"/>
      <c r="Q77" s="98"/>
      <c r="R77" s="98"/>
      <c r="S77" s="98"/>
      <c r="T77" s="86"/>
      <c r="U77" s="86"/>
      <c r="V77" s="86"/>
      <c r="W77" s="86"/>
      <c r="X77" s="86"/>
      <c r="Y77" s="86"/>
      <c r="Z77" s="86"/>
      <c r="AA77" s="86"/>
      <c r="AB77" s="86"/>
      <c r="AC77" s="86"/>
      <c r="AD77" s="86"/>
      <c r="AE77" s="86"/>
      <c r="AF77" s="86"/>
      <c r="AG77" s="86"/>
      <c r="AH77" s="86"/>
      <c r="AI77" s="86"/>
      <c r="AJ77" s="86"/>
    </row>
    <row r="78" spans="1:55">
      <c r="A78" s="1608"/>
      <c r="B78" s="85"/>
      <c r="C78" s="86"/>
      <c r="D78" s="86"/>
      <c r="E78" s="865"/>
      <c r="F78" s="86"/>
      <c r="G78" s="86"/>
      <c r="H78" s="86"/>
      <c r="I78" s="86"/>
      <c r="J78" s="86"/>
      <c r="K78" s="86"/>
      <c r="L78" s="86"/>
      <c r="M78" s="86"/>
      <c r="N78" s="86"/>
      <c r="O78" s="86"/>
      <c r="P78" s="86"/>
      <c r="Q78" s="86"/>
      <c r="R78" s="86"/>
      <c r="S78" s="98"/>
      <c r="T78" s="86"/>
      <c r="U78" s="86"/>
      <c r="V78" s="86"/>
      <c r="W78" s="86"/>
      <c r="X78" s="86"/>
      <c r="Y78" s="86"/>
      <c r="Z78" s="86"/>
      <c r="AA78" s="86"/>
      <c r="AB78" s="86"/>
      <c r="AC78" s="86"/>
      <c r="AD78" s="86"/>
      <c r="AE78" s="86"/>
      <c r="AF78" s="86"/>
      <c r="AG78" s="86"/>
      <c r="AH78" s="86"/>
      <c r="AI78" s="86"/>
      <c r="AJ78" s="86"/>
    </row>
    <row r="79" spans="1:55">
      <c r="A79" s="1610"/>
      <c r="B79" s="98"/>
      <c r="C79" s="98"/>
      <c r="D79" s="86"/>
      <c r="E79" s="865"/>
      <c r="F79" s="98"/>
      <c r="G79" s="98"/>
      <c r="H79" s="98"/>
      <c r="I79" s="98"/>
      <c r="J79" s="98"/>
      <c r="K79" s="98"/>
      <c r="L79" s="98"/>
      <c r="M79" s="98"/>
      <c r="N79" s="98"/>
      <c r="O79" s="98"/>
      <c r="P79" s="98"/>
      <c r="Q79" s="98"/>
      <c r="R79" s="98"/>
      <c r="S79" s="103"/>
      <c r="T79" s="86"/>
      <c r="U79" s="86"/>
      <c r="V79" s="86"/>
      <c r="W79" s="86"/>
      <c r="X79" s="86"/>
      <c r="Y79" s="86"/>
      <c r="Z79" s="86"/>
      <c r="AA79" s="86"/>
      <c r="AB79" s="86"/>
      <c r="AC79" s="86"/>
      <c r="AD79" s="86"/>
      <c r="AE79" s="86"/>
      <c r="AF79" s="86"/>
      <c r="AG79" s="86"/>
      <c r="AH79" s="86"/>
      <c r="AI79" s="86"/>
      <c r="AJ79" s="86"/>
    </row>
    <row r="80" spans="1:55">
      <c r="A80" s="1608"/>
      <c r="B80" s="85"/>
      <c r="C80" s="86"/>
      <c r="D80" s="86"/>
      <c r="E80" s="865"/>
      <c r="F80" s="86"/>
      <c r="G80" s="86"/>
      <c r="H80" s="86"/>
      <c r="I80" s="86"/>
      <c r="J80" s="86"/>
      <c r="K80" s="86"/>
      <c r="L80" s="86"/>
      <c r="M80" s="86"/>
      <c r="N80" s="86"/>
      <c r="O80" s="86"/>
      <c r="P80" s="86"/>
      <c r="Q80" s="86"/>
      <c r="R80" s="86"/>
      <c r="S80" s="98"/>
      <c r="T80" s="86"/>
      <c r="U80" s="86"/>
      <c r="V80" s="86"/>
      <c r="W80" s="86"/>
      <c r="X80" s="86"/>
      <c r="Y80" s="86"/>
      <c r="Z80" s="86"/>
      <c r="AA80" s="86"/>
      <c r="AB80" s="86"/>
      <c r="AC80" s="86"/>
      <c r="AD80" s="86"/>
      <c r="AE80" s="86"/>
      <c r="AF80" s="86"/>
      <c r="AG80" s="86"/>
      <c r="AH80" s="86"/>
      <c r="AI80" s="86"/>
      <c r="AJ80" s="86"/>
    </row>
    <row r="81" spans="1:36">
      <c r="A81" s="1610"/>
      <c r="B81" s="93"/>
      <c r="D81" s="86"/>
      <c r="E81" s="865"/>
      <c r="S81" s="86"/>
      <c r="T81" s="86"/>
      <c r="U81" s="86"/>
      <c r="V81" s="86"/>
      <c r="W81" s="86"/>
      <c r="X81" s="86"/>
      <c r="Y81" s="86"/>
      <c r="Z81" s="86"/>
      <c r="AA81" s="86"/>
      <c r="AB81" s="86"/>
      <c r="AC81" s="86"/>
      <c r="AD81" s="86"/>
      <c r="AE81" s="86"/>
      <c r="AF81" s="86"/>
      <c r="AG81" s="86"/>
      <c r="AH81" s="86"/>
      <c r="AI81" s="86"/>
      <c r="AJ81" s="86"/>
    </row>
    <row r="82" spans="1:36">
      <c r="A82" s="1610"/>
      <c r="B82" s="93"/>
      <c r="D82" s="86"/>
      <c r="E82" s="865"/>
      <c r="S82" s="86"/>
      <c r="T82" s="86"/>
      <c r="U82" s="86"/>
      <c r="V82" s="86"/>
      <c r="W82" s="86"/>
      <c r="X82" s="86"/>
      <c r="Y82" s="86"/>
      <c r="Z82" s="86"/>
      <c r="AA82" s="86"/>
      <c r="AB82" s="86"/>
      <c r="AC82" s="86"/>
      <c r="AD82" s="86"/>
      <c r="AE82" s="86"/>
      <c r="AF82" s="86"/>
      <c r="AG82" s="86"/>
      <c r="AH82" s="86"/>
      <c r="AI82" s="86"/>
      <c r="AJ82" s="86"/>
    </row>
    <row r="83" spans="1:36">
      <c r="A83" s="1610"/>
      <c r="B83" s="93"/>
      <c r="D83" s="86"/>
      <c r="E83" s="865"/>
      <c r="S83" s="86"/>
      <c r="T83" s="86"/>
      <c r="U83" s="86"/>
      <c r="V83" s="86"/>
      <c r="W83" s="86"/>
      <c r="X83" s="86"/>
      <c r="Y83" s="86"/>
      <c r="Z83" s="86"/>
      <c r="AA83" s="86"/>
      <c r="AB83" s="86"/>
      <c r="AC83" s="86"/>
      <c r="AD83" s="86"/>
      <c r="AE83" s="86"/>
      <c r="AF83" s="86"/>
      <c r="AG83" s="86"/>
      <c r="AH83" s="86"/>
      <c r="AI83" s="86"/>
      <c r="AJ83" s="86"/>
    </row>
    <row r="84" spans="1:36">
      <c r="A84" s="1610"/>
      <c r="B84" s="93"/>
      <c r="D84" s="86"/>
      <c r="E84" s="865"/>
      <c r="S84" s="86"/>
      <c r="T84" s="86"/>
      <c r="U84" s="86"/>
      <c r="V84" s="86"/>
      <c r="W84" s="86"/>
      <c r="X84" s="86"/>
      <c r="Y84" s="86"/>
      <c r="Z84" s="86"/>
      <c r="AA84" s="86"/>
      <c r="AB84" s="86"/>
      <c r="AC84" s="86"/>
      <c r="AD84" s="86"/>
      <c r="AE84" s="86"/>
      <c r="AF84" s="86"/>
      <c r="AG84" s="86"/>
      <c r="AH84" s="86"/>
      <c r="AI84" s="86"/>
      <c r="AJ84" s="86"/>
    </row>
    <row r="85" spans="1:36">
      <c r="A85" s="1610"/>
      <c r="B85" s="93"/>
      <c r="D85" s="86"/>
      <c r="E85" s="865"/>
      <c r="S85" s="86"/>
      <c r="T85" s="86"/>
      <c r="U85" s="86"/>
      <c r="V85" s="86"/>
      <c r="W85" s="86"/>
      <c r="X85" s="86"/>
      <c r="Y85" s="86"/>
      <c r="Z85" s="86"/>
      <c r="AA85" s="86"/>
      <c r="AB85" s="86"/>
      <c r="AC85" s="86"/>
      <c r="AD85" s="86"/>
      <c r="AE85" s="86"/>
      <c r="AF85" s="86"/>
      <c r="AG85" s="86"/>
      <c r="AH85" s="86"/>
      <c r="AI85" s="86"/>
      <c r="AJ85" s="86"/>
    </row>
    <row r="86" spans="1:36">
      <c r="A86" s="1610"/>
      <c r="B86" s="93"/>
      <c r="D86" s="86"/>
      <c r="E86" s="865"/>
      <c r="S86" s="86"/>
      <c r="T86" s="86"/>
      <c r="U86" s="86"/>
      <c r="V86" s="86"/>
      <c r="W86" s="86"/>
      <c r="X86" s="86"/>
      <c r="Y86" s="86"/>
      <c r="Z86" s="86"/>
      <c r="AA86" s="86"/>
      <c r="AB86" s="86"/>
      <c r="AC86" s="86"/>
      <c r="AD86" s="86"/>
      <c r="AE86" s="86"/>
      <c r="AF86" s="86"/>
      <c r="AG86" s="86"/>
      <c r="AH86" s="86"/>
      <c r="AI86" s="86"/>
      <c r="AJ86" s="86"/>
    </row>
    <row r="87" spans="1:36">
      <c r="A87" s="1610"/>
      <c r="B87" s="93"/>
      <c r="D87" s="86"/>
      <c r="E87" s="865"/>
      <c r="S87" s="86"/>
      <c r="T87" s="86"/>
      <c r="U87" s="86"/>
      <c r="V87" s="86"/>
      <c r="W87" s="86"/>
      <c r="X87" s="86"/>
      <c r="Y87" s="86"/>
      <c r="Z87" s="86"/>
      <c r="AA87" s="86"/>
      <c r="AB87" s="86"/>
      <c r="AC87" s="86"/>
      <c r="AD87" s="86"/>
      <c r="AE87" s="86"/>
      <c r="AF87" s="86"/>
      <c r="AG87" s="86"/>
      <c r="AH87" s="86"/>
      <c r="AI87" s="86"/>
      <c r="AJ87" s="86"/>
    </row>
    <row r="88" spans="1:36">
      <c r="A88" s="1610"/>
      <c r="B88" s="93"/>
      <c r="D88" s="86"/>
      <c r="E88" s="865"/>
      <c r="S88" s="86"/>
      <c r="T88" s="86"/>
      <c r="U88" s="86"/>
      <c r="V88" s="86"/>
      <c r="W88" s="86"/>
      <c r="X88" s="86"/>
      <c r="Y88" s="86"/>
      <c r="Z88" s="86"/>
      <c r="AA88" s="86"/>
      <c r="AB88" s="86"/>
      <c r="AC88" s="86"/>
      <c r="AD88" s="86"/>
      <c r="AE88" s="86"/>
      <c r="AF88" s="86"/>
      <c r="AG88" s="86"/>
      <c r="AH88" s="86"/>
      <c r="AI88" s="86"/>
      <c r="AJ88" s="86"/>
    </row>
    <row r="89" spans="1:36">
      <c r="A89" s="1610"/>
      <c r="B89" s="93"/>
      <c r="D89" s="86"/>
      <c r="E89" s="865"/>
      <c r="S89" s="86"/>
      <c r="T89" s="86"/>
      <c r="U89" s="86"/>
      <c r="V89" s="86"/>
      <c r="W89" s="86"/>
      <c r="X89" s="86"/>
      <c r="Y89" s="86"/>
      <c r="Z89" s="86"/>
      <c r="AA89" s="86"/>
      <c r="AB89" s="86"/>
      <c r="AC89" s="86"/>
      <c r="AD89" s="86"/>
      <c r="AE89" s="86"/>
      <c r="AF89" s="86"/>
      <c r="AG89" s="86"/>
      <c r="AH89" s="86"/>
      <c r="AI89" s="86"/>
      <c r="AJ89" s="86"/>
    </row>
    <row r="90" spans="1:36">
      <c r="D90" s="86"/>
      <c r="E90" s="865"/>
      <c r="S90" s="86"/>
      <c r="T90" s="86"/>
      <c r="U90" s="86"/>
      <c r="V90" s="86"/>
      <c r="W90" s="86"/>
      <c r="X90" s="86"/>
      <c r="Y90" s="86"/>
      <c r="Z90" s="86"/>
      <c r="AA90" s="86"/>
      <c r="AB90" s="86"/>
      <c r="AC90" s="86"/>
      <c r="AD90" s="86"/>
      <c r="AE90" s="86"/>
      <c r="AF90" s="86"/>
      <c r="AG90" s="86"/>
      <c r="AH90" s="86"/>
      <c r="AI90" s="86"/>
      <c r="AJ90" s="86"/>
    </row>
    <row r="91" spans="1:36">
      <c r="D91" s="86"/>
      <c r="E91" s="865"/>
      <c r="S91" s="86"/>
      <c r="T91" s="86"/>
      <c r="U91" s="86"/>
      <c r="V91" s="86"/>
      <c r="W91" s="86"/>
      <c r="X91" s="86"/>
      <c r="Y91" s="86"/>
      <c r="Z91" s="86"/>
      <c r="AA91" s="86"/>
      <c r="AB91" s="86"/>
      <c r="AC91" s="86"/>
      <c r="AD91" s="86"/>
      <c r="AE91" s="86"/>
      <c r="AF91" s="86"/>
      <c r="AG91" s="86"/>
      <c r="AH91" s="86"/>
      <c r="AI91" s="86"/>
      <c r="AJ91" s="86"/>
    </row>
    <row r="92" spans="1:36">
      <c r="D92" s="86"/>
      <c r="E92" s="865"/>
      <c r="S92" s="86"/>
      <c r="T92" s="86"/>
      <c r="U92" s="86"/>
      <c r="V92" s="86"/>
      <c r="W92" s="86"/>
      <c r="X92" s="86"/>
      <c r="Y92" s="86"/>
      <c r="Z92" s="86"/>
      <c r="AA92" s="86"/>
      <c r="AB92" s="86"/>
      <c r="AC92" s="86"/>
      <c r="AD92" s="86"/>
      <c r="AE92" s="86"/>
      <c r="AF92" s="86"/>
      <c r="AG92" s="86"/>
      <c r="AH92" s="86"/>
      <c r="AI92" s="86"/>
      <c r="AJ92" s="86"/>
    </row>
    <row r="93" spans="1:36">
      <c r="D93" s="86"/>
      <c r="E93" s="865"/>
      <c r="S93" s="86"/>
      <c r="T93" s="86"/>
      <c r="U93" s="86"/>
      <c r="V93" s="86"/>
      <c r="W93" s="86"/>
      <c r="X93" s="86"/>
      <c r="Y93" s="86"/>
      <c r="Z93" s="86"/>
      <c r="AA93" s="86"/>
      <c r="AB93" s="86"/>
      <c r="AC93" s="86"/>
      <c r="AD93" s="86"/>
      <c r="AE93" s="86"/>
      <c r="AF93" s="86"/>
      <c r="AG93" s="86"/>
      <c r="AH93" s="86"/>
      <c r="AI93" s="86"/>
      <c r="AJ93" s="86"/>
    </row>
    <row r="94" spans="1:36">
      <c r="D94" s="86"/>
      <c r="E94" s="865"/>
      <c r="S94" s="86"/>
      <c r="T94" s="86"/>
      <c r="U94" s="86"/>
      <c r="V94" s="86"/>
      <c r="W94" s="86"/>
      <c r="X94" s="86"/>
      <c r="Y94" s="86"/>
      <c r="Z94" s="86"/>
      <c r="AA94" s="86"/>
      <c r="AB94" s="86"/>
      <c r="AC94" s="86"/>
      <c r="AD94" s="86"/>
      <c r="AE94" s="86"/>
      <c r="AF94" s="86"/>
      <c r="AG94" s="86"/>
      <c r="AH94" s="86"/>
      <c r="AI94" s="86"/>
      <c r="AJ94" s="86"/>
    </row>
    <row r="95" spans="1:36">
      <c r="D95" s="86"/>
      <c r="E95" s="865"/>
      <c r="S95" s="86"/>
      <c r="T95" s="86"/>
      <c r="U95" s="86"/>
      <c r="V95" s="86"/>
      <c r="W95" s="86"/>
      <c r="X95" s="86"/>
      <c r="Y95" s="86"/>
      <c r="Z95" s="86"/>
      <c r="AA95" s="86"/>
      <c r="AB95" s="86"/>
      <c r="AC95" s="86"/>
      <c r="AD95" s="86"/>
      <c r="AE95" s="86"/>
      <c r="AF95" s="86"/>
      <c r="AG95" s="86"/>
      <c r="AH95" s="86"/>
      <c r="AI95" s="86"/>
      <c r="AJ95" s="86"/>
    </row>
    <row r="96" spans="1:36">
      <c r="D96" s="86"/>
      <c r="E96" s="865"/>
      <c r="S96" s="86"/>
      <c r="T96" s="86"/>
      <c r="U96" s="86"/>
      <c r="V96" s="86"/>
      <c r="W96" s="86"/>
      <c r="X96" s="86"/>
      <c r="Y96" s="86"/>
      <c r="Z96" s="86"/>
      <c r="AA96" s="86"/>
      <c r="AB96" s="86"/>
      <c r="AC96" s="86"/>
      <c r="AD96" s="86"/>
      <c r="AE96" s="86"/>
      <c r="AF96" s="86"/>
      <c r="AG96" s="86"/>
      <c r="AH96" s="86"/>
      <c r="AI96" s="86"/>
      <c r="AJ96" s="86"/>
    </row>
    <row r="97" spans="4:36">
      <c r="D97" s="86"/>
      <c r="E97" s="865"/>
      <c r="S97" s="86"/>
      <c r="T97" s="86"/>
      <c r="U97" s="86"/>
      <c r="V97" s="86"/>
      <c r="W97" s="86"/>
      <c r="X97" s="86"/>
      <c r="Y97" s="86"/>
      <c r="Z97" s="86"/>
      <c r="AA97" s="86"/>
      <c r="AB97" s="86"/>
      <c r="AC97" s="86"/>
      <c r="AD97" s="86"/>
      <c r="AE97" s="86"/>
      <c r="AF97" s="86"/>
      <c r="AG97" s="86"/>
      <c r="AH97" s="86"/>
      <c r="AI97" s="86"/>
      <c r="AJ97" s="86"/>
    </row>
    <row r="98" spans="4:36">
      <c r="D98" s="86"/>
      <c r="E98" s="865"/>
      <c r="S98" s="86"/>
      <c r="T98" s="86"/>
      <c r="U98" s="86"/>
      <c r="V98" s="86"/>
      <c r="W98" s="86"/>
      <c r="X98" s="86"/>
      <c r="Y98" s="86"/>
      <c r="Z98" s="86"/>
      <c r="AA98" s="86"/>
      <c r="AB98" s="86"/>
      <c r="AC98" s="86"/>
      <c r="AD98" s="86"/>
      <c r="AE98" s="86"/>
      <c r="AF98" s="86"/>
      <c r="AG98" s="86"/>
      <c r="AH98" s="86"/>
      <c r="AI98" s="86"/>
      <c r="AJ98" s="86"/>
    </row>
    <row r="99" spans="4:36">
      <c r="D99" s="86"/>
      <c r="E99" s="865"/>
      <c r="S99" s="86"/>
      <c r="T99" s="86"/>
      <c r="U99" s="86"/>
      <c r="V99" s="86"/>
      <c r="W99" s="86"/>
      <c r="X99" s="86"/>
      <c r="Y99" s="86"/>
      <c r="Z99" s="86"/>
      <c r="AA99" s="86"/>
      <c r="AB99" s="86"/>
      <c r="AC99" s="86"/>
      <c r="AD99" s="86"/>
      <c r="AE99" s="86"/>
      <c r="AF99" s="86"/>
      <c r="AG99" s="86"/>
      <c r="AH99" s="86"/>
      <c r="AI99" s="86"/>
      <c r="AJ99" s="86"/>
    </row>
    <row r="100" spans="4:36">
      <c r="D100" s="86"/>
      <c r="E100" s="865"/>
      <c r="S100" s="86"/>
      <c r="T100" s="86"/>
      <c r="U100" s="86"/>
      <c r="V100" s="86"/>
      <c r="W100" s="86"/>
      <c r="X100" s="86"/>
      <c r="Y100" s="86"/>
      <c r="Z100" s="86"/>
      <c r="AA100" s="86"/>
      <c r="AB100" s="86"/>
      <c r="AC100" s="86"/>
      <c r="AD100" s="86"/>
      <c r="AE100" s="86"/>
      <c r="AF100" s="86"/>
      <c r="AG100" s="86"/>
      <c r="AH100" s="86"/>
      <c r="AI100" s="86"/>
      <c r="AJ100" s="86"/>
    </row>
    <row r="101" spans="4:36">
      <c r="D101" s="86"/>
      <c r="E101" s="865"/>
      <c r="S101" s="86"/>
      <c r="T101" s="86"/>
      <c r="U101" s="86"/>
      <c r="V101" s="86"/>
      <c r="W101" s="86"/>
      <c r="X101" s="86"/>
      <c r="Y101" s="86"/>
      <c r="Z101" s="86"/>
      <c r="AA101" s="86"/>
      <c r="AB101" s="86"/>
      <c r="AC101" s="86"/>
      <c r="AD101" s="86"/>
      <c r="AE101" s="86"/>
      <c r="AF101" s="86"/>
      <c r="AG101" s="86"/>
      <c r="AH101" s="86"/>
      <c r="AI101" s="86"/>
      <c r="AJ101" s="86"/>
    </row>
    <row r="102" spans="4:36">
      <c r="D102" s="86"/>
      <c r="E102" s="865"/>
      <c r="S102" s="86"/>
      <c r="T102" s="86"/>
      <c r="U102" s="86"/>
      <c r="V102" s="86"/>
      <c r="W102" s="86"/>
      <c r="X102" s="86"/>
      <c r="Y102" s="86"/>
      <c r="Z102" s="86"/>
      <c r="AA102" s="86"/>
      <c r="AB102" s="86"/>
      <c r="AC102" s="86"/>
      <c r="AD102" s="86"/>
      <c r="AE102" s="86"/>
      <c r="AF102" s="86"/>
      <c r="AG102" s="86"/>
      <c r="AH102" s="86"/>
      <c r="AI102" s="86"/>
      <c r="AJ102" s="86"/>
    </row>
    <row r="103" spans="4:36">
      <c r="D103" s="86"/>
      <c r="E103" s="865"/>
      <c r="S103" s="86"/>
      <c r="T103" s="86"/>
      <c r="U103" s="86"/>
      <c r="V103" s="86"/>
      <c r="W103" s="86"/>
      <c r="X103" s="86"/>
      <c r="Y103" s="86"/>
      <c r="Z103" s="86"/>
      <c r="AA103" s="86"/>
      <c r="AB103" s="86"/>
      <c r="AC103" s="86"/>
      <c r="AD103" s="86"/>
      <c r="AE103" s="86"/>
      <c r="AF103" s="86"/>
      <c r="AG103" s="86"/>
      <c r="AH103" s="86"/>
      <c r="AI103" s="86"/>
      <c r="AJ103" s="86"/>
    </row>
    <row r="104" spans="4:36">
      <c r="D104" s="86"/>
      <c r="E104" s="865"/>
      <c r="S104" s="86"/>
      <c r="T104" s="86"/>
      <c r="U104" s="86"/>
      <c r="V104" s="86"/>
      <c r="W104" s="86"/>
      <c r="X104" s="86"/>
      <c r="Y104" s="86"/>
      <c r="Z104" s="86"/>
      <c r="AA104" s="86"/>
      <c r="AB104" s="86"/>
      <c r="AC104" s="86"/>
      <c r="AD104" s="86"/>
      <c r="AE104" s="86"/>
      <c r="AF104" s="86"/>
      <c r="AG104" s="86"/>
      <c r="AH104" s="86"/>
      <c r="AI104" s="86"/>
      <c r="AJ104" s="86"/>
    </row>
    <row r="105" spans="4:36">
      <c r="D105" s="86"/>
      <c r="E105" s="865"/>
      <c r="S105" s="86"/>
      <c r="T105" s="86"/>
      <c r="U105" s="86"/>
      <c r="V105" s="86"/>
      <c r="W105" s="86"/>
      <c r="X105" s="86"/>
      <c r="Y105" s="86"/>
      <c r="Z105" s="86"/>
      <c r="AA105" s="86"/>
      <c r="AB105" s="86"/>
      <c r="AC105" s="86"/>
      <c r="AD105" s="86"/>
      <c r="AE105" s="86"/>
      <c r="AF105" s="86"/>
      <c r="AG105" s="86"/>
      <c r="AH105" s="86"/>
      <c r="AI105" s="86"/>
      <c r="AJ105" s="86"/>
    </row>
    <row r="106" spans="4:36">
      <c r="D106" s="86"/>
      <c r="E106" s="865"/>
      <c r="S106" s="86"/>
      <c r="T106" s="86"/>
      <c r="U106" s="86"/>
      <c r="V106" s="86"/>
      <c r="W106" s="86"/>
      <c r="X106" s="86"/>
      <c r="Y106" s="86"/>
      <c r="Z106" s="86"/>
      <c r="AA106" s="86"/>
      <c r="AB106" s="86"/>
      <c r="AC106" s="86"/>
      <c r="AD106" s="86"/>
      <c r="AE106" s="86"/>
      <c r="AF106" s="86"/>
      <c r="AG106" s="86"/>
      <c r="AH106" s="86"/>
      <c r="AI106" s="86"/>
      <c r="AJ106" s="86"/>
    </row>
    <row r="107" spans="4:36">
      <c r="D107" s="86"/>
      <c r="E107" s="865"/>
      <c r="S107" s="86"/>
      <c r="T107" s="86"/>
      <c r="U107" s="86"/>
      <c r="V107" s="86"/>
      <c r="W107" s="86"/>
      <c r="X107" s="86"/>
      <c r="Y107" s="86"/>
      <c r="Z107" s="86"/>
      <c r="AA107" s="86"/>
      <c r="AB107" s="86"/>
      <c r="AC107" s="86"/>
      <c r="AD107" s="86"/>
      <c r="AE107" s="86"/>
      <c r="AF107" s="86"/>
      <c r="AG107" s="86"/>
      <c r="AH107" s="86"/>
      <c r="AI107" s="86"/>
      <c r="AJ107" s="86"/>
    </row>
    <row r="108" spans="4:36">
      <c r="D108" s="86"/>
      <c r="E108" s="865"/>
      <c r="S108" s="86"/>
      <c r="T108" s="86"/>
      <c r="U108" s="86"/>
      <c r="V108" s="86"/>
      <c r="W108" s="86"/>
      <c r="X108" s="86"/>
      <c r="Y108" s="86"/>
      <c r="Z108" s="86"/>
      <c r="AA108" s="86"/>
      <c r="AB108" s="86"/>
      <c r="AC108" s="86"/>
      <c r="AD108" s="86"/>
      <c r="AE108" s="86"/>
      <c r="AF108" s="86"/>
      <c r="AG108" s="86"/>
      <c r="AH108" s="86"/>
      <c r="AI108" s="86"/>
      <c r="AJ108" s="86"/>
    </row>
    <row r="109" spans="4:36">
      <c r="D109" s="86"/>
      <c r="E109" s="865"/>
      <c r="S109" s="86"/>
      <c r="T109" s="86"/>
      <c r="U109" s="86"/>
      <c r="V109" s="86"/>
      <c r="W109" s="86"/>
      <c r="X109" s="86"/>
      <c r="Y109" s="86"/>
      <c r="Z109" s="86"/>
      <c r="AA109" s="86"/>
      <c r="AB109" s="86"/>
      <c r="AC109" s="86"/>
      <c r="AD109" s="86"/>
      <c r="AE109" s="86"/>
      <c r="AF109" s="86"/>
      <c r="AG109" s="86"/>
      <c r="AH109" s="86"/>
      <c r="AI109" s="86"/>
      <c r="AJ109" s="86"/>
    </row>
    <row r="110" spans="4:36">
      <c r="D110" s="86"/>
      <c r="E110" s="865"/>
      <c r="S110" s="86"/>
      <c r="T110" s="86"/>
      <c r="U110" s="86"/>
      <c r="V110" s="86"/>
      <c r="W110" s="86"/>
      <c r="X110" s="86"/>
      <c r="Y110" s="86"/>
      <c r="Z110" s="86"/>
      <c r="AA110" s="86"/>
      <c r="AB110" s="86"/>
      <c r="AC110" s="86"/>
      <c r="AD110" s="86"/>
      <c r="AE110" s="86"/>
      <c r="AF110" s="86"/>
      <c r="AG110" s="86"/>
      <c r="AH110" s="86"/>
      <c r="AI110" s="86"/>
      <c r="AJ110" s="86"/>
    </row>
    <row r="111" spans="4:36">
      <c r="D111" s="86"/>
      <c r="E111" s="865"/>
      <c r="S111" s="86"/>
      <c r="T111" s="86"/>
      <c r="U111" s="86"/>
      <c r="V111" s="86"/>
      <c r="W111" s="86"/>
      <c r="X111" s="86"/>
      <c r="Y111" s="86"/>
      <c r="Z111" s="86"/>
      <c r="AA111" s="86"/>
      <c r="AB111" s="86"/>
      <c r="AC111" s="86"/>
      <c r="AD111" s="86"/>
      <c r="AE111" s="86"/>
      <c r="AF111" s="86"/>
      <c r="AG111" s="86"/>
      <c r="AH111" s="86"/>
      <c r="AI111" s="86"/>
      <c r="AJ111" s="86"/>
    </row>
    <row r="112" spans="4:36">
      <c r="D112" s="86"/>
      <c r="E112" s="865"/>
      <c r="S112" s="86"/>
      <c r="T112" s="86"/>
      <c r="U112" s="86"/>
      <c r="V112" s="86"/>
      <c r="W112" s="86"/>
      <c r="X112" s="86"/>
      <c r="Y112" s="86"/>
      <c r="Z112" s="86"/>
      <c r="AA112" s="86"/>
      <c r="AB112" s="86"/>
      <c r="AC112" s="86"/>
      <c r="AD112" s="86"/>
      <c r="AE112" s="86"/>
      <c r="AF112" s="86"/>
      <c r="AG112" s="86"/>
      <c r="AH112" s="86"/>
      <c r="AI112" s="86"/>
      <c r="AJ112" s="86"/>
    </row>
    <row r="113" spans="4:36">
      <c r="D113" s="86"/>
      <c r="E113" s="865"/>
      <c r="S113" s="86"/>
      <c r="T113" s="86"/>
      <c r="U113" s="86"/>
      <c r="V113" s="86"/>
      <c r="W113" s="86"/>
      <c r="X113" s="86"/>
      <c r="Y113" s="86"/>
      <c r="Z113" s="86"/>
      <c r="AA113" s="86"/>
      <c r="AB113" s="86"/>
      <c r="AC113" s="86"/>
      <c r="AD113" s="86"/>
      <c r="AE113" s="86"/>
      <c r="AF113" s="86"/>
      <c r="AG113" s="86"/>
      <c r="AH113" s="86"/>
      <c r="AI113" s="86"/>
      <c r="AJ113" s="86"/>
    </row>
    <row r="114" spans="4:36">
      <c r="D114" s="86"/>
      <c r="E114" s="865"/>
      <c r="S114" s="86"/>
      <c r="T114" s="86"/>
      <c r="U114" s="86"/>
      <c r="V114" s="86"/>
      <c r="W114" s="86"/>
      <c r="X114" s="86"/>
      <c r="Y114" s="86"/>
      <c r="Z114" s="86"/>
      <c r="AA114" s="86"/>
      <c r="AB114" s="86"/>
      <c r="AC114" s="86"/>
      <c r="AD114" s="86"/>
      <c r="AE114" s="86"/>
      <c r="AF114" s="86"/>
      <c r="AG114" s="86"/>
      <c r="AH114" s="86"/>
      <c r="AI114" s="86"/>
      <c r="AJ114" s="86"/>
    </row>
    <row r="115" spans="4:36">
      <c r="D115" s="86"/>
      <c r="E115" s="865"/>
      <c r="S115" s="86"/>
      <c r="T115" s="86"/>
      <c r="U115" s="86"/>
      <c r="V115" s="86"/>
      <c r="W115" s="86"/>
      <c r="X115" s="86"/>
      <c r="Y115" s="86"/>
      <c r="Z115" s="86"/>
      <c r="AA115" s="86"/>
      <c r="AB115" s="86"/>
      <c r="AC115" s="86"/>
      <c r="AD115" s="86"/>
      <c r="AE115" s="86"/>
      <c r="AF115" s="86"/>
      <c r="AG115" s="86"/>
      <c r="AH115" s="86"/>
      <c r="AI115" s="86"/>
      <c r="AJ115" s="86"/>
    </row>
    <row r="116" spans="4:36">
      <c r="D116" s="86"/>
      <c r="E116" s="865"/>
      <c r="S116" s="86"/>
      <c r="T116" s="86"/>
      <c r="U116" s="86"/>
      <c r="V116" s="86"/>
      <c r="W116" s="86"/>
      <c r="X116" s="86"/>
      <c r="Y116" s="86"/>
      <c r="Z116" s="86"/>
      <c r="AA116" s="86"/>
      <c r="AB116" s="86"/>
      <c r="AC116" s="86"/>
      <c r="AD116" s="86"/>
      <c r="AE116" s="86"/>
      <c r="AF116" s="86"/>
      <c r="AG116" s="86"/>
      <c r="AH116" s="86"/>
      <c r="AI116" s="86"/>
      <c r="AJ116" s="86"/>
    </row>
    <row r="117" spans="4:36">
      <c r="D117" s="86"/>
      <c r="E117" s="865"/>
      <c r="S117" s="86"/>
      <c r="T117" s="86"/>
      <c r="U117" s="86"/>
      <c r="V117" s="86"/>
      <c r="W117" s="86"/>
      <c r="X117" s="86"/>
      <c r="Y117" s="86"/>
      <c r="Z117" s="86"/>
      <c r="AA117" s="86"/>
      <c r="AB117" s="86"/>
      <c r="AC117" s="86"/>
      <c r="AD117" s="86"/>
      <c r="AE117" s="86"/>
      <c r="AF117" s="86"/>
      <c r="AG117" s="86"/>
      <c r="AH117" s="86"/>
      <c r="AI117" s="86"/>
      <c r="AJ117" s="86"/>
    </row>
    <row r="118" spans="4:36">
      <c r="D118" s="86"/>
      <c r="E118" s="865"/>
      <c r="S118" s="86"/>
      <c r="T118" s="86"/>
      <c r="U118" s="86"/>
      <c r="V118" s="86"/>
      <c r="W118" s="86"/>
      <c r="X118" s="86"/>
      <c r="Y118" s="86"/>
      <c r="Z118" s="86"/>
      <c r="AA118" s="86"/>
      <c r="AB118" s="86"/>
      <c r="AC118" s="86"/>
      <c r="AD118" s="86"/>
      <c r="AE118" s="86"/>
      <c r="AF118" s="86"/>
      <c r="AG118" s="86"/>
      <c r="AH118" s="86"/>
      <c r="AI118" s="86"/>
      <c r="AJ118" s="86"/>
    </row>
    <row r="119" spans="4:36">
      <c r="D119" s="86"/>
      <c r="E119" s="865"/>
      <c r="S119" s="86"/>
      <c r="T119" s="86"/>
      <c r="U119" s="86"/>
      <c r="V119" s="86"/>
      <c r="W119" s="86"/>
      <c r="X119" s="86"/>
      <c r="Y119" s="86"/>
      <c r="Z119" s="86"/>
      <c r="AA119" s="86"/>
      <c r="AB119" s="86"/>
      <c r="AC119" s="86"/>
      <c r="AD119" s="86"/>
      <c r="AE119" s="86"/>
      <c r="AF119" s="86"/>
      <c r="AG119" s="86"/>
      <c r="AH119" s="86"/>
      <c r="AI119" s="86"/>
      <c r="AJ119" s="86"/>
    </row>
    <row r="120" spans="4:36">
      <c r="D120" s="86"/>
      <c r="E120" s="865"/>
      <c r="S120" s="86"/>
      <c r="T120" s="86"/>
      <c r="U120" s="86"/>
      <c r="V120" s="86"/>
      <c r="W120" s="86"/>
      <c r="X120" s="86"/>
      <c r="Y120" s="86"/>
      <c r="Z120" s="86"/>
      <c r="AA120" s="86"/>
      <c r="AB120" s="86"/>
      <c r="AC120" s="86"/>
      <c r="AD120" s="86"/>
      <c r="AE120" s="86"/>
      <c r="AF120" s="86"/>
      <c r="AG120" s="86"/>
      <c r="AH120" s="86"/>
      <c r="AI120" s="86"/>
      <c r="AJ120" s="86"/>
    </row>
    <row r="121" spans="4:36">
      <c r="D121" s="86"/>
      <c r="E121" s="865"/>
      <c r="S121" s="86"/>
      <c r="T121" s="86"/>
      <c r="U121" s="86"/>
      <c r="V121" s="86"/>
      <c r="W121" s="86"/>
      <c r="X121" s="86"/>
      <c r="Y121" s="86"/>
      <c r="Z121" s="86"/>
      <c r="AA121" s="86"/>
      <c r="AB121" s="86"/>
      <c r="AC121" s="86"/>
      <c r="AD121" s="86"/>
      <c r="AE121" s="86"/>
      <c r="AF121" s="86"/>
      <c r="AG121" s="86"/>
      <c r="AH121" s="86"/>
      <c r="AI121" s="86"/>
      <c r="AJ121" s="86"/>
    </row>
    <row r="122" spans="4:36">
      <c r="D122" s="86"/>
      <c r="E122" s="865"/>
      <c r="S122" s="86"/>
      <c r="T122" s="86"/>
      <c r="U122" s="86"/>
      <c r="V122" s="86"/>
      <c r="W122" s="86"/>
      <c r="X122" s="86"/>
      <c r="Y122" s="86"/>
      <c r="Z122" s="86"/>
      <c r="AA122" s="86"/>
      <c r="AB122" s="86"/>
      <c r="AC122" s="86"/>
      <c r="AD122" s="86"/>
      <c r="AE122" s="86"/>
      <c r="AF122" s="86"/>
      <c r="AG122" s="86"/>
      <c r="AH122" s="86"/>
      <c r="AI122" s="86"/>
      <c r="AJ122" s="86"/>
    </row>
    <row r="123" spans="4:36">
      <c r="D123" s="86"/>
      <c r="E123" s="865"/>
      <c r="S123" s="86"/>
      <c r="T123" s="86"/>
      <c r="U123" s="86"/>
      <c r="V123" s="86"/>
      <c r="W123" s="86"/>
      <c r="X123" s="86"/>
      <c r="Y123" s="86"/>
      <c r="Z123" s="86"/>
      <c r="AA123" s="86"/>
      <c r="AB123" s="86"/>
      <c r="AC123" s="86"/>
      <c r="AD123" s="86"/>
      <c r="AE123" s="86"/>
      <c r="AF123" s="86"/>
      <c r="AG123" s="86"/>
      <c r="AH123" s="86"/>
      <c r="AI123" s="86"/>
      <c r="AJ123" s="86"/>
    </row>
    <row r="124" spans="4:36">
      <c r="D124" s="86"/>
      <c r="E124" s="86"/>
      <c r="S124" s="86"/>
      <c r="T124" s="86"/>
      <c r="U124" s="86"/>
      <c r="V124" s="86"/>
      <c r="W124" s="86"/>
      <c r="X124" s="86"/>
      <c r="Y124" s="86"/>
      <c r="Z124" s="86"/>
      <c r="AA124" s="86"/>
      <c r="AB124" s="86"/>
      <c r="AC124" s="86"/>
      <c r="AD124" s="86"/>
      <c r="AE124" s="86"/>
      <c r="AF124" s="86"/>
      <c r="AG124" s="86"/>
      <c r="AH124" s="86"/>
      <c r="AI124" s="86"/>
      <c r="AJ124" s="86"/>
    </row>
    <row r="125" spans="4:36">
      <c r="D125" s="86"/>
      <c r="E125" s="86"/>
      <c r="S125" s="86"/>
      <c r="T125" s="86"/>
      <c r="U125" s="86"/>
      <c r="V125" s="86"/>
      <c r="W125" s="86"/>
      <c r="X125" s="86"/>
      <c r="Y125" s="86"/>
      <c r="Z125" s="86"/>
      <c r="AA125" s="86"/>
      <c r="AB125" s="86"/>
      <c r="AC125" s="86"/>
      <c r="AD125" s="86"/>
      <c r="AE125" s="86"/>
      <c r="AF125" s="86"/>
      <c r="AG125" s="86"/>
      <c r="AH125" s="86"/>
      <c r="AI125" s="86"/>
      <c r="AJ125" s="86"/>
    </row>
    <row r="126" spans="4:36">
      <c r="D126" s="86"/>
      <c r="E126" s="86"/>
      <c r="S126" s="86"/>
      <c r="T126" s="86"/>
      <c r="U126" s="86"/>
      <c r="V126" s="86"/>
      <c r="W126" s="86"/>
      <c r="X126" s="86"/>
      <c r="Y126" s="86"/>
      <c r="Z126" s="86"/>
      <c r="AA126" s="86"/>
      <c r="AB126" s="86"/>
      <c r="AC126" s="86"/>
      <c r="AD126" s="86"/>
      <c r="AE126" s="86"/>
      <c r="AF126" s="86"/>
      <c r="AG126" s="86"/>
      <c r="AH126" s="86"/>
      <c r="AI126" s="86"/>
      <c r="AJ126" s="86"/>
    </row>
    <row r="127" spans="4:36">
      <c r="D127" s="86"/>
      <c r="E127" s="86"/>
      <c r="S127" s="86"/>
      <c r="T127" s="86"/>
      <c r="U127" s="86"/>
      <c r="V127" s="86"/>
      <c r="W127" s="86"/>
      <c r="X127" s="86"/>
      <c r="Y127" s="86"/>
      <c r="Z127" s="86"/>
      <c r="AA127" s="86"/>
      <c r="AB127" s="86"/>
      <c r="AC127" s="86"/>
      <c r="AD127" s="86"/>
      <c r="AE127" s="86"/>
      <c r="AF127" s="86"/>
      <c r="AG127" s="86"/>
      <c r="AH127" s="86"/>
      <c r="AI127" s="86"/>
      <c r="AJ127" s="86"/>
    </row>
    <row r="128" spans="4:36">
      <c r="D128" s="86"/>
      <c r="E128" s="86"/>
      <c r="S128" s="86"/>
      <c r="T128" s="86"/>
      <c r="U128" s="86"/>
      <c r="V128" s="86"/>
      <c r="W128" s="86"/>
      <c r="X128" s="86"/>
      <c r="Y128" s="86"/>
      <c r="Z128" s="86"/>
      <c r="AA128" s="86"/>
      <c r="AB128" s="86"/>
      <c r="AC128" s="86"/>
      <c r="AD128" s="86"/>
      <c r="AE128" s="86"/>
      <c r="AF128" s="86"/>
      <c r="AG128" s="86"/>
      <c r="AH128" s="86"/>
      <c r="AI128" s="86"/>
      <c r="AJ128" s="86"/>
    </row>
    <row r="129" spans="4:36">
      <c r="D129" s="86"/>
      <c r="E129" s="86"/>
      <c r="S129" s="86"/>
      <c r="T129" s="86"/>
      <c r="U129" s="86"/>
      <c r="V129" s="86"/>
      <c r="W129" s="86"/>
      <c r="X129" s="86"/>
      <c r="Y129" s="86"/>
      <c r="Z129" s="86"/>
      <c r="AA129" s="86"/>
      <c r="AB129" s="86"/>
      <c r="AC129" s="86"/>
      <c r="AD129" s="86"/>
      <c r="AE129" s="86"/>
      <c r="AF129" s="86"/>
      <c r="AG129" s="86"/>
      <c r="AH129" s="86"/>
      <c r="AI129" s="86"/>
      <c r="AJ129" s="86"/>
    </row>
    <row r="130" spans="4:36">
      <c r="D130" s="86"/>
      <c r="E130" s="86"/>
      <c r="S130" s="86"/>
      <c r="T130" s="86"/>
      <c r="U130" s="86"/>
      <c r="V130" s="86"/>
      <c r="W130" s="86"/>
      <c r="X130" s="86"/>
      <c r="Y130" s="86"/>
      <c r="Z130" s="86"/>
      <c r="AA130" s="86"/>
      <c r="AB130" s="86"/>
      <c r="AC130" s="86"/>
      <c r="AD130" s="86"/>
      <c r="AE130" s="86"/>
      <c r="AF130" s="86"/>
      <c r="AG130" s="86"/>
      <c r="AH130" s="86"/>
      <c r="AI130" s="86"/>
      <c r="AJ130" s="86"/>
    </row>
    <row r="131" spans="4:36">
      <c r="D131" s="86"/>
      <c r="E131" s="86"/>
      <c r="S131" s="86"/>
      <c r="T131" s="86"/>
      <c r="U131" s="86"/>
      <c r="V131" s="86"/>
      <c r="W131" s="86"/>
      <c r="X131" s="86"/>
      <c r="Y131" s="86"/>
      <c r="Z131" s="86"/>
      <c r="AA131" s="86"/>
      <c r="AB131" s="86"/>
      <c r="AC131" s="86"/>
      <c r="AD131" s="86"/>
      <c r="AE131" s="86"/>
      <c r="AF131" s="86"/>
      <c r="AG131" s="86"/>
      <c r="AH131" s="86"/>
      <c r="AI131" s="86"/>
      <c r="AJ131" s="86"/>
    </row>
    <row r="132" spans="4:36">
      <c r="D132" s="86"/>
      <c r="E132" s="86"/>
      <c r="S132" s="86"/>
      <c r="T132" s="86"/>
      <c r="U132" s="86"/>
      <c r="V132" s="86"/>
      <c r="W132" s="86"/>
      <c r="X132" s="86"/>
      <c r="Y132" s="86"/>
      <c r="Z132" s="86"/>
      <c r="AA132" s="86"/>
      <c r="AB132" s="86"/>
      <c r="AC132" s="86"/>
      <c r="AD132" s="86"/>
      <c r="AE132" s="86"/>
      <c r="AF132" s="86"/>
      <c r="AG132" s="86"/>
      <c r="AH132" s="86"/>
      <c r="AI132" s="86"/>
      <c r="AJ132" s="86"/>
    </row>
    <row r="133" spans="4:36">
      <c r="D133" s="86"/>
      <c r="E133" s="86"/>
      <c r="S133" s="86"/>
      <c r="T133" s="86"/>
      <c r="U133" s="86"/>
      <c r="V133" s="86"/>
      <c r="W133" s="86"/>
      <c r="X133" s="86"/>
      <c r="Y133" s="86"/>
      <c r="Z133" s="86"/>
      <c r="AA133" s="86"/>
      <c r="AB133" s="86"/>
      <c r="AC133" s="86"/>
      <c r="AD133" s="86"/>
      <c r="AE133" s="86"/>
      <c r="AF133" s="86"/>
      <c r="AG133" s="86"/>
      <c r="AH133" s="86"/>
      <c r="AI133" s="86"/>
      <c r="AJ133" s="86"/>
    </row>
    <row r="134" spans="4:36">
      <c r="D134" s="86"/>
      <c r="E134" s="86"/>
      <c r="S134" s="86"/>
      <c r="T134" s="86"/>
      <c r="U134" s="86"/>
      <c r="V134" s="86"/>
      <c r="W134" s="86"/>
      <c r="X134" s="86"/>
      <c r="Y134" s="86"/>
      <c r="Z134" s="86"/>
      <c r="AA134" s="86"/>
      <c r="AB134" s="86"/>
      <c r="AC134" s="86"/>
      <c r="AD134" s="86"/>
      <c r="AE134" s="86"/>
      <c r="AF134" s="86"/>
      <c r="AG134" s="86"/>
      <c r="AH134" s="86"/>
      <c r="AI134" s="86"/>
      <c r="AJ134" s="86"/>
    </row>
    <row r="135" spans="4:36">
      <c r="D135" s="86"/>
      <c r="E135" s="86"/>
      <c r="S135" s="86"/>
      <c r="T135" s="86"/>
      <c r="U135" s="86"/>
      <c r="V135" s="86"/>
      <c r="W135" s="86"/>
      <c r="X135" s="86"/>
      <c r="Y135" s="86"/>
      <c r="Z135" s="86"/>
      <c r="AA135" s="86"/>
      <c r="AB135" s="86"/>
      <c r="AC135" s="86"/>
      <c r="AD135" s="86"/>
      <c r="AE135" s="86"/>
      <c r="AF135" s="86"/>
      <c r="AG135" s="86"/>
      <c r="AH135" s="86"/>
      <c r="AI135" s="86"/>
      <c r="AJ135" s="86"/>
    </row>
    <row r="136" spans="4:36">
      <c r="D136" s="86"/>
      <c r="E136" s="86"/>
      <c r="S136" s="86"/>
      <c r="T136" s="86"/>
      <c r="U136" s="86"/>
      <c r="V136" s="86"/>
      <c r="W136" s="86"/>
      <c r="X136" s="86"/>
      <c r="Y136" s="86"/>
      <c r="Z136" s="86"/>
      <c r="AA136" s="86"/>
      <c r="AB136" s="86"/>
      <c r="AC136" s="86"/>
      <c r="AD136" s="86"/>
      <c r="AE136" s="86"/>
      <c r="AF136" s="86"/>
      <c r="AG136" s="86"/>
      <c r="AH136" s="86"/>
      <c r="AI136" s="86"/>
      <c r="AJ136" s="86"/>
    </row>
    <row r="137" spans="4:36">
      <c r="D137" s="86"/>
      <c r="E137" s="86"/>
      <c r="S137" s="86"/>
      <c r="T137" s="86"/>
      <c r="U137" s="86"/>
      <c r="V137" s="86"/>
      <c r="W137" s="86"/>
      <c r="X137" s="86"/>
      <c r="Y137" s="86"/>
      <c r="Z137" s="86"/>
      <c r="AA137" s="86"/>
      <c r="AB137" s="86"/>
      <c r="AC137" s="86"/>
      <c r="AD137" s="86"/>
      <c r="AE137" s="86"/>
      <c r="AF137" s="86"/>
      <c r="AG137" s="86"/>
      <c r="AH137" s="86"/>
      <c r="AI137" s="86"/>
      <c r="AJ137" s="86"/>
    </row>
    <row r="138" spans="4:36">
      <c r="D138" s="86"/>
      <c r="E138" s="86"/>
      <c r="S138" s="86"/>
      <c r="T138" s="86"/>
      <c r="U138" s="86"/>
      <c r="V138" s="86"/>
      <c r="W138" s="86"/>
      <c r="X138" s="86"/>
      <c r="Y138" s="86"/>
      <c r="Z138" s="86"/>
      <c r="AA138" s="86"/>
      <c r="AB138" s="86"/>
      <c r="AC138" s="86"/>
      <c r="AD138" s="86"/>
      <c r="AE138" s="86"/>
      <c r="AF138" s="86"/>
      <c r="AG138" s="86"/>
      <c r="AH138" s="86"/>
      <c r="AI138" s="86"/>
      <c r="AJ138" s="86"/>
    </row>
    <row r="139" spans="4:36">
      <c r="D139" s="86"/>
      <c r="E139" s="86"/>
      <c r="S139" s="86"/>
      <c r="T139" s="86"/>
      <c r="U139" s="86"/>
      <c r="V139" s="86"/>
      <c r="W139" s="86"/>
      <c r="X139" s="86"/>
      <c r="Y139" s="86"/>
      <c r="Z139" s="86"/>
      <c r="AA139" s="86"/>
      <c r="AB139" s="86"/>
      <c r="AC139" s="86"/>
      <c r="AD139" s="86"/>
      <c r="AE139" s="86"/>
      <c r="AF139" s="86"/>
      <c r="AG139" s="86"/>
      <c r="AH139" s="86"/>
      <c r="AI139" s="86"/>
      <c r="AJ139" s="86"/>
    </row>
  </sheetData>
  <phoneticPr fontId="41" type="noConversion"/>
  <printOptions horizontalCentered="1" verticalCentered="1"/>
  <pageMargins left="0.25" right="0" top="0.5" bottom="0.5" header="0.5" footer="0.5"/>
  <pageSetup scale="60" orientation="landscape" r:id="rId1"/>
  <headerFooter alignWithMargins="0">
    <oddHeader>&amp;C&amp;"Arial,Bold"&amp;12Sanlando Utilities Corp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12">
    <pageSetUpPr fitToPage="1"/>
  </sheetPr>
  <dimension ref="A1:F114"/>
  <sheetViews>
    <sheetView view="pageBreakPreview" zoomScale="60" zoomScaleNormal="100" workbookViewId="0">
      <selection sqref="A1:XFD1048576"/>
    </sheetView>
  </sheetViews>
  <sheetFormatPr defaultColWidth="10.85546875" defaultRowHeight="12"/>
  <cols>
    <col min="1" max="1" width="6.42578125" style="120" customWidth="1"/>
    <col min="2" max="2" width="53.42578125" style="120" customWidth="1"/>
    <col min="3" max="4" width="12.7109375" style="120" customWidth="1"/>
    <col min="5" max="5" width="30.140625" style="120" customWidth="1"/>
    <col min="6" max="16384" width="10.85546875" style="120"/>
  </cols>
  <sheetData>
    <row r="1" spans="1:6">
      <c r="A1" s="123" t="s">
        <v>484</v>
      </c>
      <c r="B1" s="117"/>
      <c r="C1" s="117" t="s">
        <v>1209</v>
      </c>
      <c r="D1" s="117"/>
      <c r="E1" s="991"/>
      <c r="F1" s="991"/>
    </row>
    <row r="2" spans="1:6">
      <c r="A2" s="117" t="s">
        <v>624</v>
      </c>
      <c r="B2" s="117"/>
      <c r="C2" s="117"/>
      <c r="D2" s="117"/>
      <c r="E2" s="991"/>
      <c r="F2" s="991"/>
    </row>
    <row r="3" spans="1:6">
      <c r="A3" s="117"/>
      <c r="B3" s="117"/>
      <c r="C3" s="117"/>
      <c r="D3" s="117"/>
      <c r="E3" s="991"/>
      <c r="F3" s="991"/>
    </row>
    <row r="4" spans="1:6">
      <c r="A4" s="117" t="s">
        <v>2644</v>
      </c>
      <c r="B4" s="117"/>
      <c r="C4" s="117" t="s">
        <v>485</v>
      </c>
      <c r="D4" s="117"/>
      <c r="E4" s="991"/>
      <c r="F4" s="991"/>
    </row>
    <row r="5" spans="1:6">
      <c r="A5" s="117" t="s">
        <v>2645</v>
      </c>
      <c r="B5" s="117"/>
      <c r="C5" s="123" t="s">
        <v>766</v>
      </c>
      <c r="D5" s="117"/>
      <c r="E5" s="991"/>
      <c r="F5" s="991"/>
    </row>
    <row r="6" spans="1:6">
      <c r="A6" s="117" t="s">
        <v>1935</v>
      </c>
      <c r="B6" s="117"/>
      <c r="C6" s="117" t="s">
        <v>2948</v>
      </c>
      <c r="D6" s="117"/>
      <c r="E6" s="991"/>
      <c r="F6" s="991"/>
    </row>
    <row r="7" spans="1:6" ht="12" customHeight="1">
      <c r="A7" s="117"/>
      <c r="B7" s="117"/>
      <c r="C7" s="117"/>
      <c r="D7" s="117"/>
      <c r="E7" s="991"/>
      <c r="F7" s="991"/>
    </row>
    <row r="8" spans="1:6" ht="12" customHeight="1">
      <c r="A8" s="2294" t="s">
        <v>2256</v>
      </c>
      <c r="B8" s="2297"/>
      <c r="C8" s="2297"/>
      <c r="D8" s="2297"/>
      <c r="E8" s="991"/>
      <c r="F8" s="991"/>
    </row>
    <row r="9" spans="1:6">
      <c r="A9" s="2297"/>
      <c r="B9" s="2297"/>
      <c r="C9" s="2297"/>
      <c r="D9" s="2297"/>
      <c r="E9" s="991"/>
      <c r="F9" s="991"/>
    </row>
    <row r="10" spans="1:6">
      <c r="A10" s="2297"/>
      <c r="B10" s="2297"/>
      <c r="C10" s="2297"/>
      <c r="D10" s="2297"/>
      <c r="E10" s="991"/>
      <c r="F10" s="991"/>
    </row>
    <row r="11" spans="1:6">
      <c r="A11" s="2297"/>
      <c r="B11" s="2297"/>
      <c r="C11" s="2297"/>
      <c r="D11" s="2297"/>
      <c r="E11" s="991"/>
      <c r="F11" s="991"/>
    </row>
    <row r="12" spans="1:6" ht="13.5" customHeight="1">
      <c r="A12" s="2297"/>
      <c r="B12" s="2297"/>
      <c r="C12" s="2297"/>
      <c r="D12" s="2297"/>
      <c r="E12" s="991"/>
      <c r="F12" s="991"/>
    </row>
    <row r="13" spans="1:6" ht="12" hidden="1" customHeight="1">
      <c r="A13" s="2297"/>
      <c r="B13" s="2297"/>
      <c r="C13" s="2297"/>
      <c r="D13" s="2297"/>
      <c r="E13" s="991"/>
      <c r="F13" s="991"/>
    </row>
    <row r="14" spans="1:6" ht="12" hidden="1" customHeight="1">
      <c r="A14" s="2297"/>
      <c r="B14" s="2297"/>
      <c r="C14" s="2297"/>
      <c r="D14" s="2297"/>
      <c r="E14" s="991"/>
      <c r="F14" s="991"/>
    </row>
    <row r="15" spans="1:6" ht="12.75" thickBot="1">
      <c r="A15" s="1650"/>
      <c r="B15" s="194"/>
      <c r="C15" s="194"/>
      <c r="D15" s="194"/>
      <c r="E15" s="991"/>
      <c r="F15" s="991"/>
    </row>
    <row r="16" spans="1:6" ht="14.25">
      <c r="A16" s="1623" t="s">
        <v>53</v>
      </c>
      <c r="B16" s="117"/>
      <c r="C16" s="147" t="s">
        <v>626</v>
      </c>
      <c r="D16" s="147"/>
      <c r="E16" s="991"/>
      <c r="F16" s="991"/>
    </row>
    <row r="17" spans="1:6">
      <c r="A17" s="1477" t="s">
        <v>730</v>
      </c>
      <c r="B17" s="805" t="s">
        <v>731</v>
      </c>
      <c r="C17" s="1477" t="s">
        <v>498</v>
      </c>
      <c r="D17" s="1477" t="s">
        <v>499</v>
      </c>
      <c r="E17" s="991"/>
      <c r="F17" s="991"/>
    </row>
    <row r="18" spans="1:6" s="16" customFormat="1">
      <c r="A18" s="1022">
        <v>1</v>
      </c>
      <c r="B18" s="1634" t="s">
        <v>2640</v>
      </c>
      <c r="C18" s="1635"/>
      <c r="D18" s="1635">
        <v>2154030</v>
      </c>
      <c r="E18" s="991"/>
      <c r="F18" s="991"/>
    </row>
    <row r="19" spans="1:6" s="16" customFormat="1">
      <c r="A19" s="1022">
        <v>2</v>
      </c>
      <c r="B19" s="1634" t="s">
        <v>1538</v>
      </c>
      <c r="C19" s="1636"/>
      <c r="D19" s="1636">
        <v>205845</v>
      </c>
      <c r="E19" s="991"/>
      <c r="F19" s="991"/>
    </row>
    <row r="20" spans="1:6" s="16" customFormat="1">
      <c r="A20" s="1022">
        <v>3</v>
      </c>
      <c r="B20" s="1634" t="s">
        <v>1537</v>
      </c>
      <c r="C20" s="1636"/>
      <c r="D20" s="1636"/>
      <c r="E20" s="991"/>
      <c r="F20" s="991"/>
    </row>
    <row r="21" spans="1:6" s="16" customFormat="1">
      <c r="A21" s="1022">
        <v>4</v>
      </c>
      <c r="B21" s="1634" t="s">
        <v>2641</v>
      </c>
      <c r="C21" s="1636"/>
      <c r="D21" s="1636">
        <v>101000</v>
      </c>
      <c r="E21" s="991"/>
      <c r="F21" s="991"/>
    </row>
    <row r="22" spans="1:6" s="16" customFormat="1">
      <c r="A22" s="1022">
        <v>5</v>
      </c>
      <c r="B22" s="1637" t="s">
        <v>2248</v>
      </c>
      <c r="C22" s="1638">
        <v>0</v>
      </c>
      <c r="D22" s="1638">
        <v>2460875</v>
      </c>
      <c r="E22" s="991"/>
      <c r="F22" s="991"/>
    </row>
    <row r="23" spans="1:6" s="16" customFormat="1">
      <c r="A23" s="1022">
        <v>6</v>
      </c>
      <c r="B23" s="1634" t="s">
        <v>1538</v>
      </c>
      <c r="C23" s="1639"/>
      <c r="D23" s="1639">
        <v>302075</v>
      </c>
      <c r="E23" s="991"/>
      <c r="F23" s="991"/>
    </row>
    <row r="24" spans="1:6" s="16" customFormat="1">
      <c r="A24" s="1022">
        <v>7</v>
      </c>
      <c r="B24" s="1634" t="s">
        <v>1537</v>
      </c>
      <c r="C24" s="1639"/>
      <c r="D24" s="1639"/>
      <c r="E24" s="991"/>
      <c r="F24" s="991"/>
    </row>
    <row r="25" spans="1:6" s="16" customFormat="1">
      <c r="A25" s="1022">
        <v>8</v>
      </c>
      <c r="B25" s="1634" t="s">
        <v>2641</v>
      </c>
      <c r="C25" s="1639"/>
      <c r="D25" s="1639">
        <v>-11079</v>
      </c>
      <c r="E25" s="991"/>
      <c r="F25" s="991"/>
    </row>
    <row r="26" spans="1:6" s="16" customFormat="1">
      <c r="A26" s="1022">
        <v>9</v>
      </c>
      <c r="B26" s="1637" t="s">
        <v>2249</v>
      </c>
      <c r="C26" s="1640">
        <v>0</v>
      </c>
      <c r="D26" s="1640">
        <v>2751871</v>
      </c>
      <c r="E26" s="991"/>
      <c r="F26" s="991"/>
    </row>
    <row r="27" spans="1:6" s="16" customFormat="1">
      <c r="A27" s="1022">
        <v>10</v>
      </c>
      <c r="B27" s="1634" t="s">
        <v>1538</v>
      </c>
      <c r="C27" s="1636"/>
      <c r="D27" s="1636">
        <v>281206</v>
      </c>
      <c r="E27" s="991"/>
      <c r="F27" s="991"/>
    </row>
    <row r="28" spans="1:6" s="16" customFormat="1">
      <c r="A28" s="1022">
        <v>11</v>
      </c>
      <c r="B28" s="1634" t="s">
        <v>1537</v>
      </c>
      <c r="C28" s="1636"/>
      <c r="D28" s="1636">
        <v>-4551</v>
      </c>
      <c r="E28" s="991"/>
      <c r="F28" s="991"/>
    </row>
    <row r="29" spans="1:6" s="16" customFormat="1">
      <c r="A29" s="1022">
        <v>12</v>
      </c>
      <c r="B29" s="1634" t="s">
        <v>2641</v>
      </c>
      <c r="C29" s="1636"/>
      <c r="D29" s="1636">
        <v>12070</v>
      </c>
      <c r="E29" s="991"/>
      <c r="F29" s="991"/>
    </row>
    <row r="30" spans="1:6" s="16" customFormat="1">
      <c r="A30" s="1022">
        <v>13</v>
      </c>
      <c r="B30" s="1637" t="s">
        <v>2250</v>
      </c>
      <c r="C30" s="1638">
        <v>0</v>
      </c>
      <c r="D30" s="1638">
        <v>3040596</v>
      </c>
      <c r="E30" s="991"/>
      <c r="F30" s="991"/>
    </row>
    <row r="31" spans="1:6" s="16" customFormat="1">
      <c r="A31" s="1022">
        <v>14</v>
      </c>
      <c r="B31" s="1634" t="s">
        <v>1538</v>
      </c>
      <c r="C31" s="1639"/>
      <c r="D31" s="1639">
        <v>290782</v>
      </c>
      <c r="E31" s="991"/>
      <c r="F31" s="991"/>
    </row>
    <row r="32" spans="1:6" s="16" customFormat="1">
      <c r="A32" s="1022">
        <v>15</v>
      </c>
      <c r="B32" s="1634" t="s">
        <v>1537</v>
      </c>
      <c r="C32" s="1639"/>
      <c r="D32" s="1639">
        <v>-27174</v>
      </c>
      <c r="E32" s="991"/>
      <c r="F32" s="991"/>
    </row>
    <row r="33" spans="1:6" s="16" customFormat="1">
      <c r="A33" s="1022">
        <v>16</v>
      </c>
      <c r="B33" s="1634" t="s">
        <v>2641</v>
      </c>
      <c r="C33" s="1639"/>
      <c r="D33" s="1639">
        <v>-9160</v>
      </c>
      <c r="E33" s="991"/>
      <c r="F33" s="991"/>
    </row>
    <row r="34" spans="1:6" s="16" customFormat="1">
      <c r="A34" s="1022">
        <v>17</v>
      </c>
      <c r="B34" s="1637" t="s">
        <v>2251</v>
      </c>
      <c r="C34" s="1640">
        <v>0</v>
      </c>
      <c r="D34" s="1640">
        <v>3295044</v>
      </c>
      <c r="E34" s="991"/>
      <c r="F34" s="991"/>
    </row>
    <row r="35" spans="1:6" s="16" customFormat="1">
      <c r="A35" s="1022">
        <v>18</v>
      </c>
      <c r="B35" s="1634" t="s">
        <v>1538</v>
      </c>
      <c r="C35" s="1636"/>
      <c r="D35" s="1636">
        <v>334728</v>
      </c>
      <c r="E35" s="991"/>
      <c r="F35" s="991"/>
    </row>
    <row r="36" spans="1:6" s="16" customFormat="1">
      <c r="A36" s="1022">
        <v>19</v>
      </c>
      <c r="B36" s="1634" t="s">
        <v>1537</v>
      </c>
      <c r="C36" s="1636"/>
      <c r="D36" s="1636">
        <v>-60425</v>
      </c>
      <c r="E36" s="991"/>
      <c r="F36" s="991"/>
    </row>
    <row r="37" spans="1:6" s="16" customFormat="1">
      <c r="A37" s="1022">
        <v>20</v>
      </c>
      <c r="B37" s="1634" t="s">
        <v>2247</v>
      </c>
      <c r="C37" s="1636"/>
      <c r="D37" s="1636">
        <v>-39379</v>
      </c>
      <c r="E37" s="890"/>
      <c r="F37" s="991"/>
    </row>
    <row r="38" spans="1:6" s="16" customFormat="1">
      <c r="A38" s="1022">
        <v>21</v>
      </c>
      <c r="B38" s="1637" t="s">
        <v>2252</v>
      </c>
      <c r="C38" s="1638">
        <v>0</v>
      </c>
      <c r="D38" s="1638">
        <v>3529968</v>
      </c>
      <c r="E38" s="991"/>
      <c r="F38" s="991"/>
    </row>
    <row r="39" spans="1:6" s="16" customFormat="1">
      <c r="A39" s="1022">
        <v>22</v>
      </c>
      <c r="B39" s="1634" t="s">
        <v>1538</v>
      </c>
      <c r="C39" s="1639"/>
      <c r="D39" s="1639">
        <v>277763</v>
      </c>
      <c r="E39" s="991"/>
      <c r="F39" s="991"/>
    </row>
    <row r="40" spans="1:6" s="16" customFormat="1">
      <c r="A40" s="1022">
        <v>23</v>
      </c>
      <c r="B40" s="1634" t="s">
        <v>1537</v>
      </c>
      <c r="C40" s="1639"/>
      <c r="D40" s="1639">
        <v>-74867</v>
      </c>
      <c r="E40" s="991"/>
      <c r="F40" s="991"/>
    </row>
    <row r="41" spans="1:6" s="16" customFormat="1">
      <c r="A41" s="1022">
        <v>24</v>
      </c>
      <c r="B41" s="1634" t="s">
        <v>2643</v>
      </c>
      <c r="C41" s="1639"/>
      <c r="D41" s="1639">
        <v>-2782</v>
      </c>
      <c r="E41" s="991"/>
      <c r="F41" s="991"/>
    </row>
    <row r="42" spans="1:6" s="16" customFormat="1">
      <c r="A42" s="1022">
        <v>25</v>
      </c>
      <c r="B42" s="1637" t="s">
        <v>2253</v>
      </c>
      <c r="C42" s="1640">
        <v>0</v>
      </c>
      <c r="D42" s="1640">
        <v>3730082</v>
      </c>
      <c r="E42" s="991"/>
      <c r="F42" s="991"/>
    </row>
    <row r="43" spans="1:6" s="16" customFormat="1">
      <c r="A43" s="1022">
        <v>26</v>
      </c>
      <c r="B43" s="1634" t="s">
        <v>1538</v>
      </c>
      <c r="C43" s="1636"/>
      <c r="D43" s="1636">
        <v>287641</v>
      </c>
      <c r="E43" s="991"/>
      <c r="F43" s="991"/>
    </row>
    <row r="44" spans="1:6" s="16" customFormat="1">
      <c r="A44" s="1022">
        <v>27</v>
      </c>
      <c r="B44" s="1634" t="s">
        <v>1537</v>
      </c>
      <c r="C44" s="1636"/>
      <c r="D44" s="1636">
        <v>-29299</v>
      </c>
      <c r="E44" s="991"/>
      <c r="F44" s="991"/>
    </row>
    <row r="45" spans="1:6" s="16" customFormat="1">
      <c r="A45" s="1022">
        <v>28</v>
      </c>
      <c r="B45" s="1634" t="s">
        <v>2643</v>
      </c>
      <c r="C45" s="1636"/>
      <c r="D45" s="1636">
        <v>-13896</v>
      </c>
      <c r="E45" s="991"/>
      <c r="F45" s="991"/>
    </row>
    <row r="46" spans="1:6" s="16" customFormat="1">
      <c r="A46" s="1022">
        <v>29</v>
      </c>
      <c r="B46" s="1637" t="s">
        <v>2254</v>
      </c>
      <c r="C46" s="1638">
        <v>0</v>
      </c>
      <c r="D46" s="1638">
        <v>3974528</v>
      </c>
      <c r="E46" s="991"/>
      <c r="F46" s="991"/>
    </row>
    <row r="47" spans="1:6" s="16" customFormat="1">
      <c r="A47" s="1022">
        <v>30</v>
      </c>
      <c r="B47" s="1634" t="s">
        <v>1538</v>
      </c>
      <c r="C47" s="1639"/>
      <c r="D47" s="1639">
        <v>310060</v>
      </c>
      <c r="E47" s="991"/>
      <c r="F47" s="991"/>
    </row>
    <row r="48" spans="1:6" s="16" customFormat="1">
      <c r="A48" s="1022">
        <v>31</v>
      </c>
      <c r="B48" s="1634" t="s">
        <v>1537</v>
      </c>
      <c r="C48" s="1639"/>
      <c r="D48" s="1639">
        <v>-123014</v>
      </c>
      <c r="E48" s="991"/>
      <c r="F48" s="991"/>
    </row>
    <row r="49" spans="1:6" s="16" customFormat="1">
      <c r="A49" s="1022">
        <v>32</v>
      </c>
      <c r="B49" s="1634" t="s">
        <v>2643</v>
      </c>
      <c r="C49" s="1639"/>
      <c r="D49" s="1639">
        <v>-23376</v>
      </c>
      <c r="E49" s="991"/>
      <c r="F49" s="991"/>
    </row>
    <row r="50" spans="1:6" s="16" customFormat="1">
      <c r="A50" s="1022">
        <v>33</v>
      </c>
      <c r="B50" s="1637" t="s">
        <v>2255</v>
      </c>
      <c r="C50" s="1640">
        <v>0</v>
      </c>
      <c r="D50" s="1640">
        <v>4138198</v>
      </c>
      <c r="E50" s="991"/>
      <c r="F50" s="991"/>
    </row>
    <row r="51" spans="1:6" s="16" customFormat="1">
      <c r="A51" s="1641"/>
      <c r="B51" s="1634"/>
      <c r="C51" s="1642"/>
      <c r="D51" s="1642"/>
      <c r="E51" s="991"/>
      <c r="F51" s="991"/>
    </row>
    <row r="52" spans="1:6">
      <c r="A52" s="1641"/>
      <c r="B52" s="1634"/>
      <c r="C52" s="1635"/>
      <c r="D52" s="1635"/>
      <c r="E52" s="991"/>
      <c r="F52" s="991"/>
    </row>
    <row r="53" spans="1:6">
      <c r="A53" s="1623"/>
      <c r="E53" s="991"/>
      <c r="F53" s="993"/>
    </row>
    <row r="54" spans="1:6">
      <c r="A54" s="1210"/>
      <c r="E54" s="991"/>
      <c r="F54" s="991"/>
    </row>
    <row r="55" spans="1:6">
      <c r="A55" s="148"/>
      <c r="B55" s="148"/>
      <c r="C55" s="148"/>
      <c r="D55" s="148"/>
      <c r="E55" s="991"/>
      <c r="F55" s="991"/>
    </row>
    <row r="56" spans="1:6">
      <c r="E56" s="991"/>
      <c r="F56" s="991"/>
    </row>
    <row r="57" spans="1:6">
      <c r="E57" s="991"/>
      <c r="F57" s="991"/>
    </row>
    <row r="58" spans="1:6">
      <c r="E58" s="991"/>
      <c r="F58" s="991"/>
    </row>
    <row r="59" spans="1:6">
      <c r="E59" s="991"/>
      <c r="F59" s="991"/>
    </row>
    <row r="60" spans="1:6">
      <c r="A60" s="138"/>
      <c r="E60" s="991"/>
      <c r="F60" s="991"/>
    </row>
    <row r="61" spans="1:6">
      <c r="A61" s="138"/>
      <c r="E61" s="991"/>
      <c r="F61" s="991"/>
    </row>
    <row r="62" spans="1:6">
      <c r="A62" s="138"/>
      <c r="E62" s="991"/>
      <c r="F62" s="991"/>
    </row>
    <row r="63" spans="1:6">
      <c r="A63" s="138"/>
      <c r="E63" s="991"/>
      <c r="F63" s="991"/>
    </row>
    <row r="64" spans="1:6">
      <c r="A64" s="138"/>
      <c r="E64" s="991"/>
      <c r="F64" s="991"/>
    </row>
    <row r="65" spans="1:6">
      <c r="A65" s="991"/>
      <c r="B65" s="991"/>
      <c r="C65" s="991"/>
      <c r="D65" s="991"/>
      <c r="E65" s="991"/>
      <c r="F65" s="991"/>
    </row>
    <row r="66" spans="1:6">
      <c r="A66" s="991"/>
      <c r="B66" s="991"/>
      <c r="C66" s="991"/>
      <c r="D66" s="991"/>
      <c r="E66" s="991"/>
      <c r="F66" s="991"/>
    </row>
    <row r="67" spans="1:6">
      <c r="A67" s="991"/>
      <c r="B67" s="991"/>
      <c r="C67" s="991"/>
      <c r="D67" s="991"/>
      <c r="E67" s="991"/>
      <c r="F67" s="991"/>
    </row>
    <row r="68" spans="1:6">
      <c r="A68" s="1106"/>
      <c r="B68" s="1485"/>
      <c r="C68" s="1485"/>
      <c r="D68" s="1485"/>
      <c r="E68" s="991"/>
      <c r="F68" s="991"/>
    </row>
    <row r="69" spans="1:6">
      <c r="A69" s="991"/>
      <c r="B69" s="991"/>
      <c r="C69" s="991"/>
      <c r="D69" s="991"/>
      <c r="E69" s="991"/>
      <c r="F69" s="991"/>
    </row>
    <row r="70" spans="1:6">
      <c r="A70" s="991"/>
      <c r="B70" s="991"/>
      <c r="C70" s="991"/>
      <c r="D70" s="991"/>
      <c r="E70" s="991"/>
      <c r="F70" s="991"/>
    </row>
    <row r="71" spans="1:6">
      <c r="A71" s="991"/>
      <c r="B71" s="991"/>
      <c r="C71" s="991"/>
      <c r="D71" s="991"/>
      <c r="E71" s="991"/>
      <c r="F71" s="991"/>
    </row>
    <row r="72" spans="1:6">
      <c r="A72" s="991"/>
      <c r="B72" s="991"/>
      <c r="C72" s="991"/>
      <c r="D72" s="991"/>
      <c r="E72" s="991"/>
      <c r="F72" s="991"/>
    </row>
    <row r="73" spans="1:6">
      <c r="A73" s="991"/>
      <c r="B73" s="991"/>
      <c r="C73" s="991"/>
      <c r="D73" s="991"/>
      <c r="E73" s="991"/>
      <c r="F73" s="991"/>
    </row>
    <row r="74" spans="1:6">
      <c r="A74" s="991"/>
      <c r="B74" s="991"/>
      <c r="C74" s="991"/>
      <c r="D74" s="991"/>
      <c r="E74" s="991"/>
      <c r="F74" s="991"/>
    </row>
    <row r="75" spans="1:6">
      <c r="A75" s="991"/>
      <c r="B75" s="991"/>
      <c r="C75" s="991"/>
      <c r="D75" s="991"/>
      <c r="E75" s="991"/>
      <c r="F75" s="991"/>
    </row>
    <row r="76" spans="1:6">
      <c r="A76" s="991"/>
      <c r="B76" s="991"/>
      <c r="C76" s="991"/>
      <c r="D76" s="991"/>
      <c r="E76" s="991"/>
      <c r="F76" s="991"/>
    </row>
    <row r="77" spans="1:6">
      <c r="A77" s="991"/>
      <c r="B77" s="991"/>
      <c r="C77" s="991"/>
      <c r="D77" s="991"/>
      <c r="E77" s="991"/>
      <c r="F77" s="991"/>
    </row>
    <row r="78" spans="1:6">
      <c r="A78" s="991"/>
      <c r="B78" s="991"/>
      <c r="C78" s="991"/>
      <c r="D78" s="991"/>
      <c r="E78" s="991"/>
      <c r="F78" s="991"/>
    </row>
    <row r="79" spans="1:6">
      <c r="A79" s="991"/>
      <c r="B79" s="991"/>
      <c r="C79" s="991"/>
      <c r="D79" s="991"/>
      <c r="E79" s="991"/>
      <c r="F79" s="991"/>
    </row>
    <row r="80" spans="1:6">
      <c r="A80" s="991"/>
      <c r="B80" s="991"/>
      <c r="C80" s="991"/>
      <c r="D80" s="991"/>
      <c r="E80" s="991"/>
      <c r="F80" s="991"/>
    </row>
    <row r="81" spans="1:6">
      <c r="A81" s="991"/>
      <c r="B81" s="991"/>
      <c r="C81" s="991"/>
      <c r="D81" s="991"/>
      <c r="E81" s="991"/>
      <c r="F81" s="991"/>
    </row>
    <row r="82" spans="1:6">
      <c r="A82" s="991"/>
      <c r="B82" s="991"/>
      <c r="C82" s="991"/>
      <c r="D82" s="991"/>
      <c r="E82" s="991"/>
      <c r="F82" s="991"/>
    </row>
    <row r="83" spans="1:6">
      <c r="A83" s="991"/>
      <c r="B83" s="991"/>
      <c r="C83" s="991"/>
      <c r="D83" s="991"/>
      <c r="E83" s="991"/>
      <c r="F83" s="991"/>
    </row>
    <row r="84" spans="1:6">
      <c r="A84" s="991"/>
      <c r="B84" s="991"/>
      <c r="C84" s="991"/>
      <c r="D84" s="991"/>
      <c r="E84" s="991"/>
      <c r="F84" s="991"/>
    </row>
    <row r="85" spans="1:6">
      <c r="A85" s="991"/>
      <c r="B85" s="991"/>
      <c r="C85" s="991"/>
      <c r="D85" s="991"/>
      <c r="E85" s="991"/>
      <c r="F85" s="991"/>
    </row>
    <row r="86" spans="1:6">
      <c r="A86" s="991"/>
      <c r="B86" s="991"/>
      <c r="C86" s="991"/>
      <c r="D86" s="991"/>
      <c r="E86" s="991"/>
      <c r="F86" s="991"/>
    </row>
    <row r="87" spans="1:6">
      <c r="A87" s="991"/>
      <c r="B87" s="991"/>
      <c r="C87" s="991"/>
      <c r="D87" s="991"/>
      <c r="E87" s="991"/>
      <c r="F87" s="991"/>
    </row>
    <row r="88" spans="1:6">
      <c r="A88" s="1108"/>
      <c r="B88" s="991"/>
      <c r="C88" s="991"/>
      <c r="D88" s="991"/>
      <c r="E88" s="991"/>
      <c r="F88" s="991"/>
    </row>
    <row r="89" spans="1:6">
      <c r="A89" s="1108"/>
      <c r="B89" s="991"/>
      <c r="C89" s="991"/>
      <c r="D89" s="991"/>
      <c r="E89" s="991"/>
      <c r="F89" s="991"/>
    </row>
    <row r="90" spans="1:6">
      <c r="A90" s="1108"/>
      <c r="B90" s="991"/>
      <c r="C90" s="991"/>
      <c r="D90" s="991"/>
      <c r="E90" s="991"/>
      <c r="F90" s="991"/>
    </row>
    <row r="91" spans="1:6">
      <c r="A91" s="1108"/>
      <c r="B91" s="991"/>
      <c r="C91" s="991"/>
      <c r="D91" s="991"/>
      <c r="E91" s="991"/>
      <c r="F91" s="991"/>
    </row>
    <row r="92" spans="1:6">
      <c r="A92" s="1108"/>
      <c r="B92" s="991"/>
      <c r="C92" s="991"/>
      <c r="D92" s="991"/>
      <c r="E92" s="991"/>
      <c r="F92" s="991"/>
    </row>
    <row r="93" spans="1:6">
      <c r="A93" s="1108"/>
      <c r="B93" s="991"/>
      <c r="C93" s="991"/>
      <c r="D93" s="991"/>
      <c r="E93" s="991"/>
      <c r="F93" s="991"/>
    </row>
    <row r="94" spans="1:6">
      <c r="A94" s="1108"/>
      <c r="B94" s="991"/>
      <c r="C94" s="991"/>
      <c r="D94" s="991"/>
      <c r="E94" s="991"/>
      <c r="F94" s="991"/>
    </row>
    <row r="95" spans="1:6">
      <c r="A95" s="1108"/>
      <c r="B95" s="991"/>
      <c r="C95" s="991"/>
      <c r="D95" s="991"/>
      <c r="E95" s="991"/>
      <c r="F95" s="991"/>
    </row>
    <row r="96" spans="1:6">
      <c r="A96" s="1108"/>
      <c r="B96" s="991"/>
      <c r="C96" s="991"/>
      <c r="D96" s="991"/>
      <c r="E96" s="991"/>
      <c r="F96" s="991"/>
    </row>
    <row r="97" spans="1:6">
      <c r="A97" s="1108"/>
      <c r="B97" s="991"/>
      <c r="C97" s="991"/>
      <c r="D97" s="991"/>
      <c r="E97" s="991"/>
      <c r="F97" s="991"/>
    </row>
    <row r="98" spans="1:6">
      <c r="A98" s="1108"/>
      <c r="B98" s="991"/>
      <c r="C98" s="991"/>
      <c r="D98" s="991"/>
      <c r="E98" s="991"/>
      <c r="F98" s="991"/>
    </row>
    <row r="99" spans="1:6">
      <c r="A99" s="1108"/>
      <c r="B99" s="991"/>
      <c r="C99" s="991"/>
      <c r="D99" s="991"/>
      <c r="E99" s="991"/>
      <c r="F99" s="991"/>
    </row>
    <row r="100" spans="1:6">
      <c r="A100" s="1108"/>
      <c r="B100" s="991"/>
      <c r="C100" s="991"/>
      <c r="D100" s="991"/>
      <c r="E100" s="991"/>
      <c r="F100" s="991"/>
    </row>
    <row r="101" spans="1:6">
      <c r="A101" s="1108"/>
      <c r="B101" s="991"/>
      <c r="C101" s="991"/>
      <c r="D101" s="991"/>
      <c r="E101" s="991"/>
      <c r="F101" s="991"/>
    </row>
    <row r="102" spans="1:6">
      <c r="A102" s="1108"/>
      <c r="B102" s="991"/>
      <c r="C102" s="991"/>
      <c r="D102" s="991"/>
      <c r="E102" s="991"/>
      <c r="F102" s="991"/>
    </row>
    <row r="103" spans="1:6">
      <c r="A103" s="1108"/>
      <c r="B103" s="991"/>
      <c r="C103" s="991"/>
      <c r="D103" s="991"/>
      <c r="E103" s="991"/>
      <c r="F103" s="991"/>
    </row>
    <row r="104" spans="1:6">
      <c r="A104" s="138"/>
    </row>
    <row r="105" spans="1:6">
      <c r="A105" s="138"/>
    </row>
    <row r="106" spans="1:6">
      <c r="A106" s="138"/>
    </row>
    <row r="107" spans="1:6">
      <c r="A107" s="138"/>
    </row>
    <row r="108" spans="1:6">
      <c r="A108" s="138"/>
    </row>
    <row r="109" spans="1:6">
      <c r="A109" s="138"/>
    </row>
    <row r="110" spans="1:6">
      <c r="A110" s="138"/>
    </row>
    <row r="111" spans="1:6">
      <c r="A111" s="138"/>
    </row>
    <row r="112" spans="1:6">
      <c r="A112" s="138"/>
    </row>
    <row r="113" spans="1:1">
      <c r="A113" s="138"/>
    </row>
    <row r="114" spans="1:1">
      <c r="A114" s="138"/>
    </row>
  </sheetData>
  <mergeCells count="1">
    <mergeCell ref="A8:D14"/>
  </mergeCells>
  <phoneticPr fontId="27" type="noConversion"/>
  <printOptions horizontalCentered="1"/>
  <pageMargins left="0.75" right="0.5" top="0.75" bottom="0.5" header="0.25" footer="0.25"/>
  <pageSetup orientation="portrait" r:id="rId1"/>
  <headerFooter alignWithMargins="0">
    <oddFooter xml:space="preserve">&amp;C&amp;"Garmond (W1),Bold"
</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109"/>
  <dimension ref="A1:I439"/>
  <sheetViews>
    <sheetView workbookViewId="0"/>
  </sheetViews>
  <sheetFormatPr defaultColWidth="10.85546875" defaultRowHeight="12.75"/>
  <cols>
    <col min="1" max="1" width="6.85546875" style="136" customWidth="1"/>
    <col min="2" max="2" width="34.5703125" style="136" customWidth="1"/>
    <col min="3" max="3" width="5.7109375" style="168" customWidth="1"/>
    <col min="4" max="4" width="13.140625" style="136" customWidth="1"/>
    <col min="5" max="5" width="2.5703125" style="136" customWidth="1"/>
    <col min="6" max="6" width="13.5703125" style="136" customWidth="1"/>
    <col min="7" max="7" width="14.42578125" style="136" customWidth="1"/>
    <col min="8" max="9" width="10.85546875" style="136"/>
    <col min="10" max="16384" width="10.85546875" style="11"/>
  </cols>
  <sheetData>
    <row r="1" spans="1:8">
      <c r="A1" s="648"/>
      <c r="B1" s="648"/>
      <c r="C1" s="649"/>
      <c r="D1" s="648"/>
      <c r="E1" s="648"/>
    </row>
    <row r="2" spans="1:8">
      <c r="A2" s="650" t="s">
        <v>2239</v>
      </c>
      <c r="B2" s="651"/>
      <c r="C2" s="651"/>
      <c r="D2" s="652"/>
      <c r="E2" s="652"/>
    </row>
    <row r="3" spans="1:8">
      <c r="A3" s="650" t="s">
        <v>357</v>
      </c>
      <c r="B3" s="122"/>
      <c r="C3" s="651"/>
      <c r="D3" s="653"/>
      <c r="E3" s="653"/>
    </row>
    <row r="4" spans="1:8" ht="47.25" customHeight="1">
      <c r="A4" s="654"/>
      <c r="B4" s="655"/>
      <c r="C4" s="655"/>
      <c r="D4" s="656" t="s">
        <v>358</v>
      </c>
      <c r="E4" s="657"/>
      <c r="F4" s="658" t="s">
        <v>498</v>
      </c>
      <c r="G4" s="658" t="s">
        <v>499</v>
      </c>
    </row>
    <row r="5" spans="1:8">
      <c r="A5" s="659"/>
      <c r="B5" s="660" t="s">
        <v>359</v>
      </c>
      <c r="C5" s="651"/>
      <c r="E5" s="165"/>
    </row>
    <row r="6" spans="1:8">
      <c r="A6" s="659"/>
      <c r="B6" s="122" t="s">
        <v>997</v>
      </c>
      <c r="C6" s="651" t="s">
        <v>1286</v>
      </c>
      <c r="D6" s="661">
        <f>'A 18'!H21</f>
        <v>0</v>
      </c>
      <c r="E6" s="661"/>
      <c r="F6" s="662"/>
      <c r="G6" s="662">
        <f t="shared" ref="G6:G8" si="0">$D6*G$21</f>
        <v>0</v>
      </c>
      <c r="H6" s="584">
        <f>F6+G6-D6</f>
        <v>0</v>
      </c>
    </row>
    <row r="7" spans="1:8">
      <c r="A7" s="659"/>
      <c r="B7" s="122" t="s">
        <v>998</v>
      </c>
      <c r="C7" s="651" t="s">
        <v>1286</v>
      </c>
      <c r="D7" s="661">
        <f>'A 18'!J22</f>
        <v>327047</v>
      </c>
      <c r="E7" s="661"/>
      <c r="F7" s="662"/>
      <c r="G7" s="662">
        <f t="shared" si="0"/>
        <v>327047</v>
      </c>
      <c r="H7" s="584">
        <f>F7+G7-D7</f>
        <v>0</v>
      </c>
    </row>
    <row r="8" spans="1:8">
      <c r="A8" s="659"/>
      <c r="B8" s="122" t="s">
        <v>919</v>
      </c>
      <c r="C8" s="651" t="s">
        <v>1286</v>
      </c>
      <c r="D8" s="661">
        <f>'A 18'!J28</f>
        <v>-503</v>
      </c>
      <c r="E8" s="661"/>
      <c r="F8" s="662"/>
      <c r="G8" s="662">
        <f t="shared" si="0"/>
        <v>-503</v>
      </c>
      <c r="H8" s="584">
        <f>F8+G8-D8</f>
        <v>0</v>
      </c>
    </row>
    <row r="9" spans="1:8">
      <c r="A9" s="659"/>
      <c r="B9" s="122" t="s">
        <v>920</v>
      </c>
      <c r="C9" s="651" t="s">
        <v>1287</v>
      </c>
      <c r="D9" s="661">
        <f>'A 18'!J29</f>
        <v>33875</v>
      </c>
      <c r="E9" s="661"/>
      <c r="F9" s="662"/>
      <c r="G9" s="662">
        <f>$D9*G$24</f>
        <v>33875</v>
      </c>
      <c r="H9" s="584">
        <f>F9+G9-D9</f>
        <v>0</v>
      </c>
    </row>
    <row r="10" spans="1:8">
      <c r="A10" s="659"/>
      <c r="B10" s="122" t="s">
        <v>607</v>
      </c>
      <c r="C10" s="651" t="s">
        <v>1288</v>
      </c>
      <c r="D10" s="661">
        <f>'A 18'!J30</f>
        <v>60</v>
      </c>
      <c r="E10" s="661"/>
      <c r="F10" s="662"/>
      <c r="G10" s="662" t="e">
        <f>$D10*G$27</f>
        <v>#REF!</v>
      </c>
      <c r="H10" s="584" t="e">
        <f>F10+G10-D10</f>
        <v>#REF!</v>
      </c>
    </row>
    <row r="11" spans="1:8">
      <c r="A11" s="659"/>
      <c r="B11" s="122"/>
      <c r="C11" s="651"/>
      <c r="D11" s="661"/>
      <c r="E11" s="661"/>
      <c r="F11" s="662"/>
      <c r="G11" s="662"/>
    </row>
    <row r="12" spans="1:8">
      <c r="A12" s="659"/>
      <c r="B12" s="663" t="s">
        <v>360</v>
      </c>
      <c r="C12" s="651"/>
      <c r="D12" s="664"/>
      <c r="E12" s="664"/>
      <c r="F12" s="662"/>
      <c r="G12" s="662"/>
      <c r="H12" s="584"/>
    </row>
    <row r="13" spans="1:8">
      <c r="A13" s="659"/>
      <c r="B13" s="122" t="s">
        <v>787</v>
      </c>
      <c r="C13" s="651" t="s">
        <v>1288</v>
      </c>
      <c r="D13" s="664">
        <f>-'A 19'!J27</f>
        <v>-181184</v>
      </c>
      <c r="E13" s="664"/>
      <c r="F13" s="662"/>
      <c r="G13" s="662" t="e">
        <f t="shared" ref="G13:G17" si="1">$D13*G$27</f>
        <v>#REF!</v>
      </c>
      <c r="H13" s="584" t="e">
        <f>F13+G13-D13</f>
        <v>#REF!</v>
      </c>
    </row>
    <row r="14" spans="1:8">
      <c r="A14" s="659"/>
      <c r="B14" s="122" t="s">
        <v>1118</v>
      </c>
      <c r="C14" s="651" t="s">
        <v>1288</v>
      </c>
      <c r="D14" s="664">
        <f>-'A 19'!J30</f>
        <v>0</v>
      </c>
      <c r="E14" s="664"/>
      <c r="F14" s="662"/>
      <c r="G14" s="662" t="e">
        <f t="shared" si="1"/>
        <v>#REF!</v>
      </c>
      <c r="H14" s="584" t="e">
        <f>F14+G14-D14</f>
        <v>#REF!</v>
      </c>
    </row>
    <row r="15" spans="1:8">
      <c r="A15" s="659"/>
      <c r="B15" s="122" t="s">
        <v>1119</v>
      </c>
      <c r="C15" s="651" t="s">
        <v>1288</v>
      </c>
      <c r="D15" s="664">
        <f>-'A 19'!J31</f>
        <v>-88645</v>
      </c>
      <c r="E15" s="664"/>
      <c r="F15" s="662"/>
      <c r="G15" s="662" t="e">
        <f t="shared" si="1"/>
        <v>#REF!</v>
      </c>
      <c r="H15" s="584" t="e">
        <f>F15+G15-D15</f>
        <v>#REF!</v>
      </c>
    </row>
    <row r="16" spans="1:8">
      <c r="A16" s="659"/>
      <c r="B16" s="122" t="s">
        <v>700</v>
      </c>
      <c r="C16" s="651" t="s">
        <v>1288</v>
      </c>
      <c r="D16" s="664">
        <f>-'A 19'!J33</f>
        <v>0</v>
      </c>
      <c r="E16" s="664"/>
      <c r="F16" s="662"/>
      <c r="G16" s="662" t="e">
        <f t="shared" si="1"/>
        <v>#REF!</v>
      </c>
      <c r="H16" s="584" t="e">
        <f>F16+G16-D16</f>
        <v>#REF!</v>
      </c>
    </row>
    <row r="17" spans="1:8" ht="15">
      <c r="A17" s="659"/>
      <c r="B17" s="122" t="s">
        <v>991</v>
      </c>
      <c r="C17" s="651" t="s">
        <v>1288</v>
      </c>
      <c r="D17" s="665">
        <f>-'A 19'!J35</f>
        <v>0</v>
      </c>
      <c r="E17" s="666"/>
      <c r="F17" s="662"/>
      <c r="G17" s="662" t="e">
        <f t="shared" si="1"/>
        <v>#REF!</v>
      </c>
      <c r="H17" s="584" t="e">
        <f>F17+G17-D17</f>
        <v>#REF!</v>
      </c>
    </row>
    <row r="18" spans="1:8">
      <c r="A18" s="659"/>
      <c r="B18" s="122"/>
      <c r="C18" s="651"/>
      <c r="D18" s="667"/>
      <c r="E18" s="667"/>
    </row>
    <row r="19" spans="1:8">
      <c r="A19" s="659"/>
      <c r="B19" s="668"/>
      <c r="C19" s="669"/>
      <c r="D19" s="670"/>
      <c r="E19" s="670"/>
      <c r="F19" s="671"/>
      <c r="G19" s="672"/>
    </row>
    <row r="20" spans="1:8">
      <c r="A20" s="659"/>
      <c r="B20" s="673" t="s">
        <v>361</v>
      </c>
      <c r="C20" s="649"/>
      <c r="D20" s="674">
        <f>F20+G20</f>
        <v>1933425.6500000001</v>
      </c>
      <c r="E20" s="674"/>
      <c r="F20" s="674">
        <f>'B 4'!D45</f>
        <v>0</v>
      </c>
      <c r="G20" s="1599">
        <f>'B 4'!G46</f>
        <v>1933425.6500000001</v>
      </c>
    </row>
    <row r="21" spans="1:8">
      <c r="A21" s="659"/>
      <c r="B21" s="673"/>
      <c r="C21" s="649"/>
      <c r="D21" s="676">
        <f>F21+G21</f>
        <v>1</v>
      </c>
      <c r="E21" s="674"/>
      <c r="F21" s="676"/>
      <c r="G21" s="677">
        <f>G20/$D20</f>
        <v>1</v>
      </c>
    </row>
    <row r="22" spans="1:8">
      <c r="A22" s="659"/>
      <c r="B22" s="673"/>
      <c r="C22" s="649"/>
      <c r="D22" s="676"/>
      <c r="E22" s="674"/>
      <c r="F22" s="676"/>
      <c r="G22" s="677"/>
    </row>
    <row r="23" spans="1:8">
      <c r="A23" s="659"/>
      <c r="B23" s="673" t="s">
        <v>362</v>
      </c>
      <c r="C23" s="649"/>
      <c r="D23" s="674">
        <f>F23+G23</f>
        <v>8371235.879999999</v>
      </c>
      <c r="E23" s="674"/>
      <c r="F23" s="674"/>
      <c r="G23" s="675">
        <f>'A 6'!D64</f>
        <v>8371235.879999999</v>
      </c>
    </row>
    <row r="24" spans="1:8">
      <c r="A24" s="659"/>
      <c r="B24" s="673"/>
      <c r="C24" s="649"/>
      <c r="D24" s="676">
        <f>F24+G24</f>
        <v>1</v>
      </c>
      <c r="E24" s="674"/>
      <c r="F24" s="676"/>
      <c r="G24" s="677">
        <f>G23/$D23</f>
        <v>1</v>
      </c>
    </row>
    <row r="25" spans="1:8">
      <c r="A25" s="659"/>
      <c r="B25" s="673"/>
      <c r="C25" s="649"/>
      <c r="D25" s="676"/>
      <c r="E25" s="674"/>
      <c r="F25" s="676"/>
      <c r="G25" s="677"/>
    </row>
    <row r="26" spans="1:8">
      <c r="A26" s="659"/>
      <c r="B26" s="1467" t="s">
        <v>363</v>
      </c>
      <c r="C26" s="1468"/>
      <c r="D26" s="1469" t="e">
        <f>F26+G26</f>
        <v>#REF!</v>
      </c>
      <c r="E26" s="1469"/>
      <c r="F26" s="1469"/>
      <c r="G26" s="1470" t="e">
        <f>#REF!</f>
        <v>#REF!</v>
      </c>
    </row>
    <row r="27" spans="1:8">
      <c r="A27" s="122"/>
      <c r="B27" s="673"/>
      <c r="C27" s="649"/>
      <c r="D27" s="676" t="e">
        <f>F27+G27</f>
        <v>#REF!</v>
      </c>
      <c r="E27" s="674"/>
      <c r="F27" s="676"/>
      <c r="G27" s="677" t="e">
        <f>G26/$D26</f>
        <v>#REF!</v>
      </c>
    </row>
    <row r="28" spans="1:8">
      <c r="A28" s="122"/>
      <c r="B28" s="678"/>
      <c r="C28" s="679"/>
      <c r="D28" s="680"/>
      <c r="E28" s="680"/>
      <c r="F28" s="680"/>
      <c r="G28" s="681"/>
    </row>
    <row r="29" spans="1:8">
      <c r="A29" s="659"/>
      <c r="B29" s="659"/>
      <c r="C29" s="651"/>
      <c r="D29" s="659"/>
      <c r="E29" s="659"/>
    </row>
    <row r="30" spans="1:8">
      <c r="A30" s="659"/>
      <c r="B30" s="659"/>
      <c r="C30" s="651"/>
      <c r="D30" s="659"/>
      <c r="E30" s="659"/>
    </row>
    <row r="31" spans="1:8">
      <c r="A31" s="659"/>
      <c r="B31" s="659"/>
      <c r="C31" s="651"/>
      <c r="D31" s="659"/>
      <c r="E31" s="659"/>
    </row>
    <row r="32" spans="1:8">
      <c r="A32" s="659"/>
      <c r="B32" s="659"/>
      <c r="C32" s="651"/>
      <c r="D32" s="659"/>
      <c r="E32" s="659"/>
    </row>
    <row r="33" spans="1:7">
      <c r="A33" s="659"/>
      <c r="B33" s="659"/>
      <c r="C33" s="651"/>
      <c r="D33" s="659"/>
      <c r="E33" s="659"/>
    </row>
    <row r="34" spans="1:7">
      <c r="A34" s="659"/>
      <c r="B34" s="659"/>
      <c r="C34" s="651"/>
      <c r="D34" s="659"/>
      <c r="E34" s="659"/>
    </row>
    <row r="35" spans="1:7">
      <c r="A35" s="659"/>
      <c r="B35" s="659"/>
      <c r="C35" s="651"/>
      <c r="D35" s="659"/>
      <c r="E35" s="659"/>
    </row>
    <row r="36" spans="1:7">
      <c r="A36" s="659"/>
      <c r="B36" s="659"/>
      <c r="C36" s="651"/>
      <c r="D36" s="659"/>
      <c r="E36" s="659"/>
    </row>
    <row r="37" spans="1:7">
      <c r="A37" s="659"/>
      <c r="B37" s="659"/>
      <c r="C37" s="651"/>
      <c r="D37" s="659"/>
      <c r="E37" s="659"/>
    </row>
    <row r="38" spans="1:7">
      <c r="A38" s="659"/>
      <c r="B38" s="659"/>
      <c r="C38" s="651"/>
      <c r="D38" s="659"/>
      <c r="E38" s="659"/>
    </row>
    <row r="39" spans="1:7">
      <c r="A39" s="659"/>
      <c r="B39" s="659"/>
      <c r="C39" s="651"/>
      <c r="D39" s="659"/>
      <c r="E39" s="659"/>
    </row>
    <row r="40" spans="1:7">
      <c r="A40" s="122"/>
      <c r="B40" s="122"/>
      <c r="C40" s="651"/>
    </row>
    <row r="41" spans="1:7">
      <c r="A41" s="659" t="s">
        <v>365</v>
      </c>
      <c r="B41" s="659"/>
      <c r="C41" s="659"/>
      <c r="D41" s="357"/>
      <c r="E41" s="357"/>
      <c r="F41" s="357"/>
      <c r="G41" s="357"/>
    </row>
    <row r="42" spans="1:7">
      <c r="A42" s="122"/>
      <c r="B42" s="122"/>
      <c r="C42" s="651"/>
    </row>
    <row r="43" spans="1:7">
      <c r="A43" s="122"/>
      <c r="B43" s="122"/>
      <c r="C43" s="651"/>
    </row>
    <row r="44" spans="1:7">
      <c r="A44" s="122"/>
      <c r="B44" s="122"/>
      <c r="C44" s="651"/>
    </row>
    <row r="45" spans="1:7">
      <c r="A45" s="122"/>
      <c r="B45" s="122"/>
      <c r="C45" s="651"/>
    </row>
    <row r="46" spans="1:7">
      <c r="A46" s="122"/>
      <c r="B46" s="122"/>
      <c r="C46" s="651"/>
    </row>
    <row r="139" spans="2:3">
      <c r="B139" s="682"/>
      <c r="C139" s="683"/>
    </row>
    <row r="142" spans="2:3">
      <c r="B142" s="682"/>
      <c r="C142" s="683"/>
    </row>
    <row r="265" spans="1:1">
      <c r="A265" s="684"/>
    </row>
    <row r="266" spans="1:1">
      <c r="A266" s="684"/>
    </row>
    <row r="267" spans="1:1">
      <c r="A267" s="684"/>
    </row>
    <row r="268" spans="1:1">
      <c r="A268" s="684"/>
    </row>
    <row r="269" spans="1:1">
      <c r="A269" s="684"/>
    </row>
    <row r="299" spans="1:1">
      <c r="A299" s="684"/>
    </row>
    <row r="368" spans="1:1">
      <c r="A368" s="122"/>
    </row>
    <row r="385" spans="1:1">
      <c r="A385" s="684"/>
    </row>
    <row r="386" spans="1:1">
      <c r="A386" s="684"/>
    </row>
    <row r="387" spans="1:1">
      <c r="A387" s="684"/>
    </row>
    <row r="388" spans="1:1">
      <c r="A388" s="684"/>
    </row>
    <row r="389" spans="1:1">
      <c r="A389" s="684"/>
    </row>
    <row r="390" spans="1:1">
      <c r="A390" s="684"/>
    </row>
    <row r="391" spans="1:1">
      <c r="A391" s="684"/>
    </row>
    <row r="392" spans="1:1">
      <c r="A392" s="684"/>
    </row>
    <row r="393" spans="1:1">
      <c r="A393" s="684"/>
    </row>
    <row r="394" spans="1:1">
      <c r="A394" s="684"/>
    </row>
    <row r="395" spans="1:1">
      <c r="A395" s="684"/>
    </row>
    <row r="396" spans="1:1">
      <c r="A396" s="684"/>
    </row>
    <row r="397" spans="1:1">
      <c r="A397" s="684"/>
    </row>
    <row r="398" spans="1:1">
      <c r="A398" s="684"/>
    </row>
    <row r="399" spans="1:1">
      <c r="A399" s="684"/>
    </row>
    <row r="400" spans="1:1">
      <c r="A400" s="684"/>
    </row>
    <row r="401" spans="1:1">
      <c r="A401" s="684"/>
    </row>
    <row r="402" spans="1:1">
      <c r="A402" s="684"/>
    </row>
    <row r="403" spans="1:1">
      <c r="A403" s="684"/>
    </row>
    <row r="404" spans="1:1">
      <c r="A404" s="684"/>
    </row>
    <row r="405" spans="1:1">
      <c r="A405" s="684"/>
    </row>
    <row r="406" spans="1:1">
      <c r="A406" s="684"/>
    </row>
    <row r="407" spans="1:1">
      <c r="A407" s="684"/>
    </row>
    <row r="408" spans="1:1">
      <c r="A408" s="684"/>
    </row>
    <row r="409" spans="1:1">
      <c r="A409" s="684"/>
    </row>
    <row r="410" spans="1:1">
      <c r="A410" s="684"/>
    </row>
    <row r="411" spans="1:1">
      <c r="A411" s="684"/>
    </row>
    <row r="412" spans="1:1">
      <c r="A412" s="684"/>
    </row>
    <row r="413" spans="1:1">
      <c r="A413" s="684"/>
    </row>
    <row r="414" spans="1:1">
      <c r="A414" s="684"/>
    </row>
    <row r="415" spans="1:1">
      <c r="A415" s="684"/>
    </row>
    <row r="416" spans="1:1">
      <c r="A416" s="684"/>
    </row>
    <row r="417" spans="1:1">
      <c r="A417" s="684"/>
    </row>
    <row r="418" spans="1:1">
      <c r="A418" s="684"/>
    </row>
    <row r="419" spans="1:1">
      <c r="A419" s="684"/>
    </row>
    <row r="420" spans="1:1">
      <c r="A420" s="684"/>
    </row>
    <row r="421" spans="1:1">
      <c r="A421" s="684"/>
    </row>
    <row r="422" spans="1:1">
      <c r="A422" s="684"/>
    </row>
    <row r="423" spans="1:1">
      <c r="A423" s="684"/>
    </row>
    <row r="424" spans="1:1">
      <c r="A424" s="684"/>
    </row>
    <row r="425" spans="1:1">
      <c r="A425" s="684"/>
    </row>
    <row r="426" spans="1:1">
      <c r="A426" s="684"/>
    </row>
    <row r="427" spans="1:1">
      <c r="A427" s="684"/>
    </row>
    <row r="428" spans="1:1">
      <c r="A428" s="684"/>
    </row>
    <row r="429" spans="1:1">
      <c r="A429" s="684"/>
    </row>
    <row r="430" spans="1:1">
      <c r="A430" s="684"/>
    </row>
    <row r="431" spans="1:1">
      <c r="A431" s="684"/>
    </row>
    <row r="432" spans="1:1">
      <c r="A432" s="684"/>
    </row>
    <row r="433" spans="1:1">
      <c r="A433" s="684"/>
    </row>
    <row r="434" spans="1:1">
      <c r="A434" s="684"/>
    </row>
    <row r="435" spans="1:1">
      <c r="A435" s="684"/>
    </row>
    <row r="436" spans="1:1">
      <c r="A436" s="684"/>
    </row>
    <row r="437" spans="1:1">
      <c r="A437" s="684"/>
    </row>
    <row r="438" spans="1:1">
      <c r="A438" s="684"/>
    </row>
    <row r="439" spans="1:1">
      <c r="A439" s="684"/>
    </row>
  </sheetData>
  <phoneticPr fontId="27" type="noConversion"/>
  <printOptions horizontalCentered="1"/>
  <pageMargins left="0.5" right="0.25" top="0.5" bottom="0.25" header="0.25" footer="0.22"/>
  <pageSetup orientation="landscape"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pageSetUpPr fitToPage="1"/>
  </sheetPr>
  <dimension ref="A1:S181"/>
  <sheetViews>
    <sheetView workbookViewId="0"/>
  </sheetViews>
  <sheetFormatPr defaultColWidth="9.140625" defaultRowHeight="11.25"/>
  <cols>
    <col min="1" max="1" width="36.85546875" style="821" customWidth="1"/>
    <col min="2" max="2" width="5.85546875" style="1561" customWidth="1"/>
    <col min="3" max="3" width="32.140625" style="21" customWidth="1"/>
    <col min="4" max="17" width="12.28515625" style="21" customWidth="1"/>
    <col min="18" max="18" width="9.140625" style="21"/>
    <col min="19" max="19" width="12.5703125" style="21" bestFit="1" customWidth="1"/>
    <col min="20" max="16384" width="9.140625" style="21"/>
  </cols>
  <sheetData>
    <row r="1" spans="1:17" ht="45.75" customHeight="1">
      <c r="A1" s="957"/>
      <c r="B1" s="1529" t="s">
        <v>2213</v>
      </c>
      <c r="C1" s="106" t="s">
        <v>682</v>
      </c>
      <c r="D1" s="208">
        <v>41982</v>
      </c>
      <c r="E1" s="207">
        <v>42014</v>
      </c>
      <c r="F1" s="208">
        <v>42036</v>
      </c>
      <c r="G1" s="208">
        <v>42064</v>
      </c>
      <c r="H1" s="208">
        <v>42095</v>
      </c>
      <c r="I1" s="208">
        <v>42125</v>
      </c>
      <c r="J1" s="208">
        <v>42156</v>
      </c>
      <c r="K1" s="208">
        <v>42186</v>
      </c>
      <c r="L1" s="208">
        <v>41487</v>
      </c>
      <c r="M1" s="208">
        <v>42248</v>
      </c>
      <c r="N1" s="208">
        <v>42278</v>
      </c>
      <c r="O1" s="208">
        <v>42309</v>
      </c>
      <c r="P1" s="208">
        <v>42339</v>
      </c>
      <c r="Q1" s="687" t="s">
        <v>388</v>
      </c>
    </row>
    <row r="2" spans="1:17" ht="13.5" customHeight="1">
      <c r="A2" s="955" t="s">
        <v>1742</v>
      </c>
      <c r="B2" s="1560"/>
      <c r="C2" s="956"/>
      <c r="D2" s="1563">
        <v>2</v>
      </c>
      <c r="E2" s="1563">
        <v>3</v>
      </c>
      <c r="F2" s="1564">
        <v>4</v>
      </c>
      <c r="G2" s="1564">
        <v>5</v>
      </c>
      <c r="H2" s="1564">
        <v>6</v>
      </c>
      <c r="I2" s="1564">
        <v>7</v>
      </c>
      <c r="J2" s="1564">
        <v>8</v>
      </c>
      <c r="K2" s="1564">
        <v>9</v>
      </c>
      <c r="L2" s="1564">
        <v>10</v>
      </c>
      <c r="M2" s="1564">
        <v>11</v>
      </c>
      <c r="N2" s="1564">
        <v>12</v>
      </c>
      <c r="O2" s="1564">
        <v>13</v>
      </c>
      <c r="P2" s="1564">
        <v>14</v>
      </c>
      <c r="Q2" s="687"/>
    </row>
    <row r="3" spans="1:17" s="873" customFormat="1" ht="13.5" customHeight="1">
      <c r="A3" s="888"/>
      <c r="B3" s="1532">
        <v>2620</v>
      </c>
      <c r="C3" s="872" t="s">
        <v>1650</v>
      </c>
      <c r="D3" s="1670">
        <f>IFERROR(VLOOKUP($B3,'Trial Blc'!$B$4:O$377,D$2,FALSE),0)</f>
        <v>45879.72</v>
      </c>
      <c r="E3" s="627">
        <f>IFERROR(VLOOKUP($B3,'Trial Blc'!$B$4:P$377,E$2,FALSE),0)</f>
        <v>45879.72</v>
      </c>
      <c r="F3" s="627">
        <f>IFERROR(VLOOKUP($B3,'Trial Blc'!$B$4:Q$377,F$2,FALSE),0)</f>
        <v>45879.72</v>
      </c>
      <c r="G3" s="627">
        <f>IFERROR(VLOOKUP($B3,'Trial Blc'!$B$4:R$377,G$2,FALSE),0)</f>
        <v>45879.72</v>
      </c>
      <c r="H3" s="627">
        <f>IFERROR(VLOOKUP($B3,'Trial Blc'!$B$4:S$377,H$2,FALSE),0)</f>
        <v>45879.72</v>
      </c>
      <c r="I3" s="627">
        <f>IFERROR(VLOOKUP($B3,'Trial Blc'!$B$4:T$377,I$2,FALSE),0)</f>
        <v>45879.72</v>
      </c>
      <c r="J3" s="627">
        <f>IFERROR(VLOOKUP($B3,'Trial Blc'!$B$4:U$377,J$2,FALSE),0)</f>
        <v>45879.72</v>
      </c>
      <c r="K3" s="627">
        <f>IFERROR(VLOOKUP($B3,'Trial Blc'!$B$4:V$377,K$2,FALSE),0)</f>
        <v>45879.72</v>
      </c>
      <c r="L3" s="627">
        <f>IFERROR(VLOOKUP($B3,'Trial Blc'!$B$4:W$377,L$2,FALSE),0)</f>
        <v>45879.72</v>
      </c>
      <c r="M3" s="627">
        <f>IFERROR(VLOOKUP($B3,'Trial Blc'!$B$4:X$377,M$2,FALSE),0)</f>
        <v>45879.72</v>
      </c>
      <c r="N3" s="627">
        <f>IFERROR(VLOOKUP($B3,'Trial Blc'!$B$4:Y$377,N$2,FALSE),0)</f>
        <v>45879.72</v>
      </c>
      <c r="O3" s="627">
        <f>IFERROR(VLOOKUP($B3,'Trial Blc'!$B$4:Z$377,O$2,FALSE),0)</f>
        <v>45879.72</v>
      </c>
      <c r="P3" s="627">
        <f>IFERROR(VLOOKUP($B3,'Trial Blc'!$B$4:AA$377,P$2,FALSE),0)</f>
        <v>45879.72</v>
      </c>
      <c r="Q3" s="627">
        <f t="shared" ref="Q3" si="0">AVERAGE(D3:P3)</f>
        <v>45879.719999999987</v>
      </c>
    </row>
    <row r="4" spans="1:17" s="873" customFormat="1" ht="13.5" customHeight="1">
      <c r="A4" s="888"/>
      <c r="B4" s="1532"/>
      <c r="C4" s="872"/>
      <c r="D4" s="823"/>
      <c r="E4" s="823"/>
      <c r="F4" s="823"/>
      <c r="G4" s="823"/>
      <c r="H4" s="823"/>
      <c r="I4" s="823"/>
      <c r="J4" s="823"/>
      <c r="K4" s="823"/>
      <c r="L4" s="823"/>
      <c r="M4" s="823"/>
      <c r="N4" s="823"/>
      <c r="O4" s="823"/>
      <c r="P4" s="823"/>
      <c r="Q4" s="627"/>
    </row>
    <row r="5" spans="1:17" ht="13.5" customHeight="1">
      <c r="A5" s="955" t="s">
        <v>1743</v>
      </c>
      <c r="B5" s="1528"/>
      <c r="C5" s="112"/>
      <c r="D5" s="829"/>
      <c r="E5" s="829"/>
      <c r="F5" s="830"/>
      <c r="G5" s="830"/>
      <c r="H5" s="830"/>
      <c r="I5" s="830"/>
      <c r="J5" s="830"/>
      <c r="K5" s="830"/>
      <c r="L5" s="830"/>
      <c r="M5" s="830"/>
      <c r="N5" s="830"/>
      <c r="O5" s="830"/>
      <c r="P5" s="830"/>
      <c r="Q5" s="687"/>
    </row>
    <row r="6" spans="1:17" s="821" customFormat="1">
      <c r="A6" s="958">
        <v>141</v>
      </c>
      <c r="B6" s="1531">
        <v>2675</v>
      </c>
      <c r="C6" s="819" t="s">
        <v>1600</v>
      </c>
      <c r="D6" s="627">
        <f>IFERROR(VLOOKUP($B6,'Trial Blc'!$B$4:O$377,D$2,FALSE),0)</f>
        <v>25391.29</v>
      </c>
      <c r="E6" s="627">
        <f>IFERROR(VLOOKUP($B6,'Trial Blc'!$B$4:P$377,E$2,FALSE),0)</f>
        <v>12862.86</v>
      </c>
      <c r="F6" s="627">
        <f>IFERROR(VLOOKUP($B6,'Trial Blc'!$B$4:Q$377,F$2,FALSE),0)</f>
        <v>12205.4</v>
      </c>
      <c r="G6" s="627">
        <f>IFERROR(VLOOKUP($B6,'Trial Blc'!$B$4:R$377,G$2,FALSE),0)</f>
        <v>9497.0400000000009</v>
      </c>
      <c r="H6" s="627">
        <f>IFERROR(VLOOKUP($B6,'Trial Blc'!$B$4:S$377,H$2,FALSE),0)</f>
        <v>21425.39</v>
      </c>
      <c r="I6" s="627">
        <f>IFERROR(VLOOKUP($B6,'Trial Blc'!$B$4:T$377,I$2,FALSE),0)</f>
        <v>8063.86</v>
      </c>
      <c r="J6" s="627">
        <f>IFERROR(VLOOKUP($B6,'Trial Blc'!$B$4:U$377,J$2,FALSE),0)</f>
        <v>13173.16</v>
      </c>
      <c r="K6" s="627">
        <f>IFERROR(VLOOKUP($B6,'Trial Blc'!$B$4:V$377,K$2,FALSE),0)</f>
        <v>1291.82</v>
      </c>
      <c r="L6" s="627">
        <f>IFERROR(VLOOKUP($B6,'Trial Blc'!$B$4:W$377,L$2,FALSE),0)</f>
        <v>15849.59</v>
      </c>
      <c r="M6" s="627">
        <f>IFERROR(VLOOKUP($B6,'Trial Blc'!$B$4:X$377,M$2,FALSE),0)</f>
        <v>535.65</v>
      </c>
      <c r="N6" s="627">
        <f>IFERROR(VLOOKUP($B6,'Trial Blc'!$B$4:Y$377,N$2,FALSE),0)</f>
        <v>15837.3</v>
      </c>
      <c r="O6" s="627">
        <f>IFERROR(VLOOKUP($B6,'Trial Blc'!$B$4:Z$377,O$2,FALSE),0)</f>
        <v>508.28</v>
      </c>
      <c r="P6" s="627">
        <f>IFERROR(VLOOKUP($B6,'Trial Blc'!$B$4:AA$377,P$2,FALSE),0)</f>
        <v>13613.2</v>
      </c>
      <c r="Q6" s="627">
        <f t="shared" ref="Q6:Q8" si="1">AVERAGE(D6:P6)</f>
        <v>11558.064615384617</v>
      </c>
    </row>
    <row r="7" spans="1:17" s="821" customFormat="1">
      <c r="A7" s="958"/>
      <c r="B7" s="1531">
        <v>2680</v>
      </c>
      <c r="C7" s="819" t="s">
        <v>1601</v>
      </c>
      <c r="D7" s="627">
        <f>IFERROR(VLOOKUP($B7,'Trial Blc'!$B$4:O$377,D$2,FALSE),0)</f>
        <v>229392.06</v>
      </c>
      <c r="E7" s="627">
        <f>IFERROR(VLOOKUP($B7,'Trial Blc'!$B$4:P$377,E$2,FALSE),0)</f>
        <v>217669.75</v>
      </c>
      <c r="F7" s="627">
        <f>IFERROR(VLOOKUP($B7,'Trial Blc'!$B$4:Q$377,F$2,FALSE),0)</f>
        <v>267514.32</v>
      </c>
      <c r="G7" s="627">
        <f>IFERROR(VLOOKUP($B7,'Trial Blc'!$B$4:R$377,G$2,FALSE),0)</f>
        <v>283009.63</v>
      </c>
      <c r="H7" s="627">
        <f>IFERROR(VLOOKUP($B7,'Trial Blc'!$B$4:S$377,H$2,FALSE),0)</f>
        <v>265922.46000000002</v>
      </c>
      <c r="I7" s="627">
        <f>IFERROR(VLOOKUP($B7,'Trial Blc'!$B$4:T$377,I$2,FALSE),0)</f>
        <v>347426.73</v>
      </c>
      <c r="J7" s="627">
        <f>IFERROR(VLOOKUP($B7,'Trial Blc'!$B$4:U$377,J$2,FALSE),0)</f>
        <v>283498.38</v>
      </c>
      <c r="K7" s="627">
        <f>IFERROR(VLOOKUP($B7,'Trial Blc'!$B$4:V$377,K$2,FALSE),0)</f>
        <v>277237.43</v>
      </c>
      <c r="L7" s="627">
        <f>IFERROR(VLOOKUP($B7,'Trial Blc'!$B$4:W$377,L$2,FALSE),0)</f>
        <v>308591.42</v>
      </c>
      <c r="M7" s="627">
        <f>IFERROR(VLOOKUP($B7,'Trial Blc'!$B$4:X$377,M$2,FALSE),0)</f>
        <v>402074.93</v>
      </c>
      <c r="N7" s="627">
        <f>IFERROR(VLOOKUP($B7,'Trial Blc'!$B$4:Y$377,N$2,FALSE),0)</f>
        <v>350185.19</v>
      </c>
      <c r="O7" s="627">
        <f>IFERROR(VLOOKUP($B7,'Trial Blc'!$B$4:Z$377,O$2,FALSE),0)</f>
        <v>439068.65</v>
      </c>
      <c r="P7" s="627">
        <f>IFERROR(VLOOKUP($B7,'Trial Blc'!$B$4:AA$377,P$2,FALSE),0)</f>
        <v>381913.18</v>
      </c>
      <c r="Q7" s="627">
        <f t="shared" si="1"/>
        <v>311808.01</v>
      </c>
    </row>
    <row r="8" spans="1:17" s="821" customFormat="1">
      <c r="A8" s="958"/>
      <c r="B8" s="1531">
        <v>2685</v>
      </c>
      <c r="C8" s="819" t="s">
        <v>1602</v>
      </c>
      <c r="D8" s="627">
        <f>IFERROR(VLOOKUP($B8,'Trial Blc'!$B$4:O$377,D$2,FALSE),0)</f>
        <v>6836.18</v>
      </c>
      <c r="E8" s="627">
        <f>IFERROR(VLOOKUP($B8,'Trial Blc'!$B$4:P$377,E$2,FALSE),0)</f>
        <v>6836.18</v>
      </c>
      <c r="F8" s="627">
        <f>IFERROR(VLOOKUP($B8,'Trial Blc'!$B$4:Q$377,F$2,FALSE),0)</f>
        <v>6836.18</v>
      </c>
      <c r="G8" s="627">
        <f>IFERROR(VLOOKUP($B8,'Trial Blc'!$B$4:R$377,G$2,FALSE),0)</f>
        <v>6836.18</v>
      </c>
      <c r="H8" s="627">
        <f>IFERROR(VLOOKUP($B8,'Trial Blc'!$B$4:S$377,H$2,FALSE),0)</f>
        <v>6836.18</v>
      </c>
      <c r="I8" s="627">
        <f>IFERROR(VLOOKUP($B8,'Trial Blc'!$B$4:T$377,I$2,FALSE),0)</f>
        <v>6836.18</v>
      </c>
      <c r="J8" s="627">
        <f>IFERROR(VLOOKUP($B8,'Trial Blc'!$B$4:U$377,J$2,FALSE),0)</f>
        <v>6836.18</v>
      </c>
      <c r="K8" s="627">
        <f>IFERROR(VLOOKUP($B8,'Trial Blc'!$B$4:V$377,K$2,FALSE),0)</f>
        <v>0</v>
      </c>
      <c r="L8" s="627">
        <f>IFERROR(VLOOKUP($B8,'Trial Blc'!$B$4:W$377,L$2,FALSE),0)</f>
        <v>0</v>
      </c>
      <c r="M8" s="627">
        <f>IFERROR(VLOOKUP($B8,'Trial Blc'!$B$4:X$377,M$2,FALSE),0)</f>
        <v>0</v>
      </c>
      <c r="N8" s="627">
        <f>IFERROR(VLOOKUP($B8,'Trial Blc'!$B$4:Y$377,N$2,FALSE),0)</f>
        <v>0</v>
      </c>
      <c r="O8" s="627">
        <f>IFERROR(VLOOKUP($B8,'Trial Blc'!$B$4:Z$377,O$2,FALSE),0)</f>
        <v>0</v>
      </c>
      <c r="P8" s="627">
        <f>IFERROR(VLOOKUP($B8,'Trial Blc'!$B$4:AA$377,P$2,FALSE),0)</f>
        <v>0</v>
      </c>
      <c r="Q8" s="627">
        <f t="shared" si="1"/>
        <v>3681.02</v>
      </c>
    </row>
    <row r="9" spans="1:17" s="821" customFormat="1">
      <c r="A9" s="958"/>
      <c r="B9" s="1531"/>
      <c r="C9" s="822" t="s">
        <v>1603</v>
      </c>
      <c r="D9" s="1674">
        <f>SUM(D6:D8)</f>
        <v>261619.53</v>
      </c>
      <c r="E9" s="826">
        <f t="shared" ref="E9:Q9" si="2">SUM(E6:E8)</f>
        <v>237368.78999999998</v>
      </c>
      <c r="F9" s="826">
        <f>SUM(F6:F8)</f>
        <v>286555.90000000002</v>
      </c>
      <c r="G9" s="826">
        <f t="shared" si="2"/>
        <v>299342.84999999998</v>
      </c>
      <c r="H9" s="826">
        <f t="shared" si="2"/>
        <v>294184.03000000003</v>
      </c>
      <c r="I9" s="826">
        <f t="shared" si="2"/>
        <v>362326.76999999996</v>
      </c>
      <c r="J9" s="826">
        <f t="shared" si="2"/>
        <v>303507.71999999997</v>
      </c>
      <c r="K9" s="826">
        <f t="shared" si="2"/>
        <v>278529.25</v>
      </c>
      <c r="L9" s="826">
        <f t="shared" si="2"/>
        <v>324441.01</v>
      </c>
      <c r="M9" s="826">
        <f t="shared" si="2"/>
        <v>402610.58</v>
      </c>
      <c r="N9" s="826">
        <f t="shared" si="2"/>
        <v>366022.49</v>
      </c>
      <c r="O9" s="826">
        <f t="shared" si="2"/>
        <v>439576.93000000005</v>
      </c>
      <c r="P9" s="826">
        <f t="shared" si="2"/>
        <v>395526.38</v>
      </c>
      <c r="Q9" s="826">
        <f t="shared" si="2"/>
        <v>327047.09461538465</v>
      </c>
    </row>
    <row r="10" spans="1:17" s="821" customFormat="1">
      <c r="A10" s="958"/>
      <c r="B10" s="1531"/>
      <c r="C10" s="819"/>
      <c r="D10" s="823"/>
      <c r="E10" s="823"/>
      <c r="F10" s="824"/>
      <c r="G10" s="824"/>
      <c r="H10" s="824"/>
      <c r="I10" s="824"/>
      <c r="J10" s="824"/>
      <c r="K10" s="824"/>
      <c r="L10" s="824"/>
      <c r="M10" s="824"/>
      <c r="N10" s="824"/>
      <c r="O10" s="824"/>
      <c r="P10" s="824"/>
      <c r="Q10" s="825"/>
    </row>
    <row r="11" spans="1:17" s="821" customFormat="1">
      <c r="A11" s="961" t="s">
        <v>1744</v>
      </c>
      <c r="B11" s="1531"/>
      <c r="C11" s="819"/>
      <c r="D11" s="823"/>
      <c r="E11" s="823"/>
      <c r="F11" s="824"/>
      <c r="G11" s="824"/>
      <c r="H11" s="824"/>
      <c r="I11" s="824"/>
      <c r="J11" s="824"/>
      <c r="K11" s="824"/>
      <c r="L11" s="824"/>
      <c r="M11" s="824"/>
      <c r="N11" s="824"/>
      <c r="O11" s="824"/>
      <c r="P11" s="824"/>
      <c r="Q11" s="825"/>
    </row>
    <row r="12" spans="1:17" s="821" customFormat="1">
      <c r="A12" s="958">
        <v>143</v>
      </c>
      <c r="B12" s="1531">
        <v>2690</v>
      </c>
      <c r="C12" s="819" t="s">
        <v>1604</v>
      </c>
      <c r="D12" s="1670">
        <f>IFERROR(VLOOKUP($B12,'Trial Blc'!$B$4:O$377,D$2,FALSE),0)</f>
        <v>-63</v>
      </c>
      <c r="E12" s="627">
        <f>IFERROR(VLOOKUP($B12,'Trial Blc'!$B$4:P$377,E$2,FALSE),0)</f>
        <v>-32</v>
      </c>
      <c r="F12" s="627">
        <f>IFERROR(VLOOKUP($B12,'Trial Blc'!$B$4:Q$377,F$2,FALSE),0)</f>
        <v>-50</v>
      </c>
      <c r="G12" s="627">
        <f>IFERROR(VLOOKUP($B12,'Trial Blc'!$B$4:R$377,G$2,FALSE),0)</f>
        <v>-75</v>
      </c>
      <c r="H12" s="627">
        <f>IFERROR(VLOOKUP($B12,'Trial Blc'!$B$4:S$377,H$2,FALSE),0)</f>
        <v>-1193</v>
      </c>
      <c r="I12" s="627">
        <f>IFERROR(VLOOKUP($B12,'Trial Blc'!$B$4:T$377,I$2,FALSE),0)</f>
        <v>-1577</v>
      </c>
      <c r="J12" s="627">
        <f>IFERROR(VLOOKUP($B12,'Trial Blc'!$B$4:U$377,J$2,FALSE),0)</f>
        <v>-384</v>
      </c>
      <c r="K12" s="627">
        <f>IFERROR(VLOOKUP($B12,'Trial Blc'!$B$4:V$377,K$2,FALSE),0)</f>
        <v>-254</v>
      </c>
      <c r="L12" s="627">
        <f>IFERROR(VLOOKUP($B12,'Trial Blc'!$B$4:W$377,L$2,FALSE),0)</f>
        <v>-901</v>
      </c>
      <c r="M12" s="627">
        <f>IFERROR(VLOOKUP($B12,'Trial Blc'!$B$4:X$377,M$2,FALSE),0)</f>
        <v>-863</v>
      </c>
      <c r="N12" s="627">
        <f>IFERROR(VLOOKUP($B12,'Trial Blc'!$B$4:Y$377,N$2,FALSE),0)</f>
        <v>-686</v>
      </c>
      <c r="O12" s="627">
        <f>IFERROR(VLOOKUP($B12,'Trial Blc'!$B$4:Z$377,O$2,FALSE),0)</f>
        <v>-432</v>
      </c>
      <c r="P12" s="627">
        <f>IFERROR(VLOOKUP($B12,'Trial Blc'!$B$4:AA$377,P$2,FALSE),0)</f>
        <v>-34</v>
      </c>
      <c r="Q12" s="627">
        <f t="shared" ref="Q12" si="3">AVERAGE(D12:P12)</f>
        <v>-503.38461538461536</v>
      </c>
    </row>
    <row r="13" spans="1:17" s="821" customFormat="1">
      <c r="A13" s="961" t="s">
        <v>1745</v>
      </c>
      <c r="B13" s="1531"/>
      <c r="C13" s="819"/>
      <c r="D13" s="823"/>
      <c r="E13" s="823"/>
      <c r="F13" s="824"/>
      <c r="G13" s="824"/>
      <c r="H13" s="824"/>
      <c r="I13" s="824"/>
      <c r="J13" s="824"/>
      <c r="K13" s="824"/>
      <c r="L13" s="824"/>
      <c r="M13" s="824"/>
      <c r="N13" s="824"/>
      <c r="O13" s="824"/>
      <c r="P13" s="824"/>
      <c r="Q13" s="825"/>
    </row>
    <row r="14" spans="1:17" s="821" customFormat="1">
      <c r="A14" s="958">
        <v>146</v>
      </c>
      <c r="B14" s="1531">
        <v>2710</v>
      </c>
      <c r="C14" s="819" t="s">
        <v>1605</v>
      </c>
      <c r="D14" s="1670">
        <f>IFERROR(VLOOKUP($B14,'Trial Blc'!$B$4:O$377,D$2,FALSE),0)</f>
        <v>1838443.95</v>
      </c>
      <c r="E14" s="627">
        <f>IFERROR(VLOOKUP($B14,'Trial Blc'!$B$4:P$377,E$2,FALSE),0)</f>
        <v>1858529.27</v>
      </c>
      <c r="F14" s="627">
        <f>IFERROR(VLOOKUP($B14,'Trial Blc'!$B$4:Q$377,F$2,FALSE),0)</f>
        <v>1864271.13</v>
      </c>
      <c r="G14" s="627">
        <f>IFERROR(VLOOKUP($B14,'Trial Blc'!$B$4:R$377,G$2,FALSE),0)</f>
        <v>1794587.1</v>
      </c>
      <c r="H14" s="627">
        <f>IFERROR(VLOOKUP($B14,'Trial Blc'!$B$4:S$377,H$2,FALSE),0)</f>
        <v>1856995.02</v>
      </c>
      <c r="I14" s="627">
        <f>IFERROR(VLOOKUP($B14,'Trial Blc'!$B$4:T$377,I$2,FALSE),0)</f>
        <v>1787109.15</v>
      </c>
      <c r="J14" s="627">
        <f>IFERROR(VLOOKUP($B14,'Trial Blc'!$B$4:U$377,J$2,FALSE),0)</f>
        <v>1878900.43</v>
      </c>
      <c r="K14" s="627">
        <f>IFERROR(VLOOKUP($B14,'Trial Blc'!$B$4:V$377,K$2,FALSE),0)</f>
        <v>1832393.71</v>
      </c>
      <c r="L14" s="627">
        <f>IFERROR(VLOOKUP($B14,'Trial Blc'!$B$4:W$377,L$2,FALSE),0)</f>
        <v>1859720</v>
      </c>
      <c r="M14" s="627">
        <f>IFERROR(VLOOKUP($B14,'Trial Blc'!$B$4:X$377,M$2,FALSE),0)</f>
        <v>1802759.35</v>
      </c>
      <c r="N14" s="627">
        <f>IFERROR(VLOOKUP($B14,'Trial Blc'!$B$4:Y$377,N$2,FALSE),0)</f>
        <v>1891741.56</v>
      </c>
      <c r="O14" s="627">
        <f>IFERROR(VLOOKUP($B14,'Trial Blc'!$B$4:Z$377,O$2,FALSE),0)</f>
        <v>1837238.69</v>
      </c>
      <c r="P14" s="627">
        <f>IFERROR(VLOOKUP($B14,'Trial Blc'!$B$4:AA$377,P$2,FALSE),0)</f>
        <v>1871199.94</v>
      </c>
      <c r="Q14" s="627">
        <f t="shared" ref="Q14" si="4">AVERAGE(D14:P14)</f>
        <v>1844145.3307692308</v>
      </c>
    </row>
    <row r="15" spans="1:17" s="821" customFormat="1">
      <c r="A15" s="961" t="s">
        <v>1746</v>
      </c>
      <c r="B15" s="1531"/>
      <c r="C15" s="819"/>
      <c r="D15" s="823"/>
      <c r="E15" s="823"/>
      <c r="F15" s="824"/>
      <c r="G15" s="824"/>
      <c r="H15" s="824"/>
      <c r="I15" s="824"/>
      <c r="J15" s="824"/>
      <c r="K15" s="824"/>
      <c r="L15" s="824"/>
      <c r="M15" s="824"/>
      <c r="N15" s="824"/>
      <c r="O15" s="824"/>
      <c r="P15" s="824"/>
      <c r="Q15" s="825"/>
    </row>
    <row r="16" spans="1:17" s="821" customFormat="1">
      <c r="A16" s="958">
        <v>151</v>
      </c>
      <c r="B16" s="1531">
        <v>2755</v>
      </c>
      <c r="C16" s="819" t="s">
        <v>1606</v>
      </c>
      <c r="D16" s="1670">
        <f>IFERROR(VLOOKUP($B16,'Trial Blc'!$B$4:O$377,D$2,FALSE),0)</f>
        <v>33974</v>
      </c>
      <c r="E16" s="627">
        <f>IFERROR(VLOOKUP($B16,'Trial Blc'!$B$4:P$377,E$2,FALSE),0)</f>
        <v>33974</v>
      </c>
      <c r="F16" s="627">
        <f>IFERROR(VLOOKUP($B16,'Trial Blc'!$B$4:Q$377,F$2,FALSE),0)</f>
        <v>33974</v>
      </c>
      <c r="G16" s="627">
        <f>IFERROR(VLOOKUP($B16,'Trial Blc'!$B$4:R$377,G$2,FALSE),0)</f>
        <v>33974</v>
      </c>
      <c r="H16" s="627">
        <f>IFERROR(VLOOKUP($B16,'Trial Blc'!$B$4:S$377,H$2,FALSE),0)</f>
        <v>33974</v>
      </c>
      <c r="I16" s="627">
        <f>IFERROR(VLOOKUP($B16,'Trial Blc'!$B$4:T$377,I$2,FALSE),0)</f>
        <v>33974</v>
      </c>
      <c r="J16" s="627">
        <f>IFERROR(VLOOKUP($B16,'Trial Blc'!$B$4:U$377,J$2,FALSE),0)</f>
        <v>33974</v>
      </c>
      <c r="K16" s="627">
        <f>IFERROR(VLOOKUP($B16,'Trial Blc'!$B$4:V$377,K$2,FALSE),0)</f>
        <v>33974</v>
      </c>
      <c r="L16" s="627">
        <f>IFERROR(VLOOKUP($B16,'Trial Blc'!$B$4:W$377,L$2,FALSE),0)</f>
        <v>33974</v>
      </c>
      <c r="M16" s="627">
        <f>IFERROR(VLOOKUP($B16,'Trial Blc'!$B$4:X$377,M$2,FALSE),0)</f>
        <v>33974</v>
      </c>
      <c r="N16" s="627">
        <f>IFERROR(VLOOKUP($B16,'Trial Blc'!$B$4:Y$377,N$2,FALSE),0)</f>
        <v>33974</v>
      </c>
      <c r="O16" s="627">
        <f>IFERROR(VLOOKUP($B16,'Trial Blc'!$B$4:Z$377,O$2,FALSE),0)</f>
        <v>33974</v>
      </c>
      <c r="P16" s="627">
        <f>IFERROR(VLOOKUP($B16,'Trial Blc'!$B$4:AA$377,P$2,FALSE),0)</f>
        <v>32691</v>
      </c>
      <c r="Q16" s="627">
        <f t="shared" ref="Q16" si="5">AVERAGE(D16:P16)</f>
        <v>33875.307692307695</v>
      </c>
    </row>
    <row r="17" spans="1:17" s="821" customFormat="1">
      <c r="A17" s="961" t="s">
        <v>1747</v>
      </c>
      <c r="B17" s="1531"/>
      <c r="C17" s="819"/>
      <c r="D17" s="823"/>
      <c r="E17" s="823"/>
      <c r="F17" s="824"/>
      <c r="G17" s="824"/>
      <c r="H17" s="824"/>
      <c r="I17" s="824"/>
      <c r="J17" s="824"/>
      <c r="K17" s="824"/>
      <c r="L17" s="824"/>
      <c r="M17" s="824"/>
      <c r="N17" s="824"/>
      <c r="O17" s="824"/>
      <c r="P17" s="824"/>
      <c r="Q17" s="825"/>
    </row>
    <row r="18" spans="1:17" s="821" customFormat="1">
      <c r="A18" s="958">
        <v>132</v>
      </c>
      <c r="B18" s="1531">
        <v>2775</v>
      </c>
      <c r="C18" s="819" t="s">
        <v>1607</v>
      </c>
      <c r="D18" s="1670">
        <f>IFERROR(VLOOKUP($B18,'Trial Blc'!$B$4:O$377,D$2,FALSE),0)</f>
        <v>60</v>
      </c>
      <c r="E18" s="627">
        <f>IFERROR(VLOOKUP($B18,'Trial Blc'!$B$4:P$377,E$2,FALSE),0)</f>
        <v>60</v>
      </c>
      <c r="F18" s="627">
        <f>IFERROR(VLOOKUP($B18,'Trial Blc'!$B$4:Q$377,F$2,FALSE),0)</f>
        <v>60</v>
      </c>
      <c r="G18" s="627">
        <f>IFERROR(VLOOKUP($B18,'Trial Blc'!$B$4:R$377,G$2,FALSE),0)</f>
        <v>60</v>
      </c>
      <c r="H18" s="627">
        <f>IFERROR(VLOOKUP($B18,'Trial Blc'!$B$4:S$377,H$2,FALSE),0)</f>
        <v>60</v>
      </c>
      <c r="I18" s="627">
        <f>IFERROR(VLOOKUP($B18,'Trial Blc'!$B$4:T$377,I$2,FALSE),0)</f>
        <v>60</v>
      </c>
      <c r="J18" s="627">
        <f>IFERROR(VLOOKUP($B18,'Trial Blc'!$B$4:U$377,J$2,FALSE),0)</f>
        <v>60</v>
      </c>
      <c r="K18" s="627">
        <f>IFERROR(VLOOKUP($B18,'Trial Blc'!$B$4:V$377,K$2,FALSE),0)</f>
        <v>60</v>
      </c>
      <c r="L18" s="627">
        <f>IFERROR(VLOOKUP($B18,'Trial Blc'!$B$4:W$377,L$2,FALSE),0)</f>
        <v>60</v>
      </c>
      <c r="M18" s="627">
        <f>IFERROR(VLOOKUP($B18,'Trial Blc'!$B$4:X$377,M$2,FALSE),0)</f>
        <v>60</v>
      </c>
      <c r="N18" s="627">
        <f>IFERROR(VLOOKUP($B18,'Trial Blc'!$B$4:Y$377,N$2,FALSE),0)</f>
        <v>60</v>
      </c>
      <c r="O18" s="627">
        <f>IFERROR(VLOOKUP($B18,'Trial Blc'!$B$4:Z$377,O$2,FALSE),0)</f>
        <v>60</v>
      </c>
      <c r="P18" s="627">
        <f>IFERROR(VLOOKUP($B18,'Trial Blc'!$B$4:AA$377,P$2,FALSE),0)</f>
        <v>60</v>
      </c>
      <c r="Q18" s="627">
        <f t="shared" ref="Q18" si="6">AVERAGE(D18:P18)</f>
        <v>60</v>
      </c>
    </row>
    <row r="19" spans="1:17" s="821" customFormat="1">
      <c r="A19" s="958"/>
      <c r="B19" s="1531"/>
      <c r="C19" s="819"/>
      <c r="D19" s="823"/>
      <c r="E19" s="823"/>
      <c r="F19" s="824"/>
      <c r="G19" s="824"/>
      <c r="H19" s="824"/>
      <c r="I19" s="824"/>
      <c r="J19" s="824"/>
      <c r="K19" s="824"/>
      <c r="L19" s="824"/>
      <c r="M19" s="824"/>
      <c r="N19" s="824"/>
      <c r="O19" s="824"/>
      <c r="P19" s="824"/>
      <c r="Q19" s="825"/>
    </row>
    <row r="20" spans="1:17" s="821" customFormat="1">
      <c r="A20" s="958">
        <v>162</v>
      </c>
      <c r="B20" s="1531">
        <v>2785</v>
      </c>
      <c r="C20" s="819" t="s">
        <v>1608</v>
      </c>
      <c r="D20" s="627"/>
      <c r="E20" s="627"/>
      <c r="F20" s="627"/>
      <c r="G20" s="627"/>
      <c r="H20" s="627"/>
      <c r="I20" s="627"/>
      <c r="J20" s="627"/>
      <c r="K20" s="627"/>
      <c r="L20" s="627"/>
      <c r="M20" s="627"/>
      <c r="N20" s="627"/>
      <c r="O20" s="627"/>
      <c r="P20" s="627"/>
      <c r="Q20" s="630" t="e">
        <f t="shared" ref="Q20:Q25" si="7">AVERAGE(D20:P20)</f>
        <v>#DIV/0!</v>
      </c>
    </row>
    <row r="21" spans="1:17" s="821" customFormat="1">
      <c r="A21" s="958"/>
      <c r="B21" s="1531">
        <v>2795</v>
      </c>
      <c r="C21" s="819" t="s">
        <v>1815</v>
      </c>
      <c r="D21" s="627"/>
      <c r="E21" s="627"/>
      <c r="F21" s="627"/>
      <c r="G21" s="627"/>
      <c r="H21" s="627"/>
      <c r="I21" s="627"/>
      <c r="J21" s="627"/>
      <c r="K21" s="627"/>
      <c r="L21" s="627"/>
      <c r="M21" s="627"/>
      <c r="N21" s="627"/>
      <c r="O21" s="627"/>
      <c r="P21" s="627"/>
      <c r="Q21" s="630" t="e">
        <f t="shared" si="7"/>
        <v>#DIV/0!</v>
      </c>
    </row>
    <row r="22" spans="1:17" s="963" customFormat="1" ht="12" thickBot="1">
      <c r="A22" s="959"/>
      <c r="B22" s="1528"/>
      <c r="C22" s="954" t="s">
        <v>1755</v>
      </c>
      <c r="D22" s="1675">
        <f>SUM(D9:D21)</f>
        <v>2134034.48</v>
      </c>
      <c r="E22" s="966">
        <f>SUM(E9:E21)</f>
        <v>2129900.06</v>
      </c>
      <c r="F22" s="966">
        <f t="shared" ref="F22:Q22" si="8">SUM(F9:F21)</f>
        <v>2184811.0299999998</v>
      </c>
      <c r="G22" s="966">
        <f t="shared" si="8"/>
        <v>2127888.9500000002</v>
      </c>
      <c r="H22" s="966">
        <f t="shared" si="8"/>
        <v>2184020.0499999998</v>
      </c>
      <c r="I22" s="966">
        <f t="shared" si="8"/>
        <v>2181892.92</v>
      </c>
      <c r="J22" s="966">
        <f t="shared" si="8"/>
        <v>2216058.15</v>
      </c>
      <c r="K22" s="966">
        <f t="shared" si="8"/>
        <v>2144702.96</v>
      </c>
      <c r="L22" s="966">
        <f t="shared" si="8"/>
        <v>2217294.0099999998</v>
      </c>
      <c r="M22" s="966">
        <f t="shared" si="8"/>
        <v>2238540.9300000002</v>
      </c>
      <c r="N22" s="966">
        <f t="shared" si="8"/>
        <v>2291112.0499999998</v>
      </c>
      <c r="O22" s="966">
        <f t="shared" si="8"/>
        <v>2310417.62</v>
      </c>
      <c r="P22" s="966">
        <f t="shared" si="8"/>
        <v>2299443.3199999998</v>
      </c>
      <c r="Q22" s="966" t="e">
        <f t="shared" si="8"/>
        <v>#DIV/0!</v>
      </c>
    </row>
    <row r="23" spans="1:17" s="963" customFormat="1" ht="12" thickTop="1">
      <c r="A23" s="959"/>
      <c r="B23" s="1528"/>
      <c r="C23" s="954"/>
      <c r="D23" s="965"/>
      <c r="E23" s="965"/>
      <c r="F23" s="965"/>
      <c r="G23" s="965"/>
      <c r="H23" s="965"/>
      <c r="I23" s="965"/>
      <c r="J23" s="965"/>
      <c r="K23" s="965"/>
      <c r="L23" s="965"/>
      <c r="M23" s="965"/>
      <c r="N23" s="965"/>
      <c r="O23" s="965"/>
      <c r="P23" s="965"/>
      <c r="Q23" s="965"/>
    </row>
    <row r="24" spans="1:17" s="821" customFormat="1">
      <c r="A24" s="961" t="s">
        <v>1748</v>
      </c>
      <c r="B24" s="1531"/>
      <c r="C24" s="819"/>
      <c r="D24" s="823"/>
      <c r="E24" s="823"/>
      <c r="F24" s="824"/>
      <c r="G24" s="824"/>
      <c r="H24" s="824"/>
      <c r="I24" s="824"/>
      <c r="J24" s="824"/>
      <c r="K24" s="824"/>
      <c r="L24" s="824"/>
      <c r="M24" s="824"/>
      <c r="N24" s="824"/>
      <c r="O24" s="824"/>
      <c r="P24" s="824"/>
      <c r="Q24" s="825"/>
    </row>
    <row r="25" spans="1:17" s="821" customFormat="1">
      <c r="A25" s="958">
        <v>183</v>
      </c>
      <c r="B25" s="1531">
        <v>2856</v>
      </c>
      <c r="C25" s="819" t="s">
        <v>1609</v>
      </c>
      <c r="D25" s="627"/>
      <c r="E25" s="627"/>
      <c r="F25" s="627"/>
      <c r="G25" s="627"/>
      <c r="H25" s="627"/>
      <c r="I25" s="627"/>
      <c r="J25" s="627"/>
      <c r="K25" s="627"/>
      <c r="L25" s="627"/>
      <c r="M25" s="627"/>
      <c r="N25" s="627"/>
      <c r="O25" s="627"/>
      <c r="P25" s="627"/>
      <c r="Q25" s="630" t="e">
        <f t="shared" si="7"/>
        <v>#DIV/0!</v>
      </c>
    </row>
    <row r="26" spans="1:17" s="821" customFormat="1">
      <c r="A26" s="958"/>
      <c r="B26" s="1531"/>
      <c r="C26" s="819"/>
      <c r="D26" s="823"/>
      <c r="E26" s="823"/>
      <c r="F26" s="824"/>
      <c r="G26" s="824"/>
      <c r="H26" s="824"/>
      <c r="I26" s="824"/>
      <c r="J26" s="824"/>
      <c r="K26" s="824"/>
      <c r="L26" s="824"/>
      <c r="M26" s="824"/>
      <c r="N26" s="824"/>
      <c r="O26" s="824"/>
      <c r="P26" s="824"/>
      <c r="Q26" s="630"/>
    </row>
    <row r="27" spans="1:17" s="821" customFormat="1">
      <c r="A27" s="958"/>
      <c r="B27" s="1531"/>
      <c r="C27" s="819"/>
      <c r="D27" s="823"/>
      <c r="E27" s="823"/>
      <c r="F27" s="824"/>
      <c r="G27" s="824"/>
      <c r="H27" s="824"/>
      <c r="I27" s="824"/>
      <c r="J27" s="824"/>
      <c r="K27" s="824"/>
      <c r="L27" s="824"/>
      <c r="M27" s="824"/>
      <c r="N27" s="824"/>
      <c r="O27" s="824"/>
      <c r="P27" s="824"/>
      <c r="Q27" s="630"/>
    </row>
    <row r="28" spans="1:17" s="821" customFormat="1">
      <c r="A28" s="961" t="s">
        <v>1749</v>
      </c>
      <c r="B28" s="1531"/>
      <c r="C28" s="819"/>
      <c r="D28" s="823"/>
      <c r="E28" s="823"/>
      <c r="F28" s="824"/>
      <c r="G28" s="824"/>
      <c r="H28" s="824"/>
      <c r="I28" s="824"/>
      <c r="J28" s="824"/>
      <c r="K28" s="824"/>
      <c r="L28" s="824"/>
      <c r="M28" s="824"/>
      <c r="N28" s="824"/>
      <c r="O28" s="824"/>
      <c r="P28" s="824"/>
      <c r="Q28" s="825"/>
    </row>
    <row r="29" spans="1:17">
      <c r="A29" s="958">
        <v>186.1</v>
      </c>
      <c r="B29" s="1531">
        <v>2905</v>
      </c>
      <c r="C29" s="819" t="s">
        <v>1590</v>
      </c>
      <c r="D29" s="627">
        <f>IFERROR(VLOOKUP($B29,'Trial Blc'!$B$4:O$377,D$2,FALSE),0)</f>
        <v>0</v>
      </c>
      <c r="E29" s="627">
        <f>IFERROR(VLOOKUP($B29,'Trial Blc'!$B$4:P$377,E$2,FALSE),0)</f>
        <v>0</v>
      </c>
      <c r="F29" s="627">
        <f>IFERROR(VLOOKUP($B29,'Trial Blc'!$B$4:Q$377,F$2,FALSE),0)</f>
        <v>0</v>
      </c>
      <c r="G29" s="627">
        <f>IFERROR(VLOOKUP($B29,'Trial Blc'!$B$4:R$377,G$2,FALSE),0)</f>
        <v>0</v>
      </c>
      <c r="H29" s="627">
        <f>IFERROR(VLOOKUP($B29,'Trial Blc'!$B$4:S$377,H$2,FALSE),0)</f>
        <v>0</v>
      </c>
      <c r="I29" s="627">
        <f>IFERROR(VLOOKUP($B29,'Trial Blc'!$B$4:T$377,I$2,FALSE),0)</f>
        <v>0</v>
      </c>
      <c r="J29" s="627">
        <f>IFERROR(VLOOKUP($B29,'Trial Blc'!$B$4:U$377,J$2,FALSE),0)</f>
        <v>0</v>
      </c>
      <c r="K29" s="627">
        <f>IFERROR(VLOOKUP($B29,'Trial Blc'!$B$4:V$377,K$2,FALSE),0)</f>
        <v>0</v>
      </c>
      <c r="L29" s="627">
        <f>IFERROR(VLOOKUP($B29,'Trial Blc'!$B$4:W$377,L$2,FALSE),0)</f>
        <v>0</v>
      </c>
      <c r="M29" s="627">
        <f>IFERROR(VLOOKUP($B29,'Trial Blc'!$B$4:X$377,M$2,FALSE),0)</f>
        <v>0</v>
      </c>
      <c r="N29" s="627">
        <f>IFERROR(VLOOKUP($B29,'Trial Blc'!$B$4:Y$377,N$2,FALSE),0)</f>
        <v>0</v>
      </c>
      <c r="O29" s="627">
        <f>IFERROR(VLOOKUP($B29,'Trial Blc'!$B$4:Z$377,O$2,FALSE),0)</f>
        <v>0</v>
      </c>
      <c r="P29" s="627">
        <f>IFERROR(VLOOKUP($B29,'Trial Blc'!$B$4:AA$377,P$2,FALSE),0)</f>
        <v>0</v>
      </c>
      <c r="Q29" s="627">
        <f t="shared" ref="Q29:Q38" si="9">AVERAGE(D29:P29)</f>
        <v>0</v>
      </c>
    </row>
    <row r="30" spans="1:17" ht="12.75" customHeight="1">
      <c r="A30" s="959"/>
      <c r="B30" s="1531">
        <v>2906</v>
      </c>
      <c r="C30" s="111" t="s">
        <v>1579</v>
      </c>
      <c r="D30" s="627">
        <f>IFERROR(VLOOKUP($B30,'Trial Blc'!$B$4:O$377,D$2,FALSE),0)</f>
        <v>39157.81</v>
      </c>
      <c r="E30" s="627">
        <f>IFERROR(VLOOKUP($B30,'Trial Blc'!$B$4:P$377,E$2,FALSE),0)</f>
        <v>39157.81</v>
      </c>
      <c r="F30" s="627">
        <f>IFERROR(VLOOKUP($B30,'Trial Blc'!$B$4:Q$377,F$2,FALSE),0)</f>
        <v>39157.81</v>
      </c>
      <c r="G30" s="627">
        <f>IFERROR(VLOOKUP($B30,'Trial Blc'!$B$4:R$377,G$2,FALSE),0)</f>
        <v>39157.81</v>
      </c>
      <c r="H30" s="627">
        <f>IFERROR(VLOOKUP($B30,'Trial Blc'!$B$4:S$377,H$2,FALSE),0)</f>
        <v>39157.81</v>
      </c>
      <c r="I30" s="627">
        <f>IFERROR(VLOOKUP($B30,'Trial Blc'!$B$4:T$377,I$2,FALSE),0)</f>
        <v>39157.81</v>
      </c>
      <c r="J30" s="627">
        <f>IFERROR(VLOOKUP($B30,'Trial Blc'!$B$4:U$377,J$2,FALSE),0)</f>
        <v>39157.81</v>
      </c>
      <c r="K30" s="627">
        <f>IFERROR(VLOOKUP($B30,'Trial Blc'!$B$4:V$377,K$2,FALSE),0)</f>
        <v>39157.81</v>
      </c>
      <c r="L30" s="627">
        <f>IFERROR(VLOOKUP($B30,'Trial Blc'!$B$4:W$377,L$2,FALSE),0)</f>
        <v>39157.81</v>
      </c>
      <c r="M30" s="627">
        <f>IFERROR(VLOOKUP($B30,'Trial Blc'!$B$4:X$377,M$2,FALSE),0)</f>
        <v>39157.81</v>
      </c>
      <c r="N30" s="627">
        <f>IFERROR(VLOOKUP($B30,'Trial Blc'!$B$4:Y$377,N$2,FALSE),0)</f>
        <v>39157.81</v>
      </c>
      <c r="O30" s="627">
        <f>IFERROR(VLOOKUP($B30,'Trial Blc'!$B$4:Z$377,O$2,FALSE),0)</f>
        <v>39157.81</v>
      </c>
      <c r="P30" s="627">
        <f>IFERROR(VLOOKUP($B30,'Trial Blc'!$B$4:AA$377,P$2,FALSE),0)</f>
        <v>39157.81</v>
      </c>
      <c r="Q30" s="627">
        <f t="shared" si="9"/>
        <v>39157.81</v>
      </c>
    </row>
    <row r="31" spans="1:17" ht="12.75" customHeight="1">
      <c r="A31" s="958"/>
      <c r="B31" s="1531">
        <v>2907</v>
      </c>
      <c r="C31" s="111" t="s">
        <v>1580</v>
      </c>
      <c r="D31" s="627">
        <f>IFERROR(VLOOKUP($B31,'Trial Blc'!$B$4:O$377,D$2,FALSE),0)</f>
        <v>24420.5</v>
      </c>
      <c r="E31" s="627">
        <f>IFERROR(VLOOKUP($B31,'Trial Blc'!$B$4:P$377,E$2,FALSE),0)</f>
        <v>24420.5</v>
      </c>
      <c r="F31" s="627">
        <f>IFERROR(VLOOKUP($B31,'Trial Blc'!$B$4:Q$377,F$2,FALSE),0)</f>
        <v>24420.5</v>
      </c>
      <c r="G31" s="627">
        <f>IFERROR(VLOOKUP($B31,'Trial Blc'!$B$4:R$377,G$2,FALSE),0)</f>
        <v>24420.5</v>
      </c>
      <c r="H31" s="627">
        <f>IFERROR(VLOOKUP($B31,'Trial Blc'!$B$4:S$377,H$2,FALSE),0)</f>
        <v>24420.5</v>
      </c>
      <c r="I31" s="627">
        <f>IFERROR(VLOOKUP($B31,'Trial Blc'!$B$4:T$377,I$2,FALSE),0)</f>
        <v>24420.5</v>
      </c>
      <c r="J31" s="627">
        <f>IFERROR(VLOOKUP($B31,'Trial Blc'!$B$4:U$377,J$2,FALSE),0)</f>
        <v>24420.5</v>
      </c>
      <c r="K31" s="627">
        <f>IFERROR(VLOOKUP($B31,'Trial Blc'!$B$4:V$377,K$2,FALSE),0)</f>
        <v>24420.5</v>
      </c>
      <c r="L31" s="627">
        <f>IFERROR(VLOOKUP($B31,'Trial Blc'!$B$4:W$377,L$2,FALSE),0)</f>
        <v>24420.5</v>
      </c>
      <c r="M31" s="627">
        <f>IFERROR(VLOOKUP($B31,'Trial Blc'!$B$4:X$377,M$2,FALSE),0)</f>
        <v>24420.5</v>
      </c>
      <c r="N31" s="627">
        <f>IFERROR(VLOOKUP($B31,'Trial Blc'!$B$4:Y$377,N$2,FALSE),0)</f>
        <v>24420.5</v>
      </c>
      <c r="O31" s="627">
        <f>IFERROR(VLOOKUP($B31,'Trial Blc'!$B$4:Z$377,O$2,FALSE),0)</f>
        <v>24420.5</v>
      </c>
      <c r="P31" s="627">
        <f>IFERROR(VLOOKUP($B31,'Trial Blc'!$B$4:AA$377,P$2,FALSE),0)</f>
        <v>24420.5</v>
      </c>
      <c r="Q31" s="627">
        <f t="shared" si="9"/>
        <v>24420.5</v>
      </c>
    </row>
    <row r="32" spans="1:17" ht="12.75" customHeight="1">
      <c r="A32" s="958"/>
      <c r="B32" s="1531">
        <v>2908</v>
      </c>
      <c r="C32" s="111" t="s">
        <v>1753</v>
      </c>
      <c r="D32" s="627">
        <f>IFERROR(VLOOKUP($B32,'Trial Blc'!$B$4:O$377,D$2,FALSE),0)</f>
        <v>1663.49</v>
      </c>
      <c r="E32" s="627">
        <f>IFERROR(VLOOKUP($B32,'Trial Blc'!$B$4:P$377,E$2,FALSE),0)</f>
        <v>1663.49</v>
      </c>
      <c r="F32" s="627">
        <f>IFERROR(VLOOKUP($B32,'Trial Blc'!$B$4:Q$377,F$2,FALSE),0)</f>
        <v>1663.49</v>
      </c>
      <c r="G32" s="627">
        <f>IFERROR(VLOOKUP($B32,'Trial Blc'!$B$4:R$377,G$2,FALSE),0)</f>
        <v>1663.49</v>
      </c>
      <c r="H32" s="627">
        <f>IFERROR(VLOOKUP($B32,'Trial Blc'!$B$4:S$377,H$2,FALSE),0)</f>
        <v>1663.49</v>
      </c>
      <c r="I32" s="627">
        <f>IFERROR(VLOOKUP($B32,'Trial Blc'!$B$4:T$377,I$2,FALSE),0)</f>
        <v>1663.49</v>
      </c>
      <c r="J32" s="627">
        <f>IFERROR(VLOOKUP($B32,'Trial Blc'!$B$4:U$377,J$2,FALSE),0)</f>
        <v>1663.49</v>
      </c>
      <c r="K32" s="627">
        <f>IFERROR(VLOOKUP($B32,'Trial Blc'!$B$4:V$377,K$2,FALSE),0)</f>
        <v>1663.49</v>
      </c>
      <c r="L32" s="627">
        <f>IFERROR(VLOOKUP($B32,'Trial Blc'!$B$4:W$377,L$2,FALSE),0)</f>
        <v>1663.49</v>
      </c>
      <c r="M32" s="627">
        <f>IFERROR(VLOOKUP($B32,'Trial Blc'!$B$4:X$377,M$2,FALSE),0)</f>
        <v>1663.49</v>
      </c>
      <c r="N32" s="627">
        <f>IFERROR(VLOOKUP($B32,'Trial Blc'!$B$4:Y$377,N$2,FALSE),0)</f>
        <v>1663.49</v>
      </c>
      <c r="O32" s="627">
        <f>IFERROR(VLOOKUP($B32,'Trial Blc'!$B$4:Z$377,O$2,FALSE),0)</f>
        <v>1663.49</v>
      </c>
      <c r="P32" s="627">
        <f>IFERROR(VLOOKUP($B32,'Trial Blc'!$B$4:AA$377,P$2,FALSE),0)</f>
        <v>1663.49</v>
      </c>
      <c r="Q32" s="627">
        <f t="shared" si="9"/>
        <v>1663.4900000000005</v>
      </c>
    </row>
    <row r="33" spans="1:19" ht="12.75" customHeight="1">
      <c r="A33" s="960"/>
      <c r="B33" s="1532">
        <v>2909</v>
      </c>
      <c r="C33" s="113" t="s">
        <v>1581</v>
      </c>
      <c r="D33" s="627">
        <f>IFERROR(VLOOKUP($B33,'Trial Blc'!$B$4:O$377,D$2,FALSE),0)</f>
        <v>125.24</v>
      </c>
      <c r="E33" s="627">
        <f>IFERROR(VLOOKUP($B33,'Trial Blc'!$B$4:P$377,E$2,FALSE),0)</f>
        <v>125.24</v>
      </c>
      <c r="F33" s="627">
        <f>IFERROR(VLOOKUP($B33,'Trial Blc'!$B$4:Q$377,F$2,FALSE),0)</f>
        <v>125.24</v>
      </c>
      <c r="G33" s="627">
        <f>IFERROR(VLOOKUP($B33,'Trial Blc'!$B$4:R$377,G$2,FALSE),0)</f>
        <v>125.24</v>
      </c>
      <c r="H33" s="627">
        <f>IFERROR(VLOOKUP($B33,'Trial Blc'!$B$4:S$377,H$2,FALSE),0)</f>
        <v>125.24</v>
      </c>
      <c r="I33" s="627">
        <f>IFERROR(VLOOKUP($B33,'Trial Blc'!$B$4:T$377,I$2,FALSE),0)</f>
        <v>125.24</v>
      </c>
      <c r="J33" s="627">
        <f>IFERROR(VLOOKUP($B33,'Trial Blc'!$B$4:U$377,J$2,FALSE),0)</f>
        <v>125.24</v>
      </c>
      <c r="K33" s="627">
        <f>IFERROR(VLOOKUP($B33,'Trial Blc'!$B$4:V$377,K$2,FALSE),0)</f>
        <v>125.24</v>
      </c>
      <c r="L33" s="627">
        <f>IFERROR(VLOOKUP($B33,'Trial Blc'!$B$4:W$377,L$2,FALSE),0)</f>
        <v>125.24</v>
      </c>
      <c r="M33" s="627">
        <f>IFERROR(VLOOKUP($B33,'Trial Blc'!$B$4:X$377,M$2,FALSE),0)</f>
        <v>125.24</v>
      </c>
      <c r="N33" s="627">
        <f>IFERROR(VLOOKUP($B33,'Trial Blc'!$B$4:Y$377,N$2,FALSE),0)</f>
        <v>125.24</v>
      </c>
      <c r="O33" s="627">
        <f>IFERROR(VLOOKUP($B33,'Trial Blc'!$B$4:Z$377,O$2,FALSE),0)</f>
        <v>125.24</v>
      </c>
      <c r="P33" s="627">
        <f>IFERROR(VLOOKUP($B33,'Trial Blc'!$B$4:AA$377,P$2,FALSE),0)</f>
        <v>125.24</v>
      </c>
      <c r="Q33" s="627">
        <f t="shared" si="9"/>
        <v>125.24</v>
      </c>
    </row>
    <row r="34" spans="1:19" ht="12.75" customHeight="1">
      <c r="A34" s="960"/>
      <c r="B34" s="1532">
        <v>2910</v>
      </c>
      <c r="C34" s="113" t="s">
        <v>1582</v>
      </c>
      <c r="D34" s="627">
        <f>IFERROR(VLOOKUP($B34,'Trial Blc'!$B$4:O$377,D$2,FALSE),0)</f>
        <v>28113.48</v>
      </c>
      <c r="E34" s="627">
        <f>IFERROR(VLOOKUP($B34,'Trial Blc'!$B$4:P$377,E$2,FALSE),0)</f>
        <v>28113.48</v>
      </c>
      <c r="F34" s="627">
        <f>IFERROR(VLOOKUP($B34,'Trial Blc'!$B$4:Q$377,F$2,FALSE),0)</f>
        <v>28113.48</v>
      </c>
      <c r="G34" s="627">
        <f>IFERROR(VLOOKUP($B34,'Trial Blc'!$B$4:R$377,G$2,FALSE),0)</f>
        <v>28113.48</v>
      </c>
      <c r="H34" s="627">
        <f>IFERROR(VLOOKUP($B34,'Trial Blc'!$B$4:S$377,H$2,FALSE),0)</f>
        <v>28113.48</v>
      </c>
      <c r="I34" s="627">
        <f>IFERROR(VLOOKUP($B34,'Trial Blc'!$B$4:T$377,I$2,FALSE),0)</f>
        <v>28113.48</v>
      </c>
      <c r="J34" s="627">
        <f>IFERROR(VLOOKUP($B34,'Trial Blc'!$B$4:U$377,J$2,FALSE),0)</f>
        <v>28113.48</v>
      </c>
      <c r="K34" s="627">
        <f>IFERROR(VLOOKUP($B34,'Trial Blc'!$B$4:V$377,K$2,FALSE),0)</f>
        <v>28113.48</v>
      </c>
      <c r="L34" s="627">
        <f>IFERROR(VLOOKUP($B34,'Trial Blc'!$B$4:W$377,L$2,FALSE),0)</f>
        <v>28113.48</v>
      </c>
      <c r="M34" s="627">
        <f>IFERROR(VLOOKUP($B34,'Trial Blc'!$B$4:X$377,M$2,FALSE),0)</f>
        <v>28113.48</v>
      </c>
      <c r="N34" s="627">
        <f>IFERROR(VLOOKUP($B34,'Trial Blc'!$B$4:Y$377,N$2,FALSE),0)</f>
        <v>28113.48</v>
      </c>
      <c r="O34" s="627">
        <f>IFERROR(VLOOKUP($B34,'Trial Blc'!$B$4:Z$377,O$2,FALSE),0)</f>
        <v>28113.48</v>
      </c>
      <c r="P34" s="627">
        <f>IFERROR(VLOOKUP($B34,'Trial Blc'!$B$4:AA$377,P$2,FALSE),0)</f>
        <v>28113.48</v>
      </c>
      <c r="Q34" s="627">
        <f t="shared" si="9"/>
        <v>28113.48</v>
      </c>
      <c r="S34" s="820"/>
    </row>
    <row r="35" spans="1:19">
      <c r="A35" s="960"/>
      <c r="B35" s="1561">
        <v>2914</v>
      </c>
      <c r="C35" s="21" t="s">
        <v>1583</v>
      </c>
      <c r="D35" s="627">
        <f>IFERROR(VLOOKUP($B35,'Trial Blc'!$B$4:O$377,D$2,FALSE),0)</f>
        <v>-93480.52</v>
      </c>
      <c r="E35" s="627">
        <f>IFERROR(VLOOKUP($B35,'Trial Blc'!$B$4:P$377,E$2,FALSE),0)</f>
        <v>-93480.52</v>
      </c>
      <c r="F35" s="627">
        <f>IFERROR(VLOOKUP($B35,'Trial Blc'!$B$4:Q$377,F$2,FALSE),0)</f>
        <v>-93480.52</v>
      </c>
      <c r="G35" s="627">
        <f>IFERROR(VLOOKUP($B35,'Trial Blc'!$B$4:R$377,G$2,FALSE),0)</f>
        <v>-93480.52</v>
      </c>
      <c r="H35" s="627">
        <f>IFERROR(VLOOKUP($B35,'Trial Blc'!$B$4:S$377,H$2,FALSE),0)</f>
        <v>-93480.52</v>
      </c>
      <c r="I35" s="627">
        <f>IFERROR(VLOOKUP($B35,'Trial Blc'!$B$4:T$377,I$2,FALSE),0)</f>
        <v>-93480.52</v>
      </c>
      <c r="J35" s="627">
        <f>IFERROR(VLOOKUP($B35,'Trial Blc'!$B$4:U$377,J$2,FALSE),0)</f>
        <v>-93480.52</v>
      </c>
      <c r="K35" s="627">
        <f>IFERROR(VLOOKUP($B35,'Trial Blc'!$B$4:V$377,K$2,FALSE),0)</f>
        <v>-93480.52</v>
      </c>
      <c r="L35" s="627">
        <f>IFERROR(VLOOKUP($B35,'Trial Blc'!$B$4:W$377,L$2,FALSE),0)</f>
        <v>-93480.52</v>
      </c>
      <c r="M35" s="627">
        <f>IFERROR(VLOOKUP($B35,'Trial Blc'!$B$4:X$377,M$2,FALSE),0)</f>
        <v>-93480.52</v>
      </c>
      <c r="N35" s="627">
        <f>IFERROR(VLOOKUP($B35,'Trial Blc'!$B$4:Y$377,N$2,FALSE),0)</f>
        <v>-93480.52</v>
      </c>
      <c r="O35" s="627">
        <f>IFERROR(VLOOKUP($B35,'Trial Blc'!$B$4:Z$377,O$2,FALSE),0)</f>
        <v>-93480.52</v>
      </c>
      <c r="P35" s="627">
        <f>IFERROR(VLOOKUP($B35,'Trial Blc'!$B$4:AA$377,P$2,FALSE),0)</f>
        <v>-93480.52</v>
      </c>
      <c r="Q35" s="627">
        <f t="shared" si="9"/>
        <v>-93480.52</v>
      </c>
      <c r="S35" s="820"/>
    </row>
    <row r="36" spans="1:19">
      <c r="A36" s="960"/>
      <c r="B36" s="1561">
        <v>2915</v>
      </c>
      <c r="C36" s="21" t="s">
        <v>1584</v>
      </c>
      <c r="D36" s="627">
        <f>IFERROR(VLOOKUP($B36,'Trial Blc'!$B$4:O$377,D$2,FALSE),0)</f>
        <v>82038.259999999995</v>
      </c>
      <c r="E36" s="627">
        <f>IFERROR(VLOOKUP($B36,'Trial Blc'!$B$4:P$377,E$2,FALSE),0)</f>
        <v>82036.02</v>
      </c>
      <c r="F36" s="627">
        <f>IFERROR(VLOOKUP($B36,'Trial Blc'!$B$4:Q$377,F$2,FALSE),0)</f>
        <v>82031.91</v>
      </c>
      <c r="G36" s="627">
        <f>IFERROR(VLOOKUP($B36,'Trial Blc'!$B$4:R$377,G$2,FALSE),0)</f>
        <v>82021.58</v>
      </c>
      <c r="H36" s="627">
        <f>IFERROR(VLOOKUP($B36,'Trial Blc'!$B$4:S$377,H$2,FALSE),0)</f>
        <v>82019.240000000005</v>
      </c>
      <c r="I36" s="627">
        <f>IFERROR(VLOOKUP($B36,'Trial Blc'!$B$4:T$377,I$2,FALSE),0)</f>
        <v>82015.05</v>
      </c>
      <c r="J36" s="627">
        <f>IFERROR(VLOOKUP($B36,'Trial Blc'!$B$4:U$377,J$2,FALSE),0)</f>
        <v>82012.899999999994</v>
      </c>
      <c r="K36" s="627">
        <f>IFERROR(VLOOKUP($B36,'Trial Blc'!$B$4:V$377,K$2,FALSE),0)</f>
        <v>82011.490000000005</v>
      </c>
      <c r="L36" s="627">
        <f>IFERROR(VLOOKUP($B36,'Trial Blc'!$B$4:W$377,L$2,FALSE),0)</f>
        <v>82007.600000000006</v>
      </c>
      <c r="M36" s="627">
        <f>IFERROR(VLOOKUP($B36,'Trial Blc'!$B$4:X$377,M$2,FALSE),0)</f>
        <v>82005.2</v>
      </c>
      <c r="N36" s="627">
        <f>IFERROR(VLOOKUP($B36,'Trial Blc'!$B$4:Y$377,N$2,FALSE),0)</f>
        <v>82003.88</v>
      </c>
      <c r="O36" s="627">
        <f>IFERROR(VLOOKUP($B36,'Trial Blc'!$B$4:Z$377,O$2,FALSE),0)</f>
        <v>81999.839999999997</v>
      </c>
      <c r="P36" s="627">
        <f>IFERROR(VLOOKUP($B36,'Trial Blc'!$B$4:AA$377,P$2,FALSE),0)</f>
        <v>81998.679999999993</v>
      </c>
      <c r="Q36" s="627">
        <f t="shared" si="9"/>
        <v>82015.511538461535</v>
      </c>
      <c r="S36" s="820"/>
    </row>
    <row r="37" spans="1:19">
      <c r="A37" s="960"/>
      <c r="B37" s="1561">
        <v>2920</v>
      </c>
      <c r="C37" s="21" t="s">
        <v>1585</v>
      </c>
      <c r="D37" s="627">
        <f>IFERROR(VLOOKUP($B37,'Trial Blc'!$B$4:O$377,D$2,FALSE),0)</f>
        <v>102328.6</v>
      </c>
      <c r="E37" s="627">
        <f>IFERROR(VLOOKUP($B37,'Trial Blc'!$B$4:P$377,E$2,FALSE),0)</f>
        <v>102328.6</v>
      </c>
      <c r="F37" s="627">
        <f>IFERROR(VLOOKUP($B37,'Trial Blc'!$B$4:Q$377,F$2,FALSE),0)</f>
        <v>102328.6</v>
      </c>
      <c r="G37" s="627">
        <f>IFERROR(VLOOKUP($B37,'Trial Blc'!$B$4:R$377,G$2,FALSE),0)</f>
        <v>102328.6</v>
      </c>
      <c r="H37" s="627">
        <f>IFERROR(VLOOKUP($B37,'Trial Blc'!$B$4:S$377,H$2,FALSE),0)</f>
        <v>102328.6</v>
      </c>
      <c r="I37" s="627">
        <f>IFERROR(VLOOKUP($B37,'Trial Blc'!$B$4:T$377,I$2,FALSE),0)</f>
        <v>102328.6</v>
      </c>
      <c r="J37" s="627">
        <f>IFERROR(VLOOKUP($B37,'Trial Blc'!$B$4:U$377,J$2,FALSE),0)</f>
        <v>102328.6</v>
      </c>
      <c r="K37" s="627">
        <f>IFERROR(VLOOKUP($B37,'Trial Blc'!$B$4:V$377,K$2,FALSE),0)</f>
        <v>102328.6</v>
      </c>
      <c r="L37" s="627">
        <f>IFERROR(VLOOKUP($B37,'Trial Blc'!$B$4:W$377,L$2,FALSE),0)</f>
        <v>102328.6</v>
      </c>
      <c r="M37" s="627">
        <f>IFERROR(VLOOKUP($B37,'Trial Blc'!$B$4:X$377,M$2,FALSE),0)</f>
        <v>102328.6</v>
      </c>
      <c r="N37" s="627">
        <f>IFERROR(VLOOKUP($B37,'Trial Blc'!$B$4:Y$377,N$2,FALSE),0)</f>
        <v>102328.6</v>
      </c>
      <c r="O37" s="627">
        <f>IFERROR(VLOOKUP($B37,'Trial Blc'!$B$4:Z$377,O$2,FALSE),0)</f>
        <v>102328.6</v>
      </c>
      <c r="P37" s="627">
        <f>IFERROR(VLOOKUP($B37,'Trial Blc'!$B$4:AA$377,P$2,FALSE),0)</f>
        <v>102328.6</v>
      </c>
      <c r="Q37" s="627">
        <f t="shared" si="9"/>
        <v>102328.6</v>
      </c>
    </row>
    <row r="38" spans="1:19">
      <c r="A38" s="960"/>
      <c r="B38" s="1561">
        <v>2930</v>
      </c>
      <c r="C38" s="21" t="s">
        <v>1586</v>
      </c>
      <c r="D38" s="627">
        <f>IFERROR(VLOOKUP($B38,'Trial Blc'!$B$4:O$377,D$2,FALSE),0)</f>
        <v>-177421.86</v>
      </c>
      <c r="E38" s="627">
        <f>IFERROR(VLOOKUP($B38,'Trial Blc'!$B$4:P$377,E$2,FALSE),0)</f>
        <v>-177419.62</v>
      </c>
      <c r="F38" s="627">
        <f>IFERROR(VLOOKUP($B38,'Trial Blc'!$B$4:Q$377,F$2,FALSE),0)</f>
        <v>-177415.51</v>
      </c>
      <c r="G38" s="627">
        <f>IFERROR(VLOOKUP($B38,'Trial Blc'!$B$4:R$377,G$2,FALSE),0)</f>
        <v>-177405.18</v>
      </c>
      <c r="H38" s="627">
        <f>IFERROR(VLOOKUP($B38,'Trial Blc'!$B$4:S$377,H$2,FALSE),0)</f>
        <v>-177402.84</v>
      </c>
      <c r="I38" s="627">
        <f>IFERROR(VLOOKUP($B38,'Trial Blc'!$B$4:T$377,I$2,FALSE),0)</f>
        <v>-177398.65</v>
      </c>
      <c r="J38" s="627">
        <f>IFERROR(VLOOKUP($B38,'Trial Blc'!$B$4:U$377,J$2,FALSE),0)</f>
        <v>-177396.5</v>
      </c>
      <c r="K38" s="627">
        <f>IFERROR(VLOOKUP($B38,'Trial Blc'!$B$4:V$377,K$2,FALSE),0)</f>
        <v>-177395.09</v>
      </c>
      <c r="L38" s="627">
        <f>IFERROR(VLOOKUP($B38,'Trial Blc'!$B$4:W$377,L$2,FALSE),0)</f>
        <v>-177391.2</v>
      </c>
      <c r="M38" s="627">
        <f>IFERROR(VLOOKUP($B38,'Trial Blc'!$B$4:X$377,M$2,FALSE),0)</f>
        <v>-177388.79999999999</v>
      </c>
      <c r="N38" s="627">
        <f>IFERROR(VLOOKUP($B38,'Trial Blc'!$B$4:Y$377,N$2,FALSE),0)</f>
        <v>-177387.48</v>
      </c>
      <c r="O38" s="627">
        <f>IFERROR(VLOOKUP($B38,'Trial Blc'!$B$4:Z$377,O$2,FALSE),0)</f>
        <v>-177383.44</v>
      </c>
      <c r="P38" s="627">
        <f>IFERROR(VLOOKUP($B38,'Trial Blc'!$B$4:AA$377,P$2,FALSE),0)</f>
        <v>-177382.28</v>
      </c>
      <c r="Q38" s="627">
        <f t="shared" si="9"/>
        <v>-177399.11153846153</v>
      </c>
    </row>
    <row r="39" spans="1:19">
      <c r="A39" s="960"/>
      <c r="C39" s="827" t="s">
        <v>1610</v>
      </c>
      <c r="D39" s="1676">
        <f>SUM(D29:D38)</f>
        <v>6945</v>
      </c>
      <c r="E39" s="828">
        <f t="shared" ref="E39:Q39" si="10">SUM(E29:E38)</f>
        <v>6945</v>
      </c>
      <c r="F39" s="828">
        <f>SUM(F29:F38)</f>
        <v>6945</v>
      </c>
      <c r="G39" s="828">
        <f t="shared" si="10"/>
        <v>6945</v>
      </c>
      <c r="H39" s="828">
        <f t="shared" si="10"/>
        <v>6945</v>
      </c>
      <c r="I39" s="828">
        <f t="shared" si="10"/>
        <v>6945</v>
      </c>
      <c r="J39" s="828">
        <f t="shared" si="10"/>
        <v>6945</v>
      </c>
      <c r="K39" s="828">
        <f t="shared" si="10"/>
        <v>6945</v>
      </c>
      <c r="L39" s="828">
        <f t="shared" si="10"/>
        <v>6945</v>
      </c>
      <c r="M39" s="828">
        <f t="shared" si="10"/>
        <v>6945</v>
      </c>
      <c r="N39" s="828">
        <f t="shared" si="10"/>
        <v>6944.9999999999709</v>
      </c>
      <c r="O39" s="828">
        <f t="shared" si="10"/>
        <v>6945</v>
      </c>
      <c r="P39" s="828">
        <f t="shared" si="10"/>
        <v>6944.9999999999709</v>
      </c>
      <c r="Q39" s="828">
        <f t="shared" si="10"/>
        <v>6945</v>
      </c>
    </row>
    <row r="40" spans="1:19">
      <c r="A40" s="962" t="s">
        <v>1750</v>
      </c>
      <c r="D40" s="820"/>
      <c r="E40" s="820"/>
      <c r="F40" s="820"/>
      <c r="G40" s="820"/>
      <c r="H40" s="820"/>
      <c r="I40" s="820"/>
      <c r="J40" s="820"/>
      <c r="K40" s="820"/>
      <c r="L40" s="820"/>
      <c r="M40" s="820"/>
      <c r="N40" s="820"/>
      <c r="O40" s="820"/>
      <c r="P40" s="820"/>
      <c r="Q40" s="630"/>
    </row>
    <row r="41" spans="1:19">
      <c r="A41" s="960">
        <v>186.2</v>
      </c>
      <c r="B41" s="1561">
        <v>2960</v>
      </c>
      <c r="C41" s="21" t="s">
        <v>1587</v>
      </c>
      <c r="D41" s="627">
        <f>IFERROR(VLOOKUP($B41,'Trial Blc'!$B$4:O$377,D$2,FALSE),0)</f>
        <v>0</v>
      </c>
      <c r="E41" s="627">
        <f>IFERROR(VLOOKUP($B41,'Trial Blc'!$B$4:P$377,E$2,FALSE),0)</f>
        <v>0</v>
      </c>
      <c r="F41" s="627">
        <f>IFERROR(VLOOKUP($B41,'Trial Blc'!$B$4:Q$377,F$2,FALSE),0)</f>
        <v>0</v>
      </c>
      <c r="G41" s="627">
        <f>IFERROR(VLOOKUP($B41,'Trial Blc'!$B$4:R$377,G$2,FALSE),0)</f>
        <v>0</v>
      </c>
      <c r="H41" s="627">
        <f>IFERROR(VLOOKUP($B41,'Trial Blc'!$B$4:S$377,H$2,FALSE),0)</f>
        <v>0</v>
      </c>
      <c r="I41" s="627">
        <f>IFERROR(VLOOKUP($B41,'Trial Blc'!$B$4:T$377,I$2,FALSE),0)</f>
        <v>0</v>
      </c>
      <c r="J41" s="627">
        <f>IFERROR(VLOOKUP($B41,'Trial Blc'!$B$4:U$377,J$2,FALSE),0)</f>
        <v>0</v>
      </c>
      <c r="K41" s="627">
        <f>IFERROR(VLOOKUP($B41,'Trial Blc'!$B$4:V$377,K$2,FALSE),0)</f>
        <v>0</v>
      </c>
      <c r="L41" s="627">
        <f>IFERROR(VLOOKUP($B41,'Trial Blc'!$B$4:W$377,L$2,FALSE),0)</f>
        <v>0</v>
      </c>
      <c r="M41" s="627">
        <f>IFERROR(VLOOKUP($B41,'Trial Blc'!$B$4:X$377,M$2,FALSE),0)</f>
        <v>0</v>
      </c>
      <c r="N41" s="627">
        <f>IFERROR(VLOOKUP($B41,'Trial Blc'!$B$4:Y$377,N$2,FALSE),0)</f>
        <v>0</v>
      </c>
      <c r="O41" s="627">
        <f>IFERROR(VLOOKUP($B41,'Trial Blc'!$B$4:Z$377,O$2,FALSE),0)</f>
        <v>0</v>
      </c>
      <c r="P41" s="627">
        <f>IFERROR(VLOOKUP($B41,'Trial Blc'!$B$4:AA$377,P$2,FALSE),0)</f>
        <v>0</v>
      </c>
      <c r="Q41" s="627">
        <f t="shared" ref="Q41:Q55" si="11">AVERAGE(D41:P41)</f>
        <v>0</v>
      </c>
    </row>
    <row r="42" spans="1:19">
      <c r="A42" s="960"/>
      <c r="B42" s="1561">
        <v>2965</v>
      </c>
      <c r="C42" s="21" t="s">
        <v>1588</v>
      </c>
      <c r="D42" s="627">
        <f>IFERROR(VLOOKUP($B42,'Trial Blc'!$B$4:O$377,D$2,FALSE),0)</f>
        <v>0</v>
      </c>
      <c r="E42" s="627">
        <f>IFERROR(VLOOKUP($B42,'Trial Blc'!$B$4:P$377,E$2,FALSE),0)</f>
        <v>0</v>
      </c>
      <c r="F42" s="627">
        <f>IFERROR(VLOOKUP($B42,'Trial Blc'!$B$4:Q$377,F$2,FALSE),0)</f>
        <v>0</v>
      </c>
      <c r="G42" s="627">
        <f>IFERROR(VLOOKUP($B42,'Trial Blc'!$B$4:R$377,G$2,FALSE),0)</f>
        <v>0</v>
      </c>
      <c r="H42" s="627">
        <f>IFERROR(VLOOKUP($B42,'Trial Blc'!$B$4:S$377,H$2,FALSE),0)</f>
        <v>0</v>
      </c>
      <c r="I42" s="627">
        <f>IFERROR(VLOOKUP($B42,'Trial Blc'!$B$4:T$377,I$2,FALSE),0)</f>
        <v>0</v>
      </c>
      <c r="J42" s="627">
        <f>IFERROR(VLOOKUP($B42,'Trial Blc'!$B$4:U$377,J$2,FALSE),0)</f>
        <v>0</v>
      </c>
      <c r="K42" s="627">
        <f>IFERROR(VLOOKUP($B42,'Trial Blc'!$B$4:V$377,K$2,FALSE),0)</f>
        <v>0</v>
      </c>
      <c r="L42" s="627">
        <f>IFERROR(VLOOKUP($B42,'Trial Blc'!$B$4:W$377,L$2,FALSE),0)</f>
        <v>0</v>
      </c>
      <c r="M42" s="627">
        <f>IFERROR(VLOOKUP($B42,'Trial Blc'!$B$4:X$377,M$2,FALSE),0)</f>
        <v>0</v>
      </c>
      <c r="N42" s="627">
        <f>IFERROR(VLOOKUP($B42,'Trial Blc'!$B$4:Y$377,N$2,FALSE),0)</f>
        <v>0</v>
      </c>
      <c r="O42" s="627">
        <f>IFERROR(VLOOKUP($B42,'Trial Blc'!$B$4:Z$377,O$2,FALSE),0)</f>
        <v>0</v>
      </c>
      <c r="P42" s="627">
        <f>IFERROR(VLOOKUP($B42,'Trial Blc'!$B$4:AA$377,P$2,FALSE),0)</f>
        <v>0</v>
      </c>
      <c r="Q42" s="627">
        <f t="shared" si="11"/>
        <v>0</v>
      </c>
    </row>
    <row r="43" spans="1:19">
      <c r="A43" s="960"/>
      <c r="B43" s="1561">
        <v>2980</v>
      </c>
      <c r="C43" s="21" t="s">
        <v>1589</v>
      </c>
      <c r="D43" s="627">
        <f>IFERROR(VLOOKUP($B43,'Trial Blc'!$B$4:O$377,D$2,FALSE),0)</f>
        <v>0</v>
      </c>
      <c r="E43" s="627">
        <f>IFERROR(VLOOKUP($B43,'Trial Blc'!$B$4:P$377,E$2,FALSE),0)</f>
        <v>0</v>
      </c>
      <c r="F43" s="627">
        <f>IFERROR(VLOOKUP($B43,'Trial Blc'!$B$4:Q$377,F$2,FALSE),0)</f>
        <v>0</v>
      </c>
      <c r="G43" s="627">
        <f>IFERROR(VLOOKUP($B43,'Trial Blc'!$B$4:R$377,G$2,FALSE),0)</f>
        <v>0</v>
      </c>
      <c r="H43" s="627">
        <f>IFERROR(VLOOKUP($B43,'Trial Blc'!$B$4:S$377,H$2,FALSE),0)</f>
        <v>0</v>
      </c>
      <c r="I43" s="627">
        <f>IFERROR(VLOOKUP($B43,'Trial Blc'!$B$4:T$377,I$2,FALSE),0)</f>
        <v>0</v>
      </c>
      <c r="J43" s="627">
        <f>IFERROR(VLOOKUP($B43,'Trial Blc'!$B$4:U$377,J$2,FALSE),0)</f>
        <v>0</v>
      </c>
      <c r="K43" s="627">
        <f>IFERROR(VLOOKUP($B43,'Trial Blc'!$B$4:V$377,K$2,FALSE),0)</f>
        <v>0</v>
      </c>
      <c r="L43" s="627">
        <f>IFERROR(VLOOKUP($B43,'Trial Blc'!$B$4:W$377,L$2,FALSE),0)</f>
        <v>0</v>
      </c>
      <c r="M43" s="627">
        <f>IFERROR(VLOOKUP($B43,'Trial Blc'!$B$4:X$377,M$2,FALSE),0)</f>
        <v>0</v>
      </c>
      <c r="N43" s="627">
        <f>IFERROR(VLOOKUP($B43,'Trial Blc'!$B$4:Y$377,N$2,FALSE),0)</f>
        <v>0</v>
      </c>
      <c r="O43" s="627">
        <f>IFERROR(VLOOKUP($B43,'Trial Blc'!$B$4:Z$377,O$2,FALSE),0)</f>
        <v>0</v>
      </c>
      <c r="P43" s="627">
        <f>IFERROR(VLOOKUP($B43,'Trial Blc'!$B$4:AA$377,P$2,FALSE),0)</f>
        <v>0</v>
      </c>
      <c r="Q43" s="627">
        <f t="shared" si="11"/>
        <v>0</v>
      </c>
    </row>
    <row r="44" spans="1:19">
      <c r="A44" s="960"/>
      <c r="B44" s="1659">
        <v>2985</v>
      </c>
      <c r="C44" s="1660" t="s">
        <v>2275</v>
      </c>
      <c r="D44" s="627">
        <f>IFERROR(VLOOKUP($B44,'Trial Blc'!$B$4:O$377,D$2,FALSE),0)</f>
        <v>10523.9</v>
      </c>
      <c r="E44" s="627">
        <f>IFERROR(VLOOKUP($B44,'Trial Blc'!$B$4:P$377,E$2,FALSE),0)</f>
        <v>10523.9</v>
      </c>
      <c r="F44" s="627">
        <f>IFERROR(VLOOKUP($B44,'Trial Blc'!$B$4:Q$377,F$2,FALSE),0)</f>
        <v>10523.9</v>
      </c>
      <c r="G44" s="627">
        <f>IFERROR(VLOOKUP($B44,'Trial Blc'!$B$4:R$377,G$2,FALSE),0)</f>
        <v>10523.9</v>
      </c>
      <c r="H44" s="627">
        <f>IFERROR(VLOOKUP($B44,'Trial Blc'!$B$4:S$377,H$2,FALSE),0)</f>
        <v>10523.9</v>
      </c>
      <c r="I44" s="627">
        <f>IFERROR(VLOOKUP($B44,'Trial Blc'!$B$4:T$377,I$2,FALSE),0)</f>
        <v>10523.9</v>
      </c>
      <c r="J44" s="627">
        <f>IFERROR(VLOOKUP($B44,'Trial Blc'!$B$4:U$377,J$2,FALSE),0)</f>
        <v>10523.9</v>
      </c>
      <c r="K44" s="627">
        <f>IFERROR(VLOOKUP($B44,'Trial Blc'!$B$4:V$377,K$2,FALSE),0)</f>
        <v>10523.9</v>
      </c>
      <c r="L44" s="627">
        <f>IFERROR(VLOOKUP($B44,'Trial Blc'!$B$4:W$377,L$2,FALSE),0)</f>
        <v>10523.9</v>
      </c>
      <c r="M44" s="627">
        <f>IFERROR(VLOOKUP($B44,'Trial Blc'!$B$4:X$377,M$2,FALSE),0)</f>
        <v>10523.9</v>
      </c>
      <c r="N44" s="627">
        <f>IFERROR(VLOOKUP($B44,'Trial Blc'!$B$4:Y$377,N$2,FALSE),0)</f>
        <v>10523.9</v>
      </c>
      <c r="O44" s="627">
        <f>IFERROR(VLOOKUP($B44,'Trial Blc'!$B$4:Z$377,O$2,FALSE),0)</f>
        <v>10523.9</v>
      </c>
      <c r="P44" s="627">
        <f>IFERROR(VLOOKUP($B44,'Trial Blc'!$B$4:AA$377,P$2,FALSE),0)</f>
        <v>10523.9</v>
      </c>
      <c r="Q44" s="627">
        <f t="shared" si="11"/>
        <v>10523.899999999998</v>
      </c>
    </row>
    <row r="45" spans="1:19">
      <c r="A45" s="960"/>
      <c r="B45" s="1561">
        <v>3000</v>
      </c>
      <c r="C45" s="21" t="s">
        <v>1591</v>
      </c>
      <c r="D45" s="627">
        <f>IFERROR(VLOOKUP($B45,'Trial Blc'!$B$4:O$377,D$2,FALSE),0)</f>
        <v>0</v>
      </c>
      <c r="E45" s="627">
        <f>IFERROR(VLOOKUP($B45,'Trial Blc'!$B$4:P$377,E$2,FALSE),0)</f>
        <v>0</v>
      </c>
      <c r="F45" s="627">
        <f>IFERROR(VLOOKUP($B45,'Trial Blc'!$B$4:Q$377,F$2,FALSE),0)</f>
        <v>0</v>
      </c>
      <c r="G45" s="627">
        <f>IFERROR(VLOOKUP($B45,'Trial Blc'!$B$4:R$377,G$2,FALSE),0)</f>
        <v>0</v>
      </c>
      <c r="H45" s="627">
        <f>IFERROR(VLOOKUP($B45,'Trial Blc'!$B$4:S$377,H$2,FALSE),0)</f>
        <v>0</v>
      </c>
      <c r="I45" s="627">
        <f>IFERROR(VLOOKUP($B45,'Trial Blc'!$B$4:T$377,I$2,FALSE),0)</f>
        <v>0</v>
      </c>
      <c r="J45" s="627">
        <f>IFERROR(VLOOKUP($B45,'Trial Blc'!$B$4:U$377,J$2,FALSE),0)</f>
        <v>0</v>
      </c>
      <c r="K45" s="627">
        <f>IFERROR(VLOOKUP($B45,'Trial Blc'!$B$4:V$377,K$2,FALSE),0)</f>
        <v>0</v>
      </c>
      <c r="L45" s="627">
        <f>IFERROR(VLOOKUP($B45,'Trial Blc'!$B$4:W$377,L$2,FALSE),0)</f>
        <v>0</v>
      </c>
      <c r="M45" s="627">
        <f>IFERROR(VLOOKUP($B45,'Trial Blc'!$B$4:X$377,M$2,FALSE),0)</f>
        <v>0</v>
      </c>
      <c r="N45" s="627">
        <f>IFERROR(VLOOKUP($B45,'Trial Blc'!$B$4:Y$377,N$2,FALSE),0)</f>
        <v>0</v>
      </c>
      <c r="O45" s="627">
        <f>IFERROR(VLOOKUP($B45,'Trial Blc'!$B$4:Z$377,O$2,FALSE),0)</f>
        <v>0</v>
      </c>
      <c r="P45" s="627">
        <f>IFERROR(VLOOKUP($B45,'Trial Blc'!$B$4:AA$377,P$2,FALSE),0)</f>
        <v>0</v>
      </c>
      <c r="Q45" s="627">
        <f t="shared" si="11"/>
        <v>0</v>
      </c>
    </row>
    <row r="46" spans="1:19">
      <c r="A46" s="960"/>
      <c r="B46" s="1561">
        <v>3025</v>
      </c>
      <c r="C46" s="21" t="s">
        <v>1592</v>
      </c>
      <c r="D46" s="627">
        <f>IFERROR(VLOOKUP($B46,'Trial Blc'!$B$4:O$377,D$2,FALSE),0)</f>
        <v>0</v>
      </c>
      <c r="E46" s="627">
        <f>IFERROR(VLOOKUP($B46,'Trial Blc'!$B$4:P$377,E$2,FALSE),0)</f>
        <v>0</v>
      </c>
      <c r="F46" s="627">
        <f>IFERROR(VLOOKUP($B46,'Trial Blc'!$B$4:Q$377,F$2,FALSE),0)</f>
        <v>0</v>
      </c>
      <c r="G46" s="627">
        <f>IFERROR(VLOOKUP($B46,'Trial Blc'!$B$4:R$377,G$2,FALSE),0)</f>
        <v>0</v>
      </c>
      <c r="H46" s="627">
        <f>IFERROR(VLOOKUP($B46,'Trial Blc'!$B$4:S$377,H$2,FALSE),0)</f>
        <v>0</v>
      </c>
      <c r="I46" s="627">
        <f>IFERROR(VLOOKUP($B46,'Trial Blc'!$B$4:T$377,I$2,FALSE),0)</f>
        <v>0</v>
      </c>
      <c r="J46" s="627">
        <f>IFERROR(VLOOKUP($B46,'Trial Blc'!$B$4:U$377,J$2,FALSE),0)</f>
        <v>0</v>
      </c>
      <c r="K46" s="627">
        <f>IFERROR(VLOOKUP($B46,'Trial Blc'!$B$4:V$377,K$2,FALSE),0)</f>
        <v>0</v>
      </c>
      <c r="L46" s="627">
        <f>IFERROR(VLOOKUP($B46,'Trial Blc'!$B$4:W$377,L$2,FALSE),0)</f>
        <v>0</v>
      </c>
      <c r="M46" s="627">
        <f>IFERROR(VLOOKUP($B46,'Trial Blc'!$B$4:X$377,M$2,FALSE),0)</f>
        <v>0</v>
      </c>
      <c r="N46" s="627">
        <f>IFERROR(VLOOKUP($B46,'Trial Blc'!$B$4:Y$377,N$2,FALSE),0)</f>
        <v>0</v>
      </c>
      <c r="O46" s="627">
        <f>IFERROR(VLOOKUP($B46,'Trial Blc'!$B$4:Z$377,O$2,FALSE),0)</f>
        <v>0</v>
      </c>
      <c r="P46" s="627">
        <f>IFERROR(VLOOKUP($B46,'Trial Blc'!$B$4:AA$377,P$2,FALSE),0)</f>
        <v>0</v>
      </c>
      <c r="Q46" s="627">
        <f t="shared" si="11"/>
        <v>0</v>
      </c>
    </row>
    <row r="47" spans="1:19">
      <c r="A47" s="960"/>
      <c r="B47" s="1561">
        <v>3040</v>
      </c>
      <c r="C47" s="21" t="s">
        <v>1599</v>
      </c>
      <c r="D47" s="627">
        <f>IFERROR(VLOOKUP($B47,'Trial Blc'!$B$4:O$377,D$2,FALSE),0)</f>
        <v>25968.34</v>
      </c>
      <c r="E47" s="627">
        <f>IFERROR(VLOOKUP($B47,'Trial Blc'!$B$4:P$377,E$2,FALSE),0)</f>
        <v>25968.34</v>
      </c>
      <c r="F47" s="627">
        <f>IFERROR(VLOOKUP($B47,'Trial Blc'!$B$4:Q$377,F$2,FALSE),0)</f>
        <v>25968.34</v>
      </c>
      <c r="G47" s="627">
        <f>IFERROR(VLOOKUP($B47,'Trial Blc'!$B$4:R$377,G$2,FALSE),0)</f>
        <v>25968.34</v>
      </c>
      <c r="H47" s="627">
        <f>IFERROR(VLOOKUP($B47,'Trial Blc'!$B$4:S$377,H$2,FALSE),0)</f>
        <v>25968.34</v>
      </c>
      <c r="I47" s="627">
        <f>IFERROR(VLOOKUP($B47,'Trial Blc'!$B$4:T$377,I$2,FALSE),0)</f>
        <v>25968.34</v>
      </c>
      <c r="J47" s="627">
        <f>IFERROR(VLOOKUP($B47,'Trial Blc'!$B$4:U$377,J$2,FALSE),0)</f>
        <v>25968.34</v>
      </c>
      <c r="K47" s="627">
        <f>IFERROR(VLOOKUP($B47,'Trial Blc'!$B$4:V$377,K$2,FALSE),0)</f>
        <v>25968.34</v>
      </c>
      <c r="L47" s="627">
        <f>IFERROR(VLOOKUP($B47,'Trial Blc'!$B$4:W$377,L$2,FALSE),0)</f>
        <v>25968.34</v>
      </c>
      <c r="M47" s="627">
        <f>IFERROR(VLOOKUP($B47,'Trial Blc'!$B$4:X$377,M$2,FALSE),0)</f>
        <v>58371.86</v>
      </c>
      <c r="N47" s="627">
        <f>IFERROR(VLOOKUP($B47,'Trial Blc'!$B$4:Y$377,N$2,FALSE),0)</f>
        <v>58371.86</v>
      </c>
      <c r="O47" s="627">
        <f>IFERROR(VLOOKUP($B47,'Trial Blc'!$B$4:Z$377,O$2,FALSE),0)</f>
        <v>58371.86</v>
      </c>
      <c r="P47" s="627">
        <f>IFERROR(VLOOKUP($B47,'Trial Blc'!$B$4:AA$377,P$2,FALSE),0)</f>
        <v>58371.86</v>
      </c>
      <c r="Q47" s="627">
        <f t="shared" si="11"/>
        <v>35938.653846153844</v>
      </c>
    </row>
    <row r="48" spans="1:19">
      <c r="A48" s="960"/>
      <c r="B48" s="1561">
        <v>3110</v>
      </c>
      <c r="C48" s="21" t="s">
        <v>1593</v>
      </c>
      <c r="D48" s="627">
        <f>IFERROR(VLOOKUP($B48,'Trial Blc'!$B$4:O$377,D$2,FALSE),0)</f>
        <v>0</v>
      </c>
      <c r="E48" s="627">
        <f>IFERROR(VLOOKUP($B48,'Trial Blc'!$B$4:P$377,E$2,FALSE),0)</f>
        <v>0</v>
      </c>
      <c r="F48" s="627">
        <f>IFERROR(VLOOKUP($B48,'Trial Blc'!$B$4:Q$377,F$2,FALSE),0)</f>
        <v>0</v>
      </c>
      <c r="G48" s="627">
        <f>IFERROR(VLOOKUP($B48,'Trial Blc'!$B$4:R$377,G$2,FALSE),0)</f>
        <v>0</v>
      </c>
      <c r="H48" s="627">
        <f>IFERROR(VLOOKUP($B48,'Trial Blc'!$B$4:S$377,H$2,FALSE),0)</f>
        <v>0</v>
      </c>
      <c r="I48" s="627">
        <f>IFERROR(VLOOKUP($B48,'Trial Blc'!$B$4:T$377,I$2,FALSE),0)</f>
        <v>0</v>
      </c>
      <c r="J48" s="627">
        <f>IFERROR(VLOOKUP($B48,'Trial Blc'!$B$4:U$377,J$2,FALSE),0)</f>
        <v>0</v>
      </c>
      <c r="K48" s="627">
        <f>IFERROR(VLOOKUP($B48,'Trial Blc'!$B$4:V$377,K$2,FALSE),0)</f>
        <v>0</v>
      </c>
      <c r="L48" s="627">
        <f>IFERROR(VLOOKUP($B48,'Trial Blc'!$B$4:W$377,L$2,FALSE),0)</f>
        <v>0</v>
      </c>
      <c r="M48" s="627">
        <f>IFERROR(VLOOKUP($B48,'Trial Blc'!$B$4:X$377,M$2,FALSE),0)</f>
        <v>0</v>
      </c>
      <c r="N48" s="627">
        <f>IFERROR(VLOOKUP($B48,'Trial Blc'!$B$4:Y$377,N$2,FALSE),0)</f>
        <v>0</v>
      </c>
      <c r="O48" s="627">
        <f>IFERROR(VLOOKUP($B48,'Trial Blc'!$B$4:Z$377,O$2,FALSE),0)</f>
        <v>0</v>
      </c>
      <c r="P48" s="627">
        <f>IFERROR(VLOOKUP($B48,'Trial Blc'!$B$4:AA$377,P$2,FALSE),0)</f>
        <v>0</v>
      </c>
      <c r="Q48" s="627">
        <f t="shared" si="11"/>
        <v>0</v>
      </c>
    </row>
    <row r="49" spans="1:18">
      <c r="A49" s="960"/>
      <c r="B49" s="1561">
        <v>3120</v>
      </c>
      <c r="C49" s="21" t="s">
        <v>1594</v>
      </c>
      <c r="D49" s="627">
        <f>IFERROR(VLOOKUP($B49,'Trial Blc'!$B$4:O$377,D$2,FALSE),0)</f>
        <v>0</v>
      </c>
      <c r="E49" s="627">
        <f>IFERROR(VLOOKUP($B49,'Trial Blc'!$B$4:P$377,E$2,FALSE),0)</f>
        <v>0</v>
      </c>
      <c r="F49" s="627">
        <f>IFERROR(VLOOKUP($B49,'Trial Blc'!$B$4:Q$377,F$2,FALSE),0)</f>
        <v>0</v>
      </c>
      <c r="G49" s="627">
        <f>IFERROR(VLOOKUP($B49,'Trial Blc'!$B$4:R$377,G$2,FALSE),0)</f>
        <v>0</v>
      </c>
      <c r="H49" s="627">
        <f>IFERROR(VLOOKUP($B49,'Trial Blc'!$B$4:S$377,H$2,FALSE),0)</f>
        <v>0</v>
      </c>
      <c r="I49" s="627">
        <f>IFERROR(VLOOKUP($B49,'Trial Blc'!$B$4:T$377,I$2,FALSE),0)</f>
        <v>0</v>
      </c>
      <c r="J49" s="627">
        <f>IFERROR(VLOOKUP($B49,'Trial Blc'!$B$4:U$377,J$2,FALSE),0)</f>
        <v>0</v>
      </c>
      <c r="K49" s="627">
        <f>IFERROR(VLOOKUP($B49,'Trial Blc'!$B$4:V$377,K$2,FALSE),0)</f>
        <v>0</v>
      </c>
      <c r="L49" s="627">
        <f>IFERROR(VLOOKUP($B49,'Trial Blc'!$B$4:W$377,L$2,FALSE),0)</f>
        <v>0</v>
      </c>
      <c r="M49" s="627">
        <f>IFERROR(VLOOKUP($B49,'Trial Blc'!$B$4:X$377,M$2,FALSE),0)</f>
        <v>0</v>
      </c>
      <c r="N49" s="627">
        <f>IFERROR(VLOOKUP($B49,'Trial Blc'!$B$4:Y$377,N$2,FALSE),0)</f>
        <v>0</v>
      </c>
      <c r="O49" s="627">
        <f>IFERROR(VLOOKUP($B49,'Trial Blc'!$B$4:Z$377,O$2,FALSE),0)</f>
        <v>0</v>
      </c>
      <c r="P49" s="627">
        <f>IFERROR(VLOOKUP($B49,'Trial Blc'!$B$4:AA$377,P$2,FALSE),0)</f>
        <v>0</v>
      </c>
      <c r="Q49" s="627">
        <f t="shared" si="11"/>
        <v>0</v>
      </c>
    </row>
    <row r="50" spans="1:18">
      <c r="A50" s="960"/>
      <c r="B50" s="1659">
        <v>3130</v>
      </c>
      <c r="C50" s="1660" t="s">
        <v>2276</v>
      </c>
      <c r="D50" s="627">
        <f>IFERROR(VLOOKUP($B50,'Trial Blc'!$B$4:O$377,D$2,FALSE),0)</f>
        <v>-4735.76</v>
      </c>
      <c r="E50" s="627">
        <f>IFERROR(VLOOKUP($B50,'Trial Blc'!$B$4:P$377,E$2,FALSE),0)</f>
        <v>-4735.76</v>
      </c>
      <c r="F50" s="627">
        <f>IFERROR(VLOOKUP($B50,'Trial Blc'!$B$4:Q$377,F$2,FALSE),0)</f>
        <v>-4735.76</v>
      </c>
      <c r="G50" s="627">
        <f>IFERROR(VLOOKUP($B50,'Trial Blc'!$B$4:R$377,G$2,FALSE),0)</f>
        <v>-4735.76</v>
      </c>
      <c r="H50" s="627">
        <f>IFERROR(VLOOKUP($B50,'Trial Blc'!$B$4:S$377,H$2,FALSE),0)</f>
        <v>-4735.76</v>
      </c>
      <c r="I50" s="627">
        <f>IFERROR(VLOOKUP($B50,'Trial Blc'!$B$4:T$377,I$2,FALSE),0)</f>
        <v>-4735.76</v>
      </c>
      <c r="J50" s="627">
        <f>IFERROR(VLOOKUP($B50,'Trial Blc'!$B$4:U$377,J$2,FALSE),0)</f>
        <v>-4735.76</v>
      </c>
      <c r="K50" s="627">
        <f>IFERROR(VLOOKUP($B50,'Trial Blc'!$B$4:V$377,K$2,FALSE),0)</f>
        <v>-4735.76</v>
      </c>
      <c r="L50" s="627">
        <f>IFERROR(VLOOKUP($B50,'Trial Blc'!$B$4:W$377,L$2,FALSE),0)</f>
        <v>-4735.76</v>
      </c>
      <c r="M50" s="627">
        <f>IFERROR(VLOOKUP($B50,'Trial Blc'!$B$4:X$377,M$2,FALSE),0)</f>
        <v>-4735.76</v>
      </c>
      <c r="N50" s="627">
        <f>IFERROR(VLOOKUP($B50,'Trial Blc'!$B$4:Y$377,N$2,FALSE),0)</f>
        <v>-4735.76</v>
      </c>
      <c r="O50" s="627">
        <f>IFERROR(VLOOKUP($B50,'Trial Blc'!$B$4:Z$377,O$2,FALSE),0)</f>
        <v>-4735.76</v>
      </c>
      <c r="P50" s="627">
        <f>IFERROR(VLOOKUP($B50,'Trial Blc'!$B$4:AA$377,P$2,FALSE),0)</f>
        <v>-4735.76</v>
      </c>
      <c r="Q50" s="627">
        <f t="shared" si="11"/>
        <v>-4735.7600000000011</v>
      </c>
    </row>
    <row r="51" spans="1:18">
      <c r="A51" s="960"/>
      <c r="B51" s="1561">
        <v>3135</v>
      </c>
      <c r="C51" s="21" t="s">
        <v>1595</v>
      </c>
      <c r="D51" s="627">
        <f>IFERROR(VLOOKUP($B51,'Trial Blc'!$B$4:O$377,D$2,FALSE),0)</f>
        <v>0</v>
      </c>
      <c r="E51" s="627">
        <f>IFERROR(VLOOKUP($B51,'Trial Blc'!$B$4:P$377,E$2,FALSE),0)</f>
        <v>0</v>
      </c>
      <c r="F51" s="627">
        <f>IFERROR(VLOOKUP($B51,'Trial Blc'!$B$4:Q$377,F$2,FALSE),0)</f>
        <v>0</v>
      </c>
      <c r="G51" s="627">
        <f>IFERROR(VLOOKUP($B51,'Trial Blc'!$B$4:R$377,G$2,FALSE),0)</f>
        <v>0</v>
      </c>
      <c r="H51" s="627">
        <f>IFERROR(VLOOKUP($B51,'Trial Blc'!$B$4:S$377,H$2,FALSE),0)</f>
        <v>0</v>
      </c>
      <c r="I51" s="627">
        <f>IFERROR(VLOOKUP($B51,'Trial Blc'!$B$4:T$377,I$2,FALSE),0)</f>
        <v>0</v>
      </c>
      <c r="J51" s="627">
        <f>IFERROR(VLOOKUP($B51,'Trial Blc'!$B$4:U$377,J$2,FALSE),0)</f>
        <v>0</v>
      </c>
      <c r="K51" s="627">
        <f>IFERROR(VLOOKUP($B51,'Trial Blc'!$B$4:V$377,K$2,FALSE),0)</f>
        <v>0</v>
      </c>
      <c r="L51" s="627">
        <f>IFERROR(VLOOKUP($B51,'Trial Blc'!$B$4:W$377,L$2,FALSE),0)</f>
        <v>0</v>
      </c>
      <c r="M51" s="627">
        <f>IFERROR(VLOOKUP($B51,'Trial Blc'!$B$4:X$377,M$2,FALSE),0)</f>
        <v>0</v>
      </c>
      <c r="N51" s="627">
        <f>IFERROR(VLOOKUP($B51,'Trial Blc'!$B$4:Y$377,N$2,FALSE),0)</f>
        <v>0</v>
      </c>
      <c r="O51" s="627">
        <f>IFERROR(VLOOKUP($B51,'Trial Blc'!$B$4:Z$377,O$2,FALSE),0)</f>
        <v>0</v>
      </c>
      <c r="P51" s="627">
        <f>IFERROR(VLOOKUP($B51,'Trial Blc'!$B$4:AA$377,P$2,FALSE),0)</f>
        <v>0</v>
      </c>
      <c r="Q51" s="627">
        <f t="shared" si="11"/>
        <v>0</v>
      </c>
    </row>
    <row r="52" spans="1:18">
      <c r="A52" s="960"/>
      <c r="B52" s="1659">
        <v>3140</v>
      </c>
      <c r="C52" s="1660" t="s">
        <v>2277</v>
      </c>
      <c r="D52" s="627">
        <f>IFERROR(VLOOKUP($B52,'Trial Blc'!$B$4:O$377,D$2,FALSE),0)</f>
        <v>-4565.6400000000003</v>
      </c>
      <c r="E52" s="627">
        <f>IFERROR(VLOOKUP($B52,'Trial Blc'!$B$4:P$377,E$2,FALSE),0)</f>
        <v>-4740.28</v>
      </c>
      <c r="F52" s="627">
        <f>IFERROR(VLOOKUP($B52,'Trial Blc'!$B$4:Q$377,F$2,FALSE),0)</f>
        <v>-4914.93</v>
      </c>
      <c r="G52" s="627">
        <f>IFERROR(VLOOKUP($B52,'Trial Blc'!$B$4:R$377,G$2,FALSE),0)</f>
        <v>-5089.57</v>
      </c>
      <c r="H52" s="627">
        <f>IFERROR(VLOOKUP($B52,'Trial Blc'!$B$4:S$377,H$2,FALSE),0)</f>
        <v>-5264.21</v>
      </c>
      <c r="I52" s="627">
        <f>IFERROR(VLOOKUP($B52,'Trial Blc'!$B$4:T$377,I$2,FALSE),0)</f>
        <v>-5438.85</v>
      </c>
      <c r="J52" s="627">
        <f>IFERROR(VLOOKUP($B52,'Trial Blc'!$B$4:U$377,J$2,FALSE),0)</f>
        <v>-5613.5</v>
      </c>
      <c r="K52" s="627">
        <f>IFERROR(VLOOKUP($B52,'Trial Blc'!$B$4:V$377,K$2,FALSE),0)</f>
        <v>-5788.14</v>
      </c>
      <c r="L52" s="627">
        <f>IFERROR(VLOOKUP($B52,'Trial Blc'!$B$4:W$377,L$2,FALSE),0)</f>
        <v>-5788.14</v>
      </c>
      <c r="M52" s="627">
        <f>IFERROR(VLOOKUP($B52,'Trial Blc'!$B$4:X$377,M$2,FALSE),0)</f>
        <v>-5788.14</v>
      </c>
      <c r="N52" s="627">
        <f>IFERROR(VLOOKUP($B52,'Trial Blc'!$B$4:Y$377,N$2,FALSE),0)</f>
        <v>-5788.14</v>
      </c>
      <c r="O52" s="627">
        <f>IFERROR(VLOOKUP($B52,'Trial Blc'!$B$4:Z$377,O$2,FALSE),0)</f>
        <v>-5788.14</v>
      </c>
      <c r="P52" s="627">
        <f>IFERROR(VLOOKUP($B52,'Trial Blc'!$B$4:AA$377,P$2,FALSE),0)</f>
        <v>-5788.14</v>
      </c>
      <c r="Q52" s="627">
        <f t="shared" si="11"/>
        <v>-5411.9861538461537</v>
      </c>
    </row>
    <row r="53" spans="1:18">
      <c r="A53" s="960"/>
      <c r="B53" s="1561">
        <v>3155</v>
      </c>
      <c r="C53" s="21" t="s">
        <v>1596</v>
      </c>
      <c r="D53" s="627">
        <f>IFERROR(VLOOKUP($B53,'Trial Blc'!$B$4:O$377,D$2,FALSE),0)</f>
        <v>0</v>
      </c>
      <c r="E53" s="627">
        <f>IFERROR(VLOOKUP($B53,'Trial Blc'!$B$4:P$377,E$2,FALSE),0)</f>
        <v>0</v>
      </c>
      <c r="F53" s="627">
        <f>IFERROR(VLOOKUP($B53,'Trial Blc'!$B$4:Q$377,F$2,FALSE),0)</f>
        <v>0</v>
      </c>
      <c r="G53" s="627">
        <f>IFERROR(VLOOKUP($B53,'Trial Blc'!$B$4:R$377,G$2,FALSE),0)</f>
        <v>0</v>
      </c>
      <c r="H53" s="627">
        <f>IFERROR(VLOOKUP($B53,'Trial Blc'!$B$4:S$377,H$2,FALSE),0)</f>
        <v>0</v>
      </c>
      <c r="I53" s="627">
        <f>IFERROR(VLOOKUP($B53,'Trial Blc'!$B$4:T$377,I$2,FALSE),0)</f>
        <v>0</v>
      </c>
      <c r="J53" s="627">
        <f>IFERROR(VLOOKUP($B53,'Trial Blc'!$B$4:U$377,J$2,FALSE),0)</f>
        <v>0</v>
      </c>
      <c r="K53" s="627">
        <f>IFERROR(VLOOKUP($B53,'Trial Blc'!$B$4:V$377,K$2,FALSE),0)</f>
        <v>0</v>
      </c>
      <c r="L53" s="627">
        <f>IFERROR(VLOOKUP($B53,'Trial Blc'!$B$4:W$377,L$2,FALSE),0)</f>
        <v>0</v>
      </c>
      <c r="M53" s="627">
        <f>IFERROR(VLOOKUP($B53,'Trial Blc'!$B$4:X$377,M$2,FALSE),0)</f>
        <v>0</v>
      </c>
      <c r="N53" s="627">
        <f>IFERROR(VLOOKUP($B53,'Trial Blc'!$B$4:Y$377,N$2,FALSE),0)</f>
        <v>0</v>
      </c>
      <c r="O53" s="627">
        <f>IFERROR(VLOOKUP($B53,'Trial Blc'!$B$4:Z$377,O$2,FALSE),0)</f>
        <v>0</v>
      </c>
      <c r="P53" s="627">
        <f>IFERROR(VLOOKUP($B53,'Trial Blc'!$B$4:AA$377,P$2,FALSE),0)</f>
        <v>0</v>
      </c>
      <c r="Q53" s="627">
        <f t="shared" si="11"/>
        <v>0</v>
      </c>
    </row>
    <row r="54" spans="1:18">
      <c r="B54" s="1561">
        <v>3180</v>
      </c>
      <c r="C54" s="21" t="s">
        <v>1597</v>
      </c>
      <c r="D54" s="627">
        <f>IFERROR(VLOOKUP($B54,'Trial Blc'!$B$4:O$377,D$2,FALSE),0)</f>
        <v>0</v>
      </c>
      <c r="E54" s="627">
        <f>IFERROR(VLOOKUP($B54,'Trial Blc'!$B$4:P$377,E$2,FALSE),0)</f>
        <v>0</v>
      </c>
      <c r="F54" s="627">
        <f>IFERROR(VLOOKUP($B54,'Trial Blc'!$B$4:Q$377,F$2,FALSE),0)</f>
        <v>0</v>
      </c>
      <c r="G54" s="627">
        <f>IFERROR(VLOOKUP($B54,'Trial Blc'!$B$4:R$377,G$2,FALSE),0)</f>
        <v>0</v>
      </c>
      <c r="H54" s="627">
        <f>IFERROR(VLOOKUP($B54,'Trial Blc'!$B$4:S$377,H$2,FALSE),0)</f>
        <v>0</v>
      </c>
      <c r="I54" s="627">
        <f>IFERROR(VLOOKUP($B54,'Trial Blc'!$B$4:T$377,I$2,FALSE),0)</f>
        <v>0</v>
      </c>
      <c r="J54" s="627">
        <f>IFERROR(VLOOKUP($B54,'Trial Blc'!$B$4:U$377,J$2,FALSE),0)</f>
        <v>0</v>
      </c>
      <c r="K54" s="627">
        <f>IFERROR(VLOOKUP($B54,'Trial Blc'!$B$4:V$377,K$2,FALSE),0)</f>
        <v>0</v>
      </c>
      <c r="L54" s="627">
        <f>IFERROR(VLOOKUP($B54,'Trial Blc'!$B$4:W$377,L$2,FALSE),0)</f>
        <v>0</v>
      </c>
      <c r="M54" s="627">
        <f>IFERROR(VLOOKUP($B54,'Trial Blc'!$B$4:X$377,M$2,FALSE),0)</f>
        <v>0</v>
      </c>
      <c r="N54" s="627">
        <f>IFERROR(VLOOKUP($B54,'Trial Blc'!$B$4:Y$377,N$2,FALSE),0)</f>
        <v>0</v>
      </c>
      <c r="O54" s="627">
        <f>IFERROR(VLOOKUP($B54,'Trial Blc'!$B$4:Z$377,O$2,FALSE),0)</f>
        <v>0</v>
      </c>
      <c r="P54" s="627">
        <f>IFERROR(VLOOKUP($B54,'Trial Blc'!$B$4:AA$377,P$2,FALSE),0)</f>
        <v>0</v>
      </c>
      <c r="Q54" s="627">
        <f t="shared" si="11"/>
        <v>0</v>
      </c>
    </row>
    <row r="55" spans="1:18">
      <c r="B55" s="1561">
        <v>3195</v>
      </c>
      <c r="C55" s="21" t="s">
        <v>1598</v>
      </c>
      <c r="D55" s="627">
        <f>IFERROR(VLOOKUP($B55,'Trial Blc'!$B$4:O$377,D$2,FALSE),0)</f>
        <v>-25968.34</v>
      </c>
      <c r="E55" s="627">
        <f>IFERROR(VLOOKUP($B55,'Trial Blc'!$B$4:P$377,E$2,FALSE),0)</f>
        <v>-25968.34</v>
      </c>
      <c r="F55" s="627">
        <f>IFERROR(VLOOKUP($B55,'Trial Blc'!$B$4:Q$377,F$2,FALSE),0)</f>
        <v>-25968.34</v>
      </c>
      <c r="G55" s="627">
        <f>IFERROR(VLOOKUP($B55,'Trial Blc'!$B$4:R$377,G$2,FALSE),0)</f>
        <v>-25968.34</v>
      </c>
      <c r="H55" s="627">
        <f>IFERROR(VLOOKUP($B55,'Trial Blc'!$B$4:S$377,H$2,FALSE),0)</f>
        <v>-25968.34</v>
      </c>
      <c r="I55" s="627">
        <f>IFERROR(VLOOKUP($B55,'Trial Blc'!$B$4:T$377,I$2,FALSE),0)</f>
        <v>-25968.34</v>
      </c>
      <c r="J55" s="627">
        <f>IFERROR(VLOOKUP($B55,'Trial Blc'!$B$4:U$377,J$2,FALSE),0)</f>
        <v>-25968.34</v>
      </c>
      <c r="K55" s="627">
        <f>IFERROR(VLOOKUP($B55,'Trial Blc'!$B$4:V$377,K$2,FALSE),0)</f>
        <v>-25968.34</v>
      </c>
      <c r="L55" s="627">
        <f>IFERROR(VLOOKUP($B55,'Trial Blc'!$B$4:W$377,L$2,FALSE),0)</f>
        <v>-25968.34</v>
      </c>
      <c r="M55" s="627">
        <f>IFERROR(VLOOKUP($B55,'Trial Blc'!$B$4:X$377,M$2,FALSE),0)</f>
        <v>-27601.83</v>
      </c>
      <c r="N55" s="627">
        <f>IFERROR(VLOOKUP($B55,'Trial Blc'!$B$4:Y$377,N$2,FALSE),0)</f>
        <v>-28146.33</v>
      </c>
      <c r="O55" s="627">
        <f>IFERROR(VLOOKUP($B55,'Trial Blc'!$B$4:Z$377,O$2,FALSE),0)</f>
        <v>-28690.83</v>
      </c>
      <c r="P55" s="627">
        <f>IFERROR(VLOOKUP($B55,'Trial Blc'!$B$4:AA$377,P$2,FALSE),0)</f>
        <v>-29235.33</v>
      </c>
      <c r="Q55" s="627">
        <f t="shared" si="11"/>
        <v>-26722.260000000006</v>
      </c>
    </row>
    <row r="56" spans="1:18">
      <c r="C56" s="827" t="s">
        <v>1611</v>
      </c>
      <c r="D56" s="1676">
        <f>SUM(D41:D55)</f>
        <v>1222.4999999999964</v>
      </c>
      <c r="E56" s="828">
        <f t="shared" ref="E56:Q56" si="12">SUM(E41:E55)</f>
        <v>1047.8599999999969</v>
      </c>
      <c r="F56" s="828">
        <f>SUM(F41:F55)</f>
        <v>873.20999999999549</v>
      </c>
      <c r="G56" s="828">
        <f t="shared" si="12"/>
        <v>698.56999999999607</v>
      </c>
      <c r="H56" s="828">
        <f t="shared" si="12"/>
        <v>523.92999999999665</v>
      </c>
      <c r="I56" s="828">
        <f t="shared" si="12"/>
        <v>349.28999999999724</v>
      </c>
      <c r="J56" s="828">
        <f t="shared" si="12"/>
        <v>174.63999999999578</v>
      </c>
      <c r="K56" s="828">
        <f t="shared" si="12"/>
        <v>0</v>
      </c>
      <c r="L56" s="828">
        <f t="shared" si="12"/>
        <v>0</v>
      </c>
      <c r="M56" s="828">
        <f t="shared" si="12"/>
        <v>30770.029999999992</v>
      </c>
      <c r="N56" s="828">
        <f t="shared" si="12"/>
        <v>30225.529999999992</v>
      </c>
      <c r="O56" s="828">
        <f t="shared" si="12"/>
        <v>29681.029999999992</v>
      </c>
      <c r="P56" s="828">
        <f t="shared" si="12"/>
        <v>29136.529999999992</v>
      </c>
      <c r="Q56" s="828">
        <f t="shared" si="12"/>
        <v>9592.5476923076749</v>
      </c>
    </row>
    <row r="57" spans="1:18">
      <c r="C57" s="827"/>
      <c r="D57" s="1677"/>
      <c r="E57" s="967"/>
      <c r="F57" s="967"/>
      <c r="G57" s="967"/>
      <c r="H57" s="967"/>
      <c r="I57" s="967"/>
      <c r="J57" s="967"/>
      <c r="K57" s="967"/>
      <c r="L57" s="967"/>
      <c r="M57" s="967"/>
      <c r="N57" s="967"/>
      <c r="O57" s="967"/>
      <c r="P57" s="967"/>
      <c r="Q57" s="967"/>
    </row>
    <row r="58" spans="1:18">
      <c r="D58" s="820"/>
      <c r="E58" s="820"/>
      <c r="F58" s="820"/>
      <c r="G58" s="820"/>
      <c r="H58" s="820"/>
      <c r="I58" s="820"/>
      <c r="J58" s="820"/>
      <c r="K58" s="820"/>
      <c r="L58" s="820"/>
      <c r="M58" s="820"/>
      <c r="N58" s="820"/>
      <c r="O58" s="820"/>
      <c r="P58" s="820"/>
      <c r="Q58" s="820"/>
    </row>
    <row r="59" spans="1:18">
      <c r="A59" s="821">
        <v>283</v>
      </c>
      <c r="B59" s="1561">
        <v>4367</v>
      </c>
      <c r="C59" s="21" t="s">
        <v>2280</v>
      </c>
      <c r="D59" s="627">
        <f>IFERROR(VLOOKUP($B59,'Trial Blc'!$B$4:O$377,D$2,FALSE),0)</f>
        <v>0</v>
      </c>
      <c r="E59" s="627">
        <f>IFERROR(VLOOKUP($B59,'Trial Blc'!$B$4:P$377,E$2,FALSE),0)</f>
        <v>0</v>
      </c>
      <c r="F59" s="627">
        <f>IFERROR(VLOOKUP($B59,'Trial Blc'!$B$4:Q$377,F$2,FALSE),0)</f>
        <v>0</v>
      </c>
      <c r="G59" s="627">
        <f>IFERROR(VLOOKUP($B59,'Trial Blc'!$B$4:R$377,G$2,FALSE),0)</f>
        <v>0</v>
      </c>
      <c r="H59" s="627">
        <f>IFERROR(VLOOKUP($B59,'Trial Blc'!$B$4:S$377,H$2,FALSE),0)</f>
        <v>0</v>
      </c>
      <c r="I59" s="627">
        <f>IFERROR(VLOOKUP($B59,'Trial Blc'!$B$4:T$377,I$2,FALSE),0)</f>
        <v>0</v>
      </c>
      <c r="J59" s="627">
        <f>IFERROR(VLOOKUP($B59,'Trial Blc'!$B$4:U$377,J$2,FALSE),0)</f>
        <v>0</v>
      </c>
      <c r="K59" s="627">
        <f>IFERROR(VLOOKUP($B59,'Trial Blc'!$B$4:V$377,K$2,FALSE),0)</f>
        <v>0</v>
      </c>
      <c r="L59" s="627">
        <f>IFERROR(VLOOKUP($B59,'Trial Blc'!$B$4:W$377,L$2,FALSE),0)</f>
        <v>0</v>
      </c>
      <c r="M59" s="627">
        <f>IFERROR(VLOOKUP($B59,'Trial Blc'!$B$4:X$377,M$2,FALSE),0)</f>
        <v>0</v>
      </c>
      <c r="N59" s="627">
        <f>IFERROR(VLOOKUP($B59,'Trial Blc'!$B$4:Y$377,N$2,FALSE),0)</f>
        <v>0</v>
      </c>
      <c r="O59" s="627">
        <f>IFERROR(VLOOKUP($B59,'Trial Blc'!$B$4:Z$377,O$2,FALSE),0)</f>
        <v>0</v>
      </c>
      <c r="P59" s="627">
        <f>IFERROR(VLOOKUP($B59,'Trial Blc'!$B$4:AA$377,P$2,FALSE),0)</f>
        <v>-3018.16</v>
      </c>
      <c r="Q59" s="627">
        <f t="shared" ref="Q59:Q67" si="13">AVERAGE(D59:P59)</f>
        <v>-232.16615384615383</v>
      </c>
    </row>
    <row r="60" spans="1:18">
      <c r="A60" s="821">
        <v>283</v>
      </c>
      <c r="B60" s="1561">
        <v>4369</v>
      </c>
      <c r="C60" s="21" t="s">
        <v>1612</v>
      </c>
      <c r="D60" s="627">
        <f>IFERROR(VLOOKUP($B60,'Trial Blc'!$B$4:O$377,D$2,FALSE),0)</f>
        <v>60354</v>
      </c>
      <c r="E60" s="627">
        <f>IFERROR(VLOOKUP($B60,'Trial Blc'!$B$4:P$377,E$2,FALSE),0)</f>
        <v>60354</v>
      </c>
      <c r="F60" s="627">
        <f>IFERROR(VLOOKUP($B60,'Trial Blc'!$B$4:Q$377,F$2,FALSE),0)</f>
        <v>60354</v>
      </c>
      <c r="G60" s="627">
        <f>IFERROR(VLOOKUP($B60,'Trial Blc'!$B$4:R$377,G$2,FALSE),0)</f>
        <v>60354</v>
      </c>
      <c r="H60" s="627">
        <f>IFERROR(VLOOKUP($B60,'Trial Blc'!$B$4:S$377,H$2,FALSE),0)</f>
        <v>60354</v>
      </c>
      <c r="I60" s="627">
        <f>IFERROR(VLOOKUP($B60,'Trial Blc'!$B$4:T$377,I$2,FALSE),0)</f>
        <v>60354</v>
      </c>
      <c r="J60" s="627">
        <f>IFERROR(VLOOKUP($B60,'Trial Blc'!$B$4:U$377,J$2,FALSE),0)</f>
        <v>60354</v>
      </c>
      <c r="K60" s="627">
        <f>IFERROR(VLOOKUP($B60,'Trial Blc'!$B$4:V$377,K$2,FALSE),0)</f>
        <v>60354</v>
      </c>
      <c r="L60" s="627">
        <f>IFERROR(VLOOKUP($B60,'Trial Blc'!$B$4:W$377,L$2,FALSE),0)</f>
        <v>60354</v>
      </c>
      <c r="M60" s="627">
        <f>IFERROR(VLOOKUP($B60,'Trial Blc'!$B$4:X$377,M$2,FALSE),0)</f>
        <v>60354</v>
      </c>
      <c r="N60" s="627">
        <f>IFERROR(VLOOKUP($B60,'Trial Blc'!$B$4:Y$377,N$2,FALSE),0)</f>
        <v>60354</v>
      </c>
      <c r="O60" s="627">
        <f>IFERROR(VLOOKUP($B60,'Trial Blc'!$B$4:Z$377,O$2,FALSE),0)</f>
        <v>60354</v>
      </c>
      <c r="P60" s="627">
        <f>IFERROR(VLOOKUP($B60,'Trial Blc'!$B$4:AA$377,P$2,FALSE),0)</f>
        <v>60354</v>
      </c>
      <c r="Q60" s="627">
        <f t="shared" si="13"/>
        <v>60354</v>
      </c>
    </row>
    <row r="61" spans="1:18">
      <c r="B61" s="1561">
        <v>4371</v>
      </c>
      <c r="C61" s="21" t="s">
        <v>1613</v>
      </c>
      <c r="D61" s="627">
        <f>IFERROR(VLOOKUP($B61,'Trial Blc'!$B$4:O$377,D$2,FALSE),0)</f>
        <v>127326.48</v>
      </c>
      <c r="E61" s="627">
        <f>IFERROR(VLOOKUP($B61,'Trial Blc'!$B$4:P$377,E$2,FALSE),0)</f>
        <v>127326.48</v>
      </c>
      <c r="F61" s="627">
        <f>IFERROR(VLOOKUP($B61,'Trial Blc'!$B$4:Q$377,F$2,FALSE),0)</f>
        <v>127326.48</v>
      </c>
      <c r="G61" s="627">
        <f>IFERROR(VLOOKUP($B61,'Trial Blc'!$B$4:R$377,G$2,FALSE),0)</f>
        <v>127326.48</v>
      </c>
      <c r="H61" s="627">
        <f>IFERROR(VLOOKUP($B61,'Trial Blc'!$B$4:S$377,H$2,FALSE),0)</f>
        <v>127326.48</v>
      </c>
      <c r="I61" s="627">
        <f>IFERROR(VLOOKUP($B61,'Trial Blc'!$B$4:T$377,I$2,FALSE),0)</f>
        <v>127326.48</v>
      </c>
      <c r="J61" s="627">
        <f>IFERROR(VLOOKUP($B61,'Trial Blc'!$B$4:U$377,J$2,FALSE),0)</f>
        <v>127326.48</v>
      </c>
      <c r="K61" s="627">
        <f>IFERROR(VLOOKUP($B61,'Trial Blc'!$B$4:V$377,K$2,FALSE),0)</f>
        <v>127326.48</v>
      </c>
      <c r="L61" s="627">
        <f>IFERROR(VLOOKUP($B61,'Trial Blc'!$B$4:W$377,L$2,FALSE),0)</f>
        <v>127326.48</v>
      </c>
      <c r="M61" s="627">
        <f>IFERROR(VLOOKUP($B61,'Trial Blc'!$B$4:X$377,M$2,FALSE),0)</f>
        <v>127326.48</v>
      </c>
      <c r="N61" s="627">
        <f>IFERROR(VLOOKUP($B61,'Trial Blc'!$B$4:Y$377,N$2,FALSE),0)</f>
        <v>127326.48</v>
      </c>
      <c r="O61" s="627">
        <f>IFERROR(VLOOKUP($B61,'Trial Blc'!$B$4:Z$377,O$2,FALSE),0)</f>
        <v>127326.48</v>
      </c>
      <c r="P61" s="627">
        <f>IFERROR(VLOOKUP($B61,'Trial Blc'!$B$4:AA$377,P$2,FALSE),0)</f>
        <v>127326.48</v>
      </c>
      <c r="Q61" s="627">
        <f t="shared" si="13"/>
        <v>127326.48</v>
      </c>
    </row>
    <row r="62" spans="1:18">
      <c r="B62" s="1561">
        <v>4375</v>
      </c>
      <c r="C62" s="21" t="s">
        <v>1614</v>
      </c>
      <c r="D62" s="627">
        <f>IFERROR(VLOOKUP($B62,'Trial Blc'!$B$4:O$377,D$2,FALSE),0)</f>
        <v>426.77</v>
      </c>
      <c r="E62" s="627">
        <f>IFERROR(VLOOKUP($B62,'Trial Blc'!$B$4:P$377,E$2,FALSE),0)</f>
        <v>426.77</v>
      </c>
      <c r="F62" s="627">
        <f>IFERROR(VLOOKUP($B62,'Trial Blc'!$B$4:Q$377,F$2,FALSE),0)</f>
        <v>426.77</v>
      </c>
      <c r="G62" s="627">
        <f>IFERROR(VLOOKUP($B62,'Trial Blc'!$B$4:R$377,G$2,FALSE),0)</f>
        <v>426.77</v>
      </c>
      <c r="H62" s="627">
        <f>IFERROR(VLOOKUP($B62,'Trial Blc'!$B$4:S$377,H$2,FALSE),0)</f>
        <v>426.77</v>
      </c>
      <c r="I62" s="627">
        <f>IFERROR(VLOOKUP($B62,'Trial Blc'!$B$4:T$377,I$2,FALSE),0)</f>
        <v>426.77</v>
      </c>
      <c r="J62" s="627">
        <f>IFERROR(VLOOKUP($B62,'Trial Blc'!$B$4:U$377,J$2,FALSE),0)</f>
        <v>426.77</v>
      </c>
      <c r="K62" s="627">
        <f>IFERROR(VLOOKUP($B62,'Trial Blc'!$B$4:V$377,K$2,FALSE),0)</f>
        <v>426.77</v>
      </c>
      <c r="L62" s="627">
        <f>IFERROR(VLOOKUP($B62,'Trial Blc'!$B$4:W$377,L$2,FALSE),0)</f>
        <v>426.77</v>
      </c>
      <c r="M62" s="627">
        <f>IFERROR(VLOOKUP($B62,'Trial Blc'!$B$4:X$377,M$2,FALSE),0)</f>
        <v>426.77</v>
      </c>
      <c r="N62" s="627">
        <f>IFERROR(VLOOKUP($B62,'Trial Blc'!$B$4:Y$377,N$2,FALSE),0)</f>
        <v>426.77</v>
      </c>
      <c r="O62" s="627">
        <f>IFERROR(VLOOKUP($B62,'Trial Blc'!$B$4:Z$377,O$2,FALSE),0)</f>
        <v>426.77</v>
      </c>
      <c r="P62" s="627">
        <f>IFERROR(VLOOKUP($B62,'Trial Blc'!$B$4:AA$377,P$2,FALSE),0)</f>
        <v>426.77</v>
      </c>
      <c r="Q62" s="627">
        <f t="shared" si="13"/>
        <v>426.77000000000004</v>
      </c>
      <c r="R62" s="820"/>
    </row>
    <row r="63" spans="1:18">
      <c r="B63" s="1561">
        <v>4377</v>
      </c>
      <c r="C63" s="21" t="s">
        <v>1615</v>
      </c>
      <c r="D63" s="627">
        <f>IFERROR(VLOOKUP($B63,'Trial Blc'!$B$4:O$377,D$2,FALSE),0)</f>
        <v>-2556.4699999999998</v>
      </c>
      <c r="E63" s="627">
        <f>IFERROR(VLOOKUP($B63,'Trial Blc'!$B$4:P$377,E$2,FALSE),0)</f>
        <v>-2556.4699999999998</v>
      </c>
      <c r="F63" s="627">
        <f>IFERROR(VLOOKUP($B63,'Trial Blc'!$B$4:Q$377,F$2,FALSE),0)</f>
        <v>-2556.4699999999998</v>
      </c>
      <c r="G63" s="627">
        <f>IFERROR(VLOOKUP($B63,'Trial Blc'!$B$4:R$377,G$2,FALSE),0)</f>
        <v>-2556.4699999999998</v>
      </c>
      <c r="H63" s="627">
        <f>IFERROR(VLOOKUP($B63,'Trial Blc'!$B$4:S$377,H$2,FALSE),0)</f>
        <v>-2556.4699999999998</v>
      </c>
      <c r="I63" s="627">
        <f>IFERROR(VLOOKUP($B63,'Trial Blc'!$B$4:T$377,I$2,FALSE),0)</f>
        <v>-2556.4699999999998</v>
      </c>
      <c r="J63" s="627">
        <f>IFERROR(VLOOKUP($B63,'Trial Blc'!$B$4:U$377,J$2,FALSE),0)</f>
        <v>-2556.4699999999998</v>
      </c>
      <c r="K63" s="627">
        <f>IFERROR(VLOOKUP($B63,'Trial Blc'!$B$4:V$377,K$2,FALSE),0)</f>
        <v>-2556.4699999999998</v>
      </c>
      <c r="L63" s="627">
        <f>IFERROR(VLOOKUP($B63,'Trial Blc'!$B$4:W$377,L$2,FALSE),0)</f>
        <v>-2556.4699999999998</v>
      </c>
      <c r="M63" s="627">
        <f>IFERROR(VLOOKUP($B63,'Trial Blc'!$B$4:X$377,M$2,FALSE),0)</f>
        <v>-2556.4699999999998</v>
      </c>
      <c r="N63" s="627">
        <f>IFERROR(VLOOKUP($B63,'Trial Blc'!$B$4:Y$377,N$2,FALSE),0)</f>
        <v>-2556.4699999999998</v>
      </c>
      <c r="O63" s="627">
        <f>IFERROR(VLOOKUP($B63,'Trial Blc'!$B$4:Z$377,O$2,FALSE),0)</f>
        <v>-2556.4699999999998</v>
      </c>
      <c r="P63" s="627">
        <f>IFERROR(VLOOKUP($B63,'Trial Blc'!$B$4:AA$377,P$2,FALSE),0)</f>
        <v>-11745.05</v>
      </c>
      <c r="Q63" s="627">
        <f t="shared" si="13"/>
        <v>-3263.2838461538463</v>
      </c>
      <c r="R63" s="820"/>
    </row>
    <row r="64" spans="1:18">
      <c r="B64" s="1561">
        <v>4383</v>
      </c>
      <c r="C64" s="21" t="s">
        <v>1616</v>
      </c>
      <c r="D64" s="627">
        <f>IFERROR(VLOOKUP($B64,'Trial Blc'!$B$4:O$377,D$2,FALSE),0)</f>
        <v>-3931.39</v>
      </c>
      <c r="E64" s="627">
        <f>IFERROR(VLOOKUP($B64,'Trial Blc'!$B$4:P$377,E$2,FALSE),0)</f>
        <v>-3931.39</v>
      </c>
      <c r="F64" s="627">
        <f>IFERROR(VLOOKUP($B64,'Trial Blc'!$B$4:Q$377,F$2,FALSE),0)</f>
        <v>-3931.39</v>
      </c>
      <c r="G64" s="627">
        <f>IFERROR(VLOOKUP($B64,'Trial Blc'!$B$4:R$377,G$2,FALSE),0)</f>
        <v>-3931.39</v>
      </c>
      <c r="H64" s="627">
        <f>IFERROR(VLOOKUP($B64,'Trial Blc'!$B$4:S$377,H$2,FALSE),0)</f>
        <v>-3931.39</v>
      </c>
      <c r="I64" s="627">
        <f>IFERROR(VLOOKUP($B64,'Trial Blc'!$B$4:T$377,I$2,FALSE),0)</f>
        <v>-3931.39</v>
      </c>
      <c r="J64" s="627">
        <f>IFERROR(VLOOKUP($B64,'Trial Blc'!$B$4:U$377,J$2,FALSE),0)</f>
        <v>-3931.39</v>
      </c>
      <c r="K64" s="627">
        <f>IFERROR(VLOOKUP($B64,'Trial Blc'!$B$4:V$377,K$2,FALSE),0)</f>
        <v>-3931.39</v>
      </c>
      <c r="L64" s="627">
        <f>IFERROR(VLOOKUP($B64,'Trial Blc'!$B$4:W$377,L$2,FALSE),0)</f>
        <v>-3931.39</v>
      </c>
      <c r="M64" s="627">
        <f>IFERROR(VLOOKUP($B64,'Trial Blc'!$B$4:X$377,M$2,FALSE),0)</f>
        <v>-3931.39</v>
      </c>
      <c r="N64" s="627">
        <f>IFERROR(VLOOKUP($B64,'Trial Blc'!$B$4:Y$377,N$2,FALSE),0)</f>
        <v>-3931.39</v>
      </c>
      <c r="O64" s="627">
        <f>IFERROR(VLOOKUP($B64,'Trial Blc'!$B$4:Z$377,O$2,FALSE),0)</f>
        <v>-3931.39</v>
      </c>
      <c r="P64" s="627">
        <f>IFERROR(VLOOKUP($B64,'Trial Blc'!$B$4:AA$377,P$2,FALSE),0)</f>
        <v>-3919.78</v>
      </c>
      <c r="Q64" s="627">
        <f t="shared" si="13"/>
        <v>-3930.4969230769229</v>
      </c>
      <c r="R64" s="820"/>
    </row>
    <row r="65" spans="2:18">
      <c r="B65" s="1561">
        <v>4385</v>
      </c>
      <c r="C65" s="21" t="s">
        <v>1617</v>
      </c>
      <c r="D65" s="627">
        <f>IFERROR(VLOOKUP($B65,'Trial Blc'!$B$4:O$377,D$2,FALSE),0)</f>
        <v>923</v>
      </c>
      <c r="E65" s="627">
        <f>IFERROR(VLOOKUP($B65,'Trial Blc'!$B$4:P$377,E$2,FALSE),0)</f>
        <v>923</v>
      </c>
      <c r="F65" s="627">
        <f>IFERROR(VLOOKUP($B65,'Trial Blc'!$B$4:Q$377,F$2,FALSE),0)</f>
        <v>923</v>
      </c>
      <c r="G65" s="627">
        <f>IFERROR(VLOOKUP($B65,'Trial Blc'!$B$4:R$377,G$2,FALSE),0)</f>
        <v>923</v>
      </c>
      <c r="H65" s="627">
        <f>IFERROR(VLOOKUP($B65,'Trial Blc'!$B$4:S$377,H$2,FALSE),0)</f>
        <v>923</v>
      </c>
      <c r="I65" s="627">
        <f>IFERROR(VLOOKUP($B65,'Trial Blc'!$B$4:T$377,I$2,FALSE),0)</f>
        <v>923</v>
      </c>
      <c r="J65" s="627">
        <f>IFERROR(VLOOKUP($B65,'Trial Blc'!$B$4:U$377,J$2,FALSE),0)</f>
        <v>923</v>
      </c>
      <c r="K65" s="627">
        <f>IFERROR(VLOOKUP($B65,'Trial Blc'!$B$4:V$377,K$2,FALSE),0)</f>
        <v>923</v>
      </c>
      <c r="L65" s="627">
        <f>IFERROR(VLOOKUP($B65,'Trial Blc'!$B$4:W$377,L$2,FALSE),0)</f>
        <v>923</v>
      </c>
      <c r="M65" s="627">
        <f>IFERROR(VLOOKUP($B65,'Trial Blc'!$B$4:X$377,M$2,FALSE),0)</f>
        <v>923</v>
      </c>
      <c r="N65" s="627">
        <f>IFERROR(VLOOKUP($B65,'Trial Blc'!$B$4:Y$377,N$2,FALSE),0)</f>
        <v>923</v>
      </c>
      <c r="O65" s="627">
        <f>IFERROR(VLOOKUP($B65,'Trial Blc'!$B$4:Z$377,O$2,FALSE),0)</f>
        <v>923</v>
      </c>
      <c r="P65" s="627">
        <f>IFERROR(VLOOKUP($B65,'Trial Blc'!$B$4:AA$377,P$2,FALSE),0)</f>
        <v>913.45</v>
      </c>
      <c r="Q65" s="627">
        <f t="shared" si="13"/>
        <v>922.26538461538462</v>
      </c>
      <c r="R65" s="820"/>
    </row>
    <row r="66" spans="2:18">
      <c r="B66" s="1561">
        <v>4387</v>
      </c>
      <c r="C66" s="21" t="s">
        <v>1618</v>
      </c>
      <c r="D66" s="627">
        <f>IFERROR(VLOOKUP($B66,'Trial Blc'!$B$4:O$377,D$2,FALSE),0)</f>
        <v>-131594.54</v>
      </c>
      <c r="E66" s="627">
        <f>IFERROR(VLOOKUP($B66,'Trial Blc'!$B$4:P$377,E$2,FALSE),0)</f>
        <v>-131594.54</v>
      </c>
      <c r="F66" s="627">
        <f>IFERROR(VLOOKUP($B66,'Trial Blc'!$B$4:Q$377,F$2,FALSE),0)</f>
        <v>-131533.93</v>
      </c>
      <c r="G66" s="627">
        <f>IFERROR(VLOOKUP($B66,'Trial Blc'!$B$4:R$377,G$2,FALSE),0)</f>
        <v>-131524.13</v>
      </c>
      <c r="H66" s="627">
        <f>IFERROR(VLOOKUP($B66,'Trial Blc'!$B$4:S$377,H$2,FALSE),0)</f>
        <v>-131540.24</v>
      </c>
      <c r="I66" s="627">
        <f>IFERROR(VLOOKUP($B66,'Trial Blc'!$B$4:T$377,I$2,FALSE),0)</f>
        <v>-131533.09</v>
      </c>
      <c r="J66" s="627">
        <f>IFERROR(VLOOKUP($B66,'Trial Blc'!$B$4:U$377,J$2,FALSE),0)</f>
        <v>-131533.81</v>
      </c>
      <c r="K66" s="627">
        <f>IFERROR(VLOOKUP($B66,'Trial Blc'!$B$4:V$377,K$2,FALSE),0)</f>
        <v>-131526.14000000001</v>
      </c>
      <c r="L66" s="627">
        <f>IFERROR(VLOOKUP($B66,'Trial Blc'!$B$4:W$377,L$2,FALSE),0)</f>
        <v>-131518.03</v>
      </c>
      <c r="M66" s="627">
        <f>IFERROR(VLOOKUP($B66,'Trial Blc'!$B$4:X$377,M$2,FALSE),0)</f>
        <v>-131465.37</v>
      </c>
      <c r="N66" s="627">
        <f>IFERROR(VLOOKUP($B66,'Trial Blc'!$B$4:Y$377,N$2,FALSE),0)</f>
        <v>-131464.04</v>
      </c>
      <c r="O66" s="627">
        <f>IFERROR(VLOOKUP($B66,'Trial Blc'!$B$4:Z$377,O$2,FALSE),0)</f>
        <v>-131456.73000000001</v>
      </c>
      <c r="P66" s="627">
        <f>IFERROR(VLOOKUP($B66,'Trial Blc'!$B$4:AA$377,P$2,FALSE),0)</f>
        <v>-216314.99</v>
      </c>
      <c r="Q66" s="627">
        <f t="shared" si="13"/>
        <v>-138046.12153846154</v>
      </c>
      <c r="R66" s="820"/>
    </row>
    <row r="67" spans="2:18">
      <c r="B67" s="1561">
        <v>4389</v>
      </c>
      <c r="C67" s="21" t="s">
        <v>1816</v>
      </c>
      <c r="D67" s="627">
        <f>IFERROR(VLOOKUP($B67,'Trial Blc'!$B$4:O$377,D$2,FALSE),0)</f>
        <v>-121436.74</v>
      </c>
      <c r="E67" s="627">
        <f>IFERROR(VLOOKUP($B67,'Trial Blc'!$B$4:P$377,E$2,FALSE),0)</f>
        <v>-121436.77</v>
      </c>
      <c r="F67" s="627">
        <f>IFERROR(VLOOKUP($B67,'Trial Blc'!$B$4:Q$377,F$2,FALSE),0)</f>
        <v>-121437.38</v>
      </c>
      <c r="G67" s="627">
        <f>IFERROR(VLOOKUP($B67,'Trial Blc'!$B$4:R$377,G$2,FALSE),0)</f>
        <v>-121437.48</v>
      </c>
      <c r="H67" s="627">
        <f>IFERROR(VLOOKUP($B67,'Trial Blc'!$B$4:S$377,H$2,FALSE),0)</f>
        <v>-121437.31</v>
      </c>
      <c r="I67" s="627">
        <f>IFERROR(VLOOKUP($B67,'Trial Blc'!$B$4:T$377,I$2,FALSE),0)</f>
        <v>-121437.38</v>
      </c>
      <c r="J67" s="627">
        <f>IFERROR(VLOOKUP($B67,'Trial Blc'!$B$4:U$377,J$2,FALSE),0)</f>
        <v>-121437.38</v>
      </c>
      <c r="K67" s="627">
        <f>IFERROR(VLOOKUP($B67,'Trial Blc'!$B$4:V$377,K$2,FALSE),0)</f>
        <v>-121437.46</v>
      </c>
      <c r="L67" s="627">
        <f>IFERROR(VLOOKUP($B67,'Trial Blc'!$B$4:W$377,L$2,FALSE),0)</f>
        <v>-121437.54</v>
      </c>
      <c r="M67" s="627">
        <f>IFERROR(VLOOKUP($B67,'Trial Blc'!$B$4:X$377,M$2,FALSE),0)</f>
        <v>-121438.09</v>
      </c>
      <c r="N67" s="627">
        <f>IFERROR(VLOOKUP($B67,'Trial Blc'!$B$4:Y$377,N$2,FALSE),0)</f>
        <v>-121438.11</v>
      </c>
      <c r="O67" s="627">
        <f>IFERROR(VLOOKUP($B67,'Trial Blc'!$B$4:Z$377,O$2,FALSE),0)</f>
        <v>-121438.19</v>
      </c>
      <c r="P67" s="627">
        <f>IFERROR(VLOOKUP($B67,'Trial Blc'!$B$4:AA$377,P$2,FALSE),0)</f>
        <v>-122029.39</v>
      </c>
      <c r="Q67" s="627">
        <f t="shared" si="13"/>
        <v>-121483.01692307692</v>
      </c>
      <c r="R67" s="820"/>
    </row>
    <row r="68" spans="2:18">
      <c r="D68" s="820"/>
      <c r="E68" s="820"/>
      <c r="F68" s="820"/>
      <c r="G68" s="820"/>
      <c r="H68" s="820"/>
      <c r="I68" s="820"/>
      <c r="J68" s="820"/>
      <c r="K68" s="820"/>
      <c r="L68" s="820"/>
      <c r="M68" s="820"/>
      <c r="N68" s="820"/>
      <c r="O68" s="820"/>
      <c r="P68" s="820"/>
      <c r="Q68" s="820"/>
      <c r="R68" s="820"/>
    </row>
    <row r="69" spans="2:18">
      <c r="B69" s="1561">
        <v>4417</v>
      </c>
      <c r="C69" s="21" t="s">
        <v>1817</v>
      </c>
      <c r="D69" s="627">
        <f>IFERROR(VLOOKUP($B69,'Trial Blc'!$B$4:O$377,D$2,FALSE),0)</f>
        <v>-7769.47</v>
      </c>
      <c r="E69" s="627">
        <f>IFERROR(VLOOKUP($B69,'Trial Blc'!$B$4:P$377,E$2,FALSE),0)</f>
        <v>-7769.47</v>
      </c>
      <c r="F69" s="627">
        <f>IFERROR(VLOOKUP($B69,'Trial Blc'!$B$4:Q$377,F$2,FALSE),0)</f>
        <v>-7769.49</v>
      </c>
      <c r="G69" s="627">
        <f>IFERROR(VLOOKUP($B69,'Trial Blc'!$B$4:R$377,G$2,FALSE),0)</f>
        <v>-7769.5</v>
      </c>
      <c r="H69" s="627">
        <f>IFERROR(VLOOKUP($B69,'Trial Blc'!$B$4:S$377,H$2,FALSE),0)</f>
        <v>-7769.49</v>
      </c>
      <c r="I69" s="627">
        <f>IFERROR(VLOOKUP($B69,'Trial Blc'!$B$4:T$377,I$2,FALSE),0)</f>
        <v>-7769.49</v>
      </c>
      <c r="J69" s="627">
        <f>IFERROR(VLOOKUP($B69,'Trial Blc'!$B$4:U$377,J$2,FALSE),0)</f>
        <v>-7769.49</v>
      </c>
      <c r="K69" s="627">
        <f>IFERROR(VLOOKUP($B69,'Trial Blc'!$B$4:V$377,K$2,FALSE),0)</f>
        <v>-7769.5</v>
      </c>
      <c r="L69" s="627">
        <f>IFERROR(VLOOKUP($B69,'Trial Blc'!$B$4:W$377,L$2,FALSE),0)</f>
        <v>-7769.5</v>
      </c>
      <c r="M69" s="627">
        <f>IFERROR(VLOOKUP($B69,'Trial Blc'!$B$4:X$377,M$2,FALSE),0)</f>
        <v>-7769.52</v>
      </c>
      <c r="N69" s="627">
        <f>IFERROR(VLOOKUP($B69,'Trial Blc'!$B$4:Y$377,N$2,FALSE),0)</f>
        <v>-7769.52</v>
      </c>
      <c r="O69" s="627">
        <f>IFERROR(VLOOKUP($B69,'Trial Blc'!$B$4:Z$377,O$2,FALSE),0)</f>
        <v>-7769.53</v>
      </c>
      <c r="P69" s="627">
        <f>IFERROR(VLOOKUP($B69,'Trial Blc'!$B$4:AA$377,P$2,FALSE),0)</f>
        <v>-7803.28</v>
      </c>
      <c r="Q69" s="627">
        <f t="shared" ref="Q69:Q77" si="14">AVERAGE(D69:P69)</f>
        <v>-7772.0961538461543</v>
      </c>
      <c r="R69" s="820"/>
    </row>
    <row r="70" spans="2:18">
      <c r="B70" s="1561">
        <v>4419</v>
      </c>
      <c r="C70" s="21" t="s">
        <v>2281</v>
      </c>
      <c r="D70" s="627">
        <f>IFERROR(VLOOKUP($B70,'Trial Blc'!$B$4:O$377,D$2,FALSE),0)</f>
        <v>10327</v>
      </c>
      <c r="E70" s="627">
        <f>IFERROR(VLOOKUP($B70,'Trial Blc'!$B$4:P$377,E$2,FALSE),0)</f>
        <v>10327</v>
      </c>
      <c r="F70" s="627">
        <f>IFERROR(VLOOKUP($B70,'Trial Blc'!$B$4:Q$377,F$2,FALSE),0)</f>
        <v>10327</v>
      </c>
      <c r="G70" s="627">
        <f>IFERROR(VLOOKUP($B70,'Trial Blc'!$B$4:R$377,G$2,FALSE),0)</f>
        <v>10327</v>
      </c>
      <c r="H70" s="627">
        <f>IFERROR(VLOOKUP($B70,'Trial Blc'!$B$4:S$377,H$2,FALSE),0)</f>
        <v>10327</v>
      </c>
      <c r="I70" s="627">
        <f>IFERROR(VLOOKUP($B70,'Trial Blc'!$B$4:T$377,I$2,FALSE),0)</f>
        <v>10327</v>
      </c>
      <c r="J70" s="627">
        <f>IFERROR(VLOOKUP($B70,'Trial Blc'!$B$4:U$377,J$2,FALSE),0)</f>
        <v>10327</v>
      </c>
      <c r="K70" s="627">
        <f>IFERROR(VLOOKUP($B70,'Trial Blc'!$B$4:V$377,K$2,FALSE),0)</f>
        <v>10327</v>
      </c>
      <c r="L70" s="627">
        <f>IFERROR(VLOOKUP($B70,'Trial Blc'!$B$4:W$377,L$2,FALSE),0)</f>
        <v>10327</v>
      </c>
      <c r="M70" s="627">
        <f>IFERROR(VLOOKUP($B70,'Trial Blc'!$B$4:X$377,M$2,FALSE),0)</f>
        <v>10327</v>
      </c>
      <c r="N70" s="627">
        <f>IFERROR(VLOOKUP($B70,'Trial Blc'!$B$4:Y$377,N$2,FALSE),0)</f>
        <v>10327</v>
      </c>
      <c r="O70" s="627">
        <f>IFERROR(VLOOKUP($B70,'Trial Blc'!$B$4:Z$377,O$2,FALSE),0)</f>
        <v>10327</v>
      </c>
      <c r="P70" s="627">
        <f>IFERROR(VLOOKUP($B70,'Trial Blc'!$B$4:AA$377,P$2,FALSE),0)</f>
        <v>10327</v>
      </c>
      <c r="Q70" s="627">
        <f t="shared" si="14"/>
        <v>10327</v>
      </c>
      <c r="R70" s="820"/>
    </row>
    <row r="71" spans="2:18">
      <c r="B71" s="1561">
        <v>4421</v>
      </c>
      <c r="C71" s="21" t="s">
        <v>1619</v>
      </c>
      <c r="D71" s="627">
        <f>IFERROR(VLOOKUP($B71,'Trial Blc'!$B$4:O$377,D$2,FALSE),0)</f>
        <v>21795.34</v>
      </c>
      <c r="E71" s="627">
        <f>IFERROR(VLOOKUP($B71,'Trial Blc'!$B$4:P$377,E$2,FALSE),0)</f>
        <v>21795.34</v>
      </c>
      <c r="F71" s="627">
        <f>IFERROR(VLOOKUP($B71,'Trial Blc'!$B$4:Q$377,F$2,FALSE),0)</f>
        <v>21795.34</v>
      </c>
      <c r="G71" s="627">
        <f>IFERROR(VLOOKUP($B71,'Trial Blc'!$B$4:R$377,G$2,FALSE),0)</f>
        <v>21795.34</v>
      </c>
      <c r="H71" s="627">
        <f>IFERROR(VLOOKUP($B71,'Trial Blc'!$B$4:S$377,H$2,FALSE),0)</f>
        <v>21795.34</v>
      </c>
      <c r="I71" s="627">
        <f>IFERROR(VLOOKUP($B71,'Trial Blc'!$B$4:T$377,I$2,FALSE),0)</f>
        <v>21795.34</v>
      </c>
      <c r="J71" s="627">
        <f>IFERROR(VLOOKUP($B71,'Trial Blc'!$B$4:U$377,J$2,FALSE),0)</f>
        <v>21795.34</v>
      </c>
      <c r="K71" s="627">
        <f>IFERROR(VLOOKUP($B71,'Trial Blc'!$B$4:V$377,K$2,FALSE),0)</f>
        <v>21795.34</v>
      </c>
      <c r="L71" s="627">
        <f>IFERROR(VLOOKUP($B71,'Trial Blc'!$B$4:W$377,L$2,FALSE),0)</f>
        <v>21795.34</v>
      </c>
      <c r="M71" s="627">
        <f>IFERROR(VLOOKUP($B71,'Trial Blc'!$B$4:X$377,M$2,FALSE),0)</f>
        <v>21795.34</v>
      </c>
      <c r="N71" s="627">
        <f>IFERROR(VLOOKUP($B71,'Trial Blc'!$B$4:Y$377,N$2,FALSE),0)</f>
        <v>21795.34</v>
      </c>
      <c r="O71" s="627">
        <f>IFERROR(VLOOKUP($B71,'Trial Blc'!$B$4:Z$377,O$2,FALSE),0)</f>
        <v>21795.34</v>
      </c>
      <c r="P71" s="627">
        <f>IFERROR(VLOOKUP($B71,'Trial Blc'!$B$4:AA$377,P$2,FALSE),0)</f>
        <v>21795.34</v>
      </c>
      <c r="Q71" s="627">
        <f t="shared" si="14"/>
        <v>21795.34</v>
      </c>
      <c r="R71" s="820"/>
    </row>
    <row r="72" spans="2:18">
      <c r="B72" s="1561">
        <v>4425</v>
      </c>
      <c r="C72" s="21" t="s">
        <v>1620</v>
      </c>
      <c r="D72" s="627">
        <f>IFERROR(VLOOKUP($B72,'Trial Blc'!$B$4:O$377,D$2,FALSE),0)</f>
        <v>70.88</v>
      </c>
      <c r="E72" s="627">
        <f>IFERROR(VLOOKUP($B72,'Trial Blc'!$B$4:P$377,E$2,FALSE),0)</f>
        <v>70.88</v>
      </c>
      <c r="F72" s="627">
        <f>IFERROR(VLOOKUP($B72,'Trial Blc'!$B$4:Q$377,F$2,FALSE),0)</f>
        <v>70.88</v>
      </c>
      <c r="G72" s="627">
        <f>IFERROR(VLOOKUP($B72,'Trial Blc'!$B$4:R$377,G$2,FALSE),0)</f>
        <v>70.88</v>
      </c>
      <c r="H72" s="627">
        <f>IFERROR(VLOOKUP($B72,'Trial Blc'!$B$4:S$377,H$2,FALSE),0)</f>
        <v>70.88</v>
      </c>
      <c r="I72" s="627">
        <f>IFERROR(VLOOKUP($B72,'Trial Blc'!$B$4:T$377,I$2,FALSE),0)</f>
        <v>70.88</v>
      </c>
      <c r="J72" s="627">
        <f>IFERROR(VLOOKUP($B72,'Trial Blc'!$B$4:U$377,J$2,FALSE),0)</f>
        <v>70.88</v>
      </c>
      <c r="K72" s="627">
        <f>IFERROR(VLOOKUP($B72,'Trial Blc'!$B$4:V$377,K$2,FALSE),0)</f>
        <v>70.88</v>
      </c>
      <c r="L72" s="627">
        <f>IFERROR(VLOOKUP($B72,'Trial Blc'!$B$4:W$377,L$2,FALSE),0)</f>
        <v>70.88</v>
      </c>
      <c r="M72" s="627">
        <f>IFERROR(VLOOKUP($B72,'Trial Blc'!$B$4:X$377,M$2,FALSE),0)</f>
        <v>70.88</v>
      </c>
      <c r="N72" s="627">
        <f>IFERROR(VLOOKUP($B72,'Trial Blc'!$B$4:Y$377,N$2,FALSE),0)</f>
        <v>70.88</v>
      </c>
      <c r="O72" s="627">
        <f>IFERROR(VLOOKUP($B72,'Trial Blc'!$B$4:Z$377,O$2,FALSE),0)</f>
        <v>70.88</v>
      </c>
      <c r="P72" s="627">
        <f>IFERROR(VLOOKUP($B72,'Trial Blc'!$B$4:AA$377,P$2,FALSE),0)</f>
        <v>70.88</v>
      </c>
      <c r="Q72" s="627">
        <f t="shared" si="14"/>
        <v>70.88</v>
      </c>
      <c r="R72" s="820"/>
    </row>
    <row r="73" spans="2:18">
      <c r="B73" s="1561">
        <v>4427</v>
      </c>
      <c r="C73" s="21" t="s">
        <v>1621</v>
      </c>
      <c r="D73" s="627">
        <f>IFERROR(VLOOKUP($B73,'Trial Blc'!$B$4:O$377,D$2,FALSE),0)</f>
        <v>-439.06</v>
      </c>
      <c r="E73" s="627">
        <f>IFERROR(VLOOKUP($B73,'Trial Blc'!$B$4:P$377,E$2,FALSE),0)</f>
        <v>-439.06</v>
      </c>
      <c r="F73" s="627">
        <f>IFERROR(VLOOKUP($B73,'Trial Blc'!$B$4:Q$377,F$2,FALSE),0)</f>
        <v>-439.06</v>
      </c>
      <c r="G73" s="627">
        <f>IFERROR(VLOOKUP($B73,'Trial Blc'!$B$4:R$377,G$2,FALSE),0)</f>
        <v>-439.06</v>
      </c>
      <c r="H73" s="627">
        <f>IFERROR(VLOOKUP($B73,'Trial Blc'!$B$4:S$377,H$2,FALSE),0)</f>
        <v>-439.06</v>
      </c>
      <c r="I73" s="627">
        <f>IFERROR(VLOOKUP($B73,'Trial Blc'!$B$4:T$377,I$2,FALSE),0)</f>
        <v>-439.06</v>
      </c>
      <c r="J73" s="627">
        <f>IFERROR(VLOOKUP($B73,'Trial Blc'!$B$4:U$377,J$2,FALSE),0)</f>
        <v>-439.06</v>
      </c>
      <c r="K73" s="627">
        <f>IFERROR(VLOOKUP($B73,'Trial Blc'!$B$4:V$377,K$2,FALSE),0)</f>
        <v>-439.06</v>
      </c>
      <c r="L73" s="627">
        <f>IFERROR(VLOOKUP($B73,'Trial Blc'!$B$4:W$377,L$2,FALSE),0)</f>
        <v>-439.06</v>
      </c>
      <c r="M73" s="627">
        <f>IFERROR(VLOOKUP($B73,'Trial Blc'!$B$4:X$377,M$2,FALSE),0)</f>
        <v>-439.06</v>
      </c>
      <c r="N73" s="627">
        <f>IFERROR(VLOOKUP($B73,'Trial Blc'!$B$4:Y$377,N$2,FALSE),0)</f>
        <v>-439.06</v>
      </c>
      <c r="O73" s="627">
        <f>IFERROR(VLOOKUP($B73,'Trial Blc'!$B$4:Z$377,O$2,FALSE),0)</f>
        <v>-439.06</v>
      </c>
      <c r="P73" s="627">
        <f>IFERROR(VLOOKUP($B73,'Trial Blc'!$B$4:AA$377,P$2,FALSE),0)</f>
        <v>-2100</v>
      </c>
      <c r="Q73" s="627">
        <f t="shared" si="14"/>
        <v>-566.82461538461553</v>
      </c>
      <c r="R73" s="820"/>
    </row>
    <row r="74" spans="2:18">
      <c r="B74" s="1561">
        <v>4433</v>
      </c>
      <c r="C74" s="21" t="s">
        <v>1622</v>
      </c>
      <c r="D74" s="627">
        <f>IFERROR(VLOOKUP($B74,'Trial Blc'!$B$4:O$377,D$2,FALSE),0)</f>
        <v>1213.17</v>
      </c>
      <c r="E74" s="627">
        <f>IFERROR(VLOOKUP($B74,'Trial Blc'!$B$4:P$377,E$2,FALSE),0)</f>
        <v>1213.17</v>
      </c>
      <c r="F74" s="627">
        <f>IFERROR(VLOOKUP($B74,'Trial Blc'!$B$4:Q$377,F$2,FALSE),0)</f>
        <v>1213.17</v>
      </c>
      <c r="G74" s="627">
        <f>IFERROR(VLOOKUP($B74,'Trial Blc'!$B$4:R$377,G$2,FALSE),0)</f>
        <v>1213.17</v>
      </c>
      <c r="H74" s="627">
        <f>IFERROR(VLOOKUP($B74,'Trial Blc'!$B$4:S$377,H$2,FALSE),0)</f>
        <v>1213.17</v>
      </c>
      <c r="I74" s="627">
        <f>IFERROR(VLOOKUP($B74,'Trial Blc'!$B$4:T$377,I$2,FALSE),0)</f>
        <v>1213.17</v>
      </c>
      <c r="J74" s="627">
        <f>IFERROR(VLOOKUP($B74,'Trial Blc'!$B$4:U$377,J$2,FALSE),0)</f>
        <v>1213.17</v>
      </c>
      <c r="K74" s="627">
        <f>IFERROR(VLOOKUP($B74,'Trial Blc'!$B$4:V$377,K$2,FALSE),0)</f>
        <v>1213.17</v>
      </c>
      <c r="L74" s="627">
        <f>IFERROR(VLOOKUP($B74,'Trial Blc'!$B$4:W$377,L$2,FALSE),0)</f>
        <v>1213.17</v>
      </c>
      <c r="M74" s="627">
        <f>IFERROR(VLOOKUP($B74,'Trial Blc'!$B$4:X$377,M$2,FALSE),0)</f>
        <v>1213.17</v>
      </c>
      <c r="N74" s="627">
        <f>IFERROR(VLOOKUP($B74,'Trial Blc'!$B$4:Y$377,N$2,FALSE),0)</f>
        <v>1213.17</v>
      </c>
      <c r="O74" s="627">
        <f>IFERROR(VLOOKUP($B74,'Trial Blc'!$B$4:Z$377,O$2,FALSE),0)</f>
        <v>1213.17</v>
      </c>
      <c r="P74" s="627">
        <f>IFERROR(VLOOKUP($B74,'Trial Blc'!$B$4:AA$377,P$2,FALSE),0)</f>
        <v>1215.27</v>
      </c>
      <c r="Q74" s="627">
        <f t="shared" si="14"/>
        <v>1213.3315384615385</v>
      </c>
      <c r="R74" s="820"/>
    </row>
    <row r="75" spans="2:18">
      <c r="B75" s="1561">
        <v>4435</v>
      </c>
      <c r="C75" s="21" t="s">
        <v>1623</v>
      </c>
      <c r="D75" s="627">
        <f>IFERROR(VLOOKUP($B75,'Trial Blc'!$B$4:O$377,D$2,FALSE),0)</f>
        <v>158</v>
      </c>
      <c r="E75" s="627">
        <f>IFERROR(VLOOKUP($B75,'Trial Blc'!$B$4:P$377,E$2,FALSE),0)</f>
        <v>158</v>
      </c>
      <c r="F75" s="627">
        <f>IFERROR(VLOOKUP($B75,'Trial Blc'!$B$4:Q$377,F$2,FALSE),0)</f>
        <v>158</v>
      </c>
      <c r="G75" s="627">
        <f>IFERROR(VLOOKUP($B75,'Trial Blc'!$B$4:R$377,G$2,FALSE),0)</f>
        <v>158</v>
      </c>
      <c r="H75" s="627">
        <f>IFERROR(VLOOKUP($B75,'Trial Blc'!$B$4:S$377,H$2,FALSE),0)</f>
        <v>158</v>
      </c>
      <c r="I75" s="627">
        <f>IFERROR(VLOOKUP($B75,'Trial Blc'!$B$4:T$377,I$2,FALSE),0)</f>
        <v>158</v>
      </c>
      <c r="J75" s="627">
        <f>IFERROR(VLOOKUP($B75,'Trial Blc'!$B$4:U$377,J$2,FALSE),0)</f>
        <v>158</v>
      </c>
      <c r="K75" s="627">
        <f>IFERROR(VLOOKUP($B75,'Trial Blc'!$B$4:V$377,K$2,FALSE),0)</f>
        <v>158</v>
      </c>
      <c r="L75" s="627">
        <f>IFERROR(VLOOKUP($B75,'Trial Blc'!$B$4:W$377,L$2,FALSE),0)</f>
        <v>158</v>
      </c>
      <c r="M75" s="627">
        <f>IFERROR(VLOOKUP($B75,'Trial Blc'!$B$4:X$377,M$2,FALSE),0)</f>
        <v>158</v>
      </c>
      <c r="N75" s="627">
        <f>IFERROR(VLOOKUP($B75,'Trial Blc'!$B$4:Y$377,N$2,FALSE),0)</f>
        <v>158</v>
      </c>
      <c r="O75" s="627">
        <f>IFERROR(VLOOKUP($B75,'Trial Blc'!$B$4:Z$377,O$2,FALSE),0)</f>
        <v>158</v>
      </c>
      <c r="P75" s="627">
        <f>IFERROR(VLOOKUP($B75,'Trial Blc'!$B$4:AA$377,P$2,FALSE),0)</f>
        <v>156.27000000000001</v>
      </c>
      <c r="Q75" s="627">
        <f t="shared" si="14"/>
        <v>157.86692307692309</v>
      </c>
      <c r="R75" s="820"/>
    </row>
    <row r="76" spans="2:18">
      <c r="B76" s="1561">
        <v>4437</v>
      </c>
      <c r="C76" s="21" t="s">
        <v>1624</v>
      </c>
      <c r="D76" s="627">
        <f>IFERROR(VLOOKUP($B76,'Trial Blc'!$B$4:O$377,D$2,FALSE),0)</f>
        <v>27616.880000000001</v>
      </c>
      <c r="E76" s="627">
        <f>IFERROR(VLOOKUP($B76,'Trial Blc'!$B$4:P$377,E$2,FALSE),0)</f>
        <v>27616.959999999999</v>
      </c>
      <c r="F76" s="627">
        <f>IFERROR(VLOOKUP($B76,'Trial Blc'!$B$4:Q$377,F$2,FALSE),0)</f>
        <v>27618.47</v>
      </c>
      <c r="G76" s="627">
        <f>IFERROR(VLOOKUP($B76,'Trial Blc'!$B$4:R$377,G$2,FALSE),0)</f>
        <v>27618.73</v>
      </c>
      <c r="H76" s="627">
        <f>IFERROR(VLOOKUP($B76,'Trial Blc'!$B$4:S$377,H$2,FALSE),0)</f>
        <v>27618.31</v>
      </c>
      <c r="I76" s="627">
        <f>IFERROR(VLOOKUP($B76,'Trial Blc'!$B$4:T$377,I$2,FALSE),0)</f>
        <v>27618.5</v>
      </c>
      <c r="J76" s="627">
        <f>IFERROR(VLOOKUP($B76,'Trial Blc'!$B$4:U$377,J$2,FALSE),0)</f>
        <v>27618.48</v>
      </c>
      <c r="K76" s="627">
        <f>IFERROR(VLOOKUP($B76,'Trial Blc'!$B$4:V$377,K$2,FALSE),0)</f>
        <v>27618.68</v>
      </c>
      <c r="L76" s="627">
        <f>IFERROR(VLOOKUP($B76,'Trial Blc'!$B$4:W$377,L$2,FALSE),0)</f>
        <v>27618.89</v>
      </c>
      <c r="M76" s="627">
        <f>IFERROR(VLOOKUP($B76,'Trial Blc'!$B$4:X$377,M$2,FALSE),0)</f>
        <v>27620.27</v>
      </c>
      <c r="N76" s="627">
        <f>IFERROR(VLOOKUP($B76,'Trial Blc'!$B$4:Y$377,N$2,FALSE),0)</f>
        <v>27620.31</v>
      </c>
      <c r="O76" s="627">
        <f>IFERROR(VLOOKUP($B76,'Trial Blc'!$B$4:Z$377,O$2,FALSE),0)</f>
        <v>27620.5</v>
      </c>
      <c r="P76" s="627">
        <f>IFERROR(VLOOKUP($B76,'Trial Blc'!$B$4:AA$377,P$2,FALSE),0)</f>
        <v>21224.03</v>
      </c>
      <c r="Q76" s="627">
        <f t="shared" si="14"/>
        <v>27126.846923076922</v>
      </c>
      <c r="R76" s="820"/>
    </row>
    <row r="77" spans="2:18">
      <c r="B77" s="1561">
        <v>4439</v>
      </c>
      <c r="C77" s="21" t="s">
        <v>2282</v>
      </c>
      <c r="D77" s="627">
        <f>IFERROR(VLOOKUP($B77,'Trial Blc'!$B$4:O$377,D$2,FALSE),0)</f>
        <v>-4875</v>
      </c>
      <c r="E77" s="627">
        <f>IFERROR(VLOOKUP($B77,'Trial Blc'!$B$4:P$377,E$2,FALSE),0)</f>
        <v>-4875</v>
      </c>
      <c r="F77" s="627">
        <f>IFERROR(VLOOKUP($B77,'Trial Blc'!$B$4:Q$377,F$2,FALSE),0)</f>
        <v>-4875</v>
      </c>
      <c r="G77" s="627">
        <f>IFERROR(VLOOKUP($B77,'Trial Blc'!$B$4:R$377,G$2,FALSE),0)</f>
        <v>-4875</v>
      </c>
      <c r="H77" s="627">
        <f>IFERROR(VLOOKUP($B77,'Trial Blc'!$B$4:S$377,H$2,FALSE),0)</f>
        <v>-4875</v>
      </c>
      <c r="I77" s="627">
        <f>IFERROR(VLOOKUP($B77,'Trial Blc'!$B$4:T$377,I$2,FALSE),0)</f>
        <v>-4875</v>
      </c>
      <c r="J77" s="627">
        <f>IFERROR(VLOOKUP($B77,'Trial Blc'!$B$4:U$377,J$2,FALSE),0)</f>
        <v>-4875</v>
      </c>
      <c r="K77" s="627">
        <f>IFERROR(VLOOKUP($B77,'Trial Blc'!$B$4:V$377,K$2,FALSE),0)</f>
        <v>-4875</v>
      </c>
      <c r="L77" s="627">
        <f>IFERROR(VLOOKUP($B77,'Trial Blc'!$B$4:W$377,L$2,FALSE),0)</f>
        <v>-4875</v>
      </c>
      <c r="M77" s="627">
        <f>IFERROR(VLOOKUP($B77,'Trial Blc'!$B$4:X$377,M$2,FALSE),0)</f>
        <v>-4875</v>
      </c>
      <c r="N77" s="627">
        <f>IFERROR(VLOOKUP($B77,'Trial Blc'!$B$4:Y$377,N$2,FALSE),0)</f>
        <v>-4875</v>
      </c>
      <c r="O77" s="627">
        <f>IFERROR(VLOOKUP($B77,'Trial Blc'!$B$4:Z$377,O$2,FALSE),0)</f>
        <v>-4875</v>
      </c>
      <c r="P77" s="627">
        <f>IFERROR(VLOOKUP($B77,'Trial Blc'!$B$4:AA$377,P$2,FALSE),0)</f>
        <v>-14552.35</v>
      </c>
      <c r="Q77" s="627">
        <f t="shared" si="14"/>
        <v>-5619.4115384615388</v>
      </c>
      <c r="R77" s="820"/>
    </row>
    <row r="78" spans="2:18">
      <c r="C78" s="827" t="s">
        <v>1646</v>
      </c>
      <c r="D78" s="1676">
        <f>SUM(D59:D77)</f>
        <v>-22391.150000000063</v>
      </c>
      <c r="E78" s="828">
        <f t="shared" ref="E78:Q78" si="15">SUM(E59:E77)</f>
        <v>-22391.100000000064</v>
      </c>
      <c r="F78" s="828">
        <f t="shared" si="15"/>
        <v>-22329.610000000052</v>
      </c>
      <c r="G78" s="828">
        <f t="shared" si="15"/>
        <v>-22319.660000000051</v>
      </c>
      <c r="H78" s="828">
        <f t="shared" si="15"/>
        <v>-22336.010000000042</v>
      </c>
      <c r="I78" s="828">
        <f t="shared" si="15"/>
        <v>-22328.740000000056</v>
      </c>
      <c r="J78" s="828">
        <f t="shared" si="15"/>
        <v>-22329.480000000058</v>
      </c>
      <c r="K78" s="828">
        <f t="shared" si="15"/>
        <v>-22321.70000000007</v>
      </c>
      <c r="L78" s="828">
        <f t="shared" si="15"/>
        <v>-22313.460000000043</v>
      </c>
      <c r="M78" s="828">
        <f t="shared" si="15"/>
        <v>-22259.990000000045</v>
      </c>
      <c r="N78" s="828">
        <f t="shared" si="15"/>
        <v>-22258.640000000061</v>
      </c>
      <c r="O78" s="828">
        <f t="shared" si="15"/>
        <v>-22251.230000000061</v>
      </c>
      <c r="P78" s="828">
        <f t="shared" si="15"/>
        <v>-137673.51</v>
      </c>
      <c r="Q78" s="828">
        <f t="shared" si="15"/>
        <v>-31192.63692307692</v>
      </c>
      <c r="R78" s="820"/>
    </row>
    <row r="79" spans="2:18">
      <c r="C79" s="827"/>
      <c r="D79" s="1677">
        <f>+D67+D77</f>
        <v>-126311.74</v>
      </c>
      <c r="E79" s="1677">
        <f t="shared" ref="E79:Q79" si="16">+E67+E77</f>
        <v>-126311.77</v>
      </c>
      <c r="F79" s="1677">
        <f t="shared" si="16"/>
        <v>-126312.38</v>
      </c>
      <c r="G79" s="1677">
        <f t="shared" si="16"/>
        <v>-126312.48</v>
      </c>
      <c r="H79" s="1677">
        <f t="shared" si="16"/>
        <v>-126312.31</v>
      </c>
      <c r="I79" s="1677">
        <f t="shared" si="16"/>
        <v>-126312.38</v>
      </c>
      <c r="J79" s="1677">
        <f t="shared" si="16"/>
        <v>-126312.38</v>
      </c>
      <c r="K79" s="1677">
        <f t="shared" si="16"/>
        <v>-126312.46</v>
      </c>
      <c r="L79" s="1677">
        <f t="shared" si="16"/>
        <v>-126312.54</v>
      </c>
      <c r="M79" s="1677">
        <f t="shared" si="16"/>
        <v>-126313.09</v>
      </c>
      <c r="N79" s="1677">
        <f t="shared" si="16"/>
        <v>-126313.11</v>
      </c>
      <c r="O79" s="1677">
        <f t="shared" si="16"/>
        <v>-126313.19</v>
      </c>
      <c r="P79" s="1677">
        <f t="shared" si="16"/>
        <v>-136581.74</v>
      </c>
      <c r="Q79" s="1677">
        <f t="shared" si="16"/>
        <v>-127102.42846153847</v>
      </c>
      <c r="R79" s="820"/>
    </row>
    <row r="80" spans="2:18">
      <c r="D80" s="820">
        <f>+D78-D79</f>
        <v>103920.58999999994</v>
      </c>
      <c r="E80" s="820">
        <f t="shared" ref="E80:Q80" si="17">+E78-E79</f>
        <v>103920.66999999994</v>
      </c>
      <c r="F80" s="820">
        <f t="shared" si="17"/>
        <v>103982.76999999996</v>
      </c>
      <c r="G80" s="820">
        <f t="shared" si="17"/>
        <v>103992.81999999995</v>
      </c>
      <c r="H80" s="820">
        <f t="shared" si="17"/>
        <v>103976.29999999996</v>
      </c>
      <c r="I80" s="820">
        <f t="shared" si="17"/>
        <v>103983.63999999996</v>
      </c>
      <c r="J80" s="820">
        <f t="shared" si="17"/>
        <v>103982.89999999995</v>
      </c>
      <c r="K80" s="820">
        <f t="shared" si="17"/>
        <v>103990.75999999994</v>
      </c>
      <c r="L80" s="820">
        <f t="shared" si="17"/>
        <v>103999.07999999996</v>
      </c>
      <c r="M80" s="820">
        <f t="shared" si="17"/>
        <v>104053.09999999995</v>
      </c>
      <c r="N80" s="820">
        <f t="shared" si="17"/>
        <v>104054.46999999994</v>
      </c>
      <c r="O80" s="820">
        <f t="shared" si="17"/>
        <v>104061.95999999993</v>
      </c>
      <c r="P80" s="820">
        <f t="shared" si="17"/>
        <v>-1091.7700000000186</v>
      </c>
      <c r="Q80" s="820">
        <f t="shared" si="17"/>
        <v>95909.791538461548</v>
      </c>
      <c r="R80" s="820"/>
    </row>
    <row r="81" spans="1:18">
      <c r="C81" s="827"/>
      <c r="D81" s="967"/>
      <c r="E81" s="967"/>
      <c r="F81" s="967"/>
      <c r="G81" s="967"/>
      <c r="H81" s="967"/>
      <c r="I81" s="967"/>
      <c r="J81" s="967"/>
      <c r="K81" s="967"/>
      <c r="L81" s="967"/>
      <c r="M81" s="967"/>
      <c r="N81" s="967"/>
      <c r="O81" s="967"/>
      <c r="P81" s="967"/>
      <c r="Q81" s="967"/>
      <c r="R81" s="820"/>
    </row>
    <row r="82" spans="1:18">
      <c r="A82" s="821">
        <v>223</v>
      </c>
      <c r="B82" s="1562">
        <v>4565</v>
      </c>
      <c r="C82" s="1309" t="s">
        <v>1834</v>
      </c>
      <c r="D82" s="1670">
        <f>IFERROR(VLOOKUP($B82,'Trial Blc'!$B$4:O$377,D$2,FALSE),0)</f>
        <v>-477238.98</v>
      </c>
      <c r="E82" s="627">
        <f>IFERROR(VLOOKUP($B82,'Trial Blc'!$B$4:P$377,E$2,FALSE),0)</f>
        <v>-477238.98</v>
      </c>
      <c r="F82" s="627">
        <f>IFERROR(VLOOKUP($B82,'Trial Blc'!$B$4:Q$377,F$2,FALSE),0)</f>
        <v>-477238.98</v>
      </c>
      <c r="G82" s="627">
        <f>IFERROR(VLOOKUP($B82,'Trial Blc'!$B$4:R$377,G$2,FALSE),0)</f>
        <v>-477238.98</v>
      </c>
      <c r="H82" s="627">
        <f>IFERROR(VLOOKUP($B82,'Trial Blc'!$B$4:S$377,H$2,FALSE),0)</f>
        <v>-477238.98</v>
      </c>
      <c r="I82" s="627">
        <f>IFERROR(VLOOKUP($B82,'Trial Blc'!$B$4:T$377,I$2,FALSE),0)</f>
        <v>-477238.98</v>
      </c>
      <c r="J82" s="627">
        <f>IFERROR(VLOOKUP($B82,'Trial Blc'!$B$4:U$377,J$2,FALSE),0)</f>
        <v>-477238.98</v>
      </c>
      <c r="K82" s="627">
        <f>IFERROR(VLOOKUP($B82,'Trial Blc'!$B$4:V$377,K$2,FALSE),0)</f>
        <v>-477238.98</v>
      </c>
      <c r="L82" s="627">
        <f>IFERROR(VLOOKUP($B82,'Trial Blc'!$B$4:W$377,L$2,FALSE),0)</f>
        <v>-477238.98</v>
      </c>
      <c r="M82" s="627">
        <f>IFERROR(VLOOKUP($B82,'Trial Blc'!$B$4:X$377,M$2,FALSE),0)</f>
        <v>-477238.98</v>
      </c>
      <c r="N82" s="627">
        <f>IFERROR(VLOOKUP($B82,'Trial Blc'!$B$4:Y$377,N$2,FALSE),0)</f>
        <v>-477238.98</v>
      </c>
      <c r="O82" s="627">
        <f>IFERROR(VLOOKUP($B82,'Trial Blc'!$B$4:Z$377,O$2,FALSE),0)</f>
        <v>-477238.98</v>
      </c>
      <c r="P82" s="627">
        <f>IFERROR(VLOOKUP($B82,'Trial Blc'!$B$4:AA$377,P$2,FALSE),0)</f>
        <v>-477238.98</v>
      </c>
      <c r="Q82" s="627">
        <f t="shared" ref="Q82" si="18">AVERAGE(D82:P82)</f>
        <v>-477238.98000000016</v>
      </c>
      <c r="R82" s="820"/>
    </row>
    <row r="83" spans="1:18">
      <c r="D83" s="820"/>
      <c r="E83" s="820"/>
      <c r="F83" s="820"/>
      <c r="G83" s="820"/>
      <c r="H83" s="820"/>
      <c r="I83" s="820"/>
      <c r="J83" s="820"/>
      <c r="K83" s="820"/>
      <c r="L83" s="820"/>
      <c r="M83" s="820"/>
      <c r="N83" s="820"/>
      <c r="O83" s="820"/>
      <c r="P83" s="820"/>
      <c r="Q83" s="820"/>
      <c r="R83" s="820"/>
    </row>
    <row r="84" spans="1:18">
      <c r="A84" s="964" t="s">
        <v>1752</v>
      </c>
      <c r="D84" s="820"/>
      <c r="E84" s="820"/>
      <c r="F84" s="820"/>
      <c r="G84" s="820"/>
      <c r="H84" s="820"/>
      <c r="I84" s="820"/>
      <c r="J84" s="820"/>
      <c r="K84" s="820"/>
      <c r="L84" s="820"/>
      <c r="M84" s="820"/>
      <c r="N84" s="820"/>
      <c r="O84" s="820"/>
      <c r="P84" s="820"/>
      <c r="Q84" s="820"/>
      <c r="R84" s="820"/>
    </row>
    <row r="85" spans="1:18">
      <c r="A85" s="821">
        <v>231</v>
      </c>
      <c r="B85" s="1561">
        <v>4515</v>
      </c>
      <c r="C85" s="21" t="s">
        <v>1626</v>
      </c>
      <c r="D85" s="627">
        <f>IFERROR(VLOOKUP($B85,'Trial Blc'!$B$4:O$377,D$2,FALSE),0)</f>
        <v>-10830.95</v>
      </c>
      <c r="E85" s="627">
        <f>IFERROR(VLOOKUP($B85,'Trial Blc'!$B$4:P$377,E$2,FALSE),0)</f>
        <v>-13562.67</v>
      </c>
      <c r="F85" s="627">
        <f>IFERROR(VLOOKUP($B85,'Trial Blc'!$B$4:Q$377,F$2,FALSE),0)</f>
        <v>-3153.65</v>
      </c>
      <c r="G85" s="627">
        <f>IFERROR(VLOOKUP($B85,'Trial Blc'!$B$4:R$377,G$2,FALSE),0)</f>
        <v>-11197.5</v>
      </c>
      <c r="H85" s="627">
        <f>IFERROR(VLOOKUP($B85,'Trial Blc'!$B$4:S$377,H$2,FALSE),0)</f>
        <v>-206.53</v>
      </c>
      <c r="I85" s="627">
        <f>IFERROR(VLOOKUP($B85,'Trial Blc'!$B$4:T$377,I$2,FALSE),0)</f>
        <v>-4025</v>
      </c>
      <c r="J85" s="627">
        <f>IFERROR(VLOOKUP($B85,'Trial Blc'!$B$4:U$377,J$2,FALSE),0)</f>
        <v>-14571.78</v>
      </c>
      <c r="K85" s="627">
        <f>IFERROR(VLOOKUP($B85,'Trial Blc'!$B$4:V$377,K$2,FALSE),0)</f>
        <v>-7248.44</v>
      </c>
      <c r="L85" s="627">
        <f>IFERROR(VLOOKUP($B85,'Trial Blc'!$B$4:W$377,L$2,FALSE),0)</f>
        <v>-14697.26</v>
      </c>
      <c r="M85" s="627">
        <f>IFERROR(VLOOKUP($B85,'Trial Blc'!$B$4:X$377,M$2,FALSE),0)</f>
        <v>-30091.23</v>
      </c>
      <c r="N85" s="627">
        <f>IFERROR(VLOOKUP($B85,'Trial Blc'!$B$4:Y$377,N$2,FALSE),0)</f>
        <v>-8312.85</v>
      </c>
      <c r="O85" s="627">
        <f>IFERROR(VLOOKUP($B85,'Trial Blc'!$B$4:Z$377,O$2,FALSE),0)</f>
        <v>-5347.5</v>
      </c>
      <c r="P85" s="627">
        <f>IFERROR(VLOOKUP($B85,'Trial Blc'!$B$4:AA$377,P$2,FALSE),0)</f>
        <v>-13170.57</v>
      </c>
      <c r="Q85" s="627">
        <f t="shared" ref="Q85:Q89" si="19">AVERAGE(D85:P85)</f>
        <v>-10493.533076923077</v>
      </c>
      <c r="R85" s="820"/>
    </row>
    <row r="86" spans="1:18">
      <c r="B86" s="1561">
        <v>4525</v>
      </c>
      <c r="C86" s="21" t="s">
        <v>1625</v>
      </c>
      <c r="D86" s="627">
        <f>IFERROR(VLOOKUP($B86,'Trial Blc'!$B$4:O$377,D$2,FALSE),0)</f>
        <v>-41470.86</v>
      </c>
      <c r="E86" s="627">
        <f>IFERROR(VLOOKUP($B86,'Trial Blc'!$B$4:P$377,E$2,FALSE),0)</f>
        <v>-9850.98</v>
      </c>
      <c r="F86" s="627">
        <f>IFERROR(VLOOKUP($B86,'Trial Blc'!$B$4:Q$377,F$2,FALSE),0)</f>
        <v>-11556.79</v>
      </c>
      <c r="G86" s="627">
        <f>IFERROR(VLOOKUP($B86,'Trial Blc'!$B$4:R$377,G$2,FALSE),0)</f>
        <v>-5930.8</v>
      </c>
      <c r="H86" s="627">
        <f>IFERROR(VLOOKUP($B86,'Trial Blc'!$B$4:S$377,H$2,FALSE),0)</f>
        <v>-9517.61</v>
      </c>
      <c r="I86" s="627">
        <f>IFERROR(VLOOKUP($B86,'Trial Blc'!$B$4:T$377,I$2,FALSE),0)</f>
        <v>-7866.07</v>
      </c>
      <c r="J86" s="627">
        <f>IFERROR(VLOOKUP($B86,'Trial Blc'!$B$4:U$377,J$2,FALSE),0)</f>
        <v>-21644.7</v>
      </c>
      <c r="K86" s="627">
        <f>IFERROR(VLOOKUP($B86,'Trial Blc'!$B$4:V$377,K$2,FALSE),0)</f>
        <v>-10854.83</v>
      </c>
      <c r="L86" s="627">
        <f>IFERROR(VLOOKUP($B86,'Trial Blc'!$B$4:W$377,L$2,FALSE),0)</f>
        <v>-10845.47</v>
      </c>
      <c r="M86" s="627">
        <f>IFERROR(VLOOKUP($B86,'Trial Blc'!$B$4:X$377,M$2,FALSE),0)</f>
        <v>-6515.41</v>
      </c>
      <c r="N86" s="627">
        <f>IFERROR(VLOOKUP($B86,'Trial Blc'!$B$4:Y$377,N$2,FALSE),0)</f>
        <v>-7102.26</v>
      </c>
      <c r="O86" s="627">
        <f>IFERROR(VLOOKUP($B86,'Trial Blc'!$B$4:Z$377,O$2,FALSE),0)</f>
        <v>-7921.78</v>
      </c>
      <c r="P86" s="627">
        <f>IFERROR(VLOOKUP($B86,'Trial Blc'!$B$4:AA$377,P$2,FALSE),0)</f>
        <v>-50777.01</v>
      </c>
      <c r="Q86" s="627">
        <f t="shared" si="19"/>
        <v>-15527.274615384616</v>
      </c>
      <c r="R86" s="820"/>
    </row>
    <row r="87" spans="1:18">
      <c r="A87" s="821">
        <v>231</v>
      </c>
      <c r="B87" s="1561">
        <v>4545</v>
      </c>
      <c r="C87" s="21" t="s">
        <v>1629</v>
      </c>
      <c r="D87" s="627">
        <f>IFERROR(VLOOKUP($B87,'Trial Blc'!$B$4:O$377,D$2,FALSE),0)</f>
        <v>8721.8799999999992</v>
      </c>
      <c r="E87" s="627">
        <f>IFERROR(VLOOKUP($B87,'Trial Blc'!$B$4:P$377,E$2,FALSE),0)</f>
        <v>8721.8799999999992</v>
      </c>
      <c r="F87" s="627">
        <f>IFERROR(VLOOKUP($B87,'Trial Blc'!$B$4:Q$377,F$2,FALSE),0)</f>
        <v>8721.8799999999992</v>
      </c>
      <c r="G87" s="627">
        <f>IFERROR(VLOOKUP($B87,'Trial Blc'!$B$4:R$377,G$2,FALSE),0)</f>
        <v>8721.8799999999992</v>
      </c>
      <c r="H87" s="627">
        <f>IFERROR(VLOOKUP($B87,'Trial Blc'!$B$4:S$377,H$2,FALSE),0)</f>
        <v>8721.8799999999992</v>
      </c>
      <c r="I87" s="627">
        <f>IFERROR(VLOOKUP($B87,'Trial Blc'!$B$4:T$377,I$2,FALSE),0)</f>
        <v>8721.8799999999992</v>
      </c>
      <c r="J87" s="627">
        <f>IFERROR(VLOOKUP($B87,'Trial Blc'!$B$4:U$377,J$2,FALSE),0)</f>
        <v>8721.8799999999992</v>
      </c>
      <c r="K87" s="627">
        <f>IFERROR(VLOOKUP($B87,'Trial Blc'!$B$4:V$377,K$2,FALSE),0)</f>
        <v>14358.06</v>
      </c>
      <c r="L87" s="627">
        <f>IFERROR(VLOOKUP($B87,'Trial Blc'!$B$4:W$377,L$2,FALSE),0)</f>
        <v>15558.06</v>
      </c>
      <c r="M87" s="627">
        <f>IFERROR(VLOOKUP($B87,'Trial Blc'!$B$4:X$377,M$2,FALSE),0)</f>
        <v>15558.06</v>
      </c>
      <c r="N87" s="627">
        <f>IFERROR(VLOOKUP($B87,'Trial Blc'!$B$4:Y$377,N$2,FALSE),0)</f>
        <v>0</v>
      </c>
      <c r="O87" s="627">
        <f>IFERROR(VLOOKUP($B87,'Trial Blc'!$B$4:Z$377,O$2,FALSE),0)</f>
        <v>0</v>
      </c>
      <c r="P87" s="627">
        <f>IFERROR(VLOOKUP($B87,'Trial Blc'!$B$4:AA$377,P$2,FALSE),0)</f>
        <v>0</v>
      </c>
      <c r="Q87" s="627">
        <f t="shared" si="19"/>
        <v>8194.410769230768</v>
      </c>
      <c r="R87" s="820"/>
    </row>
    <row r="88" spans="1:18">
      <c r="A88" s="821">
        <v>231</v>
      </c>
      <c r="B88" s="1561">
        <v>4548</v>
      </c>
      <c r="C88" s="21" t="s">
        <v>1632</v>
      </c>
      <c r="D88" s="627">
        <f>IFERROR(VLOOKUP($B88,'Trial Blc'!$B$4:O$377,D$2,FALSE),0)</f>
        <v>0</v>
      </c>
      <c r="E88" s="627">
        <f>IFERROR(VLOOKUP($B88,'Trial Blc'!$B$4:P$377,E$2,FALSE),0)</f>
        <v>0</v>
      </c>
      <c r="F88" s="627">
        <f>IFERROR(VLOOKUP($B88,'Trial Blc'!$B$4:Q$377,F$2,FALSE),0)</f>
        <v>0</v>
      </c>
      <c r="G88" s="627">
        <f>IFERROR(VLOOKUP($B88,'Trial Blc'!$B$4:R$377,G$2,FALSE),0)</f>
        <v>0</v>
      </c>
      <c r="H88" s="627">
        <f>IFERROR(VLOOKUP($B88,'Trial Blc'!$B$4:S$377,H$2,FALSE),0)</f>
        <v>0</v>
      </c>
      <c r="I88" s="627">
        <f>IFERROR(VLOOKUP($B88,'Trial Blc'!$B$4:T$377,I$2,FALSE),0)</f>
        <v>0</v>
      </c>
      <c r="J88" s="627">
        <f>IFERROR(VLOOKUP($B88,'Trial Blc'!$B$4:U$377,J$2,FALSE),0)</f>
        <v>0</v>
      </c>
      <c r="K88" s="627">
        <f>IFERROR(VLOOKUP($B88,'Trial Blc'!$B$4:V$377,K$2,FALSE),0)</f>
        <v>0</v>
      </c>
      <c r="L88" s="627">
        <f>IFERROR(VLOOKUP($B88,'Trial Blc'!$B$4:W$377,L$2,FALSE),0)</f>
        <v>0</v>
      </c>
      <c r="M88" s="627">
        <f>IFERROR(VLOOKUP($B88,'Trial Blc'!$B$4:X$377,M$2,FALSE),0)</f>
        <v>0</v>
      </c>
      <c r="N88" s="627">
        <f>IFERROR(VLOOKUP($B88,'Trial Blc'!$B$4:Y$377,N$2,FALSE),0)</f>
        <v>0</v>
      </c>
      <c r="O88" s="627">
        <f>IFERROR(VLOOKUP($B88,'Trial Blc'!$B$4:Z$377,O$2,FALSE),0)</f>
        <v>0</v>
      </c>
      <c r="P88" s="627">
        <f>IFERROR(VLOOKUP($B88,'Trial Blc'!$B$4:AA$377,P$2,FALSE),0)</f>
        <v>0</v>
      </c>
      <c r="Q88" s="627">
        <f t="shared" si="19"/>
        <v>0</v>
      </c>
      <c r="R88" s="820"/>
    </row>
    <row r="89" spans="1:18">
      <c r="B89" s="1561">
        <v>4527</v>
      </c>
      <c r="C89" s="21" t="s">
        <v>1627</v>
      </c>
      <c r="D89" s="627">
        <f>IFERROR(VLOOKUP($B89,'Trial Blc'!$B$4:O$377,D$2,FALSE),0)</f>
        <v>-7202.79</v>
      </c>
      <c r="E89" s="627">
        <f>IFERROR(VLOOKUP($B89,'Trial Blc'!$B$4:P$377,E$2,FALSE),0)</f>
        <v>-261934.96</v>
      </c>
      <c r="F89" s="627">
        <f>IFERROR(VLOOKUP($B89,'Trial Blc'!$B$4:Q$377,F$2,FALSE),0)</f>
        <v>-274244.52</v>
      </c>
      <c r="G89" s="627">
        <f>IFERROR(VLOOKUP($B89,'Trial Blc'!$B$4:R$377,G$2,FALSE),0)</f>
        <v>-272468.94</v>
      </c>
      <c r="H89" s="627">
        <f>IFERROR(VLOOKUP($B89,'Trial Blc'!$B$4:S$377,H$2,FALSE),0)</f>
        <v>-290390.06</v>
      </c>
      <c r="I89" s="627">
        <f>IFERROR(VLOOKUP($B89,'Trial Blc'!$B$4:T$377,I$2,FALSE),0)</f>
        <v>-14487.92</v>
      </c>
      <c r="J89" s="627">
        <f>IFERROR(VLOOKUP($B89,'Trial Blc'!$B$4:U$377,J$2,FALSE),0)</f>
        <v>-259143.63</v>
      </c>
      <c r="K89" s="627">
        <f>IFERROR(VLOOKUP($B89,'Trial Blc'!$B$4:V$377,K$2,FALSE),0)</f>
        <v>-280764.75</v>
      </c>
      <c r="L89" s="627">
        <f>IFERROR(VLOOKUP($B89,'Trial Blc'!$B$4:W$377,L$2,FALSE),0)</f>
        <v>-297921.67</v>
      </c>
      <c r="M89" s="627">
        <f>IFERROR(VLOOKUP($B89,'Trial Blc'!$B$4:X$377,M$2,FALSE),0)</f>
        <v>-15133.8</v>
      </c>
      <c r="N89" s="627">
        <f>IFERROR(VLOOKUP($B89,'Trial Blc'!$B$4:Y$377,N$2,FALSE),0)</f>
        <v>-46854.55</v>
      </c>
      <c r="O89" s="627">
        <f>IFERROR(VLOOKUP($B89,'Trial Blc'!$B$4:Z$377,O$2,FALSE),0)</f>
        <v>-57141.31</v>
      </c>
      <c r="P89" s="627">
        <f>IFERROR(VLOOKUP($B89,'Trial Blc'!$B$4:AA$377,P$2,FALSE),0)</f>
        <v>-45965.36</v>
      </c>
      <c r="Q89" s="627">
        <f t="shared" si="19"/>
        <v>-163358.01999999999</v>
      </c>
      <c r="R89" s="820"/>
    </row>
    <row r="90" spans="1:18">
      <c r="C90" s="827" t="s">
        <v>1631</v>
      </c>
      <c r="D90" s="1676">
        <f>SUM(D85:D89)</f>
        <v>-50782.720000000001</v>
      </c>
      <c r="E90" s="828">
        <f t="shared" ref="E90:P90" si="20">SUM(E85:E89)</f>
        <v>-276626.73</v>
      </c>
      <c r="F90" s="828">
        <f>SUM(F85:F89)</f>
        <v>-280233.08</v>
      </c>
      <c r="G90" s="828">
        <f t="shared" si="20"/>
        <v>-280875.36</v>
      </c>
      <c r="H90" s="828">
        <f t="shared" si="20"/>
        <v>-291392.32</v>
      </c>
      <c r="I90" s="828">
        <f t="shared" si="20"/>
        <v>-17657.11</v>
      </c>
      <c r="J90" s="828">
        <f t="shared" si="20"/>
        <v>-286638.23</v>
      </c>
      <c r="K90" s="828">
        <f t="shared" si="20"/>
        <v>-284509.96000000002</v>
      </c>
      <c r="L90" s="828">
        <f t="shared" si="20"/>
        <v>-307906.33999999997</v>
      </c>
      <c r="M90" s="828">
        <f t="shared" si="20"/>
        <v>-36182.380000000005</v>
      </c>
      <c r="N90" s="828">
        <f t="shared" si="20"/>
        <v>-62269.66</v>
      </c>
      <c r="O90" s="828">
        <f t="shared" si="20"/>
        <v>-70410.59</v>
      </c>
      <c r="P90" s="828">
        <f t="shared" si="20"/>
        <v>-109912.94</v>
      </c>
      <c r="Q90" s="828">
        <f>SUM(Q85:Q89)-2</f>
        <v>-181186.4169230769</v>
      </c>
      <c r="R90" s="820"/>
    </row>
    <row r="91" spans="1:18">
      <c r="D91" s="820"/>
      <c r="E91" s="820"/>
      <c r="F91" s="820"/>
      <c r="G91" s="820"/>
      <c r="H91" s="820"/>
      <c r="I91" s="820"/>
      <c r="J91" s="820"/>
      <c r="K91" s="820"/>
      <c r="L91" s="820"/>
      <c r="M91" s="820"/>
      <c r="N91" s="820"/>
      <c r="O91" s="820"/>
      <c r="P91" s="820"/>
      <c r="Q91" s="820"/>
      <c r="R91" s="820"/>
    </row>
    <row r="92" spans="1:18">
      <c r="A92" s="821">
        <v>233</v>
      </c>
      <c r="B92" s="1561">
        <v>4535</v>
      </c>
      <c r="C92" s="21" t="s">
        <v>1628</v>
      </c>
      <c r="D92" s="1670">
        <f>IFERROR(VLOOKUP($B92,'Trial Blc'!$B$4:O$377,D$2,FALSE),0)</f>
        <v>178082.21</v>
      </c>
      <c r="E92" s="627">
        <f>IFERROR(VLOOKUP($B92,'Trial Blc'!$B$4:P$377,E$2,FALSE),0)</f>
        <v>178082.21</v>
      </c>
      <c r="F92" s="627">
        <f>IFERROR(VLOOKUP($B92,'Trial Blc'!$B$4:Q$377,F$2,FALSE),0)</f>
        <v>178082.21</v>
      </c>
      <c r="G92" s="627">
        <f>IFERROR(VLOOKUP($B92,'Trial Blc'!$B$4:R$377,G$2,FALSE),0)</f>
        <v>178082.21</v>
      </c>
      <c r="H92" s="627">
        <f>IFERROR(VLOOKUP($B92,'Trial Blc'!$B$4:S$377,H$2,FALSE),0)</f>
        <v>178082.21</v>
      </c>
      <c r="I92" s="627">
        <f>IFERROR(VLOOKUP($B92,'Trial Blc'!$B$4:T$377,I$2,FALSE),0)</f>
        <v>178082.21</v>
      </c>
      <c r="J92" s="627">
        <f>IFERROR(VLOOKUP($B92,'Trial Blc'!$B$4:U$377,J$2,FALSE),0)</f>
        <v>178082.21</v>
      </c>
      <c r="K92" s="627">
        <f>IFERROR(VLOOKUP($B92,'Trial Blc'!$B$4:V$377,K$2,FALSE),0)</f>
        <v>178082.21</v>
      </c>
      <c r="L92" s="627">
        <f>IFERROR(VLOOKUP($B92,'Trial Blc'!$B$4:W$377,L$2,FALSE),0)</f>
        <v>178082.21</v>
      </c>
      <c r="M92" s="627">
        <f>IFERROR(VLOOKUP($B92,'Trial Blc'!$B$4:X$377,M$2,FALSE),0)</f>
        <v>178082.21</v>
      </c>
      <c r="N92" s="627">
        <f>IFERROR(VLOOKUP($B92,'Trial Blc'!$B$4:Y$377,N$2,FALSE),0)</f>
        <v>178082.21</v>
      </c>
      <c r="O92" s="627">
        <f>IFERROR(VLOOKUP($B92,'Trial Blc'!$B$4:Z$377,O$2,FALSE),0)</f>
        <v>178082.21</v>
      </c>
      <c r="P92" s="627">
        <f>IFERROR(VLOOKUP($B92,'Trial Blc'!$B$4:AA$377,P$2,FALSE),0)</f>
        <v>178082.21</v>
      </c>
      <c r="Q92" s="627">
        <f t="shared" ref="Q92" si="21">AVERAGE(D92:P92)</f>
        <v>178082.21</v>
      </c>
      <c r="R92" s="820"/>
    </row>
    <row r="93" spans="1:18">
      <c r="D93" s="820"/>
      <c r="E93" s="820"/>
      <c r="F93" s="820"/>
      <c r="G93" s="820"/>
      <c r="H93" s="820"/>
      <c r="I93" s="820"/>
      <c r="J93" s="820"/>
      <c r="K93" s="820"/>
      <c r="L93" s="820"/>
      <c r="M93" s="820"/>
      <c r="N93" s="820"/>
      <c r="O93" s="820"/>
      <c r="P93" s="820"/>
      <c r="Q93" s="820"/>
      <c r="R93" s="820"/>
    </row>
    <row r="94" spans="1:18">
      <c r="A94" s="821">
        <v>235</v>
      </c>
      <c r="B94" s="1561">
        <v>4595</v>
      </c>
      <c r="C94" s="21" t="s">
        <v>1630</v>
      </c>
      <c r="D94" s="627">
        <f>IFERROR(VLOOKUP($B94,'Trial Blc'!$B$4:O$377,D$2,FALSE),0)</f>
        <v>0</v>
      </c>
      <c r="E94" s="627">
        <f>IFERROR(VLOOKUP($B94,'Trial Blc'!$B$4:P$377,E$2,FALSE),0)</f>
        <v>0</v>
      </c>
      <c r="F94" s="627">
        <f>IFERROR(VLOOKUP($B94,'Trial Blc'!$B$4:Q$377,F$2,FALSE),0)</f>
        <v>0</v>
      </c>
      <c r="G94" s="627">
        <f>IFERROR(VLOOKUP($B94,'Trial Blc'!$B$4:R$377,G$2,FALSE),0)</f>
        <v>0</v>
      </c>
      <c r="H94" s="627">
        <f>IFERROR(VLOOKUP($B94,'Trial Blc'!$B$4:S$377,H$2,FALSE),0)</f>
        <v>0</v>
      </c>
      <c r="I94" s="627">
        <f>IFERROR(VLOOKUP($B94,'Trial Blc'!$B$4:T$377,I$2,FALSE),0)</f>
        <v>0</v>
      </c>
      <c r="J94" s="627">
        <f>IFERROR(VLOOKUP($B94,'Trial Blc'!$B$4:U$377,J$2,FALSE),0)</f>
        <v>0</v>
      </c>
      <c r="K94" s="627">
        <f>IFERROR(VLOOKUP($B94,'Trial Blc'!$B$4:V$377,K$2,FALSE),0)</f>
        <v>0</v>
      </c>
      <c r="L94" s="627">
        <f>IFERROR(VLOOKUP($B94,'Trial Blc'!$B$4:W$377,L$2,FALSE),0)</f>
        <v>0</v>
      </c>
      <c r="M94" s="627">
        <f>IFERROR(VLOOKUP($B94,'Trial Blc'!$B$4:X$377,M$2,FALSE),0)</f>
        <v>0</v>
      </c>
      <c r="N94" s="627">
        <f>IFERROR(VLOOKUP($B94,'Trial Blc'!$B$4:Y$377,N$2,FALSE),0)</f>
        <v>0</v>
      </c>
      <c r="O94" s="627">
        <f>IFERROR(VLOOKUP($B94,'Trial Blc'!$B$4:Z$377,O$2,FALSE),0)</f>
        <v>0</v>
      </c>
      <c r="P94" s="627">
        <f>IFERROR(VLOOKUP($B94,'Trial Blc'!$B$4:AA$377,P$2,FALSE),0)</f>
        <v>0</v>
      </c>
      <c r="Q94" s="627">
        <f t="shared" ref="Q94" si="22">AVERAGE(D94:P94)</f>
        <v>0</v>
      </c>
      <c r="R94" s="820"/>
    </row>
    <row r="95" spans="1:18">
      <c r="A95" s="964" t="s">
        <v>1751</v>
      </c>
      <c r="D95" s="820"/>
      <c r="E95" s="820"/>
      <c r="F95" s="820"/>
      <c r="G95" s="820"/>
      <c r="H95" s="820"/>
      <c r="I95" s="820"/>
      <c r="J95" s="820"/>
      <c r="K95" s="820"/>
      <c r="L95" s="820"/>
      <c r="M95" s="820"/>
      <c r="N95" s="820"/>
      <c r="O95" s="820"/>
      <c r="P95" s="820"/>
      <c r="Q95" s="820"/>
      <c r="R95" s="820"/>
    </row>
    <row r="96" spans="1:18">
      <c r="A96" s="821">
        <v>236</v>
      </c>
      <c r="B96" s="1561">
        <v>4612</v>
      </c>
      <c r="C96" s="21" t="s">
        <v>1633</v>
      </c>
      <c r="D96" s="627">
        <f>IFERROR(VLOOKUP($B96,'Trial Blc'!$B$4:O$377,D$2,FALSE),0)</f>
        <v>0</v>
      </c>
      <c r="E96" s="627">
        <f>IFERROR(VLOOKUP($B96,'Trial Blc'!$B$4:P$377,E$2,FALSE),0)</f>
        <v>35628.769999999997</v>
      </c>
      <c r="F96" s="627">
        <f>IFERROR(VLOOKUP($B96,'Trial Blc'!$B$4:Q$377,F$2,FALSE),0)</f>
        <v>28161.5</v>
      </c>
      <c r="G96" s="627">
        <f>IFERROR(VLOOKUP($B96,'Trial Blc'!$B$4:R$377,G$2,FALSE),0)</f>
        <v>15394.57</v>
      </c>
      <c r="H96" s="627">
        <f>IFERROR(VLOOKUP($B96,'Trial Blc'!$B$4:S$377,H$2,FALSE),0)</f>
        <v>12259.18</v>
      </c>
      <c r="I96" s="627">
        <f>IFERROR(VLOOKUP($B96,'Trial Blc'!$B$4:T$377,I$2,FALSE),0)</f>
        <v>-358.13</v>
      </c>
      <c r="J96" s="627">
        <f>IFERROR(VLOOKUP($B96,'Trial Blc'!$B$4:U$377,J$2,FALSE),0)</f>
        <v>-8314.3799999999992</v>
      </c>
      <c r="K96" s="627">
        <f>IFERROR(VLOOKUP($B96,'Trial Blc'!$B$4:V$377,K$2,FALSE),0)</f>
        <v>27578.3</v>
      </c>
      <c r="L96" s="627">
        <f>IFERROR(VLOOKUP($B96,'Trial Blc'!$B$4:W$377,L$2,FALSE),0)</f>
        <v>19622.13</v>
      </c>
      <c r="M96" s="627">
        <f>IFERROR(VLOOKUP($B96,'Trial Blc'!$B$4:X$377,M$2,FALSE),0)</f>
        <v>11665.56</v>
      </c>
      <c r="N96" s="627">
        <f>IFERROR(VLOOKUP($B96,'Trial Blc'!$B$4:Y$377,N$2,FALSE),0)</f>
        <v>3710.46</v>
      </c>
      <c r="O96" s="627">
        <f>IFERROR(VLOOKUP($B96,'Trial Blc'!$B$4:Z$377,O$2,FALSE),0)</f>
        <v>5574.84</v>
      </c>
      <c r="P96" s="627">
        <f>IFERROR(VLOOKUP($B96,'Trial Blc'!$B$4:AA$377,P$2,FALSE),0)</f>
        <v>0</v>
      </c>
      <c r="Q96" s="627">
        <f t="shared" ref="Q96:Q104" si="23">AVERAGE(D96:P96)</f>
        <v>11609.446153846153</v>
      </c>
      <c r="R96" s="820"/>
    </row>
    <row r="97" spans="1:18">
      <c r="B97" s="1561">
        <v>4614</v>
      </c>
      <c r="C97" s="21" t="s">
        <v>1634</v>
      </c>
      <c r="D97" s="627">
        <f>IFERROR(VLOOKUP($B97,'Trial Blc'!$B$4:O$377,D$2,FALSE),0)</f>
        <v>-36177.4</v>
      </c>
      <c r="E97" s="627">
        <f>IFERROR(VLOOKUP($B97,'Trial Blc'!$B$4:P$377,E$2,FALSE),0)</f>
        <v>-36177.4</v>
      </c>
      <c r="F97" s="627">
        <f>IFERROR(VLOOKUP($B97,'Trial Blc'!$B$4:Q$377,F$2,FALSE),0)</f>
        <v>-36177.4</v>
      </c>
      <c r="G97" s="627">
        <f>IFERROR(VLOOKUP($B97,'Trial Blc'!$B$4:R$377,G$2,FALSE),0)</f>
        <v>-36177.4</v>
      </c>
      <c r="H97" s="627">
        <f>IFERROR(VLOOKUP($B97,'Trial Blc'!$B$4:S$377,H$2,FALSE),0)</f>
        <v>-36177.4</v>
      </c>
      <c r="I97" s="627">
        <f>IFERROR(VLOOKUP($B97,'Trial Blc'!$B$4:T$377,I$2,FALSE),0)</f>
        <v>-36177.4</v>
      </c>
      <c r="J97" s="627">
        <f>IFERROR(VLOOKUP($B97,'Trial Blc'!$B$4:U$377,J$2,FALSE),0)</f>
        <v>-36177.4</v>
      </c>
      <c r="K97" s="627">
        <f>IFERROR(VLOOKUP($B97,'Trial Blc'!$B$4:V$377,K$2,FALSE),0)</f>
        <v>-36177.4</v>
      </c>
      <c r="L97" s="627">
        <f>IFERROR(VLOOKUP($B97,'Trial Blc'!$B$4:W$377,L$2,FALSE),0)</f>
        <v>-36177.4</v>
      </c>
      <c r="M97" s="627">
        <f>IFERROR(VLOOKUP($B97,'Trial Blc'!$B$4:X$377,M$2,FALSE),0)</f>
        <v>-36177.4</v>
      </c>
      <c r="N97" s="627">
        <f>IFERROR(VLOOKUP($B97,'Trial Blc'!$B$4:Y$377,N$2,FALSE),0)</f>
        <v>-36177.4</v>
      </c>
      <c r="O97" s="627">
        <f>IFERROR(VLOOKUP($B97,'Trial Blc'!$B$4:Z$377,O$2,FALSE),0)</f>
        <v>-36177.4</v>
      </c>
      <c r="P97" s="627">
        <f>IFERROR(VLOOKUP($B97,'Trial Blc'!$B$4:AA$377,P$2,FALSE),0)</f>
        <v>-41353</v>
      </c>
      <c r="Q97" s="627">
        <f t="shared" si="23"/>
        <v>-36575.523076923084</v>
      </c>
      <c r="R97" s="820"/>
    </row>
    <row r="98" spans="1:18">
      <c r="B98" s="1561">
        <v>4628</v>
      </c>
      <c r="C98" s="21" t="s">
        <v>1818</v>
      </c>
      <c r="D98" s="627">
        <f>IFERROR(VLOOKUP($B98,'Trial Blc'!$B$4:O$377,D$2,FALSE),0)</f>
        <v>-927.97</v>
      </c>
      <c r="E98" s="627">
        <f>IFERROR(VLOOKUP($B98,'Trial Blc'!$B$4:P$377,E$2,FALSE),0)</f>
        <v>-927.53</v>
      </c>
      <c r="F98" s="627">
        <f>IFERROR(VLOOKUP($B98,'Trial Blc'!$B$4:Q$377,F$2,FALSE),0)</f>
        <v>-918.17</v>
      </c>
      <c r="G98" s="627">
        <f>IFERROR(VLOOKUP($B98,'Trial Blc'!$B$4:R$377,G$2,FALSE),0)</f>
        <v>-916.59</v>
      </c>
      <c r="H98" s="627">
        <f>IFERROR(VLOOKUP($B98,'Trial Blc'!$B$4:S$377,H$2,FALSE),0)</f>
        <v>-919.19</v>
      </c>
      <c r="I98" s="627">
        <f>IFERROR(VLOOKUP($B98,'Trial Blc'!$B$4:T$377,I$2,FALSE),0)</f>
        <v>-918.03</v>
      </c>
      <c r="J98" s="627">
        <f>IFERROR(VLOOKUP($B98,'Trial Blc'!$B$4:U$377,J$2,FALSE),0)</f>
        <v>-918.15</v>
      </c>
      <c r="K98" s="627">
        <f>IFERROR(VLOOKUP($B98,'Trial Blc'!$B$4:V$377,K$2,FALSE),0)</f>
        <v>-916.91</v>
      </c>
      <c r="L98" s="627">
        <f>IFERROR(VLOOKUP($B98,'Trial Blc'!$B$4:W$377,L$2,FALSE),0)</f>
        <v>-915.6</v>
      </c>
      <c r="M98" s="627">
        <f>IFERROR(VLOOKUP($B98,'Trial Blc'!$B$4:X$377,M$2,FALSE),0)</f>
        <v>-907.09</v>
      </c>
      <c r="N98" s="627">
        <f>IFERROR(VLOOKUP($B98,'Trial Blc'!$B$4:Y$377,N$2,FALSE),0)</f>
        <v>-906.87</v>
      </c>
      <c r="O98" s="627">
        <f>IFERROR(VLOOKUP($B98,'Trial Blc'!$B$4:Z$377,O$2,FALSE),0)</f>
        <v>-905.69</v>
      </c>
      <c r="P98" s="627">
        <f>IFERROR(VLOOKUP($B98,'Trial Blc'!$B$4:AA$377,P$2,FALSE),0)</f>
        <v>-944.85</v>
      </c>
      <c r="Q98" s="627">
        <f t="shared" si="23"/>
        <v>-918.66461538461544</v>
      </c>
      <c r="R98" s="820"/>
    </row>
    <row r="99" spans="1:18">
      <c r="B99" s="1561">
        <v>4634</v>
      </c>
      <c r="C99" s="21" t="s">
        <v>1635</v>
      </c>
      <c r="D99" s="627">
        <f>IFERROR(VLOOKUP($B99,'Trial Blc'!$B$4:O$377,D$2,FALSE),0)</f>
        <v>-9.68</v>
      </c>
      <c r="E99" s="627">
        <f>IFERROR(VLOOKUP($B99,'Trial Blc'!$B$4:P$377,E$2,FALSE),0)</f>
        <v>-9.68</v>
      </c>
      <c r="F99" s="627">
        <f>IFERROR(VLOOKUP($B99,'Trial Blc'!$B$4:Q$377,F$2,FALSE),0)</f>
        <v>-9.68</v>
      </c>
      <c r="G99" s="627">
        <f>IFERROR(VLOOKUP($B99,'Trial Blc'!$B$4:R$377,G$2,FALSE),0)</f>
        <v>-9.68</v>
      </c>
      <c r="H99" s="627">
        <f>IFERROR(VLOOKUP($B99,'Trial Blc'!$B$4:S$377,H$2,FALSE),0)</f>
        <v>-9.68</v>
      </c>
      <c r="I99" s="627">
        <f>IFERROR(VLOOKUP($B99,'Trial Blc'!$B$4:T$377,I$2,FALSE),0)</f>
        <v>-9.68</v>
      </c>
      <c r="J99" s="627">
        <f>IFERROR(VLOOKUP($B99,'Trial Blc'!$B$4:U$377,J$2,FALSE),0)</f>
        <v>-9.68</v>
      </c>
      <c r="K99" s="627">
        <f>IFERROR(VLOOKUP($B99,'Trial Blc'!$B$4:V$377,K$2,FALSE),0)</f>
        <v>-9.68</v>
      </c>
      <c r="L99" s="627">
        <f>IFERROR(VLOOKUP($B99,'Trial Blc'!$B$4:W$377,L$2,FALSE),0)</f>
        <v>-9.68</v>
      </c>
      <c r="M99" s="627">
        <f>IFERROR(VLOOKUP($B99,'Trial Blc'!$B$4:X$377,M$2,FALSE),0)</f>
        <v>-9.68</v>
      </c>
      <c r="N99" s="627">
        <f>IFERROR(VLOOKUP($B99,'Trial Blc'!$B$4:Y$377,N$2,FALSE),0)</f>
        <v>-9.68</v>
      </c>
      <c r="O99" s="627">
        <f>IFERROR(VLOOKUP($B99,'Trial Blc'!$B$4:Z$377,O$2,FALSE),0)</f>
        <v>-9.68</v>
      </c>
      <c r="P99" s="627">
        <f>IFERROR(VLOOKUP($B99,'Trial Blc'!$B$4:AA$377,P$2,FALSE),0)</f>
        <v>-9.68</v>
      </c>
      <c r="Q99" s="627">
        <f t="shared" si="23"/>
        <v>-9.6800000000000033</v>
      </c>
      <c r="R99" s="820"/>
    </row>
    <row r="100" spans="1:18">
      <c r="B100" s="1561">
        <v>4635</v>
      </c>
      <c r="C100" s="21" t="s">
        <v>1636</v>
      </c>
      <c r="D100" s="627">
        <f>IFERROR(VLOOKUP($B100,'Trial Blc'!$B$4:O$377,D$2,FALSE),0)</f>
        <v>-145.1</v>
      </c>
      <c r="E100" s="627">
        <f>IFERROR(VLOOKUP($B100,'Trial Blc'!$B$4:P$377,E$2,FALSE),0)</f>
        <v>-1.38</v>
      </c>
      <c r="F100" s="627">
        <f>IFERROR(VLOOKUP($B100,'Trial Blc'!$B$4:Q$377,F$2,FALSE),0)</f>
        <v>-10.19</v>
      </c>
      <c r="G100" s="627">
        <f>IFERROR(VLOOKUP($B100,'Trial Blc'!$B$4:R$377,G$2,FALSE),0)</f>
        <v>-10.73</v>
      </c>
      <c r="H100" s="627">
        <f>IFERROR(VLOOKUP($B100,'Trial Blc'!$B$4:S$377,H$2,FALSE),0)</f>
        <v>-19.79</v>
      </c>
      <c r="I100" s="627">
        <f>IFERROR(VLOOKUP($B100,'Trial Blc'!$B$4:T$377,I$2,FALSE),0)</f>
        <v>-40.28</v>
      </c>
      <c r="J100" s="627">
        <f>IFERROR(VLOOKUP($B100,'Trial Blc'!$B$4:U$377,J$2,FALSE),0)</f>
        <v>-53.88</v>
      </c>
      <c r="K100" s="627">
        <f>IFERROR(VLOOKUP($B100,'Trial Blc'!$B$4:V$377,K$2,FALSE),0)</f>
        <v>-65.55</v>
      </c>
      <c r="L100" s="627">
        <f>IFERROR(VLOOKUP($B100,'Trial Blc'!$B$4:W$377,L$2,FALSE),0)</f>
        <v>-70.77</v>
      </c>
      <c r="M100" s="627">
        <f>IFERROR(VLOOKUP($B100,'Trial Blc'!$B$4:X$377,M$2,FALSE),0)</f>
        <v>-76.180000000000007</v>
      </c>
      <c r="N100" s="627">
        <f>IFERROR(VLOOKUP($B100,'Trial Blc'!$B$4:Y$377,N$2,FALSE),0)</f>
        <v>-98.49</v>
      </c>
      <c r="O100" s="627">
        <f>IFERROR(VLOOKUP($B100,'Trial Blc'!$B$4:Z$377,O$2,FALSE),0)</f>
        <v>-105.99</v>
      </c>
      <c r="P100" s="627">
        <f>IFERROR(VLOOKUP($B100,'Trial Blc'!$B$4:AA$377,P$2,FALSE),0)</f>
        <v>-114.95</v>
      </c>
      <c r="Q100" s="627">
        <f t="shared" si="23"/>
        <v>-62.559999999999995</v>
      </c>
      <c r="R100" s="820"/>
    </row>
    <row r="101" spans="1:18">
      <c r="B101" s="1561">
        <v>4636</v>
      </c>
      <c r="C101" s="21" t="s">
        <v>1637</v>
      </c>
      <c r="D101" s="627">
        <f>IFERROR(VLOOKUP($B101,'Trial Blc'!$B$4:O$377,D$2,FALSE),0)</f>
        <v>0</v>
      </c>
      <c r="E101" s="627">
        <f>IFERROR(VLOOKUP($B101,'Trial Blc'!$B$4:P$377,E$2,FALSE),0)</f>
        <v>0</v>
      </c>
      <c r="F101" s="627">
        <f>IFERROR(VLOOKUP($B101,'Trial Blc'!$B$4:Q$377,F$2,FALSE),0)</f>
        <v>0</v>
      </c>
      <c r="G101" s="627">
        <f>IFERROR(VLOOKUP($B101,'Trial Blc'!$B$4:R$377,G$2,FALSE),0)</f>
        <v>0</v>
      </c>
      <c r="H101" s="627">
        <f>IFERROR(VLOOKUP($B101,'Trial Blc'!$B$4:S$377,H$2,FALSE),0)</f>
        <v>0</v>
      </c>
      <c r="I101" s="627">
        <f>IFERROR(VLOOKUP($B101,'Trial Blc'!$B$4:T$377,I$2,FALSE),0)</f>
        <v>0</v>
      </c>
      <c r="J101" s="627">
        <f>IFERROR(VLOOKUP($B101,'Trial Blc'!$B$4:U$377,J$2,FALSE),0)</f>
        <v>0</v>
      </c>
      <c r="K101" s="627">
        <f>IFERROR(VLOOKUP($B101,'Trial Blc'!$B$4:V$377,K$2,FALSE),0)</f>
        <v>0</v>
      </c>
      <c r="L101" s="627">
        <f>IFERROR(VLOOKUP($B101,'Trial Blc'!$B$4:W$377,L$2,FALSE),0)</f>
        <v>0</v>
      </c>
      <c r="M101" s="627">
        <f>IFERROR(VLOOKUP($B101,'Trial Blc'!$B$4:X$377,M$2,FALSE),0)</f>
        <v>0</v>
      </c>
      <c r="N101" s="627">
        <f>IFERROR(VLOOKUP($B101,'Trial Blc'!$B$4:Y$377,N$2,FALSE),0)</f>
        <v>0</v>
      </c>
      <c r="O101" s="627">
        <f>IFERROR(VLOOKUP($B101,'Trial Blc'!$B$4:Z$377,O$2,FALSE),0)</f>
        <v>0</v>
      </c>
      <c r="P101" s="627">
        <f>IFERROR(VLOOKUP($B101,'Trial Blc'!$B$4:AA$377,P$2,FALSE),0)</f>
        <v>0</v>
      </c>
      <c r="Q101" s="627">
        <f t="shared" si="23"/>
        <v>0</v>
      </c>
      <c r="R101" s="820"/>
    </row>
    <row r="102" spans="1:18">
      <c r="B102" s="1561">
        <v>4638</v>
      </c>
      <c r="C102" s="21" t="s">
        <v>1638</v>
      </c>
      <c r="D102" s="627">
        <f>IFERROR(VLOOKUP($B102,'Trial Blc'!$B$4:O$377,D$2,FALSE),0)</f>
        <v>0</v>
      </c>
      <c r="E102" s="627">
        <f>IFERROR(VLOOKUP($B102,'Trial Blc'!$B$4:P$377,E$2,FALSE),0)</f>
        <v>0</v>
      </c>
      <c r="F102" s="627">
        <f>IFERROR(VLOOKUP($B102,'Trial Blc'!$B$4:Q$377,F$2,FALSE),0)</f>
        <v>0</v>
      </c>
      <c r="G102" s="627">
        <f>IFERROR(VLOOKUP($B102,'Trial Blc'!$B$4:R$377,G$2,FALSE),0)</f>
        <v>0</v>
      </c>
      <c r="H102" s="627">
        <f>IFERROR(VLOOKUP($B102,'Trial Blc'!$B$4:S$377,H$2,FALSE),0)</f>
        <v>0</v>
      </c>
      <c r="I102" s="627">
        <f>IFERROR(VLOOKUP($B102,'Trial Blc'!$B$4:T$377,I$2,FALSE),0)</f>
        <v>0</v>
      </c>
      <c r="J102" s="627">
        <f>IFERROR(VLOOKUP($B102,'Trial Blc'!$B$4:U$377,J$2,FALSE),0)</f>
        <v>0</v>
      </c>
      <c r="K102" s="627">
        <f>IFERROR(VLOOKUP($B102,'Trial Blc'!$B$4:V$377,K$2,FALSE),0)</f>
        <v>0</v>
      </c>
      <c r="L102" s="627">
        <f>IFERROR(VLOOKUP($B102,'Trial Blc'!$B$4:W$377,L$2,FALSE),0)</f>
        <v>0</v>
      </c>
      <c r="M102" s="627">
        <f>IFERROR(VLOOKUP($B102,'Trial Blc'!$B$4:X$377,M$2,FALSE),0)</f>
        <v>0</v>
      </c>
      <c r="N102" s="627">
        <f>IFERROR(VLOOKUP($B102,'Trial Blc'!$B$4:Y$377,N$2,FALSE),0)</f>
        <v>0</v>
      </c>
      <c r="O102" s="627">
        <f>IFERROR(VLOOKUP($B102,'Trial Blc'!$B$4:Z$377,O$2,FALSE),0)</f>
        <v>0</v>
      </c>
      <c r="P102" s="627">
        <f>IFERROR(VLOOKUP($B102,'Trial Blc'!$B$4:AA$377,P$2,FALSE),0)</f>
        <v>0</v>
      </c>
      <c r="Q102" s="627">
        <f t="shared" si="23"/>
        <v>0</v>
      </c>
      <c r="R102" s="820"/>
    </row>
    <row r="103" spans="1:18">
      <c r="B103" s="1561">
        <v>4659</v>
      </c>
      <c r="C103" s="21" t="s">
        <v>1835</v>
      </c>
      <c r="D103" s="627">
        <f>IFERROR(VLOOKUP($B103,'Trial Blc'!$B$4:O$377,D$2,FALSE),0)</f>
        <v>-75556</v>
      </c>
      <c r="E103" s="627">
        <f>IFERROR(VLOOKUP($B103,'Trial Blc'!$B$4:P$377,E$2,FALSE),0)</f>
        <v>-75556</v>
      </c>
      <c r="F103" s="627">
        <f>IFERROR(VLOOKUP($B103,'Trial Blc'!$B$4:Q$377,F$2,FALSE),0)</f>
        <v>-75556</v>
      </c>
      <c r="G103" s="627">
        <f>IFERROR(VLOOKUP($B103,'Trial Blc'!$B$4:R$377,G$2,FALSE),0)</f>
        <v>-75556</v>
      </c>
      <c r="H103" s="627">
        <f>IFERROR(VLOOKUP($B103,'Trial Blc'!$B$4:S$377,H$2,FALSE),0)</f>
        <v>-75556</v>
      </c>
      <c r="I103" s="627">
        <f>IFERROR(VLOOKUP($B103,'Trial Blc'!$B$4:T$377,I$2,FALSE),0)</f>
        <v>-75556</v>
      </c>
      <c r="J103" s="627">
        <f>IFERROR(VLOOKUP($B103,'Trial Blc'!$B$4:U$377,J$2,FALSE),0)</f>
        <v>-75556</v>
      </c>
      <c r="K103" s="627">
        <f>IFERROR(VLOOKUP($B103,'Trial Blc'!$B$4:V$377,K$2,FALSE),0)</f>
        <v>-75556</v>
      </c>
      <c r="L103" s="627">
        <f>IFERROR(VLOOKUP($B103,'Trial Blc'!$B$4:W$377,L$2,FALSE),0)</f>
        <v>-75556</v>
      </c>
      <c r="M103" s="627">
        <f>IFERROR(VLOOKUP($B103,'Trial Blc'!$B$4:X$377,M$2,FALSE),0)</f>
        <v>-75556</v>
      </c>
      <c r="N103" s="627">
        <f>IFERROR(VLOOKUP($B103,'Trial Blc'!$B$4:Y$377,N$2,FALSE),0)</f>
        <v>-75556</v>
      </c>
      <c r="O103" s="627">
        <f>IFERROR(VLOOKUP($B103,'Trial Blc'!$B$4:Z$377,O$2,FALSE),0)</f>
        <v>-75556</v>
      </c>
      <c r="P103" s="627">
        <f>IFERROR(VLOOKUP($B103,'Trial Blc'!$B$4:AA$377,P$2,FALSE),0)</f>
        <v>-75556</v>
      </c>
      <c r="Q103" s="627">
        <f t="shared" si="23"/>
        <v>-75556</v>
      </c>
      <c r="R103" s="820"/>
    </row>
    <row r="104" spans="1:18">
      <c r="B104" s="1561">
        <v>4661</v>
      </c>
      <c r="C104" s="21" t="s">
        <v>1645</v>
      </c>
      <c r="D104" s="627">
        <f>IFERROR(VLOOKUP($B104,'Trial Blc'!$B$4:O$377,D$2,FALSE),0)</f>
        <v>12807.31</v>
      </c>
      <c r="E104" s="627">
        <f>IFERROR(VLOOKUP($B104,'Trial Blc'!$B$4:P$377,E$2,FALSE),0)</f>
        <v>12807.31</v>
      </c>
      <c r="F104" s="627">
        <f>IFERROR(VLOOKUP($B104,'Trial Blc'!$B$4:Q$377,F$2,FALSE),0)</f>
        <v>12806.41</v>
      </c>
      <c r="G104" s="627">
        <f>IFERROR(VLOOKUP($B104,'Trial Blc'!$B$4:R$377,G$2,FALSE),0)</f>
        <v>12815.28</v>
      </c>
      <c r="H104" s="627">
        <f>IFERROR(VLOOKUP($B104,'Trial Blc'!$B$4:S$377,H$2,FALSE),0)</f>
        <v>12815.54</v>
      </c>
      <c r="I104" s="627">
        <f>IFERROR(VLOOKUP($B104,'Trial Blc'!$B$4:T$377,I$2,FALSE),0)</f>
        <v>12815.43</v>
      </c>
      <c r="J104" s="627">
        <f>IFERROR(VLOOKUP($B104,'Trial Blc'!$B$4:U$377,J$2,FALSE),0)</f>
        <v>12815.44</v>
      </c>
      <c r="K104" s="627">
        <f>IFERROR(VLOOKUP($B104,'Trial Blc'!$B$4:V$377,K$2,FALSE),0)</f>
        <v>12815.31</v>
      </c>
      <c r="L104" s="627">
        <f>IFERROR(VLOOKUP($B104,'Trial Blc'!$B$4:W$377,L$2,FALSE),0)</f>
        <v>12815.18</v>
      </c>
      <c r="M104" s="627">
        <f>IFERROR(VLOOKUP($B104,'Trial Blc'!$B$4:X$377,M$2,FALSE),0)</f>
        <v>14114.31</v>
      </c>
      <c r="N104" s="627">
        <f>IFERROR(VLOOKUP($B104,'Trial Blc'!$B$4:Y$377,N$2,FALSE),0)</f>
        <v>14114.29</v>
      </c>
      <c r="O104" s="627">
        <f>IFERROR(VLOOKUP($B104,'Trial Blc'!$B$4:Z$377,O$2,FALSE),0)</f>
        <v>14114.17</v>
      </c>
      <c r="P104" s="627">
        <f>IFERROR(VLOOKUP($B104,'Trial Blc'!$B$4:AA$377,P$2,FALSE),0)</f>
        <v>9633.2900000000009</v>
      </c>
      <c r="Q104" s="627">
        <f t="shared" si="23"/>
        <v>12868.405384615386</v>
      </c>
      <c r="R104" s="820"/>
    </row>
    <row r="105" spans="1:18">
      <c r="C105" s="827" t="s">
        <v>1647</v>
      </c>
      <c r="D105" s="1676">
        <f>SUM(D96:D104)</f>
        <v>-100008.84</v>
      </c>
      <c r="E105" s="828">
        <f t="shared" ref="E105:Q105" si="24">SUM(E96:E104)</f>
        <v>-64235.91</v>
      </c>
      <c r="F105" s="828">
        <f>SUM(F96:F104)</f>
        <v>-71703.53</v>
      </c>
      <c r="G105" s="828">
        <f t="shared" si="24"/>
        <v>-84460.55</v>
      </c>
      <c r="H105" s="828">
        <f t="shared" si="24"/>
        <v>-87607.34</v>
      </c>
      <c r="I105" s="828">
        <f t="shared" si="24"/>
        <v>-100244.09</v>
      </c>
      <c r="J105" s="828">
        <f t="shared" si="24"/>
        <v>-108214.04999999999</v>
      </c>
      <c r="K105" s="828">
        <f t="shared" si="24"/>
        <v>-72331.930000000008</v>
      </c>
      <c r="L105" s="828">
        <f t="shared" si="24"/>
        <v>-80292.140000000014</v>
      </c>
      <c r="M105" s="828">
        <f t="shared" si="24"/>
        <v>-86946.48000000001</v>
      </c>
      <c r="N105" s="828">
        <f t="shared" si="24"/>
        <v>-94923.69</v>
      </c>
      <c r="O105" s="828">
        <f t="shared" si="24"/>
        <v>-93065.75</v>
      </c>
      <c r="P105" s="828">
        <f t="shared" si="24"/>
        <v>-108345.19</v>
      </c>
      <c r="Q105" s="828">
        <f t="shared" si="24"/>
        <v>-88644.576153846167</v>
      </c>
      <c r="R105" s="820"/>
    </row>
    <row r="106" spans="1:18">
      <c r="D106" s="820"/>
      <c r="E106" s="820"/>
      <c r="F106" s="820"/>
      <c r="G106" s="820"/>
      <c r="H106" s="820"/>
      <c r="I106" s="820"/>
      <c r="J106" s="820"/>
      <c r="K106" s="820"/>
      <c r="L106" s="820"/>
      <c r="M106" s="820"/>
      <c r="N106" s="820"/>
      <c r="O106" s="820"/>
      <c r="P106" s="820"/>
      <c r="Q106" s="820"/>
      <c r="R106" s="820"/>
    </row>
    <row r="107" spans="1:18">
      <c r="A107" s="821">
        <v>237</v>
      </c>
      <c r="B107" s="1561">
        <v>4685</v>
      </c>
      <c r="C107" s="21" t="s">
        <v>1639</v>
      </c>
      <c r="D107" s="627">
        <f>IFERROR(VLOOKUP($B107,'Trial Blc'!$B$4:O$377,D$2,FALSE),0)</f>
        <v>0</v>
      </c>
      <c r="E107" s="627">
        <f>IFERROR(VLOOKUP($B107,'Trial Blc'!$B$4:P$377,E$2,FALSE),0)</f>
        <v>0</v>
      </c>
      <c r="F107" s="627">
        <f>IFERROR(VLOOKUP($B107,'Trial Blc'!$B$4:Q$377,F$2,FALSE),0)</f>
        <v>0</v>
      </c>
      <c r="G107" s="627">
        <f>IFERROR(VLOOKUP($B107,'Trial Blc'!$B$4:R$377,G$2,FALSE),0)</f>
        <v>0</v>
      </c>
      <c r="H107" s="627">
        <f>IFERROR(VLOOKUP($B107,'Trial Blc'!$B$4:S$377,H$2,FALSE),0)</f>
        <v>0</v>
      </c>
      <c r="I107" s="627">
        <f>IFERROR(VLOOKUP($B107,'Trial Blc'!$B$4:T$377,I$2,FALSE),0)</f>
        <v>0</v>
      </c>
      <c r="J107" s="627">
        <f>IFERROR(VLOOKUP($B107,'Trial Blc'!$B$4:U$377,J$2,FALSE),0)</f>
        <v>0</v>
      </c>
      <c r="K107" s="627">
        <f>IFERROR(VLOOKUP($B107,'Trial Blc'!$B$4:V$377,K$2,FALSE),0)</f>
        <v>0</v>
      </c>
      <c r="L107" s="627">
        <f>IFERROR(VLOOKUP($B107,'Trial Blc'!$B$4:W$377,L$2,FALSE),0)</f>
        <v>0</v>
      </c>
      <c r="M107" s="627">
        <f>IFERROR(VLOOKUP($B107,'Trial Blc'!$B$4:X$377,M$2,FALSE),0)</f>
        <v>0</v>
      </c>
      <c r="N107" s="627">
        <f>IFERROR(VLOOKUP($B107,'Trial Blc'!$B$4:Y$377,N$2,FALSE),0)</f>
        <v>0</v>
      </c>
      <c r="O107" s="627">
        <f>IFERROR(VLOOKUP($B107,'Trial Blc'!$B$4:Z$377,O$2,FALSE),0)</f>
        <v>0</v>
      </c>
      <c r="P107" s="627">
        <f>IFERROR(VLOOKUP($B107,'Trial Blc'!$B$4:AA$377,P$2,FALSE),0)</f>
        <v>-0.5</v>
      </c>
      <c r="Q107" s="627">
        <f t="shared" ref="Q107" si="25">AVERAGE(D107:P107)</f>
        <v>-3.8461538461538464E-2</v>
      </c>
      <c r="R107" s="820"/>
    </row>
    <row r="108" spans="1:18">
      <c r="D108" s="820"/>
      <c r="E108" s="820"/>
      <c r="F108" s="820"/>
      <c r="G108" s="820"/>
      <c r="H108" s="820"/>
      <c r="I108" s="820"/>
      <c r="J108" s="820"/>
      <c r="K108" s="820"/>
      <c r="L108" s="820"/>
      <c r="M108" s="820"/>
      <c r="N108" s="820"/>
      <c r="O108" s="820"/>
      <c r="P108" s="820"/>
      <c r="Q108" s="820"/>
      <c r="R108" s="820"/>
    </row>
    <row r="109" spans="1:18">
      <c r="A109" s="821">
        <v>253.2</v>
      </c>
      <c r="B109" s="1561">
        <v>4715</v>
      </c>
      <c r="C109" s="821" t="s">
        <v>1640</v>
      </c>
      <c r="D109" s="627">
        <f>IFERROR(VLOOKUP($B109,'Trial Blc'!$B$4:O$377,D$2,FALSE),0)</f>
        <v>0</v>
      </c>
      <c r="E109" s="627">
        <f>IFERROR(VLOOKUP($B109,'Trial Blc'!$B$4:P$377,E$2,FALSE),0)</f>
        <v>0</v>
      </c>
      <c r="F109" s="627">
        <f>IFERROR(VLOOKUP($B109,'Trial Blc'!$B$4:Q$377,F$2,FALSE),0)</f>
        <v>0</v>
      </c>
      <c r="G109" s="627">
        <f>IFERROR(VLOOKUP($B109,'Trial Blc'!$B$4:R$377,G$2,FALSE),0)</f>
        <v>0</v>
      </c>
      <c r="H109" s="627">
        <f>IFERROR(VLOOKUP($B109,'Trial Blc'!$B$4:S$377,H$2,FALSE),0)</f>
        <v>0</v>
      </c>
      <c r="I109" s="627">
        <f>IFERROR(VLOOKUP($B109,'Trial Blc'!$B$4:T$377,I$2,FALSE),0)</f>
        <v>0</v>
      </c>
      <c r="J109" s="627">
        <f>IFERROR(VLOOKUP($B109,'Trial Blc'!$B$4:U$377,J$2,FALSE),0)</f>
        <v>0</v>
      </c>
      <c r="K109" s="627">
        <f>IFERROR(VLOOKUP($B109,'Trial Blc'!$B$4:V$377,K$2,FALSE),0)</f>
        <v>0</v>
      </c>
      <c r="L109" s="627">
        <f>IFERROR(VLOOKUP($B109,'Trial Blc'!$B$4:W$377,L$2,FALSE),0)</f>
        <v>0</v>
      </c>
      <c r="M109" s="627">
        <f>IFERROR(VLOOKUP($B109,'Trial Blc'!$B$4:X$377,M$2,FALSE),0)</f>
        <v>0</v>
      </c>
      <c r="N109" s="627">
        <f>IFERROR(VLOOKUP($B109,'Trial Blc'!$B$4:Y$377,N$2,FALSE),0)</f>
        <v>0</v>
      </c>
      <c r="O109" s="627">
        <f>IFERROR(VLOOKUP($B109,'Trial Blc'!$B$4:Z$377,O$2,FALSE),0)</f>
        <v>0</v>
      </c>
      <c r="P109" s="627">
        <f>IFERROR(VLOOKUP($B109,'Trial Blc'!$B$4:AA$377,P$2,FALSE),0)</f>
        <v>0</v>
      </c>
      <c r="Q109" s="627">
        <f t="shared" ref="Q109" si="26">AVERAGE(D109:P109)</f>
        <v>0</v>
      </c>
      <c r="R109" s="820"/>
    </row>
    <row r="110" spans="1:18">
      <c r="D110" s="820"/>
      <c r="E110" s="820"/>
      <c r="F110" s="820"/>
      <c r="G110" s="820"/>
      <c r="H110" s="820"/>
      <c r="I110" s="820"/>
      <c r="J110" s="820"/>
      <c r="K110" s="820"/>
      <c r="L110" s="820"/>
      <c r="M110" s="820"/>
      <c r="N110" s="820"/>
      <c r="O110" s="820"/>
      <c r="P110" s="820"/>
      <c r="Q110" s="820"/>
      <c r="R110" s="820"/>
    </row>
    <row r="111" spans="1:18" s="963" customFormat="1" ht="23.25" customHeight="1" thickBot="1">
      <c r="A111" s="959"/>
      <c r="B111" s="1528"/>
      <c r="C111" s="954" t="s">
        <v>992</v>
      </c>
      <c r="D111" s="1675">
        <f>+D90+D92+D94+D105+D107+D109</f>
        <v>27290.649999999994</v>
      </c>
      <c r="E111" s="966">
        <f t="shared" ref="E111:Q111" si="27">+E90+E92+E94+E105+E107+E109</f>
        <v>-162780.43</v>
      </c>
      <c r="F111" s="966">
        <f t="shared" si="27"/>
        <v>-173854.40000000002</v>
      </c>
      <c r="G111" s="966">
        <f t="shared" si="27"/>
        <v>-187253.7</v>
      </c>
      <c r="H111" s="966">
        <f t="shared" si="27"/>
        <v>-200917.45</v>
      </c>
      <c r="I111" s="966">
        <f t="shared" si="27"/>
        <v>60181.00999999998</v>
      </c>
      <c r="J111" s="966">
        <f t="shared" si="27"/>
        <v>-216770.06999999998</v>
      </c>
      <c r="K111" s="966">
        <f t="shared" si="27"/>
        <v>-178759.68000000005</v>
      </c>
      <c r="L111" s="966">
        <f t="shared" si="27"/>
        <v>-210116.27</v>
      </c>
      <c r="M111" s="966">
        <f t="shared" si="27"/>
        <v>54953.349999999977</v>
      </c>
      <c r="N111" s="966">
        <f t="shared" si="27"/>
        <v>20888.859999999986</v>
      </c>
      <c r="O111" s="966">
        <f t="shared" si="27"/>
        <v>14605.869999999995</v>
      </c>
      <c r="P111" s="966">
        <f t="shared" si="27"/>
        <v>-40176.420000000013</v>
      </c>
      <c r="Q111" s="966">
        <f t="shared" si="27"/>
        <v>-91748.821538461547</v>
      </c>
    </row>
    <row r="112" spans="1:18" ht="12" thickTop="1">
      <c r="D112" s="820"/>
      <c r="E112" s="820"/>
      <c r="F112" s="820"/>
      <c r="G112" s="820"/>
      <c r="H112" s="820"/>
      <c r="I112" s="820"/>
      <c r="J112" s="820"/>
      <c r="K112" s="820"/>
      <c r="L112" s="820"/>
      <c r="M112" s="820"/>
      <c r="N112" s="820"/>
      <c r="O112" s="820"/>
      <c r="P112" s="820"/>
      <c r="Q112" s="820"/>
      <c r="R112" s="820"/>
    </row>
    <row r="113" spans="1:18">
      <c r="A113" s="821">
        <v>201</v>
      </c>
      <c r="B113" s="1561">
        <v>4760</v>
      </c>
      <c r="C113" s="21" t="s">
        <v>1641</v>
      </c>
      <c r="D113" s="1670">
        <f>IFERROR(VLOOKUP($B113,'Trial Blc'!$B$4:O$377,D$2,FALSE),0)</f>
        <v>-500</v>
      </c>
      <c r="E113" s="627">
        <f>IFERROR(VLOOKUP($B113,'Trial Blc'!$B$4:P$377,E$2,FALSE),0)</f>
        <v>-500</v>
      </c>
      <c r="F113" s="627">
        <f>IFERROR(VLOOKUP($B113,'Trial Blc'!$B$4:Q$377,F$2,FALSE),0)</f>
        <v>-500</v>
      </c>
      <c r="G113" s="627">
        <f>IFERROR(VLOOKUP($B113,'Trial Blc'!$B$4:R$377,G$2,FALSE),0)</f>
        <v>-500</v>
      </c>
      <c r="H113" s="627">
        <f>IFERROR(VLOOKUP($B113,'Trial Blc'!$B$4:S$377,H$2,FALSE),0)</f>
        <v>-500</v>
      </c>
      <c r="I113" s="627">
        <f>IFERROR(VLOOKUP($B113,'Trial Blc'!$B$4:T$377,I$2,FALSE),0)</f>
        <v>-500</v>
      </c>
      <c r="J113" s="627">
        <f>IFERROR(VLOOKUP($B113,'Trial Blc'!$B$4:U$377,J$2,FALSE),0)</f>
        <v>-500</v>
      </c>
      <c r="K113" s="627">
        <f>IFERROR(VLOOKUP($B113,'Trial Blc'!$B$4:V$377,K$2,FALSE),0)</f>
        <v>-500</v>
      </c>
      <c r="L113" s="627">
        <f>IFERROR(VLOOKUP($B113,'Trial Blc'!$B$4:W$377,L$2,FALSE),0)</f>
        <v>-500</v>
      </c>
      <c r="M113" s="627">
        <f>IFERROR(VLOOKUP($B113,'Trial Blc'!$B$4:X$377,M$2,FALSE),0)</f>
        <v>-500</v>
      </c>
      <c r="N113" s="627">
        <f>IFERROR(VLOOKUP($B113,'Trial Blc'!$B$4:Y$377,N$2,FALSE),0)</f>
        <v>-500</v>
      </c>
      <c r="O113" s="627">
        <f>IFERROR(VLOOKUP($B113,'Trial Blc'!$B$4:Z$377,O$2,FALSE),0)</f>
        <v>-500</v>
      </c>
      <c r="P113" s="627">
        <f>IFERROR(VLOOKUP($B113,'Trial Blc'!$B$4:AA$377,P$2,FALSE),0)</f>
        <v>-500</v>
      </c>
      <c r="Q113" s="627">
        <f t="shared" ref="Q113" si="28">AVERAGE(D113:P113)</f>
        <v>-500</v>
      </c>
      <c r="R113" s="820"/>
    </row>
    <row r="114" spans="1:18">
      <c r="D114" s="820"/>
      <c r="E114" s="820"/>
      <c r="F114" s="820"/>
      <c r="G114" s="820"/>
      <c r="H114" s="820"/>
      <c r="I114" s="820"/>
      <c r="J114" s="820"/>
      <c r="K114" s="820"/>
      <c r="L114" s="820"/>
      <c r="M114" s="820"/>
      <c r="N114" s="820"/>
      <c r="O114" s="820"/>
      <c r="P114" s="820"/>
      <c r="Q114" s="820"/>
      <c r="R114" s="820"/>
    </row>
    <row r="115" spans="1:18">
      <c r="A115" s="821">
        <v>211</v>
      </c>
      <c r="B115" s="1561">
        <v>4780</v>
      </c>
      <c r="C115" s="21" t="s">
        <v>1642</v>
      </c>
      <c r="D115" s="627">
        <f>IFERROR(VLOOKUP($B115,'Trial Blc'!$B$4:O$377,D$2,FALSE),0)</f>
        <v>-831818</v>
      </c>
      <c r="E115" s="627">
        <f>IFERROR(VLOOKUP($B115,'Trial Blc'!$B$4:P$377,E$2,FALSE),0)</f>
        <v>-831818</v>
      </c>
      <c r="F115" s="627">
        <f>IFERROR(VLOOKUP($B115,'Trial Blc'!$B$4:Q$377,F$2,FALSE),0)</f>
        <v>-831818</v>
      </c>
      <c r="G115" s="627">
        <f>IFERROR(VLOOKUP($B115,'Trial Blc'!$B$4:R$377,G$2,FALSE),0)</f>
        <v>-831818</v>
      </c>
      <c r="H115" s="627">
        <f>IFERROR(VLOOKUP($B115,'Trial Blc'!$B$4:S$377,H$2,FALSE),0)</f>
        <v>-831818</v>
      </c>
      <c r="I115" s="627">
        <f>IFERROR(VLOOKUP($B115,'Trial Blc'!$B$4:T$377,I$2,FALSE),0)</f>
        <v>-831818</v>
      </c>
      <c r="J115" s="627">
        <f>IFERROR(VLOOKUP($B115,'Trial Blc'!$B$4:U$377,J$2,FALSE),0)</f>
        <v>-831818</v>
      </c>
      <c r="K115" s="627">
        <f>IFERROR(VLOOKUP($B115,'Trial Blc'!$B$4:V$377,K$2,FALSE),0)</f>
        <v>-831818</v>
      </c>
      <c r="L115" s="627">
        <f>IFERROR(VLOOKUP($B115,'Trial Blc'!$B$4:W$377,L$2,FALSE),0)</f>
        <v>-831818</v>
      </c>
      <c r="M115" s="627">
        <f>IFERROR(VLOOKUP($B115,'Trial Blc'!$B$4:X$377,M$2,FALSE),0)</f>
        <v>-831818</v>
      </c>
      <c r="N115" s="627">
        <f>IFERROR(VLOOKUP($B115,'Trial Blc'!$B$4:Y$377,N$2,FALSE),0)</f>
        <v>-831818</v>
      </c>
      <c r="O115" s="627">
        <f>IFERROR(VLOOKUP($B115,'Trial Blc'!$B$4:Z$377,O$2,FALSE),0)</f>
        <v>-831818</v>
      </c>
      <c r="P115" s="627">
        <f>IFERROR(VLOOKUP($B115,'Trial Blc'!$B$4:AA$377,P$2,FALSE),0)</f>
        <v>-831818</v>
      </c>
      <c r="Q115" s="627">
        <f t="shared" ref="Q115:Q116" si="29">AVERAGE(D115:P115)</f>
        <v>-831818</v>
      </c>
      <c r="R115" s="820"/>
    </row>
    <row r="116" spans="1:18">
      <c r="B116" s="1561">
        <v>4785</v>
      </c>
      <c r="C116" s="21" t="s">
        <v>1643</v>
      </c>
      <c r="D116" s="627">
        <f>IFERROR(VLOOKUP($B116,'Trial Blc'!$B$4:O$377,D$2,FALSE),0)</f>
        <v>-4078483.01</v>
      </c>
      <c r="E116" s="627">
        <f>IFERROR(VLOOKUP($B116,'Trial Blc'!$B$4:P$377,E$2,FALSE),0)</f>
        <v>-4078483.01</v>
      </c>
      <c r="F116" s="627">
        <f>IFERROR(VLOOKUP($B116,'Trial Blc'!$B$4:Q$377,F$2,FALSE),0)</f>
        <v>-4078483.01</v>
      </c>
      <c r="G116" s="627">
        <f>IFERROR(VLOOKUP($B116,'Trial Blc'!$B$4:R$377,G$2,FALSE),0)</f>
        <v>-4078483.01</v>
      </c>
      <c r="H116" s="627">
        <f>IFERROR(VLOOKUP($B116,'Trial Blc'!$B$4:S$377,H$2,FALSE),0)</f>
        <v>-4078483.01</v>
      </c>
      <c r="I116" s="627">
        <f>IFERROR(VLOOKUP($B116,'Trial Blc'!$B$4:T$377,I$2,FALSE),0)</f>
        <v>-4078483.01</v>
      </c>
      <c r="J116" s="627">
        <f>IFERROR(VLOOKUP($B116,'Trial Blc'!$B$4:U$377,J$2,FALSE),0)</f>
        <v>-4078483.01</v>
      </c>
      <c r="K116" s="627">
        <f>IFERROR(VLOOKUP($B116,'Trial Blc'!$B$4:V$377,K$2,FALSE),0)</f>
        <v>-4078483.01</v>
      </c>
      <c r="L116" s="627">
        <f>IFERROR(VLOOKUP($B116,'Trial Blc'!$B$4:W$377,L$2,FALSE),0)</f>
        <v>-4078483.01</v>
      </c>
      <c r="M116" s="627">
        <f>IFERROR(VLOOKUP($B116,'Trial Blc'!$B$4:X$377,M$2,FALSE),0)</f>
        <v>-4078483.01</v>
      </c>
      <c r="N116" s="627">
        <f>IFERROR(VLOOKUP($B116,'Trial Blc'!$B$4:Y$377,N$2,FALSE),0)</f>
        <v>-4078483.01</v>
      </c>
      <c r="O116" s="627">
        <f>IFERROR(VLOOKUP($B116,'Trial Blc'!$B$4:Z$377,O$2,FALSE),0)</f>
        <v>-4078483.01</v>
      </c>
      <c r="P116" s="627">
        <f>IFERROR(VLOOKUP($B116,'Trial Blc'!$B$4:AA$377,P$2,FALSE),0)</f>
        <v>-4078483.01</v>
      </c>
      <c r="Q116" s="627">
        <f t="shared" si="29"/>
        <v>-4078483.0099999984</v>
      </c>
      <c r="R116" s="820"/>
    </row>
    <row r="117" spans="1:18">
      <c r="C117" s="827" t="s">
        <v>1648</v>
      </c>
      <c r="D117" s="1676">
        <f>SUM(D115:D116)</f>
        <v>-4910301.01</v>
      </c>
      <c r="E117" s="828">
        <f t="shared" ref="E117:Q117" si="30">SUM(E115:E116)</f>
        <v>-4910301.01</v>
      </c>
      <c r="F117" s="828">
        <f>SUM(F115:F116)</f>
        <v>-4910301.01</v>
      </c>
      <c r="G117" s="828">
        <f t="shared" si="30"/>
        <v>-4910301.01</v>
      </c>
      <c r="H117" s="828">
        <f t="shared" si="30"/>
        <v>-4910301.01</v>
      </c>
      <c r="I117" s="828">
        <f t="shared" si="30"/>
        <v>-4910301.01</v>
      </c>
      <c r="J117" s="828">
        <f t="shared" si="30"/>
        <v>-4910301.01</v>
      </c>
      <c r="K117" s="828">
        <f t="shared" si="30"/>
        <v>-4910301.01</v>
      </c>
      <c r="L117" s="828">
        <f t="shared" si="30"/>
        <v>-4910301.01</v>
      </c>
      <c r="M117" s="828">
        <f t="shared" si="30"/>
        <v>-4910301.01</v>
      </c>
      <c r="N117" s="828">
        <f t="shared" si="30"/>
        <v>-4910301.01</v>
      </c>
      <c r="O117" s="828">
        <f t="shared" si="30"/>
        <v>-4910301.01</v>
      </c>
      <c r="P117" s="828">
        <f t="shared" si="30"/>
        <v>-4910301.01</v>
      </c>
      <c r="Q117" s="828">
        <f t="shared" si="30"/>
        <v>-4910301.0099999979</v>
      </c>
      <c r="R117" s="820"/>
    </row>
    <row r="118" spans="1:18">
      <c r="D118" s="820"/>
      <c r="E118" s="820"/>
      <c r="F118" s="820"/>
      <c r="G118" s="820"/>
      <c r="H118" s="820"/>
      <c r="I118" s="820"/>
      <c r="J118" s="820"/>
      <c r="K118" s="820"/>
      <c r="L118" s="820"/>
      <c r="M118" s="820"/>
      <c r="N118" s="820"/>
      <c r="O118" s="820"/>
      <c r="P118" s="820"/>
      <c r="Q118" s="820"/>
      <c r="R118" s="820"/>
    </row>
    <row r="119" spans="1:18">
      <c r="A119" s="821">
        <v>215</v>
      </c>
      <c r="B119" s="1561">
        <v>4998</v>
      </c>
      <c r="C119" s="21" t="s">
        <v>1644</v>
      </c>
      <c r="D119" s="627">
        <f>IFERROR(VLOOKUP($B119,'Trial Blc'!$B$4:O$377,D$2,FALSE),0)</f>
        <v>180006.89</v>
      </c>
      <c r="E119" s="627">
        <f>IFERROR(VLOOKUP($B119,'Trial Blc'!$B$4:P$377,E$2,FALSE),0)</f>
        <v>-89945.56</v>
      </c>
      <c r="F119" s="627">
        <f>IFERROR(VLOOKUP($B119,'Trial Blc'!$B$4:Q$377,F$2,FALSE),0)</f>
        <v>-89945.56</v>
      </c>
      <c r="G119" s="627">
        <f>IFERROR(VLOOKUP($B119,'Trial Blc'!$B$4:R$377,G$2,FALSE),0)</f>
        <v>-89945.56</v>
      </c>
      <c r="H119" s="627">
        <f>IFERROR(VLOOKUP($B119,'Trial Blc'!$B$4:S$377,H$2,FALSE),0)</f>
        <v>-89945.56</v>
      </c>
      <c r="I119" s="627">
        <f>IFERROR(VLOOKUP($B119,'Trial Blc'!$B$4:T$377,I$2,FALSE),0)</f>
        <v>-89945.56</v>
      </c>
      <c r="J119" s="627">
        <f>IFERROR(VLOOKUP($B119,'Trial Blc'!$B$4:U$377,J$2,FALSE),0)</f>
        <v>-89945.56</v>
      </c>
      <c r="K119" s="627">
        <f>IFERROR(VLOOKUP($B119,'Trial Blc'!$B$4:V$377,K$2,FALSE),0)</f>
        <v>-89945.56</v>
      </c>
      <c r="L119" s="627">
        <f>IFERROR(VLOOKUP($B119,'Trial Blc'!$B$4:W$377,L$2,FALSE),0)</f>
        <v>-89945.56</v>
      </c>
      <c r="M119" s="627">
        <f>IFERROR(VLOOKUP($B119,'Trial Blc'!$B$4:X$377,M$2,FALSE),0)</f>
        <v>-89945.56</v>
      </c>
      <c r="N119" s="627">
        <f>IFERROR(VLOOKUP($B119,'Trial Blc'!$B$4:Y$377,N$2,FALSE),0)</f>
        <v>-89945.56</v>
      </c>
      <c r="O119" s="627">
        <f>IFERROR(VLOOKUP($B119,'Trial Blc'!$B$4:Z$377,O$2,FALSE),0)</f>
        <v>-89945.56</v>
      </c>
      <c r="P119" s="627">
        <f>IFERROR(VLOOKUP($B119,'Trial Blc'!$B$4:AA$377,P$2,FALSE),0)</f>
        <v>-89945.56</v>
      </c>
      <c r="Q119" s="627">
        <f t="shared" ref="Q119" si="31">AVERAGE(D119:P119)</f>
        <v>-69179.986923076925</v>
      </c>
      <c r="R119" s="820"/>
    </row>
    <row r="120" spans="1:18">
      <c r="C120" s="21" t="s">
        <v>1649</v>
      </c>
      <c r="D120" s="820">
        <f>SUM('Trial Blc'!C188:C358)</f>
        <v>-269952.45000000153</v>
      </c>
      <c r="E120" s="820">
        <f>SUM('Trial Blc'!D188:D358)</f>
        <v>-62477.469999999994</v>
      </c>
      <c r="F120" s="820">
        <f>SUM('Trial Blc'!E188:E358)</f>
        <v>-109142.38000000014</v>
      </c>
      <c r="G120" s="820">
        <f>SUM('Trial Blc'!F188:F358)</f>
        <v>-114674.79999999983</v>
      </c>
      <c r="H120" s="820">
        <f>SUM('Trial Blc'!G188:G358)</f>
        <v>-177311.5700000005</v>
      </c>
      <c r="I120" s="820">
        <f>SUM('Trial Blc'!H188:H358)</f>
        <v>-234495.09999999986</v>
      </c>
      <c r="J120" s="820">
        <f>SUM('Trial Blc'!I188:I358)</f>
        <v>-239556.10999999993</v>
      </c>
      <c r="K120" s="820">
        <f>SUM('Trial Blc'!J188:J358)</f>
        <v>-261623.0900000002</v>
      </c>
      <c r="L120" s="820">
        <f>SUM('Trial Blc'!K188:K358)</f>
        <v>-291959.04000000039</v>
      </c>
      <c r="M120" s="820">
        <f>SUM('Trial Blc'!L188:L358)</f>
        <v>-357433.17999999993</v>
      </c>
      <c r="N120" s="820">
        <f>SUM('Trial Blc'!M188:M358)</f>
        <v>-406622.27</v>
      </c>
      <c r="O120" s="820">
        <f>SUM('Trial Blc'!N188:N358)</f>
        <v>-453918.35000000027</v>
      </c>
      <c r="P120" s="820">
        <f>SUM('Trial Blc'!O188:O358)</f>
        <v>-309689.28000000183</v>
      </c>
      <c r="Q120" s="820"/>
      <c r="R120" s="820"/>
    </row>
    <row r="121" spans="1:18">
      <c r="C121" s="827" t="s">
        <v>1754</v>
      </c>
      <c r="D121" s="1676">
        <f t="shared" ref="D121:Q121" si="32">SUM(D119:D120)</f>
        <v>-89945.560000001511</v>
      </c>
      <c r="E121" s="828">
        <f t="shared" si="32"/>
        <v>-152423.03</v>
      </c>
      <c r="F121" s="828">
        <f t="shared" si="32"/>
        <v>-199087.94000000012</v>
      </c>
      <c r="G121" s="828">
        <f t="shared" si="32"/>
        <v>-204620.35999999981</v>
      </c>
      <c r="H121" s="828">
        <f t="shared" si="32"/>
        <v>-267257.13000000047</v>
      </c>
      <c r="I121" s="828">
        <f t="shared" si="32"/>
        <v>-324440.65999999986</v>
      </c>
      <c r="J121" s="828">
        <f t="shared" si="32"/>
        <v>-329501.66999999993</v>
      </c>
      <c r="K121" s="828">
        <f t="shared" si="32"/>
        <v>-351568.6500000002</v>
      </c>
      <c r="L121" s="828">
        <f t="shared" si="32"/>
        <v>-381904.60000000038</v>
      </c>
      <c r="M121" s="828">
        <f t="shared" si="32"/>
        <v>-447378.73999999993</v>
      </c>
      <c r="N121" s="828">
        <f t="shared" si="32"/>
        <v>-496567.83</v>
      </c>
      <c r="O121" s="828">
        <f t="shared" si="32"/>
        <v>-543863.91000000027</v>
      </c>
      <c r="P121" s="828">
        <f t="shared" si="32"/>
        <v>-399634.84000000183</v>
      </c>
      <c r="Q121" s="828">
        <f t="shared" si="32"/>
        <v>-69179.986923076925</v>
      </c>
      <c r="R121" s="820"/>
    </row>
    <row r="122" spans="1:18">
      <c r="D122" s="820"/>
      <c r="E122" s="820"/>
      <c r="F122" s="820"/>
      <c r="G122" s="820"/>
      <c r="H122" s="820"/>
      <c r="I122" s="820"/>
      <c r="J122" s="820"/>
      <c r="K122" s="820"/>
      <c r="L122" s="820"/>
      <c r="M122" s="820"/>
      <c r="N122" s="820"/>
      <c r="O122" s="820"/>
      <c r="P122" s="820"/>
      <c r="Q122" s="820"/>
      <c r="R122" s="820"/>
    </row>
    <row r="123" spans="1:18">
      <c r="D123" s="820"/>
      <c r="E123" s="820"/>
      <c r="F123" s="820"/>
      <c r="G123" s="820"/>
      <c r="H123" s="820"/>
      <c r="I123" s="820"/>
      <c r="J123" s="820"/>
      <c r="K123" s="820"/>
      <c r="L123" s="820"/>
      <c r="M123" s="820"/>
      <c r="N123" s="820"/>
      <c r="O123" s="820"/>
      <c r="P123" s="820"/>
      <c r="Q123" s="820"/>
      <c r="R123" s="820"/>
    </row>
    <row r="124" spans="1:18">
      <c r="C124" s="20" t="s">
        <v>2291</v>
      </c>
      <c r="D124" s="820">
        <f t="shared" ref="D124:O124" si="33">+D78+D82+D90+D92+D105+D117+D119+D113+D107</f>
        <v>-5203133.6000000006</v>
      </c>
      <c r="E124" s="820">
        <f t="shared" si="33"/>
        <v>-5663157.0799999991</v>
      </c>
      <c r="F124" s="820">
        <f t="shared" si="33"/>
        <v>-5674169.5599999996</v>
      </c>
      <c r="G124" s="820">
        <f t="shared" si="33"/>
        <v>-5687558.9099999992</v>
      </c>
      <c r="H124" s="820">
        <f t="shared" si="33"/>
        <v>-5701239.0099999998</v>
      </c>
      <c r="I124" s="820">
        <f t="shared" si="33"/>
        <v>-5440133.2799999993</v>
      </c>
      <c r="J124" s="820">
        <f t="shared" si="33"/>
        <v>-5717085.0999999996</v>
      </c>
      <c r="K124" s="820">
        <f t="shared" si="33"/>
        <v>-5679066.9299999997</v>
      </c>
      <c r="L124" s="820">
        <f t="shared" si="33"/>
        <v>-5710415.2799999993</v>
      </c>
      <c r="M124" s="820">
        <f t="shared" si="33"/>
        <v>-5445292.1899999995</v>
      </c>
      <c r="N124" s="820">
        <f t="shared" si="33"/>
        <v>-5479355.3299999991</v>
      </c>
      <c r="O124" s="820">
        <f t="shared" si="33"/>
        <v>-5485630.9099999992</v>
      </c>
      <c r="P124" s="820">
        <f>+P78+P82+P90+P92+P105+P117+P119+P113+P107</f>
        <v>-5655835.4799999995</v>
      </c>
      <c r="Q124" s="820"/>
      <c r="R124" s="820"/>
    </row>
    <row r="125" spans="1:18">
      <c r="C125" s="21" t="s">
        <v>2292</v>
      </c>
      <c r="D125" s="820">
        <f>SUM('Trial Blc'!C151:C186)</f>
        <v>-5203133.6000000006</v>
      </c>
      <c r="E125" s="820">
        <f>SUM('Trial Blc'!D151:D186)</f>
        <v>-5663157.0799999991</v>
      </c>
      <c r="F125" s="820">
        <f>SUM('Trial Blc'!E151:E186)</f>
        <v>-5674169.5599999996</v>
      </c>
      <c r="G125" s="820">
        <f>SUM('Trial Blc'!F151:F186)</f>
        <v>-5687558.9099999992</v>
      </c>
      <c r="H125" s="820">
        <f>SUM('Trial Blc'!G151:G186)</f>
        <v>-5701239.0099999988</v>
      </c>
      <c r="I125" s="820">
        <f>SUM('Trial Blc'!H151:H186)</f>
        <v>-5440133.2799999993</v>
      </c>
      <c r="J125" s="820">
        <f>SUM('Trial Blc'!I151:I186)</f>
        <v>-5717085.0999999996</v>
      </c>
      <c r="K125" s="820">
        <f>SUM('Trial Blc'!J151:J186)</f>
        <v>-5679066.9299999997</v>
      </c>
      <c r="L125" s="820">
        <f>SUM('Trial Blc'!K151:K186)</f>
        <v>-5710415.2799999993</v>
      </c>
      <c r="M125" s="820">
        <f>SUM('Trial Blc'!L151:L186)</f>
        <v>-5445292.1899999995</v>
      </c>
      <c r="N125" s="820">
        <f>SUM('Trial Blc'!M151:M186)</f>
        <v>-5479355.3299999991</v>
      </c>
      <c r="O125" s="820">
        <f>SUM('Trial Blc'!N151:N186)</f>
        <v>-5485630.9099999992</v>
      </c>
      <c r="P125" s="820">
        <f>SUM('Trial Blc'!O151:O186)</f>
        <v>-5655835.4799999995</v>
      </c>
      <c r="Q125" s="820"/>
      <c r="R125" s="820"/>
    </row>
    <row r="126" spans="1:18">
      <c r="C126" s="21" t="s">
        <v>612</v>
      </c>
      <c r="D126" s="820">
        <f>+D125-D124</f>
        <v>0</v>
      </c>
      <c r="E126" s="820">
        <f t="shared" ref="E126:P126" si="34">+E125-E124</f>
        <v>0</v>
      </c>
      <c r="F126" s="820">
        <f t="shared" si="34"/>
        <v>0</v>
      </c>
      <c r="G126" s="820">
        <f t="shared" si="34"/>
        <v>0</v>
      </c>
      <c r="H126" s="820">
        <f t="shared" si="34"/>
        <v>0</v>
      </c>
      <c r="I126" s="820">
        <f t="shared" si="34"/>
        <v>0</v>
      </c>
      <c r="J126" s="820">
        <f t="shared" si="34"/>
        <v>0</v>
      </c>
      <c r="K126" s="820">
        <f t="shared" si="34"/>
        <v>0</v>
      </c>
      <c r="L126" s="820">
        <f t="shared" si="34"/>
        <v>0</v>
      </c>
      <c r="M126" s="820">
        <f t="shared" si="34"/>
        <v>0</v>
      </c>
      <c r="N126" s="820">
        <f t="shared" si="34"/>
        <v>0</v>
      </c>
      <c r="O126" s="820">
        <f t="shared" si="34"/>
        <v>0</v>
      </c>
      <c r="P126" s="820">
        <f t="shared" si="34"/>
        <v>0</v>
      </c>
      <c r="Q126" s="820"/>
      <c r="R126" s="820"/>
    </row>
    <row r="127" spans="1:18">
      <c r="D127" s="820"/>
      <c r="E127" s="820"/>
      <c r="F127" s="820"/>
      <c r="G127" s="820"/>
      <c r="H127" s="820"/>
      <c r="I127" s="820"/>
      <c r="J127" s="820"/>
      <c r="K127" s="820"/>
      <c r="L127" s="820"/>
      <c r="M127" s="820"/>
      <c r="N127" s="820"/>
      <c r="O127" s="820"/>
      <c r="P127" s="820"/>
      <c r="Q127" s="820"/>
      <c r="R127" s="820"/>
    </row>
    <row r="128" spans="1:18">
      <c r="C128" s="21" t="s">
        <v>2297</v>
      </c>
      <c r="D128" s="820">
        <f>-D124+'A 19 (a)'!C45+'A 19 (a)'!C46</f>
        <v>5983354.2300000004</v>
      </c>
      <c r="E128" s="820">
        <f>-E124+'A 19 (a)'!D45+'A 19 (a)'!D46</f>
        <v>5663157.0799999991</v>
      </c>
      <c r="F128" s="820">
        <f>-F124+'A 19 (a)'!E45+'A 19 (a)'!E46</f>
        <v>6454390.1899999995</v>
      </c>
      <c r="G128" s="820">
        <f>-G124+'A 19 (a)'!F45+'A 19 (a)'!F46</f>
        <v>6459799.9499999993</v>
      </c>
      <c r="H128" s="820">
        <f>-H124+'A 19 (a)'!G45+'A 19 (a)'!G46</f>
        <v>6529123.6400000006</v>
      </c>
      <c r="I128" s="820">
        <f>-I124+'A 19 (a)'!H45+'A 19 (a)'!H46</f>
        <v>6259905.5</v>
      </c>
      <c r="J128" s="820">
        <f>-J124+'A 19 (a)'!I45+'A 19 (a)'!I46</f>
        <v>6528744.9100000001</v>
      </c>
      <c r="K128" s="820">
        <f>-K124+'A 19 (a)'!J45+'A 19 (a)'!J46</f>
        <v>6482656.25</v>
      </c>
      <c r="L128" s="820">
        <f>-L124+'A 19 (a)'!K45+'A 19 (a)'!K46</f>
        <v>6505892.1099999994</v>
      </c>
      <c r="M128" s="820">
        <f>-M124+'A 19 (a)'!L45+'A 19 (a)'!L46</f>
        <v>6232656.5299999993</v>
      </c>
      <c r="N128" s="820">
        <f>-N124+'A 19 (a)'!M45+'A 19 (a)'!M46</f>
        <v>6258607.1799999978</v>
      </c>
      <c r="O128" s="820">
        <f>-O124+'A 19 (a)'!N45+'A 19 (a)'!N46</f>
        <v>6256770.2699999996</v>
      </c>
      <c r="P128" s="820">
        <f>-P124+'A 19 (a)'!O45+'A 19 (a)'!O46</f>
        <v>6418862.3499999996</v>
      </c>
      <c r="Q128" s="820"/>
      <c r="R128" s="820"/>
    </row>
    <row r="129" spans="3:18">
      <c r="C129" s="21" t="s">
        <v>2295</v>
      </c>
      <c r="D129" s="820">
        <f>+'A 19 (a)'!E50</f>
        <v>6253306.6800000016</v>
      </c>
      <c r="E129" s="820">
        <f>+'A 19 (a)'!F50</f>
        <v>6497875.5899999999</v>
      </c>
      <c r="F129" s="820">
        <f>+'A 19 (a)'!G50</f>
        <v>6611196.5700000003</v>
      </c>
      <c r="G129" s="820">
        <f>+'A 19 (a)'!H50</f>
        <v>6622005.9299999997</v>
      </c>
      <c r="H129" s="820">
        <f>+'A 19 (a)'!I50</f>
        <v>6690210.3900000006</v>
      </c>
      <c r="I129" s="820">
        <f>+'A 19 (a)'!J50</f>
        <v>6478217.6999999993</v>
      </c>
      <c r="J129" s="820">
        <f>+'A 19 (a)'!K50</f>
        <v>6752118.04</v>
      </c>
      <c r="K129" s="820">
        <f>+'A 19 (a)'!L50</f>
        <v>6728054.3600000003</v>
      </c>
      <c r="L129" s="820">
        <f>+'A 19 (a)'!M50</f>
        <v>6781626.1699999999</v>
      </c>
      <c r="M129" s="820">
        <f>+'A 19 (a)'!N50</f>
        <v>6573864.7300000004</v>
      </c>
      <c r="N129" s="820">
        <f>+'A 19 (a)'!O50</f>
        <v>6649004.4699999997</v>
      </c>
      <c r="O129" s="820">
        <f>+'A 19 (a)'!P50</f>
        <v>6694442.6799999997</v>
      </c>
      <c r="P129" s="820">
        <f>+'A 19 (a)'!Q50</f>
        <v>6712305.7300000014</v>
      </c>
      <c r="Q129" s="820"/>
      <c r="R129" s="820"/>
    </row>
    <row r="130" spans="3:18">
      <c r="C130" s="21" t="s">
        <v>2296</v>
      </c>
      <c r="D130" s="820">
        <f>-D120</f>
        <v>269952.45000000153</v>
      </c>
      <c r="E130" s="820">
        <f t="shared" ref="E130:P130" si="35">-E120</f>
        <v>62477.469999999994</v>
      </c>
      <c r="F130" s="820">
        <f t="shared" si="35"/>
        <v>109142.38000000014</v>
      </c>
      <c r="G130" s="820">
        <f t="shared" si="35"/>
        <v>114674.79999999983</v>
      </c>
      <c r="H130" s="820">
        <f t="shared" si="35"/>
        <v>177311.5700000005</v>
      </c>
      <c r="I130" s="820">
        <f t="shared" si="35"/>
        <v>234495.09999999986</v>
      </c>
      <c r="J130" s="820">
        <f t="shared" si="35"/>
        <v>239556.10999999993</v>
      </c>
      <c r="K130" s="820">
        <f t="shared" si="35"/>
        <v>261623.0900000002</v>
      </c>
      <c r="L130" s="820">
        <f t="shared" si="35"/>
        <v>291959.04000000039</v>
      </c>
      <c r="M130" s="820">
        <f t="shared" si="35"/>
        <v>357433.17999999993</v>
      </c>
      <c r="N130" s="820">
        <f t="shared" si="35"/>
        <v>406622.27</v>
      </c>
      <c r="O130" s="820">
        <f t="shared" si="35"/>
        <v>453918.35000000027</v>
      </c>
      <c r="P130" s="820">
        <f t="shared" si="35"/>
        <v>309689.28000000183</v>
      </c>
      <c r="Q130" s="820"/>
      <c r="R130" s="820"/>
    </row>
    <row r="131" spans="3:18">
      <c r="D131" s="820"/>
      <c r="E131" s="820"/>
      <c r="F131" s="820"/>
      <c r="G131" s="820"/>
      <c r="H131" s="820"/>
      <c r="I131" s="820"/>
      <c r="J131" s="820"/>
      <c r="K131" s="820"/>
      <c r="L131" s="820"/>
      <c r="M131" s="820"/>
      <c r="N131" s="820"/>
      <c r="O131" s="820"/>
      <c r="P131" s="820"/>
      <c r="Q131" s="820"/>
      <c r="R131" s="820"/>
    </row>
    <row r="132" spans="3:18">
      <c r="Q132" s="820"/>
      <c r="R132" s="820"/>
    </row>
    <row r="133" spans="3:18">
      <c r="C133" s="1679" t="s">
        <v>1341</v>
      </c>
      <c r="D133" s="1680">
        <f>+D3+D22+D39+D56</f>
        <v>2188081.7000000002</v>
      </c>
      <c r="E133" s="1680">
        <f t="shared" ref="E133:P133" si="36">+E3+E22+E39+E56</f>
        <v>2183772.64</v>
      </c>
      <c r="F133" s="1680">
        <f t="shared" si="36"/>
        <v>2238508.96</v>
      </c>
      <c r="G133" s="1680">
        <f t="shared" si="36"/>
        <v>2181412.2400000002</v>
      </c>
      <c r="H133" s="1680">
        <f t="shared" si="36"/>
        <v>2237368.7000000002</v>
      </c>
      <c r="I133" s="1680">
        <f t="shared" si="36"/>
        <v>2235066.9300000002</v>
      </c>
      <c r="J133" s="1680">
        <f t="shared" si="36"/>
        <v>2269057.5100000002</v>
      </c>
      <c r="K133" s="1680">
        <f t="shared" si="36"/>
        <v>2197527.6800000002</v>
      </c>
      <c r="L133" s="1680">
        <f t="shared" si="36"/>
        <v>2270118.73</v>
      </c>
      <c r="M133" s="1680">
        <f t="shared" si="36"/>
        <v>2322135.6800000002</v>
      </c>
      <c r="N133" s="1680">
        <f t="shared" si="36"/>
        <v>2374162.2999999998</v>
      </c>
      <c r="O133" s="1680">
        <f t="shared" si="36"/>
        <v>2392923.37</v>
      </c>
      <c r="P133" s="1680">
        <f t="shared" si="36"/>
        <v>2381404.5699999998</v>
      </c>
      <c r="Q133" s="967"/>
    </row>
    <row r="134" spans="3:18">
      <c r="C134" s="21" t="s">
        <v>2292</v>
      </c>
      <c r="D134" s="820">
        <f>SUM('Trial Blc'!C103:C124)</f>
        <v>2188081.7000000007</v>
      </c>
      <c r="E134" s="820">
        <f>SUM('Trial Blc'!D103:D124)</f>
        <v>2183772.6400000011</v>
      </c>
      <c r="F134" s="820">
        <f>SUM('Trial Blc'!E103:E124)</f>
        <v>2238508.9600000009</v>
      </c>
      <c r="G134" s="820">
        <f>SUM('Trial Blc'!F103:F124)</f>
        <v>2181412.2400000007</v>
      </c>
      <c r="H134" s="820">
        <f>SUM('Trial Blc'!G103:G124)</f>
        <v>2237368.7000000011</v>
      </c>
      <c r="I134" s="820">
        <f>SUM('Trial Blc'!H103:H124)</f>
        <v>2235066.9300000002</v>
      </c>
      <c r="J134" s="820">
        <f>SUM('Trial Blc'!I103:I124)</f>
        <v>2269057.5100000007</v>
      </c>
      <c r="K134" s="820">
        <f>SUM('Trial Blc'!J103:J124)</f>
        <v>2197527.6800000006</v>
      </c>
      <c r="L134" s="820">
        <f>SUM('Trial Blc'!K103:K124)</f>
        <v>2270118.7300000004</v>
      </c>
      <c r="M134" s="820">
        <f>SUM('Trial Blc'!L103:L124)</f>
        <v>2322135.6800000006</v>
      </c>
      <c r="N134" s="820">
        <f>SUM('Trial Blc'!M103:M124)</f>
        <v>2374162.3000000003</v>
      </c>
      <c r="O134" s="820">
        <f>SUM('Trial Blc'!N103:N124)</f>
        <v>2392923.37</v>
      </c>
      <c r="P134" s="820">
        <f>SUM('Trial Blc'!O103:O124)</f>
        <v>2381404.5700000008</v>
      </c>
      <c r="Q134" s="820"/>
      <c r="R134" s="820"/>
    </row>
    <row r="135" spans="3:18">
      <c r="C135" s="21" t="s">
        <v>612</v>
      </c>
      <c r="D135" s="820">
        <f>+D134-D133</f>
        <v>0</v>
      </c>
      <c r="E135" s="820">
        <f t="shared" ref="E135:P135" si="37">+E134-E133</f>
        <v>0</v>
      </c>
      <c r="F135" s="820">
        <f t="shared" si="37"/>
        <v>0</v>
      </c>
      <c r="G135" s="820">
        <f t="shared" si="37"/>
        <v>0</v>
      </c>
      <c r="H135" s="820">
        <f t="shared" si="37"/>
        <v>0</v>
      </c>
      <c r="I135" s="820">
        <f t="shared" si="37"/>
        <v>0</v>
      </c>
      <c r="J135" s="820">
        <f t="shared" si="37"/>
        <v>0</v>
      </c>
      <c r="K135" s="820">
        <f t="shared" si="37"/>
        <v>0</v>
      </c>
      <c r="L135" s="820">
        <f t="shared" si="37"/>
        <v>0</v>
      </c>
      <c r="M135" s="820">
        <f t="shared" si="37"/>
        <v>0</v>
      </c>
      <c r="N135" s="820">
        <f t="shared" si="37"/>
        <v>0</v>
      </c>
      <c r="O135" s="820">
        <f t="shared" si="37"/>
        <v>0</v>
      </c>
      <c r="P135" s="820">
        <f t="shared" si="37"/>
        <v>0</v>
      </c>
      <c r="Q135" s="820"/>
      <c r="R135" s="820"/>
    </row>
    <row r="136" spans="3:18">
      <c r="D136" s="820"/>
      <c r="E136" s="820"/>
      <c r="F136" s="820"/>
      <c r="G136" s="820"/>
      <c r="H136" s="820"/>
      <c r="I136" s="820"/>
      <c r="J136" s="820"/>
      <c r="K136" s="820"/>
      <c r="L136" s="820"/>
      <c r="M136" s="820"/>
      <c r="N136" s="820"/>
      <c r="O136" s="820"/>
      <c r="P136" s="820"/>
      <c r="Q136" s="820"/>
      <c r="R136" s="820"/>
    </row>
    <row r="137" spans="3:18">
      <c r="C137" s="21" t="s">
        <v>2293</v>
      </c>
      <c r="D137" s="820">
        <f>+D133+'A 18 (a)'!E18-'A 18 (a)'!E13</f>
        <v>6253306.6800000006</v>
      </c>
      <c r="E137" s="820">
        <f>+E133+'A 18 (a)'!F18-'A 18 (a)'!F13</f>
        <v>6497875.5900000008</v>
      </c>
      <c r="F137" s="820">
        <f>+F133+'A 18 (a)'!G18-'A 18 (a)'!G13</f>
        <v>6611196.5699999984</v>
      </c>
      <c r="G137" s="820">
        <f>+G133+'A 18 (a)'!H18-'A 18 (a)'!H13</f>
        <v>6622005.9300000016</v>
      </c>
      <c r="H137" s="820">
        <f>+H133+'A 18 (a)'!I18-'A 18 (a)'!I13</f>
        <v>6690210.3900000006</v>
      </c>
      <c r="I137" s="820">
        <f>+I133+'A 18 (a)'!J18-'A 18 (a)'!J13</f>
        <v>6478217.6999999965</v>
      </c>
      <c r="J137" s="820">
        <f>+J133+'A 18 (a)'!K18-'A 18 (a)'!K13</f>
        <v>6752118.0400000038</v>
      </c>
      <c r="K137" s="820">
        <f>+K133+'A 18 (a)'!L18-'A 18 (a)'!L13</f>
        <v>6728054.3600000003</v>
      </c>
      <c r="L137" s="820">
        <f>+L133+'A 18 (a)'!M18-'A 18 (a)'!M13</f>
        <v>6781626.1700000027</v>
      </c>
      <c r="M137" s="820">
        <f>+M133+'A 18 (a)'!N18-'A 18 (a)'!N13</f>
        <v>6573864.7299999995</v>
      </c>
      <c r="N137" s="820">
        <f>+N133+'A 18 (a)'!O18-'A 18 (a)'!O13</f>
        <v>6649004.4699999997</v>
      </c>
      <c r="O137" s="820">
        <f>+O133+'A 18 (a)'!P18-'A 18 (a)'!P13</f>
        <v>6694442.6800000016</v>
      </c>
      <c r="P137" s="820">
        <f>+P133+'A 18 (a)'!Q18-'A 18 (a)'!Q13</f>
        <v>6712305.7300000014</v>
      </c>
      <c r="Q137" s="820"/>
      <c r="R137" s="820"/>
    </row>
    <row r="138" spans="3:18">
      <c r="C138" s="21" t="s">
        <v>2294</v>
      </c>
      <c r="D138" s="820">
        <f>+'A 18 (a)'!E42</f>
        <v>6253306.6799999997</v>
      </c>
      <c r="E138" s="820">
        <f>+'A 18 (a)'!F42</f>
        <v>6497875.5900000008</v>
      </c>
      <c r="F138" s="820">
        <f>+'A 18 (a)'!G42</f>
        <v>6611196.5699999975</v>
      </c>
      <c r="G138" s="820">
        <f>+'A 18 (a)'!H42</f>
        <v>6622005.9300000016</v>
      </c>
      <c r="H138" s="820">
        <f>+'A 18 (a)'!I42</f>
        <v>6690210.3899999997</v>
      </c>
      <c r="I138" s="820">
        <f>+'A 18 (a)'!J42</f>
        <v>6478217.6999999965</v>
      </c>
      <c r="J138" s="820">
        <f>+'A 18 (a)'!K42</f>
        <v>6752118.0400000038</v>
      </c>
      <c r="K138" s="820">
        <f>+'A 18 (a)'!L42</f>
        <v>6728054.3599999994</v>
      </c>
      <c r="L138" s="820">
        <f>+'A 18 (a)'!M42</f>
        <v>6781626.1700000018</v>
      </c>
      <c r="M138" s="820">
        <f>+'A 18 (a)'!N42</f>
        <v>6573864.7299999995</v>
      </c>
      <c r="N138" s="820">
        <f>+'A 18 (a)'!O42</f>
        <v>6649004.4699999997</v>
      </c>
      <c r="O138" s="820">
        <f>+'A 18 (a)'!P42</f>
        <v>6694442.6800000016</v>
      </c>
      <c r="P138" s="820">
        <f>+'A 18 (a)'!Q42</f>
        <v>6712305.7300000014</v>
      </c>
      <c r="Q138" s="820"/>
      <c r="R138" s="820"/>
    </row>
    <row r="139" spans="3:18">
      <c r="D139" s="820"/>
      <c r="E139" s="820"/>
      <c r="F139" s="820"/>
      <c r="G139" s="820"/>
      <c r="H139" s="820"/>
      <c r="I139" s="820"/>
      <c r="J139" s="820"/>
      <c r="K139" s="820"/>
      <c r="L139" s="820"/>
      <c r="M139" s="820"/>
      <c r="N139" s="820"/>
      <c r="O139" s="820"/>
      <c r="P139" s="820"/>
      <c r="Q139" s="820"/>
      <c r="R139" s="820"/>
    </row>
    <row r="140" spans="3:18">
      <c r="D140" s="820"/>
      <c r="E140" s="820"/>
      <c r="F140" s="820"/>
      <c r="G140" s="820"/>
      <c r="H140" s="820"/>
      <c r="I140" s="820"/>
      <c r="J140" s="820"/>
      <c r="K140" s="820"/>
      <c r="L140" s="820"/>
      <c r="M140" s="820"/>
      <c r="N140" s="820"/>
      <c r="O140" s="820"/>
      <c r="P140" s="820"/>
      <c r="Q140" s="820"/>
      <c r="R140" s="820"/>
    </row>
    <row r="141" spans="3:18">
      <c r="D141" s="820"/>
      <c r="E141" s="820"/>
      <c r="F141" s="820"/>
      <c r="G141" s="820"/>
      <c r="H141" s="820"/>
      <c r="I141" s="820"/>
      <c r="J141" s="820"/>
      <c r="K141" s="820"/>
      <c r="L141" s="820"/>
      <c r="M141" s="820"/>
      <c r="N141" s="820"/>
      <c r="O141" s="820"/>
      <c r="P141" s="820"/>
      <c r="Q141" s="820"/>
      <c r="R141" s="820"/>
    </row>
    <row r="142" spans="3:18">
      <c r="D142" s="820"/>
      <c r="E142" s="820"/>
      <c r="F142" s="820"/>
      <c r="G142" s="820"/>
      <c r="H142" s="820"/>
      <c r="I142" s="820"/>
      <c r="J142" s="820"/>
      <c r="K142" s="820"/>
      <c r="L142" s="820"/>
      <c r="M142" s="820"/>
      <c r="N142" s="820"/>
      <c r="O142" s="820"/>
      <c r="P142" s="820"/>
      <c r="Q142" s="820"/>
      <c r="R142" s="820"/>
    </row>
    <row r="143" spans="3:18">
      <c r="D143" s="820"/>
      <c r="E143" s="820"/>
      <c r="F143" s="820"/>
      <c r="G143" s="820"/>
      <c r="H143" s="820"/>
      <c r="I143" s="820"/>
      <c r="J143" s="820"/>
      <c r="K143" s="820"/>
      <c r="L143" s="820"/>
      <c r="M143" s="820"/>
      <c r="N143" s="820"/>
      <c r="O143" s="820"/>
      <c r="P143" s="820"/>
      <c r="Q143" s="820"/>
      <c r="R143" s="820"/>
    </row>
    <row r="144" spans="3:18">
      <c r="D144" s="820"/>
      <c r="E144" s="820"/>
      <c r="F144" s="820"/>
      <c r="G144" s="820"/>
      <c r="H144" s="820"/>
      <c r="I144" s="820"/>
      <c r="J144" s="820"/>
      <c r="K144" s="820"/>
      <c r="L144" s="820"/>
      <c r="M144" s="820"/>
      <c r="N144" s="820"/>
      <c r="O144" s="820"/>
      <c r="P144" s="820"/>
      <c r="Q144" s="820"/>
      <c r="R144" s="820"/>
    </row>
    <row r="145" spans="4:18">
      <c r="D145" s="820"/>
      <c r="E145" s="820"/>
      <c r="F145" s="820"/>
      <c r="G145" s="820"/>
      <c r="H145" s="820"/>
      <c r="I145" s="820"/>
      <c r="J145" s="820"/>
      <c r="K145" s="820"/>
      <c r="L145" s="820"/>
      <c r="M145" s="820"/>
      <c r="N145" s="820"/>
      <c r="O145" s="820"/>
      <c r="P145" s="820"/>
      <c r="Q145" s="820"/>
      <c r="R145" s="820"/>
    </row>
    <row r="146" spans="4:18">
      <c r="D146" s="820"/>
      <c r="E146" s="820"/>
      <c r="F146" s="820"/>
      <c r="G146" s="820"/>
      <c r="H146" s="820"/>
      <c r="I146" s="820"/>
      <c r="J146" s="820"/>
      <c r="K146" s="820"/>
      <c r="L146" s="820"/>
      <c r="M146" s="820"/>
      <c r="N146" s="820"/>
      <c r="O146" s="820"/>
      <c r="P146" s="820"/>
      <c r="Q146" s="820"/>
      <c r="R146" s="820"/>
    </row>
    <row r="147" spans="4:18">
      <c r="D147" s="820"/>
      <c r="E147" s="820"/>
      <c r="F147" s="820"/>
      <c r="G147" s="820"/>
      <c r="H147" s="820"/>
      <c r="I147" s="820"/>
      <c r="J147" s="820"/>
      <c r="K147" s="820"/>
      <c r="L147" s="820"/>
      <c r="M147" s="820"/>
      <c r="N147" s="820"/>
      <c r="O147" s="820"/>
      <c r="P147" s="820"/>
      <c r="Q147" s="820"/>
      <c r="R147" s="820"/>
    </row>
    <row r="148" spans="4:18">
      <c r="D148" s="820"/>
      <c r="E148" s="820"/>
      <c r="F148" s="820"/>
      <c r="G148" s="820"/>
      <c r="H148" s="820"/>
      <c r="I148" s="820"/>
      <c r="J148" s="820"/>
      <c r="K148" s="820"/>
      <c r="L148" s="820"/>
      <c r="M148" s="820"/>
      <c r="N148" s="820"/>
      <c r="O148" s="820"/>
      <c r="P148" s="820"/>
      <c r="Q148" s="820"/>
      <c r="R148" s="820"/>
    </row>
    <row r="149" spans="4:18">
      <c r="D149" s="820"/>
      <c r="E149" s="820"/>
      <c r="F149" s="820"/>
      <c r="G149" s="820"/>
      <c r="H149" s="820"/>
      <c r="I149" s="820"/>
      <c r="J149" s="820"/>
      <c r="K149" s="820"/>
      <c r="L149" s="820"/>
      <c r="M149" s="820"/>
      <c r="N149" s="820"/>
      <c r="O149" s="820"/>
      <c r="P149" s="820"/>
      <c r="Q149" s="820"/>
      <c r="R149" s="820"/>
    </row>
    <row r="150" spans="4:18">
      <c r="D150" s="820"/>
      <c r="E150" s="820"/>
      <c r="F150" s="820"/>
      <c r="G150" s="820"/>
      <c r="H150" s="820"/>
      <c r="I150" s="820"/>
      <c r="J150" s="820"/>
      <c r="K150" s="820"/>
      <c r="L150" s="820"/>
      <c r="M150" s="820"/>
      <c r="N150" s="820"/>
      <c r="O150" s="820"/>
      <c r="P150" s="820"/>
      <c r="Q150" s="820"/>
      <c r="R150" s="820"/>
    </row>
    <row r="151" spans="4:18">
      <c r="D151" s="820"/>
      <c r="E151" s="820"/>
      <c r="F151" s="820"/>
      <c r="G151" s="820"/>
      <c r="H151" s="820"/>
      <c r="I151" s="820"/>
      <c r="J151" s="820"/>
      <c r="K151" s="820"/>
      <c r="L151" s="820"/>
      <c r="M151" s="820"/>
      <c r="N151" s="820"/>
      <c r="O151" s="820"/>
      <c r="P151" s="820"/>
      <c r="Q151" s="820"/>
      <c r="R151" s="820"/>
    </row>
    <row r="152" spans="4:18">
      <c r="D152" s="820"/>
      <c r="E152" s="820"/>
      <c r="F152" s="820"/>
      <c r="G152" s="820"/>
      <c r="H152" s="820"/>
      <c r="I152" s="820"/>
      <c r="J152" s="820"/>
      <c r="K152" s="820"/>
      <c r="L152" s="820"/>
      <c r="M152" s="820"/>
      <c r="N152" s="820"/>
      <c r="O152" s="820"/>
      <c r="P152" s="820"/>
      <c r="Q152" s="820"/>
      <c r="R152" s="820"/>
    </row>
    <row r="153" spans="4:18">
      <c r="D153" s="820"/>
      <c r="E153" s="820"/>
      <c r="F153" s="820"/>
      <c r="G153" s="820"/>
      <c r="H153" s="820"/>
      <c r="I153" s="820"/>
      <c r="J153" s="820"/>
      <c r="K153" s="820"/>
      <c r="L153" s="820"/>
      <c r="M153" s="820"/>
      <c r="N153" s="820"/>
      <c r="O153" s="820"/>
      <c r="P153" s="820"/>
      <c r="Q153" s="820"/>
      <c r="R153" s="820"/>
    </row>
    <row r="154" spans="4:18">
      <c r="D154" s="820"/>
      <c r="E154" s="820"/>
      <c r="F154" s="820"/>
      <c r="G154" s="820"/>
      <c r="H154" s="820"/>
      <c r="I154" s="820"/>
      <c r="J154" s="820"/>
      <c r="K154" s="820"/>
      <c r="L154" s="820"/>
      <c r="M154" s="820"/>
      <c r="N154" s="820"/>
      <c r="O154" s="820"/>
      <c r="P154" s="820"/>
      <c r="Q154" s="820"/>
      <c r="R154" s="820"/>
    </row>
    <row r="155" spans="4:18">
      <c r="D155" s="820"/>
      <c r="E155" s="820"/>
      <c r="F155" s="820"/>
      <c r="G155" s="820"/>
      <c r="H155" s="820"/>
      <c r="I155" s="820"/>
      <c r="J155" s="820"/>
      <c r="K155" s="820"/>
      <c r="L155" s="820"/>
      <c r="M155" s="820"/>
      <c r="N155" s="820"/>
      <c r="O155" s="820"/>
      <c r="P155" s="820"/>
      <c r="Q155" s="820"/>
      <c r="R155" s="820"/>
    </row>
    <row r="156" spans="4:18">
      <c r="D156" s="820"/>
      <c r="E156" s="820"/>
      <c r="F156" s="820"/>
      <c r="G156" s="820"/>
      <c r="H156" s="820"/>
      <c r="I156" s="820"/>
      <c r="J156" s="820"/>
      <c r="K156" s="820"/>
      <c r="L156" s="820"/>
      <c r="M156" s="820"/>
      <c r="N156" s="820"/>
      <c r="O156" s="820"/>
      <c r="P156" s="820"/>
      <c r="Q156" s="820"/>
      <c r="R156" s="820"/>
    </row>
    <row r="157" spans="4:18">
      <c r="D157" s="820"/>
      <c r="E157" s="820"/>
      <c r="F157" s="820"/>
      <c r="G157" s="820"/>
      <c r="H157" s="820"/>
      <c r="I157" s="820"/>
      <c r="J157" s="820"/>
      <c r="K157" s="820"/>
      <c r="L157" s="820"/>
      <c r="M157" s="820"/>
      <c r="N157" s="820"/>
      <c r="O157" s="820"/>
      <c r="P157" s="820"/>
      <c r="Q157" s="820"/>
      <c r="R157" s="820"/>
    </row>
    <row r="158" spans="4:18">
      <c r="D158" s="820"/>
      <c r="E158" s="820"/>
      <c r="F158" s="820"/>
      <c r="G158" s="820"/>
      <c r="H158" s="820"/>
      <c r="I158" s="820"/>
      <c r="J158" s="820"/>
      <c r="K158" s="820"/>
      <c r="L158" s="820"/>
      <c r="M158" s="820"/>
      <c r="N158" s="820"/>
      <c r="O158" s="820"/>
      <c r="P158" s="820"/>
      <c r="Q158" s="820"/>
      <c r="R158" s="820"/>
    </row>
    <row r="159" spans="4:18">
      <c r="D159" s="820"/>
      <c r="E159" s="820"/>
      <c r="F159" s="820"/>
      <c r="G159" s="820"/>
      <c r="H159" s="820"/>
      <c r="I159" s="820"/>
      <c r="J159" s="820"/>
      <c r="K159" s="820"/>
      <c r="L159" s="820"/>
      <c r="M159" s="820"/>
      <c r="N159" s="820"/>
      <c r="O159" s="820"/>
      <c r="P159" s="820"/>
      <c r="Q159" s="820"/>
      <c r="R159" s="820"/>
    </row>
    <row r="160" spans="4:18">
      <c r="D160" s="820"/>
      <c r="E160" s="820"/>
      <c r="F160" s="820"/>
      <c r="G160" s="820"/>
      <c r="H160" s="820"/>
      <c r="I160" s="820"/>
      <c r="J160" s="820"/>
      <c r="K160" s="820"/>
      <c r="L160" s="820"/>
      <c r="M160" s="820"/>
      <c r="N160" s="820"/>
      <c r="O160" s="820"/>
      <c r="P160" s="820"/>
      <c r="Q160" s="820"/>
      <c r="R160" s="820"/>
    </row>
    <row r="161" spans="4:18">
      <c r="D161" s="820"/>
      <c r="E161" s="820"/>
      <c r="F161" s="820"/>
      <c r="G161" s="820"/>
      <c r="H161" s="820"/>
      <c r="I161" s="820"/>
      <c r="J161" s="820"/>
      <c r="K161" s="820"/>
      <c r="L161" s="820"/>
      <c r="M161" s="820"/>
      <c r="N161" s="820"/>
      <c r="O161" s="820"/>
      <c r="P161" s="820"/>
      <c r="Q161" s="820"/>
      <c r="R161" s="820"/>
    </row>
    <row r="162" spans="4:18">
      <c r="D162" s="820"/>
      <c r="E162" s="820"/>
      <c r="F162" s="820"/>
      <c r="G162" s="820"/>
      <c r="H162" s="820"/>
      <c r="I162" s="820"/>
      <c r="J162" s="820"/>
      <c r="K162" s="820"/>
      <c r="L162" s="820"/>
      <c r="M162" s="820"/>
      <c r="N162" s="820"/>
      <c r="O162" s="820"/>
      <c r="P162" s="820"/>
      <c r="Q162" s="820"/>
      <c r="R162" s="820"/>
    </row>
    <row r="163" spans="4:18">
      <c r="D163" s="820"/>
      <c r="E163" s="820"/>
      <c r="F163" s="820"/>
      <c r="G163" s="820"/>
      <c r="H163" s="820"/>
      <c r="I163" s="820"/>
      <c r="J163" s="820"/>
      <c r="K163" s="820"/>
      <c r="L163" s="820"/>
      <c r="M163" s="820"/>
      <c r="N163" s="820"/>
      <c r="O163" s="820"/>
      <c r="P163" s="820"/>
      <c r="Q163" s="820"/>
      <c r="R163" s="820"/>
    </row>
    <row r="164" spans="4:18">
      <c r="D164" s="820"/>
      <c r="E164" s="820"/>
      <c r="F164" s="820"/>
      <c r="G164" s="820"/>
      <c r="H164" s="820"/>
      <c r="I164" s="820"/>
      <c r="J164" s="820"/>
      <c r="K164" s="820"/>
      <c r="L164" s="820"/>
      <c r="M164" s="820"/>
      <c r="N164" s="820"/>
      <c r="O164" s="820"/>
      <c r="P164" s="820"/>
      <c r="Q164" s="820"/>
      <c r="R164" s="820"/>
    </row>
    <row r="165" spans="4:18">
      <c r="D165" s="820"/>
      <c r="E165" s="820"/>
      <c r="F165" s="820"/>
      <c r="G165" s="820"/>
      <c r="H165" s="820"/>
      <c r="I165" s="820"/>
      <c r="J165" s="820"/>
      <c r="K165" s="820"/>
      <c r="L165" s="820"/>
      <c r="M165" s="820"/>
      <c r="N165" s="820"/>
      <c r="O165" s="820"/>
      <c r="P165" s="820"/>
      <c r="Q165" s="820"/>
      <c r="R165" s="820"/>
    </row>
    <row r="166" spans="4:18">
      <c r="D166" s="820"/>
      <c r="E166" s="820"/>
      <c r="F166" s="820"/>
      <c r="G166" s="820"/>
      <c r="H166" s="820"/>
      <c r="I166" s="820"/>
      <c r="J166" s="820"/>
      <c r="K166" s="820"/>
      <c r="L166" s="820"/>
      <c r="M166" s="820"/>
      <c r="N166" s="820"/>
      <c r="O166" s="820"/>
      <c r="P166" s="820"/>
      <c r="Q166" s="820"/>
      <c r="R166" s="820"/>
    </row>
    <row r="167" spans="4:18">
      <c r="D167" s="820"/>
      <c r="E167" s="820"/>
      <c r="F167" s="820"/>
      <c r="G167" s="820"/>
      <c r="H167" s="820"/>
      <c r="I167" s="820"/>
      <c r="J167" s="820"/>
      <c r="K167" s="820"/>
      <c r="L167" s="820"/>
      <c r="M167" s="820"/>
      <c r="N167" s="820"/>
      <c r="O167" s="820"/>
      <c r="P167" s="820"/>
      <c r="Q167" s="820"/>
      <c r="R167" s="820"/>
    </row>
    <row r="168" spans="4:18">
      <c r="D168" s="820"/>
      <c r="E168" s="820"/>
      <c r="F168" s="820"/>
      <c r="G168" s="820"/>
      <c r="H168" s="820"/>
      <c r="I168" s="820"/>
      <c r="J168" s="820"/>
      <c r="K168" s="820"/>
      <c r="L168" s="820"/>
      <c r="M168" s="820"/>
      <c r="N168" s="820"/>
      <c r="O168" s="820"/>
      <c r="P168" s="820"/>
      <c r="Q168" s="820"/>
      <c r="R168" s="820"/>
    </row>
    <row r="169" spans="4:18">
      <c r="D169" s="820"/>
      <c r="E169" s="820"/>
      <c r="F169" s="820"/>
      <c r="G169" s="820"/>
      <c r="H169" s="820"/>
      <c r="I169" s="820"/>
      <c r="J169" s="820"/>
      <c r="K169" s="820"/>
      <c r="L169" s="820"/>
      <c r="M169" s="820"/>
      <c r="N169" s="820"/>
      <c r="O169" s="820"/>
      <c r="P169" s="820"/>
      <c r="Q169" s="820"/>
      <c r="R169" s="820"/>
    </row>
    <row r="170" spans="4:18">
      <c r="D170" s="820"/>
      <c r="E170" s="820"/>
      <c r="F170" s="820"/>
      <c r="G170" s="820"/>
      <c r="H170" s="820"/>
      <c r="I170" s="820"/>
      <c r="J170" s="820"/>
      <c r="K170" s="820"/>
      <c r="L170" s="820"/>
      <c r="M170" s="820"/>
      <c r="N170" s="820"/>
      <c r="O170" s="820"/>
      <c r="P170" s="820"/>
      <c r="Q170" s="820"/>
      <c r="R170" s="820"/>
    </row>
    <row r="171" spans="4:18">
      <c r="D171" s="820"/>
      <c r="E171" s="820"/>
      <c r="F171" s="820"/>
      <c r="G171" s="820"/>
      <c r="H171" s="820"/>
      <c r="I171" s="820"/>
      <c r="J171" s="820"/>
      <c r="K171" s="820"/>
      <c r="L171" s="820"/>
      <c r="M171" s="820"/>
      <c r="N171" s="820"/>
      <c r="O171" s="820"/>
      <c r="P171" s="820"/>
      <c r="Q171" s="820"/>
      <c r="R171" s="820"/>
    </row>
    <row r="172" spans="4:18">
      <c r="D172" s="820"/>
      <c r="E172" s="820"/>
      <c r="F172" s="820"/>
      <c r="G172" s="820"/>
      <c r="H172" s="820"/>
      <c r="I172" s="820"/>
      <c r="J172" s="820"/>
      <c r="K172" s="820"/>
      <c r="L172" s="820"/>
      <c r="M172" s="820"/>
      <c r="N172" s="820"/>
      <c r="O172" s="820"/>
      <c r="P172" s="820"/>
      <c r="Q172" s="820"/>
      <c r="R172" s="820"/>
    </row>
    <row r="173" spans="4:18">
      <c r="D173" s="820"/>
      <c r="E173" s="820"/>
      <c r="F173" s="820"/>
      <c r="G173" s="820"/>
      <c r="H173" s="820"/>
      <c r="I173" s="820"/>
      <c r="J173" s="820"/>
      <c r="K173" s="820"/>
      <c r="L173" s="820"/>
      <c r="M173" s="820"/>
      <c r="N173" s="820"/>
      <c r="O173" s="820"/>
      <c r="P173" s="820"/>
      <c r="Q173" s="820"/>
      <c r="R173" s="820"/>
    </row>
    <row r="174" spans="4:18">
      <c r="D174" s="820"/>
      <c r="E174" s="820"/>
      <c r="F174" s="820"/>
      <c r="G174" s="820"/>
      <c r="H174" s="820"/>
      <c r="I174" s="820"/>
      <c r="J174" s="820"/>
      <c r="K174" s="820"/>
      <c r="L174" s="820"/>
      <c r="M174" s="820"/>
      <c r="N174" s="820"/>
      <c r="O174" s="820"/>
      <c r="P174" s="820"/>
      <c r="Q174" s="820"/>
      <c r="R174" s="820"/>
    </row>
    <row r="175" spans="4:18">
      <c r="D175" s="820"/>
      <c r="E175" s="820"/>
      <c r="F175" s="820"/>
      <c r="G175" s="820"/>
      <c r="H175" s="820"/>
      <c r="I175" s="820"/>
      <c r="J175" s="820"/>
      <c r="K175" s="820"/>
      <c r="L175" s="820"/>
      <c r="M175" s="820"/>
      <c r="N175" s="820"/>
      <c r="O175" s="820"/>
      <c r="P175" s="820"/>
      <c r="Q175" s="820"/>
      <c r="R175" s="820"/>
    </row>
    <row r="176" spans="4:18">
      <c r="D176" s="820"/>
      <c r="E176" s="820"/>
      <c r="F176" s="820"/>
      <c r="G176" s="820"/>
      <c r="H176" s="820"/>
      <c r="I176" s="820"/>
      <c r="J176" s="820"/>
      <c r="K176" s="820"/>
      <c r="L176" s="820"/>
      <c r="M176" s="820"/>
      <c r="N176" s="820"/>
      <c r="O176" s="820"/>
      <c r="P176" s="820"/>
      <c r="Q176" s="820"/>
      <c r="R176" s="820"/>
    </row>
    <row r="177" spans="4:18">
      <c r="D177" s="820"/>
      <c r="E177" s="820"/>
      <c r="F177" s="820"/>
      <c r="G177" s="820"/>
      <c r="H177" s="820"/>
      <c r="I177" s="820"/>
      <c r="J177" s="820"/>
      <c r="K177" s="820"/>
      <c r="L177" s="820"/>
      <c r="M177" s="820"/>
      <c r="N177" s="820"/>
      <c r="O177" s="820"/>
      <c r="P177" s="820"/>
      <c r="Q177" s="820"/>
      <c r="R177" s="820"/>
    </row>
    <row r="178" spans="4:18">
      <c r="D178" s="820"/>
      <c r="E178" s="820"/>
      <c r="F178" s="820"/>
      <c r="G178" s="820"/>
      <c r="H178" s="820"/>
      <c r="I178" s="820"/>
      <c r="J178" s="820"/>
      <c r="K178" s="820"/>
      <c r="L178" s="820"/>
      <c r="M178" s="820"/>
      <c r="N178" s="820"/>
      <c r="O178" s="820"/>
      <c r="P178" s="820"/>
      <c r="Q178" s="820"/>
      <c r="R178" s="820"/>
    </row>
    <row r="179" spans="4:18">
      <c r="D179" s="820"/>
      <c r="E179" s="820"/>
      <c r="F179" s="820"/>
      <c r="G179" s="820"/>
      <c r="H179" s="820"/>
      <c r="I179" s="820"/>
      <c r="J179" s="820"/>
      <c r="K179" s="820"/>
      <c r="L179" s="820"/>
      <c r="M179" s="820"/>
      <c r="N179" s="820"/>
      <c r="O179" s="820"/>
      <c r="P179" s="820"/>
      <c r="Q179" s="820"/>
      <c r="R179" s="820"/>
    </row>
    <row r="180" spans="4:18">
      <c r="D180" s="820"/>
      <c r="E180" s="820"/>
      <c r="F180" s="820"/>
      <c r="G180" s="820"/>
      <c r="H180" s="820"/>
      <c r="I180" s="820"/>
      <c r="J180" s="820"/>
      <c r="K180" s="820"/>
      <c r="L180" s="820"/>
      <c r="M180" s="820"/>
      <c r="N180" s="820"/>
      <c r="O180" s="820"/>
      <c r="P180" s="820"/>
      <c r="Q180" s="820"/>
      <c r="R180" s="820"/>
    </row>
    <row r="181" spans="4:18">
      <c r="D181" s="820"/>
      <c r="E181" s="820"/>
      <c r="F181" s="820"/>
      <c r="G181" s="820"/>
      <c r="H181" s="820"/>
      <c r="I181" s="820"/>
      <c r="J181" s="820"/>
      <c r="K181" s="820"/>
      <c r="L181" s="820"/>
      <c r="M181" s="820"/>
      <c r="N181" s="820"/>
      <c r="O181" s="820"/>
      <c r="P181" s="820"/>
      <c r="Q181" s="820"/>
      <c r="R181" s="820"/>
    </row>
  </sheetData>
  <phoneticPr fontId="27" type="noConversion"/>
  <printOptions horizontalCentered="1" headings="1"/>
  <pageMargins left="0" right="0" top="0.5" bottom="0.75" header="0.3" footer="0.3"/>
  <pageSetup scale="43" orientation="portrait" horizontalDpi="4294967293" verticalDpi="4294967293" r:id="rId1"/>
  <headerFooter>
    <oddFooter>&amp;C&amp;A&amp;RPage &amp;P of &amp;N</oddFooter>
  </headerFooter>
  <rowBreaks count="1" manualBreakCount="1">
    <brk id="59" max="16383"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tabColor theme="5" tint="0.39997558519241921"/>
  </sheetPr>
  <dimension ref="A1:AI158"/>
  <sheetViews>
    <sheetView workbookViewId="0"/>
  </sheetViews>
  <sheetFormatPr defaultColWidth="8.85546875" defaultRowHeight="12.75"/>
  <cols>
    <col min="1" max="1" width="5.7109375" style="921" customWidth="1"/>
    <col min="2" max="2" width="26.42578125" style="921" customWidth="1"/>
    <col min="3" max="3" width="9.85546875" style="922" customWidth="1"/>
    <col min="4" max="4" width="5.7109375" style="921" customWidth="1"/>
    <col min="5" max="15" width="11.28515625" style="921" customWidth="1"/>
    <col min="16" max="16" width="13.140625" style="921" customWidth="1"/>
    <col min="17" max="17" width="11.42578125" style="921" customWidth="1"/>
    <col min="18" max="18" width="11.85546875" style="921" bestFit="1" customWidth="1"/>
    <col min="19" max="19" width="34.42578125" style="921" customWidth="1"/>
    <col min="20" max="20" width="9.28515625" style="921" bestFit="1" customWidth="1"/>
    <col min="21" max="21" width="9.28515625" style="921" customWidth="1"/>
    <col min="22" max="33" width="16" style="921" customWidth="1"/>
    <col min="34" max="34" width="1.42578125" style="921" customWidth="1"/>
    <col min="35" max="35" width="12.140625" style="921" customWidth="1"/>
    <col min="36" max="16384" width="8.85546875" style="921"/>
  </cols>
  <sheetData>
    <row r="1" spans="1:35">
      <c r="A1" s="921" t="s">
        <v>2274</v>
      </c>
      <c r="D1" s="921" t="s">
        <v>2238</v>
      </c>
      <c r="E1" s="1566"/>
    </row>
    <row r="2" spans="1:35">
      <c r="A2" s="921" t="s">
        <v>1949</v>
      </c>
      <c r="D2" s="921" t="s">
        <v>1949</v>
      </c>
    </row>
    <row r="3" spans="1:35">
      <c r="A3" s="921" t="s">
        <v>1950</v>
      </c>
      <c r="D3" s="921" t="s">
        <v>1950</v>
      </c>
    </row>
    <row r="4" spans="1:35">
      <c r="E4" s="1570"/>
    </row>
    <row r="5" spans="1:35">
      <c r="E5" s="1566">
        <v>3</v>
      </c>
      <c r="F5" s="1566">
        <v>4</v>
      </c>
      <c r="G5" s="1566">
        <v>5</v>
      </c>
      <c r="H5" s="1566">
        <v>6</v>
      </c>
      <c r="I5" s="1566">
        <v>7</v>
      </c>
      <c r="J5" s="1566">
        <v>8</v>
      </c>
      <c r="K5" s="1566">
        <v>9</v>
      </c>
      <c r="L5" s="1566">
        <v>10</v>
      </c>
      <c r="M5" s="1566">
        <v>11</v>
      </c>
      <c r="N5" s="1566">
        <v>12</v>
      </c>
      <c r="O5" s="1566">
        <v>13</v>
      </c>
      <c r="P5" s="1566">
        <v>14</v>
      </c>
      <c r="S5" s="1566"/>
    </row>
    <row r="6" spans="1:35">
      <c r="A6" s="921" t="s">
        <v>1951</v>
      </c>
      <c r="B6" s="921" t="s">
        <v>731</v>
      </c>
      <c r="C6" s="922" t="s">
        <v>1952</v>
      </c>
      <c r="D6" s="921" t="s">
        <v>1951</v>
      </c>
      <c r="E6" s="1520" t="s">
        <v>1953</v>
      </c>
      <c r="F6" s="1520" t="s">
        <v>1954</v>
      </c>
      <c r="G6" s="1520" t="s">
        <v>1955</v>
      </c>
      <c r="H6" s="1520" t="s">
        <v>1956</v>
      </c>
      <c r="I6" s="1520" t="s">
        <v>1957</v>
      </c>
      <c r="J6" s="1520" t="s">
        <v>1958</v>
      </c>
      <c r="K6" s="1520" t="s">
        <v>1959</v>
      </c>
      <c r="L6" s="1520" t="s">
        <v>1960</v>
      </c>
      <c r="M6" s="1520" t="s">
        <v>1961</v>
      </c>
      <c r="N6" s="1520" t="s">
        <v>1962</v>
      </c>
      <c r="O6" s="1520" t="s">
        <v>1963</v>
      </c>
      <c r="P6" s="1520" t="s">
        <v>1964</v>
      </c>
      <c r="R6" s="921" t="s">
        <v>1951</v>
      </c>
      <c r="S6" s="921" t="s">
        <v>731</v>
      </c>
      <c r="T6" s="922" t="s">
        <v>1952</v>
      </c>
      <c r="U6" s="922"/>
      <c r="V6" s="1520" t="s">
        <v>1953</v>
      </c>
      <c r="W6" s="1520" t="s">
        <v>1954</v>
      </c>
      <c r="X6" s="1520" t="s">
        <v>1955</v>
      </c>
      <c r="Y6" s="1520" t="s">
        <v>1956</v>
      </c>
      <c r="Z6" s="1520" t="s">
        <v>1957</v>
      </c>
      <c r="AA6" s="1520" t="s">
        <v>1958</v>
      </c>
      <c r="AB6" s="1520" t="s">
        <v>1959</v>
      </c>
      <c r="AC6" s="1520" t="s">
        <v>1960</v>
      </c>
      <c r="AD6" s="1520" t="s">
        <v>1961</v>
      </c>
      <c r="AE6" s="1520" t="s">
        <v>1962</v>
      </c>
      <c r="AF6" s="1520" t="s">
        <v>1963</v>
      </c>
      <c r="AG6" s="1520" t="s">
        <v>1964</v>
      </c>
    </row>
    <row r="7" spans="1:35">
      <c r="A7" s="921">
        <v>5440</v>
      </c>
      <c r="B7" s="921" t="s">
        <v>1965</v>
      </c>
      <c r="C7" s="1521">
        <v>610</v>
      </c>
      <c r="D7" s="1681">
        <v>5440</v>
      </c>
      <c r="E7" s="627"/>
      <c r="F7" s="627"/>
      <c r="G7" s="627"/>
      <c r="H7" s="627"/>
      <c r="I7" s="627"/>
      <c r="J7" s="627"/>
      <c r="K7" s="627"/>
      <c r="L7" s="627"/>
      <c r="M7" s="627"/>
      <c r="N7" s="627"/>
      <c r="O7" s="627"/>
      <c r="P7" s="627"/>
      <c r="R7" s="921">
        <v>6110</v>
      </c>
      <c r="S7" s="921" t="s">
        <v>1966</v>
      </c>
      <c r="T7" s="922" t="s">
        <v>1967</v>
      </c>
      <c r="U7" s="922"/>
      <c r="V7" s="867">
        <f>VLOOKUP($R7,D$7:$P$124,2,FALSE)</f>
        <v>1042.2</v>
      </c>
      <c r="W7" s="867">
        <f>VLOOKUP($R7,$D$7:$P$124,3,FALSE)</f>
        <v>948.25</v>
      </c>
      <c r="X7" s="867">
        <f t="shared" ref="X7:X18" si="0">VLOOKUP($R7,$D$7:$P$124,4,FALSE)</f>
        <v>1166.1400000000001</v>
      </c>
      <c r="Y7" s="867">
        <f t="shared" ref="Y7:Y18" si="1">VLOOKUP($R7,$D$7:$P$124,5,FALSE)</f>
        <v>1291.7600000000002</v>
      </c>
      <c r="Z7" s="867">
        <f t="shared" ref="Z7:Z18" si="2">VLOOKUP($R7,$D$7:$P$124,6,FALSE)</f>
        <v>1073.1799999999994</v>
      </c>
      <c r="AA7" s="867">
        <f t="shared" ref="AA7:AA18" si="3">VLOOKUP($R7,$D$7:$P$124,7,FALSE)</f>
        <v>1087.25</v>
      </c>
      <c r="AB7" s="867">
        <f t="shared" ref="AB7:AB18" si="4">VLOOKUP($R7,$D$7:$P$124,8,FALSE)</f>
        <v>1097.9300000000003</v>
      </c>
      <c r="AC7" s="867">
        <f t="shared" ref="AC7:AC18" si="5">VLOOKUP($R7,$D$7:$P$124,9,FALSE)</f>
        <v>1047.4199999999992</v>
      </c>
      <c r="AD7" s="867">
        <f t="shared" ref="AD7:AD18" si="6">VLOOKUP($R7,$D$7:$P$124,10,FALSE)</f>
        <v>1077.1100000000006</v>
      </c>
      <c r="AE7" s="867">
        <f t="shared" ref="AE7:AE18" si="7">VLOOKUP($R7,$D$7:$P$124,11,FALSE)</f>
        <v>1090.1599999999999</v>
      </c>
      <c r="AF7" s="867">
        <f t="shared" ref="AF7:AF18" si="8">VLOOKUP($R7,$D$7:$P$124,12,FALSE)</f>
        <v>941.97000000000116</v>
      </c>
      <c r="AG7" s="867">
        <f t="shared" ref="AG7:AG18" si="9">VLOOKUP($R7,$D$7:$P$124,13,FALSE)</f>
        <v>1100.9899999999998</v>
      </c>
      <c r="AI7" s="867"/>
    </row>
    <row r="8" spans="1:35">
      <c r="A8" s="921">
        <v>5455</v>
      </c>
      <c r="B8" s="921" t="s">
        <v>1968</v>
      </c>
      <c r="C8" s="1521">
        <v>710</v>
      </c>
      <c r="D8" s="1681">
        <v>5455</v>
      </c>
      <c r="E8" s="627"/>
      <c r="F8" s="627"/>
      <c r="G8" s="627"/>
      <c r="H8" s="627"/>
      <c r="I8" s="627"/>
      <c r="J8" s="627"/>
      <c r="K8" s="627"/>
      <c r="L8" s="627"/>
      <c r="M8" s="627"/>
      <c r="N8" s="627"/>
      <c r="O8" s="627"/>
      <c r="P8" s="627"/>
      <c r="Q8" s="867"/>
      <c r="R8" s="921">
        <v>6115</v>
      </c>
      <c r="S8" s="921" t="s">
        <v>1969</v>
      </c>
      <c r="T8" s="922" t="s">
        <v>1967</v>
      </c>
      <c r="U8" s="922"/>
      <c r="V8" s="867">
        <f t="shared" ref="V8:V18" si="10">VLOOKUP($R8,$D$7:$E$124,2,FALSE)</f>
        <v>193.49</v>
      </c>
      <c r="W8" s="867">
        <f t="shared" ref="W8:W18" si="11">VLOOKUP($R8,$D$7:$P$124,3,FALSE)</f>
        <v>140.67000000000002</v>
      </c>
      <c r="X8" s="867">
        <f t="shared" si="0"/>
        <v>182.39999999999992</v>
      </c>
      <c r="Y8" s="867">
        <f t="shared" si="1"/>
        <v>238.19000000000005</v>
      </c>
      <c r="Z8" s="867">
        <f t="shared" si="2"/>
        <v>159.13999999999999</v>
      </c>
      <c r="AA8" s="867">
        <f t="shared" si="3"/>
        <v>163.56000000000006</v>
      </c>
      <c r="AB8" s="867">
        <f t="shared" si="4"/>
        <v>179.68000000000006</v>
      </c>
      <c r="AC8" s="867">
        <f t="shared" si="5"/>
        <v>198.03999999999996</v>
      </c>
      <c r="AD8" s="867">
        <f t="shared" si="6"/>
        <v>202.43999999999983</v>
      </c>
      <c r="AE8" s="867">
        <f t="shared" si="7"/>
        <v>205.8900000000001</v>
      </c>
      <c r="AF8" s="867">
        <f t="shared" si="8"/>
        <v>202.42000000000007</v>
      </c>
      <c r="AG8" s="867">
        <f t="shared" si="9"/>
        <v>227.23999999999978</v>
      </c>
    </row>
    <row r="9" spans="1:35">
      <c r="A9" s="921">
        <v>5470</v>
      </c>
      <c r="B9" s="921" t="s">
        <v>1970</v>
      </c>
      <c r="C9" s="1521" t="s">
        <v>1971</v>
      </c>
      <c r="D9" s="1681">
        <v>5470</v>
      </c>
      <c r="E9" s="627">
        <f>VLOOKUP($A9,'O&amp;M per TB'!$B$4:S$375,E$5,FALSE)</f>
        <v>12428.29</v>
      </c>
      <c r="F9" s="627">
        <f>VLOOKUP($A9,'O&amp;M per TB'!$B$4:T$375,F$5,FALSE)</f>
        <v>13691.119999999999</v>
      </c>
      <c r="G9" s="627">
        <f>VLOOKUP($A9,'O&amp;M per TB'!$B$4:U$375,G$5,FALSE)</f>
        <v>14064.350000000002</v>
      </c>
      <c r="H9" s="627">
        <f>VLOOKUP($A9,'O&amp;M per TB'!$B$4:V$375,H$5,FALSE)</f>
        <v>13374.379999999997</v>
      </c>
      <c r="I9" s="627">
        <f>VLOOKUP($A9,'O&amp;M per TB'!$B$4:W$375,I$5,FALSE)</f>
        <v>15058.440000000002</v>
      </c>
      <c r="J9" s="627">
        <f>VLOOKUP($A9,'O&amp;M per TB'!$B$4:X$375,J$5,FALSE)</f>
        <v>12928.089999999997</v>
      </c>
      <c r="K9" s="627">
        <f>VLOOKUP($A9,'O&amp;M per TB'!$B$4:Y$375,K$5,FALSE)</f>
        <v>12374.330000000002</v>
      </c>
      <c r="L9" s="627">
        <f>VLOOKUP($A9,'O&amp;M per TB'!$B$4:Z$375,L$5,FALSE)</f>
        <v>14332.960000000006</v>
      </c>
      <c r="M9" s="627">
        <f>VLOOKUP($A9,'O&amp;M per TB'!$B$4:AA$375,M$5,FALSE)</f>
        <v>13966.209999999992</v>
      </c>
      <c r="N9" s="627">
        <f>VLOOKUP($A9,'O&amp;M per TB'!$B$4:AB$375,N$5,FALSE)</f>
        <v>13209.169999999998</v>
      </c>
      <c r="O9" s="627">
        <f>VLOOKUP($A9,'O&amp;M per TB'!$B$4:AC$375,O$5,FALSE)</f>
        <v>12821.350000000006</v>
      </c>
      <c r="P9" s="627">
        <f>VLOOKUP($A9,'O&amp;M per TB'!$B$4:AD$375,P$5,FALSE)</f>
        <v>13652.540000000008</v>
      </c>
      <c r="R9" s="921">
        <v>6125</v>
      </c>
      <c r="S9" s="921" t="s">
        <v>1972</v>
      </c>
      <c r="T9" s="922" t="s">
        <v>1967</v>
      </c>
      <c r="U9" s="922"/>
      <c r="V9" s="867">
        <f t="shared" si="10"/>
        <v>164.16</v>
      </c>
      <c r="W9" s="867">
        <f t="shared" si="11"/>
        <v>164.83</v>
      </c>
      <c r="X9" s="867">
        <f t="shared" si="0"/>
        <v>165.87</v>
      </c>
      <c r="Y9" s="867">
        <f t="shared" si="1"/>
        <v>167.64</v>
      </c>
      <c r="Z9" s="867">
        <f t="shared" si="2"/>
        <v>172.75</v>
      </c>
      <c r="AA9" s="867">
        <f t="shared" si="3"/>
        <v>172.33000000000004</v>
      </c>
      <c r="AB9" s="867">
        <f t="shared" si="4"/>
        <v>172.09000000000003</v>
      </c>
      <c r="AC9" s="867">
        <f t="shared" si="5"/>
        <v>170.51999999999998</v>
      </c>
      <c r="AD9" s="867">
        <f t="shared" si="6"/>
        <v>169.37999999999988</v>
      </c>
      <c r="AE9" s="867">
        <f t="shared" si="7"/>
        <v>174.43000000000006</v>
      </c>
      <c r="AF9" s="867">
        <f t="shared" si="8"/>
        <v>170.42000000000007</v>
      </c>
      <c r="AG9" s="867">
        <f t="shared" si="9"/>
        <v>169.82999999999993</v>
      </c>
    </row>
    <row r="10" spans="1:35">
      <c r="A10" s="921">
        <v>5480</v>
      </c>
      <c r="B10" s="921" t="s">
        <v>1973</v>
      </c>
      <c r="C10" s="1521" t="s">
        <v>1974</v>
      </c>
      <c r="D10" s="1681">
        <v>5480</v>
      </c>
      <c r="E10" s="627">
        <f>VLOOKUP($A10,'O&amp;M per TB'!$B$4:S$375,E$5,FALSE)</f>
        <v>4355</v>
      </c>
      <c r="F10" s="627">
        <f>VLOOKUP($A10,'O&amp;M per TB'!$B$4:T$375,F$5,FALSE)</f>
        <v>2860</v>
      </c>
      <c r="G10" s="627">
        <f>VLOOKUP($A10,'O&amp;M per TB'!$B$4:U$375,G$5,FALSE)</f>
        <v>5070</v>
      </c>
      <c r="H10" s="627">
        <f>VLOOKUP($A10,'O&amp;M per TB'!$B$4:V$375,H$5,FALSE)</f>
        <v>2671.5</v>
      </c>
      <c r="I10" s="627">
        <f>VLOOKUP($A10,'O&amp;M per TB'!$B$4:W$375,I$5,FALSE)</f>
        <v>1683.5</v>
      </c>
      <c r="J10" s="627">
        <f>VLOOKUP($A10,'O&amp;M per TB'!$B$4:X$375,J$5,FALSE)</f>
        <v>3867.5</v>
      </c>
      <c r="K10" s="627">
        <f>VLOOKUP($A10,'O&amp;M per TB'!$B$4:Y$375,K$5,FALSE)</f>
        <v>3893.5</v>
      </c>
      <c r="L10" s="627">
        <f>VLOOKUP($A10,'O&amp;M per TB'!$B$4:Z$375,L$5,FALSE)</f>
        <v>5445</v>
      </c>
      <c r="M10" s="627">
        <f>VLOOKUP($A10,'O&amp;M per TB'!$B$4:AA$375,M$5,FALSE)</f>
        <v>5312.5</v>
      </c>
      <c r="N10" s="627">
        <f>VLOOKUP($A10,'O&amp;M per TB'!$B$4:AB$375,N$5,FALSE)</f>
        <v>3705</v>
      </c>
      <c r="O10" s="627">
        <f>VLOOKUP($A10,'O&amp;M per TB'!$B$4:AC$375,O$5,FALSE)</f>
        <v>3965</v>
      </c>
      <c r="P10" s="627">
        <f>VLOOKUP($A10,'O&amp;M per TB'!$B$4:AD$375,P$5,FALSE)</f>
        <v>3874</v>
      </c>
      <c r="R10" s="921">
        <v>6130</v>
      </c>
      <c r="S10" s="921" t="s">
        <v>1975</v>
      </c>
      <c r="T10" s="922" t="s">
        <v>1967</v>
      </c>
      <c r="U10" s="922"/>
      <c r="V10" s="867">
        <f t="shared" si="10"/>
        <v>390.74</v>
      </c>
      <c r="W10" s="867">
        <f t="shared" si="11"/>
        <v>371.42999999999995</v>
      </c>
      <c r="X10" s="867">
        <f t="shared" si="0"/>
        <v>355.07000000000005</v>
      </c>
      <c r="Y10" s="867">
        <f t="shared" si="1"/>
        <v>384.15000000000009</v>
      </c>
      <c r="Z10" s="867">
        <f t="shared" si="2"/>
        <v>381.53999999999996</v>
      </c>
      <c r="AA10" s="867">
        <f t="shared" si="3"/>
        <v>383.70999999999981</v>
      </c>
      <c r="AB10" s="867">
        <f t="shared" si="4"/>
        <v>391.95000000000027</v>
      </c>
      <c r="AC10" s="867">
        <f t="shared" si="5"/>
        <v>411.37999999999965</v>
      </c>
      <c r="AD10" s="867">
        <f t="shared" si="6"/>
        <v>428.14000000000033</v>
      </c>
      <c r="AE10" s="867">
        <f t="shared" si="7"/>
        <v>411.69999999999982</v>
      </c>
      <c r="AF10" s="867">
        <f t="shared" si="8"/>
        <v>415.58000000000038</v>
      </c>
      <c r="AG10" s="867">
        <f t="shared" si="9"/>
        <v>417.76999999999953</v>
      </c>
    </row>
    <row r="11" spans="1:35">
      <c r="A11" s="921">
        <v>5485</v>
      </c>
      <c r="B11" s="921" t="s">
        <v>1976</v>
      </c>
      <c r="C11" s="1521" t="s">
        <v>1974</v>
      </c>
      <c r="D11" s="1681">
        <v>5485</v>
      </c>
      <c r="E11" s="627">
        <f>VLOOKUP($A11,'O&amp;M per TB'!$B$4:S$375,E$5,FALSE)</f>
        <v>402.44</v>
      </c>
      <c r="F11" s="627">
        <f>VLOOKUP($A11,'O&amp;M per TB'!$B$4:T$375,F$5,FALSE)</f>
        <v>0</v>
      </c>
      <c r="G11" s="627">
        <f>VLOOKUP($A11,'O&amp;M per TB'!$B$4:U$375,G$5,FALSE)</f>
        <v>243.95999999999998</v>
      </c>
      <c r="H11" s="627">
        <f>VLOOKUP($A11,'O&amp;M per TB'!$B$4:V$375,H$5,FALSE)</f>
        <v>228.90999999999997</v>
      </c>
      <c r="I11" s="627">
        <f>VLOOKUP($A11,'O&amp;M per TB'!$B$4:W$375,I$5,FALSE)</f>
        <v>0</v>
      </c>
      <c r="J11" s="627">
        <f>VLOOKUP($A11,'O&amp;M per TB'!$B$4:X$375,J$5,FALSE)</f>
        <v>9738.0500000000011</v>
      </c>
      <c r="K11" s="627">
        <f>VLOOKUP($A11,'O&amp;M per TB'!$B$4:Y$375,K$5,FALSE)</f>
        <v>249.30999999999949</v>
      </c>
      <c r="L11" s="627">
        <f>VLOOKUP($A11,'O&amp;M per TB'!$B$4:Z$375,L$5,FALSE)</f>
        <v>8995.1</v>
      </c>
      <c r="M11" s="627">
        <f>VLOOKUP($A11,'O&amp;M per TB'!$B$4:AA$375,M$5,FALSE)</f>
        <v>167.04000000000087</v>
      </c>
      <c r="N11" s="627">
        <f>VLOOKUP($A11,'O&amp;M per TB'!$B$4:AB$375,N$5,FALSE)</f>
        <v>0</v>
      </c>
      <c r="O11" s="627">
        <f>VLOOKUP($A11,'O&amp;M per TB'!$B$4:AC$375,O$5,FALSE)</f>
        <v>0</v>
      </c>
      <c r="P11" s="627">
        <f>VLOOKUP($A11,'O&amp;M per TB'!$B$4:AD$375,P$5,FALSE)</f>
        <v>9121.7099999999991</v>
      </c>
      <c r="R11" s="921">
        <v>6135</v>
      </c>
      <c r="S11" s="921" t="s">
        <v>1977</v>
      </c>
      <c r="T11" s="922" t="s">
        <v>1967</v>
      </c>
      <c r="U11" s="922"/>
      <c r="V11" s="867">
        <f t="shared" si="10"/>
        <v>2359.3200000000002</v>
      </c>
      <c r="W11" s="867">
        <f t="shared" si="11"/>
        <v>2263.85</v>
      </c>
      <c r="X11" s="867">
        <f t="shared" si="0"/>
        <v>2441.16</v>
      </c>
      <c r="Y11" s="867">
        <f t="shared" si="1"/>
        <v>2230.1499999999996</v>
      </c>
      <c r="Z11" s="867">
        <f t="shared" si="2"/>
        <v>2523</v>
      </c>
      <c r="AA11" s="867">
        <f t="shared" si="3"/>
        <v>3169.9400000000005</v>
      </c>
      <c r="AB11" s="867">
        <f t="shared" si="4"/>
        <v>3226.4299999999985</v>
      </c>
      <c r="AC11" s="867">
        <f t="shared" si="5"/>
        <v>3845.5500000000029</v>
      </c>
      <c r="AD11" s="867">
        <f t="shared" si="6"/>
        <v>3299.619999999999</v>
      </c>
      <c r="AE11" s="867">
        <f t="shared" si="7"/>
        <v>3186.7299999999996</v>
      </c>
      <c r="AF11" s="867">
        <f t="shared" si="8"/>
        <v>3560.1899999999987</v>
      </c>
      <c r="AG11" s="867">
        <f t="shared" si="9"/>
        <v>4456.2000000000007</v>
      </c>
    </row>
    <row r="12" spans="1:35">
      <c r="A12" s="921">
        <v>5490</v>
      </c>
      <c r="B12" s="921" t="s">
        <v>1978</v>
      </c>
      <c r="C12" s="1521" t="s">
        <v>1974</v>
      </c>
      <c r="D12" s="1681">
        <v>5490</v>
      </c>
      <c r="E12" s="627">
        <f>VLOOKUP($A12,'O&amp;M per TB'!$B$4:S$375,E$5,FALSE)</f>
        <v>1411.25</v>
      </c>
      <c r="F12" s="627">
        <f>VLOOKUP($A12,'O&amp;M per TB'!$B$4:T$375,F$5,FALSE)</f>
        <v>23185.94</v>
      </c>
      <c r="G12" s="627">
        <f>VLOOKUP($A12,'O&amp;M per TB'!$B$4:U$375,G$5,FALSE)</f>
        <v>3504.880000000001</v>
      </c>
      <c r="H12" s="627">
        <f>VLOOKUP($A12,'O&amp;M per TB'!$B$4:V$375,H$5,FALSE)</f>
        <v>1919.3100000000013</v>
      </c>
      <c r="I12" s="627">
        <f>VLOOKUP($A12,'O&amp;M per TB'!$B$4:W$375,I$5,FALSE)</f>
        <v>1236.8099999999977</v>
      </c>
      <c r="J12" s="627">
        <f>VLOOKUP($A12,'O&amp;M per TB'!$B$4:X$375,J$5,FALSE)</f>
        <v>21751.66</v>
      </c>
      <c r="K12" s="627">
        <f>VLOOKUP($A12,'O&amp;M per TB'!$B$4:Y$375,K$5,FALSE)</f>
        <v>2597.3700000000026</v>
      </c>
      <c r="L12" s="627">
        <f>VLOOKUP($A12,'O&amp;M per TB'!$B$4:Z$375,L$5,FALSE)</f>
        <v>13243.569999999992</v>
      </c>
      <c r="M12" s="627">
        <f>VLOOKUP($A12,'O&amp;M per TB'!$B$4:AA$375,M$5,FALSE)</f>
        <v>2790.5600000000122</v>
      </c>
      <c r="N12" s="627">
        <f>VLOOKUP($A12,'O&amp;M per TB'!$B$4:AB$375,N$5,FALSE)</f>
        <v>1017.5</v>
      </c>
      <c r="O12" s="627">
        <f>VLOOKUP($A12,'O&amp;M per TB'!$B$4:AC$375,O$5,FALSE)</f>
        <v>10070.01999999999</v>
      </c>
      <c r="P12" s="627">
        <f>VLOOKUP($A12,'O&amp;M per TB'!$B$4:AD$375,P$5,FALSE)</f>
        <v>5725.2000000000116</v>
      </c>
      <c r="R12" s="921">
        <v>6140</v>
      </c>
      <c r="S12" s="921" t="s">
        <v>1979</v>
      </c>
      <c r="T12" s="922" t="s">
        <v>1967</v>
      </c>
      <c r="U12" s="922"/>
      <c r="V12" s="867">
        <f t="shared" si="10"/>
        <v>223.44</v>
      </c>
      <c r="W12" s="867">
        <f t="shared" si="11"/>
        <v>291.73999999999995</v>
      </c>
      <c r="X12" s="867">
        <f t="shared" si="0"/>
        <v>327.57000000000005</v>
      </c>
      <c r="Y12" s="867">
        <f t="shared" si="1"/>
        <v>349.27</v>
      </c>
      <c r="Z12" s="867">
        <f t="shared" si="2"/>
        <v>298.73</v>
      </c>
      <c r="AA12" s="867">
        <f t="shared" si="3"/>
        <v>326.43000000000006</v>
      </c>
      <c r="AB12" s="867">
        <f t="shared" si="4"/>
        <v>321.51999999999975</v>
      </c>
      <c r="AC12" s="867">
        <f t="shared" si="5"/>
        <v>327.07000000000016</v>
      </c>
      <c r="AD12" s="867">
        <f t="shared" si="6"/>
        <v>336.17000000000007</v>
      </c>
      <c r="AE12" s="867">
        <f t="shared" si="7"/>
        <v>323.94999999999982</v>
      </c>
      <c r="AF12" s="867">
        <f t="shared" si="8"/>
        <v>326.55999999999995</v>
      </c>
      <c r="AG12" s="867">
        <f t="shared" si="9"/>
        <v>323.23</v>
      </c>
    </row>
    <row r="13" spans="1:35">
      <c r="A13" s="921">
        <v>5495</v>
      </c>
      <c r="B13" s="921" t="s">
        <v>1980</v>
      </c>
      <c r="C13" s="1521" t="s">
        <v>1981</v>
      </c>
      <c r="D13" s="1681">
        <v>5495</v>
      </c>
      <c r="E13" s="627">
        <f>VLOOKUP($A13,'O&amp;M per TB'!$B$4:S$375,E$5,FALSE)</f>
        <v>583.41</v>
      </c>
      <c r="F13" s="627">
        <f>VLOOKUP($A13,'O&amp;M per TB'!$B$4:T$375,F$5,FALSE)</f>
        <v>1031.04</v>
      </c>
      <c r="G13" s="627">
        <f>VLOOKUP($A13,'O&amp;M per TB'!$B$4:U$375,G$5,FALSE)</f>
        <v>573.83999999999992</v>
      </c>
      <c r="H13" s="627">
        <f>VLOOKUP($A13,'O&amp;M per TB'!$B$4:V$375,H$5,FALSE)</f>
        <v>1027.44</v>
      </c>
      <c r="I13" s="627">
        <f>VLOOKUP($A13,'O&amp;M per TB'!$B$4:W$375,I$5,FALSE)</f>
        <v>583.92000000000007</v>
      </c>
      <c r="J13" s="627">
        <f>VLOOKUP($A13,'O&amp;M per TB'!$B$4:X$375,J$5,FALSE)</f>
        <v>1035.3600000000001</v>
      </c>
      <c r="K13" s="627">
        <f>VLOOKUP($A13,'O&amp;M per TB'!$B$4:Y$375,K$5,FALSE)</f>
        <v>591.84000000000015</v>
      </c>
      <c r="L13" s="627">
        <f>VLOOKUP($A13,'O&amp;M per TB'!$B$4:Z$375,L$5,FALSE)</f>
        <v>1031.04</v>
      </c>
      <c r="M13" s="627">
        <f>VLOOKUP($A13,'O&amp;M per TB'!$B$4:AA$375,M$5,FALSE)</f>
        <v>578.88000000000011</v>
      </c>
      <c r="N13" s="627">
        <f>VLOOKUP($A13,'O&amp;M per TB'!$B$4:AB$375,N$5,FALSE)</f>
        <v>1034.6399999999994</v>
      </c>
      <c r="O13" s="627">
        <f>VLOOKUP($A13,'O&amp;M per TB'!$B$4:AC$375,O$5,FALSE)</f>
        <v>573.84000000000015</v>
      </c>
      <c r="P13" s="627">
        <f>VLOOKUP($A13,'O&amp;M per TB'!$B$4:AD$375,P$5,FALSE)</f>
        <v>1025.2800000000007</v>
      </c>
      <c r="R13" s="921">
        <v>6145</v>
      </c>
      <c r="S13" s="921" t="s">
        <v>1982</v>
      </c>
      <c r="T13" s="922" t="s">
        <v>1967</v>
      </c>
      <c r="U13" s="922"/>
      <c r="V13" s="867">
        <f t="shared" si="10"/>
        <v>1078.81</v>
      </c>
      <c r="W13" s="867">
        <f t="shared" si="11"/>
        <v>992.09999999999991</v>
      </c>
      <c r="X13" s="867">
        <f t="shared" si="0"/>
        <v>1011.7200000000003</v>
      </c>
      <c r="Y13" s="867">
        <f t="shared" si="1"/>
        <v>1062.3199999999997</v>
      </c>
      <c r="Z13" s="867">
        <f t="shared" si="2"/>
        <v>1043.5600000000004</v>
      </c>
      <c r="AA13" s="867">
        <f t="shared" si="3"/>
        <v>1105.54</v>
      </c>
      <c r="AB13" s="867">
        <f t="shared" si="4"/>
        <v>1117.6999999999998</v>
      </c>
      <c r="AC13" s="867">
        <f t="shared" si="5"/>
        <v>1040.6499999999996</v>
      </c>
      <c r="AD13" s="867">
        <f t="shared" si="6"/>
        <v>1056.9300000000003</v>
      </c>
      <c r="AE13" s="867">
        <f t="shared" si="7"/>
        <v>1045.5100000000002</v>
      </c>
      <c r="AF13" s="867">
        <f t="shared" si="8"/>
        <v>1049.6399999999994</v>
      </c>
      <c r="AG13" s="867">
        <f t="shared" si="9"/>
        <v>1123.1599999999999</v>
      </c>
    </row>
    <row r="14" spans="1:35">
      <c r="A14" s="921">
        <v>5505</v>
      </c>
      <c r="B14" s="921" t="s">
        <v>1983</v>
      </c>
      <c r="C14" s="1521" t="s">
        <v>1984</v>
      </c>
      <c r="D14" s="1681">
        <v>5505</v>
      </c>
      <c r="E14" s="627">
        <f>VLOOKUP($A14,'O&amp;M per TB'!$B$4:S$375,E$5,FALSE)</f>
        <v>12.63</v>
      </c>
      <c r="F14" s="627">
        <f>VLOOKUP($A14,'O&amp;M per TB'!$B$4:T$375,F$5,FALSE)</f>
        <v>-10.48</v>
      </c>
      <c r="G14" s="627">
        <f>VLOOKUP($A14,'O&amp;M per TB'!$B$4:U$375,G$5,FALSE)</f>
        <v>28.020000000000003</v>
      </c>
      <c r="H14" s="627">
        <f>VLOOKUP($A14,'O&amp;M per TB'!$B$4:V$375,H$5,FALSE)</f>
        <v>24.689999999999998</v>
      </c>
      <c r="I14" s="627">
        <f>VLOOKUP($A14,'O&amp;M per TB'!$B$4:W$375,I$5,FALSE)</f>
        <v>17.150000000000006</v>
      </c>
      <c r="J14" s="627">
        <f>VLOOKUP($A14,'O&amp;M per TB'!$B$4:X$375,J$5,FALSE)</f>
        <v>15.61</v>
      </c>
      <c r="K14" s="627">
        <f>VLOOKUP($A14,'O&amp;M per TB'!$B$4:Y$375,K$5,FALSE)</f>
        <v>13.64</v>
      </c>
      <c r="L14" s="627">
        <f>VLOOKUP($A14,'O&amp;M per TB'!$B$4:Z$375,L$5,FALSE)</f>
        <v>14.670000000000002</v>
      </c>
      <c r="M14" s="627">
        <f>VLOOKUP($A14,'O&amp;M per TB'!$B$4:AA$375,M$5,FALSE)</f>
        <v>11.209999999999994</v>
      </c>
      <c r="N14" s="627">
        <f>VLOOKUP($A14,'O&amp;M per TB'!$B$4:AB$375,N$5,FALSE)</f>
        <v>16.850000000000009</v>
      </c>
      <c r="O14" s="627">
        <f>VLOOKUP($A14,'O&amp;M per TB'!$B$4:AC$375,O$5,FALSE)</f>
        <v>15.639999999999986</v>
      </c>
      <c r="P14" s="627">
        <f>VLOOKUP($A14,'O&amp;M per TB'!$B$4:AD$375,P$5,FALSE)</f>
        <v>13.730000000000018</v>
      </c>
      <c r="R14" s="921">
        <v>6146</v>
      </c>
      <c r="S14" s="921" t="s">
        <v>1985</v>
      </c>
      <c r="T14" s="922" t="s">
        <v>1967</v>
      </c>
      <c r="U14" s="922"/>
      <c r="V14" s="867">
        <f t="shared" si="10"/>
        <v>452.31</v>
      </c>
      <c r="W14" s="867">
        <f t="shared" si="11"/>
        <v>421.55</v>
      </c>
      <c r="X14" s="867">
        <f t="shared" si="0"/>
        <v>442.08000000000004</v>
      </c>
      <c r="Y14" s="867">
        <f t="shared" si="1"/>
        <v>537.53</v>
      </c>
      <c r="Z14" s="867">
        <f t="shared" si="2"/>
        <v>441.56000000000017</v>
      </c>
      <c r="AA14" s="867">
        <f t="shared" si="3"/>
        <v>454.15999999999985</v>
      </c>
      <c r="AB14" s="867">
        <f t="shared" si="4"/>
        <v>416.36999999999989</v>
      </c>
      <c r="AC14" s="867">
        <f t="shared" si="5"/>
        <v>407.71000000000004</v>
      </c>
      <c r="AD14" s="867">
        <f t="shared" si="6"/>
        <v>479.30999999999995</v>
      </c>
      <c r="AE14" s="867">
        <f t="shared" si="7"/>
        <v>420.17000000000007</v>
      </c>
      <c r="AF14" s="867">
        <f t="shared" si="8"/>
        <v>426.56999999999971</v>
      </c>
      <c r="AG14" s="867">
        <f t="shared" si="9"/>
        <v>457.53000000000065</v>
      </c>
    </row>
    <row r="15" spans="1:35">
      <c r="A15" s="921">
        <v>5510</v>
      </c>
      <c r="B15" s="921" t="s">
        <v>1986</v>
      </c>
      <c r="C15" s="1521" t="s">
        <v>1984</v>
      </c>
      <c r="D15" s="1681">
        <v>5510</v>
      </c>
      <c r="E15" s="627">
        <f>VLOOKUP($A15,'O&amp;M per TB'!$B$4:S$375,E$5,FALSE)</f>
        <v>0</v>
      </c>
      <c r="F15" s="627">
        <f>VLOOKUP($A15,'O&amp;M per TB'!$B$4:T$375,F$5,FALSE)</f>
        <v>0</v>
      </c>
      <c r="G15" s="627">
        <f>VLOOKUP($A15,'O&amp;M per TB'!$B$4:U$375,G$5,FALSE)</f>
        <v>0</v>
      </c>
      <c r="H15" s="627">
        <f>VLOOKUP($A15,'O&amp;M per TB'!$B$4:V$375,H$5,FALSE)</f>
        <v>0</v>
      </c>
      <c r="I15" s="627">
        <f>VLOOKUP($A15,'O&amp;M per TB'!$B$4:W$375,I$5,FALSE)</f>
        <v>0</v>
      </c>
      <c r="J15" s="627">
        <f>VLOOKUP($A15,'O&amp;M per TB'!$B$4:X$375,J$5,FALSE)</f>
        <v>0</v>
      </c>
      <c r="K15" s="627">
        <f>VLOOKUP($A15,'O&amp;M per TB'!$B$4:Y$375,K$5,FALSE)</f>
        <v>0</v>
      </c>
      <c r="L15" s="627">
        <f>VLOOKUP($A15,'O&amp;M per TB'!$B$4:Z$375,L$5,FALSE)</f>
        <v>0</v>
      </c>
      <c r="M15" s="627">
        <f>VLOOKUP($A15,'O&amp;M per TB'!$B$4:AA$375,M$5,FALSE)</f>
        <v>0</v>
      </c>
      <c r="N15" s="627">
        <f>VLOOKUP($A15,'O&amp;M per TB'!$B$4:AB$375,N$5,FALSE)</f>
        <v>0</v>
      </c>
      <c r="O15" s="627">
        <f>VLOOKUP($A15,'O&amp;M per TB'!$B$4:AC$375,O$5,FALSE)</f>
        <v>0</v>
      </c>
      <c r="P15" s="627">
        <f>VLOOKUP($A15,'O&amp;M per TB'!$B$4:AD$375,P$5,FALSE)</f>
        <v>0</v>
      </c>
      <c r="R15" s="921">
        <v>6147</v>
      </c>
      <c r="S15" s="921" t="s">
        <v>1987</v>
      </c>
      <c r="T15" s="922" t="s">
        <v>1967</v>
      </c>
      <c r="U15" s="922"/>
      <c r="V15" s="867"/>
      <c r="W15" s="867"/>
      <c r="X15" s="867"/>
      <c r="Y15" s="867"/>
      <c r="Z15" s="867"/>
      <c r="AA15" s="867"/>
      <c r="AB15" s="867"/>
      <c r="AC15" s="867"/>
      <c r="AD15" s="867"/>
      <c r="AE15" s="867"/>
      <c r="AF15" s="867"/>
      <c r="AG15" s="867"/>
    </row>
    <row r="16" spans="1:35">
      <c r="A16" s="921">
        <v>5515</v>
      </c>
      <c r="B16" s="921" t="s">
        <v>1988</v>
      </c>
      <c r="C16" s="1521" t="s">
        <v>1984</v>
      </c>
      <c r="D16" s="1681">
        <v>5515</v>
      </c>
      <c r="E16" s="627">
        <f>VLOOKUP($A16,'O&amp;M per TB'!$B$4:S$375,E$5,FALSE)</f>
        <v>-31</v>
      </c>
      <c r="F16" s="627">
        <f>VLOOKUP($A16,'O&amp;M per TB'!$B$4:T$375,F$5,FALSE)</f>
        <v>18</v>
      </c>
      <c r="G16" s="627">
        <f>VLOOKUP($A16,'O&amp;M per TB'!$B$4:U$375,G$5,FALSE)</f>
        <v>25</v>
      </c>
      <c r="H16" s="627">
        <f>VLOOKUP($A16,'O&amp;M per TB'!$B$4:V$375,H$5,FALSE)</f>
        <v>1118</v>
      </c>
      <c r="I16" s="627">
        <f>VLOOKUP($A16,'O&amp;M per TB'!$B$4:W$375,I$5,FALSE)</f>
        <v>384</v>
      </c>
      <c r="J16" s="627">
        <f>VLOOKUP($A16,'O&amp;M per TB'!$B$4:X$375,J$5,FALSE)</f>
        <v>-1193</v>
      </c>
      <c r="K16" s="627">
        <f>VLOOKUP($A16,'O&amp;M per TB'!$B$4:Y$375,K$5,FALSE)</f>
        <v>-130</v>
      </c>
      <c r="L16" s="627">
        <f>VLOOKUP($A16,'O&amp;M per TB'!$B$4:Z$375,L$5,FALSE)</f>
        <v>647</v>
      </c>
      <c r="M16" s="627">
        <f>VLOOKUP($A16,'O&amp;M per TB'!$B$4:AA$375,M$5,FALSE)</f>
        <v>-38</v>
      </c>
      <c r="N16" s="627">
        <f>VLOOKUP($A16,'O&amp;M per TB'!$B$4:AB$375,N$5,FALSE)</f>
        <v>-177</v>
      </c>
      <c r="O16" s="627">
        <f>VLOOKUP($A16,'O&amp;M per TB'!$B$4:AC$375,O$5,FALSE)</f>
        <v>-254</v>
      </c>
      <c r="P16" s="627">
        <f>VLOOKUP($A16,'O&amp;M per TB'!$B$4:AD$375,P$5,FALSE)</f>
        <v>-398</v>
      </c>
      <c r="R16" s="921">
        <v>6150</v>
      </c>
      <c r="S16" s="921" t="s">
        <v>1989</v>
      </c>
      <c r="T16" s="922" t="s">
        <v>1967</v>
      </c>
      <c r="U16" s="922"/>
      <c r="V16" s="867">
        <f t="shared" si="10"/>
        <v>16250.25</v>
      </c>
      <c r="W16" s="867">
        <f t="shared" si="11"/>
        <v>11730.150000000001</v>
      </c>
      <c r="X16" s="867">
        <f t="shared" si="0"/>
        <v>13782.330000000002</v>
      </c>
      <c r="Y16" s="867">
        <f t="shared" si="1"/>
        <v>16526.82</v>
      </c>
      <c r="Z16" s="867">
        <f t="shared" si="2"/>
        <v>14731.37999999999</v>
      </c>
      <c r="AA16" s="867">
        <f t="shared" si="3"/>
        <v>14243.960000000006</v>
      </c>
      <c r="AB16" s="867">
        <f t="shared" si="4"/>
        <v>12998.830000000002</v>
      </c>
      <c r="AC16" s="867">
        <f t="shared" si="5"/>
        <v>14437.220000000001</v>
      </c>
      <c r="AD16" s="867">
        <f t="shared" si="6"/>
        <v>13596.160000000003</v>
      </c>
      <c r="AE16" s="867">
        <f t="shared" si="7"/>
        <v>13152.799999999988</v>
      </c>
      <c r="AF16" s="867">
        <f t="shared" si="8"/>
        <v>12497.910000000003</v>
      </c>
      <c r="AG16" s="867">
        <f t="shared" si="9"/>
        <v>14794.390000000014</v>
      </c>
    </row>
    <row r="17" spans="1:33">
      <c r="A17" s="921">
        <v>5525</v>
      </c>
      <c r="B17" s="921" t="s">
        <v>1990</v>
      </c>
      <c r="C17" s="1521" t="s">
        <v>1991</v>
      </c>
      <c r="D17" s="1681">
        <v>5525</v>
      </c>
      <c r="E17" s="627">
        <f>VLOOKUP($A17,'O&amp;M per TB'!$B$4:S$375,E$5,FALSE)</f>
        <v>28.36</v>
      </c>
      <c r="F17" s="627">
        <f>VLOOKUP($A17,'O&amp;M per TB'!$B$4:T$375,F$5,FALSE)</f>
        <v>28</v>
      </c>
      <c r="G17" s="627">
        <f>VLOOKUP($A17,'O&amp;M per TB'!$B$4:U$375,G$5,FALSE)</f>
        <v>29.659999999999997</v>
      </c>
      <c r="H17" s="627">
        <f>VLOOKUP($A17,'O&amp;M per TB'!$B$4:V$375,H$5,FALSE)</f>
        <v>30.680000000000007</v>
      </c>
      <c r="I17" s="627">
        <f>VLOOKUP($A17,'O&amp;M per TB'!$B$4:W$375,I$5,FALSE)</f>
        <v>31.200000000000003</v>
      </c>
      <c r="J17" s="627">
        <f>VLOOKUP($A17,'O&amp;M per TB'!$B$4:X$375,J$5,FALSE)</f>
        <v>31.53</v>
      </c>
      <c r="K17" s="627">
        <f>VLOOKUP($A17,'O&amp;M per TB'!$B$4:Y$375,K$5,FALSE)</f>
        <v>21.629999999999995</v>
      </c>
      <c r="L17" s="627">
        <f>VLOOKUP($A17,'O&amp;M per TB'!$B$4:Z$375,L$5,FALSE)</f>
        <v>27.599999999999994</v>
      </c>
      <c r="M17" s="627">
        <f>VLOOKUP($A17,'O&amp;M per TB'!$B$4:AA$375,M$5,FALSE)</f>
        <v>14.409999999999997</v>
      </c>
      <c r="N17" s="627">
        <f>VLOOKUP($A17,'O&amp;M per TB'!$B$4:AB$375,N$5,FALSE)</f>
        <v>39.449999999999989</v>
      </c>
      <c r="O17" s="627">
        <f>VLOOKUP($A17,'O&amp;M per TB'!$B$4:AC$375,O$5,FALSE)</f>
        <v>18.470000000000027</v>
      </c>
      <c r="P17" s="627">
        <f>VLOOKUP($A17,'O&amp;M per TB'!$B$4:AD$375,P$5,FALSE)</f>
        <v>23.289999999999964</v>
      </c>
      <c r="R17" s="921">
        <v>6155</v>
      </c>
      <c r="S17" s="921" t="s">
        <v>1992</v>
      </c>
      <c r="T17" s="922" t="s">
        <v>1967</v>
      </c>
      <c r="U17" s="922"/>
      <c r="V17" s="867">
        <f t="shared" si="10"/>
        <v>255.19</v>
      </c>
      <c r="W17" s="867">
        <f t="shared" si="11"/>
        <v>259.67</v>
      </c>
      <c r="X17" s="867">
        <f t="shared" si="0"/>
        <v>305.15999999999997</v>
      </c>
      <c r="Y17" s="867">
        <f t="shared" si="1"/>
        <v>315.53999999999996</v>
      </c>
      <c r="Z17" s="867">
        <f t="shared" si="2"/>
        <v>300.75</v>
      </c>
      <c r="AA17" s="867">
        <f t="shared" si="3"/>
        <v>330.24</v>
      </c>
      <c r="AB17" s="867">
        <f t="shared" si="4"/>
        <v>328.49</v>
      </c>
      <c r="AC17" s="867">
        <f t="shared" si="5"/>
        <v>300.24000000000024</v>
      </c>
      <c r="AD17" s="867">
        <f t="shared" si="6"/>
        <v>314.4699999999998</v>
      </c>
      <c r="AE17" s="867">
        <f t="shared" si="7"/>
        <v>289.86000000000013</v>
      </c>
      <c r="AF17" s="867">
        <f t="shared" si="8"/>
        <v>277.36999999999989</v>
      </c>
      <c r="AG17" s="867">
        <f t="shared" si="9"/>
        <v>287.57999999999993</v>
      </c>
    </row>
    <row r="18" spans="1:33">
      <c r="A18" s="921">
        <v>5530</v>
      </c>
      <c r="B18" s="921" t="s">
        <v>1993</v>
      </c>
      <c r="C18" s="1521" t="s">
        <v>1991</v>
      </c>
      <c r="D18" s="1681">
        <v>5530</v>
      </c>
      <c r="E18" s="627"/>
      <c r="F18" s="627"/>
      <c r="G18" s="627"/>
      <c r="H18" s="627"/>
      <c r="I18" s="627"/>
      <c r="J18" s="627"/>
      <c r="K18" s="627"/>
      <c r="L18" s="627"/>
      <c r="M18" s="627"/>
      <c r="N18" s="627"/>
      <c r="O18" s="627"/>
      <c r="P18" s="627"/>
      <c r="R18" s="921">
        <v>6165</v>
      </c>
      <c r="S18" s="921" t="s">
        <v>1994</v>
      </c>
      <c r="T18" s="922" t="s">
        <v>1967</v>
      </c>
      <c r="U18" s="922"/>
      <c r="V18" s="867">
        <f t="shared" si="10"/>
        <v>-3808.25</v>
      </c>
      <c r="W18" s="867">
        <f t="shared" si="11"/>
        <v>-1412.4700000000003</v>
      </c>
      <c r="X18" s="867">
        <f t="shared" si="0"/>
        <v>-675.34999999999945</v>
      </c>
      <c r="Y18" s="867">
        <f t="shared" si="1"/>
        <v>-3420.09</v>
      </c>
      <c r="Z18" s="867">
        <f t="shared" si="2"/>
        <v>-1451.130000000001</v>
      </c>
      <c r="AA18" s="867">
        <f t="shared" si="3"/>
        <v>-1298.3599999999988</v>
      </c>
      <c r="AB18" s="867">
        <f t="shared" si="4"/>
        <v>-1019.1400000000012</v>
      </c>
      <c r="AC18" s="867">
        <f t="shared" si="5"/>
        <v>-1691.9899999999998</v>
      </c>
      <c r="AD18" s="867">
        <f t="shared" si="6"/>
        <v>-2297.4699999999993</v>
      </c>
      <c r="AE18" s="867">
        <f t="shared" si="7"/>
        <v>-958.91999999999825</v>
      </c>
      <c r="AF18" s="867">
        <f t="shared" si="8"/>
        <v>-1778.260000000002</v>
      </c>
      <c r="AG18" s="867">
        <f t="shared" si="9"/>
        <v>-2178.8499999999985</v>
      </c>
    </row>
    <row r="19" spans="1:33">
      <c r="A19" s="921">
        <v>5535</v>
      </c>
      <c r="B19" s="921" t="s">
        <v>1995</v>
      </c>
      <c r="C19" s="1521" t="s">
        <v>1991</v>
      </c>
      <c r="D19" s="1681">
        <v>5535</v>
      </c>
      <c r="E19" s="627">
        <f>VLOOKUP($A19,'O&amp;M per TB'!$B$4:S$375,E$5,FALSE)</f>
        <v>49.91</v>
      </c>
      <c r="F19" s="627">
        <f>VLOOKUP($A19,'O&amp;M per TB'!$B$4:T$375,F$5,FALSE)</f>
        <v>51.820000000000007</v>
      </c>
      <c r="G19" s="627">
        <f>VLOOKUP($A19,'O&amp;M per TB'!$B$4:U$375,G$5,FALSE)</f>
        <v>47.61999999999999</v>
      </c>
      <c r="H19" s="627">
        <f>VLOOKUP($A19,'O&amp;M per TB'!$B$4:V$375,H$5,FALSE)</f>
        <v>44.599999999999994</v>
      </c>
      <c r="I19" s="627">
        <f>VLOOKUP($A19,'O&amp;M per TB'!$B$4:W$375,I$5,FALSE)</f>
        <v>50.19</v>
      </c>
      <c r="J19" s="627">
        <f>VLOOKUP($A19,'O&amp;M per TB'!$B$4:X$375,J$5,FALSE)</f>
        <v>44</v>
      </c>
      <c r="K19" s="627">
        <f>VLOOKUP($A19,'O&amp;M per TB'!$B$4:Y$375,K$5,FALSE)</f>
        <v>42.220000000000027</v>
      </c>
      <c r="L19" s="627">
        <f>VLOOKUP($A19,'O&amp;M per TB'!$B$4:Z$375,L$5,FALSE)</f>
        <v>53.129999999999995</v>
      </c>
      <c r="M19" s="627">
        <f>VLOOKUP($A19,'O&amp;M per TB'!$B$4:AA$375,M$5,FALSE)</f>
        <v>30.680000000000007</v>
      </c>
      <c r="N19" s="627">
        <f>VLOOKUP($A19,'O&amp;M per TB'!$B$4:AB$375,N$5,FALSE)</f>
        <v>77.079999999999984</v>
      </c>
      <c r="O19" s="627">
        <f>VLOOKUP($A19,'O&amp;M per TB'!$B$4:AC$375,O$5,FALSE)</f>
        <v>39.419999999999959</v>
      </c>
      <c r="P19" s="627">
        <f>VLOOKUP($A19,'O&amp;M per TB'!$B$4:AD$375,P$5,FALSE)</f>
        <v>43.230000000000018</v>
      </c>
      <c r="V19" s="1602">
        <f>SUM(V7:V18)</f>
        <v>18601.66</v>
      </c>
      <c r="W19" s="1602">
        <f>SUM(W7:W18)</f>
        <v>16171.769999999997</v>
      </c>
      <c r="X19" s="1602">
        <f t="shared" ref="X19:AG19" si="12">SUM(X7:X18)</f>
        <v>19504.150000000001</v>
      </c>
      <c r="Y19" s="1602">
        <f t="shared" si="12"/>
        <v>19683.28</v>
      </c>
      <c r="Z19" s="1602">
        <f t="shared" si="12"/>
        <v>19674.459999999988</v>
      </c>
      <c r="AA19" s="1602">
        <f t="shared" si="12"/>
        <v>20138.760000000009</v>
      </c>
      <c r="AB19" s="1602">
        <f t="shared" si="12"/>
        <v>19231.849999999999</v>
      </c>
      <c r="AC19" s="1602">
        <f t="shared" si="12"/>
        <v>20493.810000000005</v>
      </c>
      <c r="AD19" s="1602">
        <f t="shared" si="12"/>
        <v>18662.260000000002</v>
      </c>
      <c r="AE19" s="1602">
        <f t="shared" si="12"/>
        <v>19342.279999999992</v>
      </c>
      <c r="AF19" s="1602">
        <f t="shared" si="12"/>
        <v>18090.37</v>
      </c>
      <c r="AG19" s="1602">
        <f t="shared" si="12"/>
        <v>21179.070000000014</v>
      </c>
    </row>
    <row r="20" spans="1:33">
      <c r="A20" s="921">
        <v>5540</v>
      </c>
      <c r="B20" s="921" t="s">
        <v>1996</v>
      </c>
      <c r="C20" s="1521" t="s">
        <v>1991</v>
      </c>
      <c r="D20" s="1681">
        <v>5540</v>
      </c>
      <c r="E20" s="627">
        <f>VLOOKUP($A20,'O&amp;M per TB'!$B$4:S$375,E$5,FALSE)</f>
        <v>1008.21</v>
      </c>
      <c r="F20" s="627">
        <f>VLOOKUP($A20,'O&amp;M per TB'!$B$4:T$375,F$5,FALSE)</f>
        <v>645.3599999999999</v>
      </c>
      <c r="G20" s="627">
        <f>VLOOKUP($A20,'O&amp;M per TB'!$B$4:U$375,G$5,FALSE)</f>
        <v>799.77000000000021</v>
      </c>
      <c r="H20" s="627">
        <f>VLOOKUP($A20,'O&amp;M per TB'!$B$4:V$375,H$5,FALSE)</f>
        <v>824.48</v>
      </c>
      <c r="I20" s="627">
        <f>VLOOKUP($A20,'O&amp;M per TB'!$B$4:W$375,I$5,FALSE)</f>
        <v>710.46</v>
      </c>
      <c r="J20" s="627">
        <f>VLOOKUP($A20,'O&amp;M per TB'!$B$4:X$375,J$5,FALSE)</f>
        <v>891.24999999999955</v>
      </c>
      <c r="K20" s="627">
        <f>VLOOKUP($A20,'O&amp;M per TB'!$B$4:Y$375,K$5,FALSE)</f>
        <v>700.75</v>
      </c>
      <c r="L20" s="627">
        <f>VLOOKUP($A20,'O&amp;M per TB'!$B$4:Z$375,L$5,FALSE)</f>
        <v>949.18000000000029</v>
      </c>
      <c r="M20" s="627">
        <f>VLOOKUP($A20,'O&amp;M per TB'!$B$4:AA$375,M$5,FALSE)</f>
        <v>773.67000000000007</v>
      </c>
      <c r="N20" s="627">
        <f>VLOOKUP($A20,'O&amp;M per TB'!$B$4:AB$375,N$5,FALSE)</f>
        <v>743.46</v>
      </c>
      <c r="O20" s="627">
        <f>VLOOKUP($A20,'O&amp;M per TB'!$B$4:AC$375,O$5,FALSE)</f>
        <v>703.64999999999964</v>
      </c>
      <c r="P20" s="627">
        <f>VLOOKUP($A20,'O&amp;M per TB'!$B$4:AD$375,P$5,FALSE)</f>
        <v>872</v>
      </c>
    </row>
    <row r="21" spans="1:33">
      <c r="A21" s="921">
        <v>5545</v>
      </c>
      <c r="B21" s="921" t="s">
        <v>1997</v>
      </c>
      <c r="C21" s="1521" t="s">
        <v>1998</v>
      </c>
      <c r="D21" s="1681">
        <v>5545</v>
      </c>
      <c r="E21" s="627">
        <f>VLOOKUP($A21,'O&amp;M per TB'!$B$4:S$375,E$5,FALSE)</f>
        <v>10.36</v>
      </c>
      <c r="F21" s="627">
        <f>VLOOKUP($A21,'O&amp;M per TB'!$B$4:T$375,F$5,FALSE)</f>
        <v>0</v>
      </c>
      <c r="G21" s="627">
        <f>VLOOKUP($A21,'O&amp;M per TB'!$B$4:U$375,G$5,FALSE)</f>
        <v>0</v>
      </c>
      <c r="H21" s="627">
        <f>VLOOKUP($A21,'O&amp;M per TB'!$B$4:V$375,H$5,FALSE)</f>
        <v>50.08</v>
      </c>
      <c r="I21" s="627">
        <f>VLOOKUP($A21,'O&amp;M per TB'!$B$4:W$375,I$5,FALSE)</f>
        <v>23.25</v>
      </c>
      <c r="J21" s="627">
        <f>VLOOKUP($A21,'O&amp;M per TB'!$B$4:X$375,J$5,FALSE)</f>
        <v>21.340000000000003</v>
      </c>
      <c r="K21" s="627">
        <f>VLOOKUP($A21,'O&amp;M per TB'!$B$4:Y$375,K$5,FALSE)</f>
        <v>24.849999999999994</v>
      </c>
      <c r="L21" s="627">
        <f>VLOOKUP($A21,'O&amp;M per TB'!$B$4:Z$375,L$5,FALSE)</f>
        <v>25.700000000000017</v>
      </c>
      <c r="M21" s="627">
        <f>VLOOKUP($A21,'O&amp;M per TB'!$B$4:AA$375,M$5,FALSE)</f>
        <v>21.439999999999998</v>
      </c>
      <c r="N21" s="627">
        <f>VLOOKUP($A21,'O&amp;M per TB'!$B$4:AB$375,N$5,FALSE)</f>
        <v>22.129999999999995</v>
      </c>
      <c r="O21" s="627">
        <f>VLOOKUP($A21,'O&amp;M per TB'!$B$4:AC$375,O$5,FALSE)</f>
        <v>25.180000000000007</v>
      </c>
      <c r="P21" s="627">
        <f>VLOOKUP($A21,'O&amp;M per TB'!$B$4:AD$375,P$5,FALSE)</f>
        <v>0</v>
      </c>
      <c r="R21" s="921">
        <v>6120</v>
      </c>
      <c r="S21" s="921" t="s">
        <v>1999</v>
      </c>
      <c r="T21" s="922" t="s">
        <v>2000</v>
      </c>
      <c r="U21" s="922"/>
      <c r="V21" s="1602">
        <f>VLOOKUP($R21,$D$7:$E$124,2,FALSE)</f>
        <v>842.15</v>
      </c>
      <c r="W21" s="1602">
        <f t="shared" ref="W21:W35" si="13">VLOOKUP($R21,$D$7:$P$124,3,FALSE)</f>
        <v>859.63</v>
      </c>
      <c r="X21" s="1602">
        <f>VLOOKUP($R21,$D$7:$P$124,4,FALSE)</f>
        <v>826.75000000000023</v>
      </c>
      <c r="Y21" s="1602">
        <f>VLOOKUP($R21,$D$7:$P$124,5,FALSE)</f>
        <v>860.23</v>
      </c>
      <c r="Z21" s="1602">
        <f>VLOOKUP($R21,$D$7:$P$124,6,FALSE)</f>
        <v>845.26999999999953</v>
      </c>
      <c r="AA21" s="1602">
        <f>VLOOKUP($R21,$D$7:$P$124,7,FALSE)</f>
        <v>846.53000000000065</v>
      </c>
      <c r="AB21" s="1602">
        <f>VLOOKUP($R21,$D$7:$P$124,8,FALSE)</f>
        <v>1084.21</v>
      </c>
      <c r="AC21" s="1602">
        <f>VLOOKUP($R21,$D$7:$P$124,9,FALSE)</f>
        <v>649.72999999999956</v>
      </c>
      <c r="AD21" s="1602">
        <f>VLOOKUP($R21,$D$7:$P$124,10,FALSE)</f>
        <v>825.43000000000029</v>
      </c>
      <c r="AE21" s="1602">
        <f>VLOOKUP($R21,$D$7:$P$124,11,FALSE)</f>
        <v>843.40999999999985</v>
      </c>
      <c r="AF21" s="1602">
        <f>VLOOKUP($R21,$D$7:$P$124,12,FALSE)</f>
        <v>2054.7299999999996</v>
      </c>
      <c r="AG21" s="1602">
        <f>VLOOKUP($R21,$D$7:$P$124,13,FALSE)</f>
        <v>72.239999999999782</v>
      </c>
    </row>
    <row r="22" spans="1:33">
      <c r="A22" s="921">
        <v>5625</v>
      </c>
      <c r="B22" s="921" t="s">
        <v>2001</v>
      </c>
      <c r="C22" s="1521" t="s">
        <v>2002</v>
      </c>
      <c r="D22" s="1681">
        <v>5625</v>
      </c>
      <c r="E22" s="627">
        <f>VLOOKUP($A22,'O&amp;M per TB'!$B$4:S$375,E$5,FALSE)</f>
        <v>949.41</v>
      </c>
      <c r="F22" s="627">
        <f>VLOOKUP($A22,'O&amp;M per TB'!$B$4:T$375,F$5,FALSE)</f>
        <v>939.83</v>
      </c>
      <c r="G22" s="627">
        <f>VLOOKUP($A22,'O&amp;M per TB'!$B$4:U$375,G$5,FALSE)</f>
        <v>938.20999999999981</v>
      </c>
      <c r="H22" s="627">
        <f>VLOOKUP($A22,'O&amp;M per TB'!$B$4:V$375,H$5,FALSE)</f>
        <v>951</v>
      </c>
      <c r="I22" s="627">
        <f>VLOOKUP($A22,'O&amp;M per TB'!$B$4:W$375,I$5,FALSE)</f>
        <v>949.8100000000004</v>
      </c>
      <c r="J22" s="627">
        <f>VLOOKUP($A22,'O&amp;M per TB'!$B$4:X$375,J$5,FALSE)</f>
        <v>949.92999999999938</v>
      </c>
      <c r="K22" s="627">
        <f>VLOOKUP($A22,'O&amp;M per TB'!$B$4:Y$375,K$5,FALSE)</f>
        <v>948.64000000000033</v>
      </c>
      <c r="L22" s="627">
        <f>VLOOKUP($A22,'O&amp;M per TB'!$B$4:Z$375,L$5,FALSE)</f>
        <v>1204.1199999999999</v>
      </c>
      <c r="M22" s="627">
        <f>VLOOKUP($A22,'O&amp;M per TB'!$B$4:AA$375,M$5,FALSE)</f>
        <v>993.00000000000091</v>
      </c>
      <c r="N22" s="627">
        <f>VLOOKUP($A22,'O&amp;M per TB'!$B$4:AB$375,N$5,FALSE)</f>
        <v>974.59999999999854</v>
      </c>
      <c r="O22" s="627">
        <f>VLOOKUP($A22,'O&amp;M per TB'!$B$4:AC$375,O$5,FALSE)</f>
        <v>973.32999999999993</v>
      </c>
      <c r="P22" s="627">
        <f>VLOOKUP($A22,'O&amp;M per TB'!$B$4:AD$375,P$5,FALSE)</f>
        <v>972.43000000000029</v>
      </c>
    </row>
    <row r="23" spans="1:33">
      <c r="A23" s="921">
        <v>5630</v>
      </c>
      <c r="B23" s="921" t="s">
        <v>2003</v>
      </c>
      <c r="C23" s="1521" t="s">
        <v>2002</v>
      </c>
      <c r="D23" s="1681">
        <v>5630</v>
      </c>
      <c r="E23" s="627">
        <f>VLOOKUP($A23,'O&amp;M per TB'!$B$4:S$375,E$5,FALSE)</f>
        <v>889.15</v>
      </c>
      <c r="F23" s="627">
        <f>VLOOKUP($A23,'O&amp;M per TB'!$B$4:T$375,F$5,FALSE)</f>
        <v>661.75000000000011</v>
      </c>
      <c r="G23" s="627">
        <f>VLOOKUP($A23,'O&amp;M per TB'!$B$4:U$375,G$5,FALSE)</f>
        <v>665.59999999999991</v>
      </c>
      <c r="H23" s="627">
        <f>VLOOKUP($A23,'O&amp;M per TB'!$B$4:V$375,H$5,FALSE)</f>
        <v>678.29</v>
      </c>
      <c r="I23" s="627">
        <f>VLOOKUP($A23,'O&amp;M per TB'!$B$4:W$375,I$5,FALSE)</f>
        <v>679.15999999999985</v>
      </c>
      <c r="J23" s="627">
        <f>VLOOKUP($A23,'O&amp;M per TB'!$B$4:X$375,J$5,FALSE)</f>
        <v>671.92000000000007</v>
      </c>
      <c r="K23" s="627">
        <f>VLOOKUP($A23,'O&amp;M per TB'!$B$4:Y$375,K$5,FALSE)</f>
        <v>681.55000000000018</v>
      </c>
      <c r="L23" s="627">
        <f>VLOOKUP($A23,'O&amp;M per TB'!$B$4:Z$375,L$5,FALSE)</f>
        <v>678.35999999999967</v>
      </c>
      <c r="M23" s="627">
        <f>VLOOKUP($A23,'O&amp;M per TB'!$B$4:AA$375,M$5,FALSE)</f>
        <v>650.57999999999993</v>
      </c>
      <c r="N23" s="627">
        <f>VLOOKUP($A23,'O&amp;M per TB'!$B$4:AB$375,N$5,FALSE)</f>
        <v>789.93000000000029</v>
      </c>
      <c r="O23" s="627">
        <f>VLOOKUP($A23,'O&amp;M per TB'!$B$4:AC$375,O$5,FALSE)</f>
        <v>802.46</v>
      </c>
      <c r="P23" s="627">
        <f>VLOOKUP($A23,'O&amp;M per TB'!$B$4:AD$375,P$5,FALSE)</f>
        <v>781.64999999999964</v>
      </c>
      <c r="R23" s="921">
        <v>5625</v>
      </c>
      <c r="S23" s="921" t="s">
        <v>2001</v>
      </c>
      <c r="T23" s="922" t="s">
        <v>2002</v>
      </c>
      <c r="U23" s="922"/>
      <c r="V23" s="867">
        <f t="shared" ref="V23:V35" si="14">VLOOKUP($R23,$D$7:$E$124,2,FALSE)</f>
        <v>949.41</v>
      </c>
      <c r="W23" s="867">
        <f t="shared" si="13"/>
        <v>939.83</v>
      </c>
      <c r="X23" s="867">
        <f t="shared" ref="X23:X35" si="15">VLOOKUP($R23,$D$7:$P$124,4,FALSE)</f>
        <v>938.20999999999981</v>
      </c>
      <c r="Y23" s="867">
        <f t="shared" ref="Y23:Y35" si="16">VLOOKUP($R23,$D$7:$P$124,5,FALSE)</f>
        <v>951</v>
      </c>
      <c r="Z23" s="867">
        <f t="shared" ref="Z23:Z35" si="17">VLOOKUP($R23,$D$7:$P$124,6,FALSE)</f>
        <v>949.8100000000004</v>
      </c>
      <c r="AA23" s="867">
        <f t="shared" ref="AA23:AA35" si="18">VLOOKUP($R23,$D$7:$P$124,7,FALSE)</f>
        <v>949.92999999999938</v>
      </c>
      <c r="AB23" s="867">
        <f t="shared" ref="AB23:AB35" si="19">VLOOKUP($R23,$D$7:$P$124,8,FALSE)</f>
        <v>948.64000000000033</v>
      </c>
      <c r="AC23" s="867">
        <f t="shared" ref="AC23:AC35" si="20">VLOOKUP($R23,$D$7:$P$124,9,FALSE)</f>
        <v>1204.1199999999999</v>
      </c>
      <c r="AD23" s="867">
        <f t="shared" ref="AD23:AD35" si="21">VLOOKUP($R23,$D$7:$P$124,10,FALSE)</f>
        <v>993.00000000000091</v>
      </c>
      <c r="AE23" s="867">
        <f t="shared" ref="AE23:AE35" si="22">VLOOKUP($R23,$D$7:$P$124,11,FALSE)</f>
        <v>974.59999999999854</v>
      </c>
      <c r="AF23" s="867">
        <f t="shared" ref="AF23:AF35" si="23">VLOOKUP($R23,$D$7:$P$124,12,FALSE)</f>
        <v>973.32999999999993</v>
      </c>
      <c r="AG23" s="867">
        <f t="shared" ref="AG23:AG35" si="24">VLOOKUP($R23,$D$7:$P$124,13,FALSE)</f>
        <v>972.43000000000029</v>
      </c>
    </row>
    <row r="24" spans="1:33">
      <c r="A24" s="921">
        <v>5635</v>
      </c>
      <c r="B24" s="921" t="s">
        <v>2004</v>
      </c>
      <c r="C24" s="1521" t="s">
        <v>2002</v>
      </c>
      <c r="D24" s="1681">
        <v>5635</v>
      </c>
      <c r="E24" s="627">
        <f>VLOOKUP($A24,'O&amp;M per TB'!$B$4:S$375,E$5,FALSE)</f>
        <v>141.87</v>
      </c>
      <c r="F24" s="627">
        <f>VLOOKUP($A24,'O&amp;M per TB'!$B$4:T$375,F$5,FALSE)</f>
        <v>105.35999999999999</v>
      </c>
      <c r="G24" s="627">
        <f>VLOOKUP($A24,'O&amp;M per TB'!$B$4:U$375,G$5,FALSE)</f>
        <v>151.19000000000003</v>
      </c>
      <c r="H24" s="627">
        <f>VLOOKUP($A24,'O&amp;M per TB'!$B$4:V$375,H$5,FALSE)</f>
        <v>78.399999999999977</v>
      </c>
      <c r="I24" s="627">
        <f>VLOOKUP($A24,'O&amp;M per TB'!$B$4:W$375,I$5,FALSE)</f>
        <v>153.04000000000002</v>
      </c>
      <c r="J24" s="627">
        <f>VLOOKUP($A24,'O&amp;M per TB'!$B$4:X$375,J$5,FALSE)</f>
        <v>143.91999999999996</v>
      </c>
      <c r="K24" s="627">
        <f>VLOOKUP($A24,'O&amp;M per TB'!$B$4:Y$375,K$5,FALSE)</f>
        <v>163.55000000000007</v>
      </c>
      <c r="L24" s="627">
        <f>VLOOKUP($A24,'O&amp;M per TB'!$B$4:Z$375,L$5,FALSE)</f>
        <v>167.03999999999985</v>
      </c>
      <c r="M24" s="627">
        <f>VLOOKUP($A24,'O&amp;M per TB'!$B$4:AA$375,M$5,FALSE)</f>
        <v>59.550000000000182</v>
      </c>
      <c r="N24" s="627">
        <f>VLOOKUP($A24,'O&amp;M per TB'!$B$4:AB$375,N$5,FALSE)</f>
        <v>120.24000000000001</v>
      </c>
      <c r="O24" s="627">
        <f>VLOOKUP($A24,'O&amp;M per TB'!$B$4:AC$375,O$5,FALSE)</f>
        <v>87.649999999999864</v>
      </c>
      <c r="P24" s="627">
        <f>VLOOKUP($A24,'O&amp;M per TB'!$B$4:AD$375,P$5,FALSE)</f>
        <v>107.40000000000009</v>
      </c>
      <c r="R24" s="921">
        <v>5630</v>
      </c>
      <c r="S24" s="921" t="s">
        <v>2003</v>
      </c>
      <c r="T24" s="922" t="s">
        <v>2002</v>
      </c>
      <c r="U24" s="922"/>
      <c r="V24" s="867">
        <f t="shared" si="14"/>
        <v>889.15</v>
      </c>
      <c r="W24" s="867">
        <f t="shared" si="13"/>
        <v>661.75000000000011</v>
      </c>
      <c r="X24" s="867">
        <f t="shared" si="15"/>
        <v>665.59999999999991</v>
      </c>
      <c r="Y24" s="867">
        <f t="shared" si="16"/>
        <v>678.29</v>
      </c>
      <c r="Z24" s="867">
        <f t="shared" si="17"/>
        <v>679.15999999999985</v>
      </c>
      <c r="AA24" s="867">
        <f t="shared" si="18"/>
        <v>671.92000000000007</v>
      </c>
      <c r="AB24" s="867">
        <f t="shared" si="19"/>
        <v>681.55000000000018</v>
      </c>
      <c r="AC24" s="867">
        <f t="shared" si="20"/>
        <v>678.35999999999967</v>
      </c>
      <c r="AD24" s="867">
        <f t="shared" si="21"/>
        <v>650.57999999999993</v>
      </c>
      <c r="AE24" s="867">
        <f t="shared" si="22"/>
        <v>789.93000000000029</v>
      </c>
      <c r="AF24" s="867">
        <f t="shared" si="23"/>
        <v>802.46</v>
      </c>
      <c r="AG24" s="867">
        <f t="shared" si="24"/>
        <v>781.64999999999964</v>
      </c>
    </row>
    <row r="25" spans="1:33">
      <c r="A25" s="921">
        <v>5645</v>
      </c>
      <c r="B25" s="921" t="s">
        <v>2005</v>
      </c>
      <c r="C25" s="1521" t="s">
        <v>2002</v>
      </c>
      <c r="D25" s="1681">
        <v>5645</v>
      </c>
      <c r="E25" s="627">
        <f>VLOOKUP($A25,'O&amp;M per TB'!$B$4:S$375,E$5,FALSE)</f>
        <v>-959.22</v>
      </c>
      <c r="F25" s="627">
        <f>VLOOKUP($A25,'O&amp;M per TB'!$B$4:T$375,F$5,FALSE)</f>
        <v>-994.71</v>
      </c>
      <c r="G25" s="627">
        <f>VLOOKUP($A25,'O&amp;M per TB'!$B$4:U$375,G$5,FALSE)</f>
        <v>-1345.3099999999997</v>
      </c>
      <c r="H25" s="627">
        <f>VLOOKUP($A25,'O&amp;M per TB'!$B$4:V$375,H$5,FALSE)</f>
        <v>-975.17000000000007</v>
      </c>
      <c r="I25" s="627">
        <f>VLOOKUP($A25,'O&amp;M per TB'!$B$4:W$375,I$5,FALSE)</f>
        <v>-998.65000000000055</v>
      </c>
      <c r="J25" s="627">
        <f>VLOOKUP($A25,'O&amp;M per TB'!$B$4:X$375,J$5,FALSE)</f>
        <v>-1027.8099999999995</v>
      </c>
      <c r="K25" s="627">
        <f>VLOOKUP($A25,'O&amp;M per TB'!$B$4:Y$375,K$5,FALSE)</f>
        <v>-1096.04</v>
      </c>
      <c r="L25" s="627">
        <f>VLOOKUP($A25,'O&amp;M per TB'!$B$4:Z$375,L$5,FALSE)</f>
        <v>-1052.4400000000005</v>
      </c>
      <c r="M25" s="627">
        <f>VLOOKUP($A25,'O&amp;M per TB'!$B$4:AA$375,M$5,FALSE)</f>
        <v>-1367.4300000000003</v>
      </c>
      <c r="N25" s="627">
        <f>VLOOKUP($A25,'O&amp;M per TB'!$B$4:AB$375,N$5,FALSE)</f>
        <v>-1019.6999999999989</v>
      </c>
      <c r="O25" s="627">
        <f>VLOOKUP($A25,'O&amp;M per TB'!$B$4:AC$375,O$5,FALSE)</f>
        <v>-1027.4300000000003</v>
      </c>
      <c r="P25" s="627">
        <f>VLOOKUP($A25,'O&amp;M per TB'!$B$4:AD$375,P$5,FALSE)</f>
        <v>-646.60000000000036</v>
      </c>
      <c r="R25" s="921">
        <v>5635</v>
      </c>
      <c r="S25" s="921" t="s">
        <v>2004</v>
      </c>
      <c r="T25" s="922" t="s">
        <v>2002</v>
      </c>
      <c r="U25" s="922"/>
      <c r="V25" s="867">
        <f t="shared" si="14"/>
        <v>141.87</v>
      </c>
      <c r="W25" s="867">
        <f t="shared" si="13"/>
        <v>105.35999999999999</v>
      </c>
      <c r="X25" s="867">
        <f t="shared" si="15"/>
        <v>151.19000000000003</v>
      </c>
      <c r="Y25" s="867">
        <f t="shared" si="16"/>
        <v>78.399999999999977</v>
      </c>
      <c r="Z25" s="867">
        <f t="shared" si="17"/>
        <v>153.04000000000002</v>
      </c>
      <c r="AA25" s="867">
        <f t="shared" si="18"/>
        <v>143.91999999999996</v>
      </c>
      <c r="AB25" s="867">
        <f t="shared" si="19"/>
        <v>163.55000000000007</v>
      </c>
      <c r="AC25" s="867">
        <f t="shared" si="20"/>
        <v>167.03999999999985</v>
      </c>
      <c r="AD25" s="867">
        <f t="shared" si="21"/>
        <v>59.550000000000182</v>
      </c>
      <c r="AE25" s="867">
        <f t="shared" si="22"/>
        <v>120.24000000000001</v>
      </c>
      <c r="AF25" s="867">
        <f t="shared" si="23"/>
        <v>87.649999999999864</v>
      </c>
      <c r="AG25" s="867">
        <f t="shared" si="24"/>
        <v>107.40000000000009</v>
      </c>
    </row>
    <row r="26" spans="1:33">
      <c r="A26" s="921">
        <v>5650</v>
      </c>
      <c r="B26" s="921" t="s">
        <v>2006</v>
      </c>
      <c r="C26" s="1521" t="s">
        <v>2002</v>
      </c>
      <c r="D26" s="1681">
        <v>5650</v>
      </c>
      <c r="E26" s="627">
        <f>VLOOKUP($A26,'O&amp;M per TB'!$B$4:S$375,E$5,FALSE)</f>
        <v>1.04</v>
      </c>
      <c r="F26" s="627">
        <f>VLOOKUP($A26,'O&amp;M per TB'!$B$4:T$375,F$5,FALSE)</f>
        <v>22.28</v>
      </c>
      <c r="G26" s="627">
        <f>VLOOKUP($A26,'O&amp;M per TB'!$B$4:U$375,G$5,FALSE)</f>
        <v>27.6</v>
      </c>
      <c r="H26" s="627">
        <f>VLOOKUP($A26,'O&amp;M per TB'!$B$4:V$375,H$5,FALSE)</f>
        <v>0.48999999999999488</v>
      </c>
      <c r="I26" s="627">
        <f>VLOOKUP($A26,'O&amp;M per TB'!$B$4:W$375,I$5,FALSE)</f>
        <v>28.730000000000004</v>
      </c>
      <c r="J26" s="627">
        <f>VLOOKUP($A26,'O&amp;M per TB'!$B$4:X$375,J$5,FALSE)</f>
        <v>49.429999999999993</v>
      </c>
      <c r="K26" s="627">
        <f>VLOOKUP($A26,'O&amp;M per TB'!$B$4:Y$375,K$5,FALSE)</f>
        <v>53.760000000000019</v>
      </c>
      <c r="L26" s="627">
        <f>VLOOKUP($A26,'O&amp;M per TB'!$B$4:Z$375,L$5,FALSE)</f>
        <v>49.95999999999998</v>
      </c>
      <c r="M26" s="627">
        <f>VLOOKUP($A26,'O&amp;M per TB'!$B$4:AA$375,M$5,FALSE)</f>
        <v>41.77000000000001</v>
      </c>
      <c r="N26" s="627">
        <f>VLOOKUP($A26,'O&amp;M per TB'!$B$4:AB$375,N$5,FALSE)</f>
        <v>19.639999999999986</v>
      </c>
      <c r="O26" s="627">
        <f>VLOOKUP($A26,'O&amp;M per TB'!$B$4:AC$375,O$5,FALSE)</f>
        <v>3.6500000000000341</v>
      </c>
      <c r="P26" s="627">
        <f>VLOOKUP($A26,'O&amp;M per TB'!$B$4:AD$375,P$5,FALSE)</f>
        <v>56.92999999999995</v>
      </c>
      <c r="R26" s="921">
        <v>5645</v>
      </c>
      <c r="S26" s="921" t="s">
        <v>2005</v>
      </c>
      <c r="T26" s="922" t="s">
        <v>2002</v>
      </c>
      <c r="U26" s="922"/>
      <c r="V26" s="867">
        <f t="shared" si="14"/>
        <v>-959.22</v>
      </c>
      <c r="W26" s="867">
        <f t="shared" si="13"/>
        <v>-994.71</v>
      </c>
      <c r="X26" s="867">
        <f t="shared" si="15"/>
        <v>-1345.3099999999997</v>
      </c>
      <c r="Y26" s="867">
        <f t="shared" si="16"/>
        <v>-975.17000000000007</v>
      </c>
      <c r="Z26" s="867">
        <f t="shared" si="17"/>
        <v>-998.65000000000055</v>
      </c>
      <c r="AA26" s="867">
        <f t="shared" si="18"/>
        <v>-1027.8099999999995</v>
      </c>
      <c r="AB26" s="867">
        <f t="shared" si="19"/>
        <v>-1096.04</v>
      </c>
      <c r="AC26" s="867">
        <f t="shared" si="20"/>
        <v>-1052.4400000000005</v>
      </c>
      <c r="AD26" s="867">
        <f t="shared" si="21"/>
        <v>-1367.4300000000003</v>
      </c>
      <c r="AE26" s="867">
        <f t="shared" si="22"/>
        <v>-1019.6999999999989</v>
      </c>
      <c r="AF26" s="867">
        <f t="shared" si="23"/>
        <v>-1027.4300000000003</v>
      </c>
      <c r="AG26" s="867">
        <f t="shared" si="24"/>
        <v>-646.60000000000036</v>
      </c>
    </row>
    <row r="27" spans="1:33">
      <c r="A27" s="921">
        <v>5655</v>
      </c>
      <c r="B27" s="921" t="s">
        <v>2007</v>
      </c>
      <c r="C27" s="1521" t="s">
        <v>2002</v>
      </c>
      <c r="D27" s="1681">
        <v>5655</v>
      </c>
      <c r="E27" s="627">
        <f>VLOOKUP($A27,'O&amp;M per TB'!$B$4:S$375,E$5,FALSE)</f>
        <v>7269.93</v>
      </c>
      <c r="F27" s="627">
        <f>VLOOKUP($A27,'O&amp;M per TB'!$B$4:T$375,F$5,FALSE)</f>
        <v>5044.3999999999996</v>
      </c>
      <c r="G27" s="627">
        <f>VLOOKUP($A27,'O&amp;M per TB'!$B$4:U$375,G$5,FALSE)</f>
        <v>4296.7199999999993</v>
      </c>
      <c r="H27" s="627">
        <f>VLOOKUP($A27,'O&amp;M per TB'!$B$4:V$375,H$5,FALSE)</f>
        <v>3615.380000000001</v>
      </c>
      <c r="I27" s="627">
        <f>VLOOKUP($A27,'O&amp;M per TB'!$B$4:W$375,I$5,FALSE)</f>
        <v>4145.989999999998</v>
      </c>
      <c r="J27" s="627">
        <f>VLOOKUP($A27,'O&amp;M per TB'!$B$4:X$375,J$5,FALSE)</f>
        <v>6091.6900000000023</v>
      </c>
      <c r="K27" s="627">
        <f>VLOOKUP($A27,'O&amp;M per TB'!$B$4:Y$375,K$5,FALSE)</f>
        <v>4356.0299999999988</v>
      </c>
      <c r="L27" s="627">
        <f>VLOOKUP($A27,'O&amp;M per TB'!$B$4:Z$375,L$5,FALSE)</f>
        <v>5001.8300000000017</v>
      </c>
      <c r="M27" s="627">
        <f>VLOOKUP($A27,'O&amp;M per TB'!$B$4:AA$375,M$5,FALSE)</f>
        <v>3510.7099999999991</v>
      </c>
      <c r="N27" s="627">
        <f>VLOOKUP($A27,'O&amp;M per TB'!$B$4:AB$375,N$5,FALSE)</f>
        <v>4941.7699999999968</v>
      </c>
      <c r="O27" s="627">
        <f>VLOOKUP($A27,'O&amp;M per TB'!$B$4:AC$375,O$5,FALSE)</f>
        <v>5208.4600000000064</v>
      </c>
      <c r="P27" s="627">
        <f>VLOOKUP($A27,'O&amp;M per TB'!$B$4:AD$375,P$5,FALSE)</f>
        <v>6623.6999999999971</v>
      </c>
      <c r="R27" s="921">
        <v>5650</v>
      </c>
      <c r="S27" s="921" t="s">
        <v>2006</v>
      </c>
      <c r="T27" s="922" t="s">
        <v>2002</v>
      </c>
      <c r="U27" s="922"/>
      <c r="V27" s="867">
        <f t="shared" si="14"/>
        <v>1.04</v>
      </c>
      <c r="W27" s="867">
        <f t="shared" si="13"/>
        <v>22.28</v>
      </c>
      <c r="X27" s="867">
        <f t="shared" si="15"/>
        <v>27.6</v>
      </c>
      <c r="Y27" s="867">
        <f t="shared" si="16"/>
        <v>0.48999999999999488</v>
      </c>
      <c r="Z27" s="867">
        <f t="shared" si="17"/>
        <v>28.730000000000004</v>
      </c>
      <c r="AA27" s="867">
        <f t="shared" si="18"/>
        <v>49.429999999999993</v>
      </c>
      <c r="AB27" s="867">
        <f t="shared" si="19"/>
        <v>53.760000000000019</v>
      </c>
      <c r="AC27" s="867">
        <f t="shared" si="20"/>
        <v>49.95999999999998</v>
      </c>
      <c r="AD27" s="867">
        <f t="shared" si="21"/>
        <v>41.77000000000001</v>
      </c>
      <c r="AE27" s="867">
        <f t="shared" si="22"/>
        <v>19.639999999999986</v>
      </c>
      <c r="AF27" s="867">
        <f t="shared" si="23"/>
        <v>3.6500000000000341</v>
      </c>
      <c r="AG27" s="867">
        <f t="shared" si="24"/>
        <v>56.92999999999995</v>
      </c>
    </row>
    <row r="28" spans="1:33">
      <c r="A28" s="921">
        <v>5660</v>
      </c>
      <c r="B28" s="921" t="s">
        <v>2008</v>
      </c>
      <c r="C28" s="1521" t="s">
        <v>2002</v>
      </c>
      <c r="D28" s="1681">
        <v>5660</v>
      </c>
      <c r="E28" s="627">
        <f>VLOOKUP($A28,'O&amp;M per TB'!$B$4:S$375,E$5,FALSE)</f>
        <v>2.85</v>
      </c>
      <c r="F28" s="627">
        <f>VLOOKUP($A28,'O&amp;M per TB'!$B$4:T$375,F$5,FALSE)</f>
        <v>21.459999999999997</v>
      </c>
      <c r="G28" s="627">
        <f>VLOOKUP($A28,'O&amp;M per TB'!$B$4:U$375,G$5,FALSE)</f>
        <v>47.05</v>
      </c>
      <c r="H28" s="627">
        <f>VLOOKUP($A28,'O&amp;M per TB'!$B$4:V$375,H$5,FALSE)</f>
        <v>25.310000000000002</v>
      </c>
      <c r="I28" s="627">
        <f>VLOOKUP($A28,'O&amp;M per TB'!$B$4:W$375,I$5,FALSE)</f>
        <v>14.700000000000003</v>
      </c>
      <c r="J28" s="627">
        <f>VLOOKUP($A28,'O&amp;M per TB'!$B$4:X$375,J$5,FALSE)</f>
        <v>51.269999999999982</v>
      </c>
      <c r="K28" s="627">
        <f>VLOOKUP($A28,'O&amp;M per TB'!$B$4:Y$375,K$5,FALSE)</f>
        <v>11.370000000000005</v>
      </c>
      <c r="L28" s="627">
        <f>VLOOKUP($A28,'O&amp;M per TB'!$B$4:Z$375,L$5,FALSE)</f>
        <v>27.670000000000016</v>
      </c>
      <c r="M28" s="627">
        <f>VLOOKUP($A28,'O&amp;M per TB'!$B$4:AA$375,M$5,FALSE)</f>
        <v>7.9000000000000057</v>
      </c>
      <c r="N28" s="627">
        <f>VLOOKUP($A28,'O&amp;M per TB'!$B$4:AB$375,N$5,FALSE)</f>
        <v>24.199999999999989</v>
      </c>
      <c r="O28" s="627">
        <f>VLOOKUP($A28,'O&amp;M per TB'!$B$4:AC$375,O$5,FALSE)</f>
        <v>31.690000000000026</v>
      </c>
      <c r="P28" s="627">
        <f>VLOOKUP($A28,'O&amp;M per TB'!$B$4:AD$375,P$5,FALSE)</f>
        <v>65.099999999999966</v>
      </c>
      <c r="R28" s="921">
        <v>5655</v>
      </c>
      <c r="S28" s="921" t="s">
        <v>2007</v>
      </c>
      <c r="T28" s="922" t="s">
        <v>2002</v>
      </c>
      <c r="U28" s="922"/>
      <c r="V28" s="867">
        <f t="shared" si="14"/>
        <v>7269.93</v>
      </c>
      <c r="W28" s="867">
        <f t="shared" si="13"/>
        <v>5044.3999999999996</v>
      </c>
      <c r="X28" s="867">
        <f t="shared" si="15"/>
        <v>4296.7199999999993</v>
      </c>
      <c r="Y28" s="867">
        <f t="shared" si="16"/>
        <v>3615.380000000001</v>
      </c>
      <c r="Z28" s="867">
        <f t="shared" si="17"/>
        <v>4145.989999999998</v>
      </c>
      <c r="AA28" s="867">
        <f t="shared" si="18"/>
        <v>6091.6900000000023</v>
      </c>
      <c r="AB28" s="867">
        <f t="shared" si="19"/>
        <v>4356.0299999999988</v>
      </c>
      <c r="AC28" s="867">
        <f t="shared" si="20"/>
        <v>5001.8300000000017</v>
      </c>
      <c r="AD28" s="867">
        <f t="shared" si="21"/>
        <v>3510.7099999999991</v>
      </c>
      <c r="AE28" s="867">
        <f t="shared" si="22"/>
        <v>4941.7699999999968</v>
      </c>
      <c r="AF28" s="867">
        <f t="shared" si="23"/>
        <v>5208.4600000000064</v>
      </c>
      <c r="AG28" s="867">
        <f t="shared" si="24"/>
        <v>6623.6999999999971</v>
      </c>
    </row>
    <row r="29" spans="1:33">
      <c r="A29" s="921">
        <v>5665</v>
      </c>
      <c r="B29" s="921" t="s">
        <v>2009</v>
      </c>
      <c r="C29" s="1521" t="s">
        <v>2002</v>
      </c>
      <c r="D29" s="1681">
        <v>5665</v>
      </c>
      <c r="E29" s="627">
        <f>VLOOKUP($A29,'O&amp;M per TB'!$B$4:S$375,E$5,FALSE)</f>
        <v>332.69</v>
      </c>
      <c r="F29" s="627">
        <f>VLOOKUP($A29,'O&amp;M per TB'!$B$4:T$375,F$5,FALSE)</f>
        <v>382.64000000000004</v>
      </c>
      <c r="G29" s="627">
        <f>VLOOKUP($A29,'O&amp;M per TB'!$B$4:U$375,G$5,FALSE)</f>
        <v>405.82000000000005</v>
      </c>
      <c r="H29" s="627">
        <f>VLOOKUP($A29,'O&amp;M per TB'!$B$4:V$375,H$5,FALSE)</f>
        <v>292.69999999999982</v>
      </c>
      <c r="I29" s="627">
        <f>VLOOKUP($A29,'O&amp;M per TB'!$B$4:W$375,I$5,FALSE)</f>
        <v>407.33000000000015</v>
      </c>
      <c r="J29" s="627">
        <f>VLOOKUP($A29,'O&amp;M per TB'!$B$4:X$375,J$5,FALSE)</f>
        <v>332.91999999999985</v>
      </c>
      <c r="K29" s="627">
        <f>VLOOKUP($A29,'O&amp;M per TB'!$B$4:Y$375,K$5,FALSE)</f>
        <v>326.24000000000024</v>
      </c>
      <c r="L29" s="627">
        <f>VLOOKUP($A29,'O&amp;M per TB'!$B$4:Z$375,L$5,FALSE)</f>
        <v>314.83999999999969</v>
      </c>
      <c r="M29" s="627">
        <f>VLOOKUP($A29,'O&amp;M per TB'!$B$4:AA$375,M$5,FALSE)</f>
        <v>374.66000000000031</v>
      </c>
      <c r="N29" s="627">
        <f>VLOOKUP($A29,'O&amp;M per TB'!$B$4:AB$375,N$5,FALSE)</f>
        <v>307.75999999999976</v>
      </c>
      <c r="O29" s="627">
        <f>VLOOKUP($A29,'O&amp;M per TB'!$B$4:AC$375,O$5,FALSE)</f>
        <v>299.69000000000005</v>
      </c>
      <c r="P29" s="627">
        <f>VLOOKUP($A29,'O&amp;M per TB'!$B$4:AD$375,P$5,FALSE)</f>
        <v>304.42999999999984</v>
      </c>
      <c r="R29" s="921">
        <v>5660</v>
      </c>
      <c r="S29" s="921" t="s">
        <v>2008</v>
      </c>
      <c r="T29" s="922" t="s">
        <v>2002</v>
      </c>
      <c r="U29" s="922"/>
      <c r="V29" s="867">
        <f t="shared" si="14"/>
        <v>2.85</v>
      </c>
      <c r="W29" s="867">
        <f t="shared" si="13"/>
        <v>21.459999999999997</v>
      </c>
      <c r="X29" s="867">
        <f t="shared" si="15"/>
        <v>47.05</v>
      </c>
      <c r="Y29" s="867">
        <f t="shared" si="16"/>
        <v>25.310000000000002</v>
      </c>
      <c r="Z29" s="867">
        <f t="shared" si="17"/>
        <v>14.700000000000003</v>
      </c>
      <c r="AA29" s="867">
        <f t="shared" si="18"/>
        <v>51.269999999999982</v>
      </c>
      <c r="AB29" s="867">
        <f t="shared" si="19"/>
        <v>11.370000000000005</v>
      </c>
      <c r="AC29" s="867">
        <f t="shared" si="20"/>
        <v>27.670000000000016</v>
      </c>
      <c r="AD29" s="867">
        <f t="shared" si="21"/>
        <v>7.9000000000000057</v>
      </c>
      <c r="AE29" s="867">
        <f t="shared" si="22"/>
        <v>24.199999999999989</v>
      </c>
      <c r="AF29" s="867">
        <f t="shared" si="23"/>
        <v>31.690000000000026</v>
      </c>
      <c r="AG29" s="867">
        <f t="shared" si="24"/>
        <v>65.099999999999966</v>
      </c>
    </row>
    <row r="30" spans="1:33">
      <c r="A30" s="921">
        <v>5670</v>
      </c>
      <c r="B30" s="921" t="s">
        <v>2010</v>
      </c>
      <c r="C30" s="1521" t="s">
        <v>2002</v>
      </c>
      <c r="D30" s="1681">
        <v>5670</v>
      </c>
      <c r="E30" s="627">
        <f>VLOOKUP($A30,'O&amp;M per TB'!$B$4:S$375,E$5,FALSE)</f>
        <v>164.42</v>
      </c>
      <c r="F30" s="627">
        <f>VLOOKUP($A30,'O&amp;M per TB'!$B$4:T$375,F$5,FALSE)</f>
        <v>165.32000000000002</v>
      </c>
      <c r="G30" s="627">
        <f>VLOOKUP($A30,'O&amp;M per TB'!$B$4:U$375,G$5,FALSE)</f>
        <v>165.94</v>
      </c>
      <c r="H30" s="627">
        <f>VLOOKUP($A30,'O&amp;M per TB'!$B$4:V$375,H$5,FALSE)</f>
        <v>165.92000000000002</v>
      </c>
      <c r="I30" s="627">
        <f>VLOOKUP($A30,'O&amp;M per TB'!$B$4:W$375,I$5,FALSE)</f>
        <v>55.009999999999991</v>
      </c>
      <c r="J30" s="627">
        <f>VLOOKUP($A30,'O&amp;M per TB'!$B$4:X$375,J$5,FALSE)</f>
        <v>279.13</v>
      </c>
      <c r="K30" s="627">
        <f>VLOOKUP($A30,'O&amp;M per TB'!$B$4:Y$375,K$5,FALSE)</f>
        <v>165.30999999999995</v>
      </c>
      <c r="L30" s="627">
        <f>VLOOKUP($A30,'O&amp;M per TB'!$B$4:Z$375,L$5,FALSE)</f>
        <v>166.53999999999996</v>
      </c>
      <c r="M30" s="627">
        <f>VLOOKUP($A30,'O&amp;M per TB'!$B$4:AA$375,M$5,FALSE)</f>
        <v>167.5</v>
      </c>
      <c r="N30" s="627">
        <f>VLOOKUP($A30,'O&amp;M per TB'!$B$4:AB$375,N$5,FALSE)</f>
        <v>167.79000000000019</v>
      </c>
      <c r="O30" s="627">
        <f>VLOOKUP($A30,'O&amp;M per TB'!$B$4:AC$375,O$5,FALSE)</f>
        <v>168.11999999999989</v>
      </c>
      <c r="P30" s="627">
        <f>VLOOKUP($A30,'O&amp;M per TB'!$B$4:AD$375,P$5,FALSE)</f>
        <v>164.1400000000001</v>
      </c>
      <c r="R30" s="921">
        <v>5665</v>
      </c>
      <c r="S30" s="921" t="s">
        <v>2009</v>
      </c>
      <c r="T30" s="922" t="s">
        <v>2002</v>
      </c>
      <c r="U30" s="922"/>
      <c r="V30" s="867">
        <f t="shared" si="14"/>
        <v>332.69</v>
      </c>
      <c r="W30" s="867">
        <f t="shared" si="13"/>
        <v>382.64000000000004</v>
      </c>
      <c r="X30" s="867">
        <f t="shared" si="15"/>
        <v>405.82000000000005</v>
      </c>
      <c r="Y30" s="867">
        <f t="shared" si="16"/>
        <v>292.69999999999982</v>
      </c>
      <c r="Z30" s="867">
        <f t="shared" si="17"/>
        <v>407.33000000000015</v>
      </c>
      <c r="AA30" s="867">
        <f t="shared" si="18"/>
        <v>332.91999999999985</v>
      </c>
      <c r="AB30" s="867">
        <f t="shared" si="19"/>
        <v>326.24000000000024</v>
      </c>
      <c r="AC30" s="867">
        <f t="shared" si="20"/>
        <v>314.83999999999969</v>
      </c>
      <c r="AD30" s="867">
        <f t="shared" si="21"/>
        <v>374.66000000000031</v>
      </c>
      <c r="AE30" s="867">
        <f t="shared" si="22"/>
        <v>307.75999999999976</v>
      </c>
      <c r="AF30" s="867">
        <f t="shared" si="23"/>
        <v>299.69000000000005</v>
      </c>
      <c r="AG30" s="867">
        <f t="shared" si="24"/>
        <v>304.42999999999984</v>
      </c>
    </row>
    <row r="31" spans="1:33">
      <c r="A31" s="921">
        <v>5675</v>
      </c>
      <c r="B31" s="921" t="s">
        <v>2011</v>
      </c>
      <c r="C31" s="1521" t="s">
        <v>2002</v>
      </c>
      <c r="D31" s="1681">
        <v>5675</v>
      </c>
      <c r="E31" s="627">
        <f>VLOOKUP($A31,'O&amp;M per TB'!$B$4:S$375,E$5,FALSE)</f>
        <v>-34.39</v>
      </c>
      <c r="F31" s="627">
        <f>VLOOKUP($A31,'O&amp;M per TB'!$B$4:T$375,F$5,FALSE)</f>
        <v>-34.56</v>
      </c>
      <c r="G31" s="627">
        <f>VLOOKUP($A31,'O&amp;M per TB'!$B$4:U$375,G$5,FALSE)</f>
        <v>-42.789999999999992</v>
      </c>
      <c r="H31" s="627">
        <f>VLOOKUP($A31,'O&amp;M per TB'!$B$4:V$375,H$5,FALSE)</f>
        <v>-34.429999999999993</v>
      </c>
      <c r="I31" s="627">
        <f>VLOOKUP($A31,'O&amp;M per TB'!$B$4:W$375,I$5,FALSE)</f>
        <v>-33.070000000000022</v>
      </c>
      <c r="J31" s="627">
        <f>VLOOKUP($A31,'O&amp;M per TB'!$B$4:X$375,J$5,FALSE)</f>
        <v>-33.179999999999978</v>
      </c>
      <c r="K31" s="627">
        <f>VLOOKUP($A31,'O&amp;M per TB'!$B$4:Y$375,K$5,FALSE)</f>
        <v>-30.78</v>
      </c>
      <c r="L31" s="627">
        <f>VLOOKUP($A31,'O&amp;M per TB'!$B$4:Z$375,L$5,FALSE)</f>
        <v>-31.509999999999991</v>
      </c>
      <c r="M31" s="627">
        <f>VLOOKUP($A31,'O&amp;M per TB'!$B$4:AA$375,M$5,FALSE)</f>
        <v>-41.930000000000007</v>
      </c>
      <c r="N31" s="627">
        <f>VLOOKUP($A31,'O&amp;M per TB'!$B$4:AB$375,N$5,FALSE)</f>
        <v>-32.970000000000027</v>
      </c>
      <c r="O31" s="627">
        <f>VLOOKUP($A31,'O&amp;M per TB'!$B$4:AC$375,O$5,FALSE)</f>
        <v>-32.729999999999961</v>
      </c>
      <c r="P31" s="627">
        <f>VLOOKUP($A31,'O&amp;M per TB'!$B$4:AD$375,P$5,FALSE)</f>
        <v>-24.03000000000003</v>
      </c>
      <c r="R31" s="921">
        <v>5670</v>
      </c>
      <c r="S31" s="921" t="s">
        <v>2010</v>
      </c>
      <c r="T31" s="922" t="s">
        <v>2002</v>
      </c>
      <c r="U31" s="922"/>
      <c r="V31" s="867">
        <f t="shared" si="14"/>
        <v>164.42</v>
      </c>
      <c r="W31" s="867">
        <f t="shared" si="13"/>
        <v>165.32000000000002</v>
      </c>
      <c r="X31" s="867">
        <f t="shared" si="15"/>
        <v>165.94</v>
      </c>
      <c r="Y31" s="867">
        <f t="shared" si="16"/>
        <v>165.92000000000002</v>
      </c>
      <c r="Z31" s="867">
        <f t="shared" si="17"/>
        <v>55.009999999999991</v>
      </c>
      <c r="AA31" s="867">
        <f t="shared" si="18"/>
        <v>279.13</v>
      </c>
      <c r="AB31" s="867">
        <f t="shared" si="19"/>
        <v>165.30999999999995</v>
      </c>
      <c r="AC31" s="867">
        <f t="shared" si="20"/>
        <v>166.53999999999996</v>
      </c>
      <c r="AD31" s="867">
        <f t="shared" si="21"/>
        <v>167.5</v>
      </c>
      <c r="AE31" s="867">
        <f t="shared" si="22"/>
        <v>167.79000000000019</v>
      </c>
      <c r="AF31" s="867">
        <f t="shared" si="23"/>
        <v>168.11999999999989</v>
      </c>
      <c r="AG31" s="867">
        <f t="shared" si="24"/>
        <v>164.1400000000001</v>
      </c>
    </row>
    <row r="32" spans="1:33">
      <c r="A32" s="921">
        <v>5680</v>
      </c>
      <c r="B32" s="921" t="s">
        <v>2012</v>
      </c>
      <c r="C32" s="1521" t="s">
        <v>2002</v>
      </c>
      <c r="D32" s="1681">
        <v>5680</v>
      </c>
      <c r="E32" s="627">
        <f>VLOOKUP($A32,'O&amp;M per TB'!$B$4:S$375,E$5,FALSE)</f>
        <v>-17.170000000000002</v>
      </c>
      <c r="F32" s="627">
        <f>VLOOKUP($A32,'O&amp;M per TB'!$B$4:T$375,F$5,FALSE)</f>
        <v>-17.049999999999997</v>
      </c>
      <c r="G32" s="627">
        <f>VLOOKUP($A32,'O&amp;M per TB'!$B$4:U$375,G$5,FALSE)</f>
        <v>-21.53</v>
      </c>
      <c r="H32" s="627">
        <f>VLOOKUP($A32,'O&amp;M per TB'!$B$4:V$375,H$5,FALSE)</f>
        <v>-17.659999999999997</v>
      </c>
      <c r="I32" s="627">
        <f>VLOOKUP($A32,'O&amp;M per TB'!$B$4:W$375,I$5,FALSE)</f>
        <v>-17.600000000000009</v>
      </c>
      <c r="J32" s="627">
        <f>VLOOKUP($A32,'O&amp;M per TB'!$B$4:X$375,J$5,FALSE)</f>
        <v>-17.699999999999989</v>
      </c>
      <c r="K32" s="627">
        <f>VLOOKUP($A32,'O&amp;M per TB'!$B$4:Y$375,K$5,FALSE)</f>
        <v>-15.88000000000001</v>
      </c>
      <c r="L32" s="627">
        <f>VLOOKUP($A32,'O&amp;M per TB'!$B$4:Z$375,L$5,FALSE)</f>
        <v>-16.639999999999986</v>
      </c>
      <c r="M32" s="627">
        <f>VLOOKUP($A32,'O&amp;M per TB'!$B$4:AA$375,M$5,FALSE)</f>
        <v>-20.950000000000017</v>
      </c>
      <c r="N32" s="627">
        <f>VLOOKUP($A32,'O&amp;M per TB'!$B$4:AB$375,N$5,FALSE)</f>
        <v>-16.72999999999999</v>
      </c>
      <c r="O32" s="627">
        <f>VLOOKUP($A32,'O&amp;M per TB'!$B$4:AC$375,O$5,FALSE)</f>
        <v>-17.03</v>
      </c>
      <c r="P32" s="627">
        <f>VLOOKUP($A32,'O&amp;M per TB'!$B$4:AD$375,P$5,FALSE)</f>
        <v>-12.719999999999999</v>
      </c>
      <c r="R32" s="921">
        <v>5675</v>
      </c>
      <c r="S32" s="921" t="s">
        <v>2011</v>
      </c>
      <c r="T32" s="922" t="s">
        <v>2002</v>
      </c>
      <c r="U32" s="922"/>
      <c r="V32" s="867">
        <f t="shared" si="14"/>
        <v>-34.39</v>
      </c>
      <c r="W32" s="867">
        <f t="shared" si="13"/>
        <v>-34.56</v>
      </c>
      <c r="X32" s="867">
        <f t="shared" si="15"/>
        <v>-42.789999999999992</v>
      </c>
      <c r="Y32" s="867">
        <f t="shared" si="16"/>
        <v>-34.429999999999993</v>
      </c>
      <c r="Z32" s="867">
        <f t="shared" si="17"/>
        <v>-33.070000000000022</v>
      </c>
      <c r="AA32" s="867">
        <f t="shared" si="18"/>
        <v>-33.179999999999978</v>
      </c>
      <c r="AB32" s="867">
        <f t="shared" si="19"/>
        <v>-30.78</v>
      </c>
      <c r="AC32" s="867">
        <f t="shared" si="20"/>
        <v>-31.509999999999991</v>
      </c>
      <c r="AD32" s="867">
        <f t="shared" si="21"/>
        <v>-41.930000000000007</v>
      </c>
      <c r="AE32" s="867">
        <f t="shared" si="22"/>
        <v>-32.970000000000027</v>
      </c>
      <c r="AF32" s="867">
        <f t="shared" si="23"/>
        <v>-32.729999999999961</v>
      </c>
      <c r="AG32" s="867">
        <f t="shared" si="24"/>
        <v>-24.03000000000003</v>
      </c>
    </row>
    <row r="33" spans="1:33">
      <c r="A33" s="921">
        <v>5690</v>
      </c>
      <c r="B33" s="921" t="s">
        <v>2013</v>
      </c>
      <c r="C33" s="1521" t="s">
        <v>2002</v>
      </c>
      <c r="D33" s="1681">
        <v>5690</v>
      </c>
      <c r="E33" s="627">
        <f>VLOOKUP($A33,'O&amp;M per TB'!$B$4:S$375,E$5,FALSE)</f>
        <v>0</v>
      </c>
      <c r="F33" s="627">
        <f>VLOOKUP($A33,'O&amp;M per TB'!$B$4:T$375,F$5,FALSE)</f>
        <v>0</v>
      </c>
      <c r="G33" s="627">
        <f>VLOOKUP($A33,'O&amp;M per TB'!$B$4:U$375,G$5,FALSE)</f>
        <v>7.31</v>
      </c>
      <c r="H33" s="627">
        <f>VLOOKUP($A33,'O&amp;M per TB'!$B$4:V$375,H$5,FALSE)</f>
        <v>0</v>
      </c>
      <c r="I33" s="627">
        <f>VLOOKUP($A33,'O&amp;M per TB'!$B$4:W$375,I$5,FALSE)</f>
        <v>0</v>
      </c>
      <c r="J33" s="627">
        <f>VLOOKUP($A33,'O&amp;M per TB'!$B$4:X$375,J$5,FALSE)</f>
        <v>0</v>
      </c>
      <c r="K33" s="627">
        <f>VLOOKUP($A33,'O&amp;M per TB'!$B$4:Y$375,K$5,FALSE)</f>
        <v>0</v>
      </c>
      <c r="L33" s="627">
        <f>VLOOKUP($A33,'O&amp;M per TB'!$B$4:Z$375,L$5,FALSE)</f>
        <v>0</v>
      </c>
      <c r="M33" s="627">
        <f>VLOOKUP($A33,'O&amp;M per TB'!$B$4:AA$375,M$5,FALSE)</f>
        <v>0</v>
      </c>
      <c r="N33" s="627">
        <f>VLOOKUP($A33,'O&amp;M per TB'!$B$4:AB$375,N$5,FALSE)</f>
        <v>0</v>
      </c>
      <c r="O33" s="627">
        <f>VLOOKUP($A33,'O&amp;M per TB'!$B$4:AC$375,O$5,FALSE)</f>
        <v>0</v>
      </c>
      <c r="P33" s="627">
        <f>VLOOKUP($A33,'O&amp;M per TB'!$B$4:AD$375,P$5,FALSE)</f>
        <v>0</v>
      </c>
      <c r="R33" s="921">
        <v>5680</v>
      </c>
      <c r="S33" s="921" t="s">
        <v>2012</v>
      </c>
      <c r="T33" s="922" t="s">
        <v>2002</v>
      </c>
      <c r="U33" s="922"/>
      <c r="V33" s="867">
        <f t="shared" si="14"/>
        <v>-17.170000000000002</v>
      </c>
      <c r="W33" s="867">
        <f t="shared" si="13"/>
        <v>-17.049999999999997</v>
      </c>
      <c r="X33" s="867">
        <f t="shared" si="15"/>
        <v>-21.53</v>
      </c>
      <c r="Y33" s="867">
        <f t="shared" si="16"/>
        <v>-17.659999999999997</v>
      </c>
      <c r="Z33" s="867">
        <f t="shared" si="17"/>
        <v>-17.600000000000009</v>
      </c>
      <c r="AA33" s="867">
        <f t="shared" si="18"/>
        <v>-17.699999999999989</v>
      </c>
      <c r="AB33" s="867">
        <f t="shared" si="19"/>
        <v>-15.88000000000001</v>
      </c>
      <c r="AC33" s="867">
        <f t="shared" si="20"/>
        <v>-16.639999999999986</v>
      </c>
      <c r="AD33" s="867">
        <f t="shared" si="21"/>
        <v>-20.950000000000017</v>
      </c>
      <c r="AE33" s="867">
        <f t="shared" si="22"/>
        <v>-16.72999999999999</v>
      </c>
      <c r="AF33" s="867">
        <f t="shared" si="23"/>
        <v>-17.03</v>
      </c>
      <c r="AG33" s="867">
        <f t="shared" si="24"/>
        <v>-12.719999999999999</v>
      </c>
    </row>
    <row r="34" spans="1:33">
      <c r="A34" s="921">
        <v>5705</v>
      </c>
      <c r="C34" s="1521"/>
      <c r="D34" s="1681">
        <v>5705</v>
      </c>
      <c r="E34" s="627">
        <f>VLOOKUP($A34,'O&amp;M per TB'!$B$4:S$375,E$5,FALSE)</f>
        <v>2308.98</v>
      </c>
      <c r="F34" s="627">
        <f>VLOOKUP($A34,'O&amp;M per TB'!$B$4:T$375,F$5,FALSE)</f>
        <v>2019.0400000000004</v>
      </c>
      <c r="G34" s="627">
        <f>VLOOKUP($A34,'O&amp;M per TB'!$B$4:U$375,G$5,FALSE)</f>
        <v>2270.6899999999996</v>
      </c>
      <c r="H34" s="627">
        <f>VLOOKUP($A34,'O&amp;M per TB'!$B$4:V$375,H$5,FALSE)</f>
        <v>2313.6400000000003</v>
      </c>
      <c r="I34" s="627">
        <f>VLOOKUP($A34,'O&amp;M per TB'!$B$4:W$375,I$5,FALSE)</f>
        <v>2273.0499999999993</v>
      </c>
      <c r="J34" s="627">
        <f>VLOOKUP($A34,'O&amp;M per TB'!$B$4:X$375,J$5,FALSE)</f>
        <v>2278.5599999999995</v>
      </c>
      <c r="K34" s="627">
        <f>VLOOKUP($A34,'O&amp;M per TB'!$B$4:Y$375,K$5,FALSE)</f>
        <v>2270.2700000000004</v>
      </c>
      <c r="L34" s="627">
        <f>VLOOKUP($A34,'O&amp;M per TB'!$B$4:Z$375,L$5,FALSE)</f>
        <v>2268.2700000000004</v>
      </c>
      <c r="M34" s="627">
        <f>VLOOKUP($A34,'O&amp;M per TB'!$B$4:AA$375,M$5,FALSE)</f>
        <v>2245.9399999999987</v>
      </c>
      <c r="N34" s="627">
        <f>VLOOKUP($A34,'O&amp;M per TB'!$B$4:AB$375,N$5,FALSE)</f>
        <v>2397.9799999999996</v>
      </c>
      <c r="O34" s="627">
        <f>VLOOKUP($A34,'O&amp;M per TB'!$B$4:AC$375,O$5,FALSE)</f>
        <v>2339.9300000000003</v>
      </c>
      <c r="P34" s="627">
        <f>VLOOKUP($A34,'O&amp;M per TB'!$B$4:AD$375,P$5,FALSE)</f>
        <v>2340.0699999999997</v>
      </c>
      <c r="R34" s="921">
        <v>5690</v>
      </c>
      <c r="S34" s="921" t="s">
        <v>2013</v>
      </c>
      <c r="T34" s="922" t="s">
        <v>2002</v>
      </c>
      <c r="U34" s="922"/>
      <c r="V34" s="867">
        <f t="shared" si="14"/>
        <v>0</v>
      </c>
      <c r="W34" s="867">
        <f t="shared" si="13"/>
        <v>0</v>
      </c>
      <c r="X34" s="867">
        <f t="shared" si="15"/>
        <v>7.31</v>
      </c>
      <c r="Y34" s="867">
        <f t="shared" si="16"/>
        <v>0</v>
      </c>
      <c r="Z34" s="867">
        <f t="shared" si="17"/>
        <v>0</v>
      </c>
      <c r="AA34" s="867">
        <f t="shared" si="18"/>
        <v>0</v>
      </c>
      <c r="AB34" s="867">
        <f t="shared" si="19"/>
        <v>0</v>
      </c>
      <c r="AC34" s="867">
        <f t="shared" si="20"/>
        <v>0</v>
      </c>
      <c r="AD34" s="867">
        <f t="shared" si="21"/>
        <v>0</v>
      </c>
      <c r="AE34" s="867">
        <f t="shared" si="22"/>
        <v>0</v>
      </c>
      <c r="AF34" s="867">
        <f t="shared" si="23"/>
        <v>0</v>
      </c>
      <c r="AG34" s="867">
        <f t="shared" si="24"/>
        <v>0</v>
      </c>
    </row>
    <row r="35" spans="1:33">
      <c r="A35" s="921">
        <v>5715</v>
      </c>
      <c r="B35" s="921" t="s">
        <v>2014</v>
      </c>
      <c r="C35" s="1521" t="s">
        <v>2015</v>
      </c>
      <c r="D35" s="1681">
        <v>5715</v>
      </c>
      <c r="E35" s="627">
        <f>VLOOKUP($A35,'O&amp;M per TB'!$B$4:S$375,E$5,FALSE)</f>
        <v>75.75</v>
      </c>
      <c r="F35" s="627">
        <f>VLOOKUP($A35,'O&amp;M per TB'!$B$4:T$375,F$5,FALSE)</f>
        <v>137.07</v>
      </c>
      <c r="G35" s="627">
        <f>VLOOKUP($A35,'O&amp;M per TB'!$B$4:U$375,G$5,FALSE)</f>
        <v>74.95999999999998</v>
      </c>
      <c r="H35" s="627">
        <f>VLOOKUP($A35,'O&amp;M per TB'!$B$4:V$375,H$5,FALSE)</f>
        <v>283.39999999999998</v>
      </c>
      <c r="I35" s="627">
        <f>VLOOKUP($A35,'O&amp;M per TB'!$B$4:W$375,I$5,FALSE)</f>
        <v>332.13</v>
      </c>
      <c r="J35" s="627">
        <f>VLOOKUP($A35,'O&amp;M per TB'!$B$4:X$375,J$5,FALSE)</f>
        <v>652.83000000000015</v>
      </c>
      <c r="K35" s="627">
        <f>VLOOKUP($A35,'O&amp;M per TB'!$B$4:Y$375,K$5,FALSE)</f>
        <v>784.39999999999986</v>
      </c>
      <c r="L35" s="627">
        <f>VLOOKUP($A35,'O&amp;M per TB'!$B$4:Z$375,L$5,FALSE)</f>
        <v>178.23000000000002</v>
      </c>
      <c r="M35" s="627">
        <f>VLOOKUP($A35,'O&amp;M per TB'!$B$4:AA$375,M$5,FALSE)</f>
        <v>635.4699999999998</v>
      </c>
      <c r="N35" s="627">
        <f>VLOOKUP($A35,'O&amp;M per TB'!$B$4:AB$375,N$5,FALSE)</f>
        <v>1162.5100000000002</v>
      </c>
      <c r="O35" s="627">
        <f>VLOOKUP($A35,'O&amp;M per TB'!$B$4:AC$375,O$5,FALSE)</f>
        <v>1985.2200000000003</v>
      </c>
      <c r="P35" s="627">
        <f>VLOOKUP($A35,'O&amp;M per TB'!$B$4:AD$375,P$5,FALSE)</f>
        <v>-322.32999999999993</v>
      </c>
      <c r="R35" s="921">
        <v>5820</v>
      </c>
      <c r="S35" s="921" t="s">
        <v>2016</v>
      </c>
      <c r="T35" s="922" t="s">
        <v>2002</v>
      </c>
      <c r="U35" s="922"/>
      <c r="V35" s="867">
        <f t="shared" si="14"/>
        <v>0</v>
      </c>
      <c r="W35" s="867">
        <f t="shared" si="13"/>
        <v>0</v>
      </c>
      <c r="X35" s="867">
        <f t="shared" si="15"/>
        <v>13.63</v>
      </c>
      <c r="Y35" s="867">
        <f t="shared" si="16"/>
        <v>24.529999999999994</v>
      </c>
      <c r="Z35" s="867">
        <f t="shared" si="17"/>
        <v>29.290000000000006</v>
      </c>
      <c r="AA35" s="867">
        <f t="shared" si="18"/>
        <v>69.290000000000006</v>
      </c>
      <c r="AB35" s="867">
        <f t="shared" si="19"/>
        <v>160.51999999999998</v>
      </c>
      <c r="AC35" s="867">
        <f t="shared" si="20"/>
        <v>-18.599999999999966</v>
      </c>
      <c r="AD35" s="867">
        <f t="shared" si="21"/>
        <v>28.549999999999955</v>
      </c>
      <c r="AE35" s="867">
        <f t="shared" si="22"/>
        <v>25.080000000000041</v>
      </c>
      <c r="AF35" s="867">
        <f t="shared" si="23"/>
        <v>6.4199999999999591</v>
      </c>
      <c r="AG35" s="867">
        <f t="shared" si="24"/>
        <v>-5.0799999999999841</v>
      </c>
    </row>
    <row r="36" spans="1:33">
      <c r="A36" s="921">
        <v>5735</v>
      </c>
      <c r="B36" s="921" t="s">
        <v>2017</v>
      </c>
      <c r="C36" s="1521" t="s">
        <v>1981</v>
      </c>
      <c r="D36" s="1681">
        <v>5735</v>
      </c>
      <c r="E36" s="627">
        <f>VLOOKUP($A36,'O&amp;M per TB'!$B$4:S$375,E$5,FALSE)</f>
        <v>529.96</v>
      </c>
      <c r="F36" s="627">
        <f>VLOOKUP($A36,'O&amp;M per TB'!$B$4:T$375,F$5,FALSE)</f>
        <v>555.37999999999988</v>
      </c>
      <c r="G36" s="627">
        <f>VLOOKUP($A36,'O&amp;M per TB'!$B$4:U$375,G$5,FALSE)</f>
        <v>1054.18</v>
      </c>
      <c r="H36" s="627">
        <f>VLOOKUP($A36,'O&amp;M per TB'!$B$4:V$375,H$5,FALSE)</f>
        <v>901.01000000000022</v>
      </c>
      <c r="I36" s="627">
        <f>VLOOKUP($A36,'O&amp;M per TB'!$B$4:W$375,I$5,FALSE)</f>
        <v>879.25</v>
      </c>
      <c r="J36" s="627">
        <f>VLOOKUP($A36,'O&amp;M per TB'!$B$4:X$375,J$5,FALSE)</f>
        <v>863.33999999999969</v>
      </c>
      <c r="K36" s="627">
        <f>VLOOKUP($A36,'O&amp;M per TB'!$B$4:Y$375,K$5,FALSE)</f>
        <v>757.68000000000029</v>
      </c>
      <c r="L36" s="627">
        <f>VLOOKUP($A36,'O&amp;M per TB'!$B$4:Z$375,L$5,FALSE)</f>
        <v>938.72999999999956</v>
      </c>
      <c r="M36" s="627">
        <f>VLOOKUP($A36,'O&amp;M per TB'!$B$4:AA$375,M$5,FALSE)</f>
        <v>910.11000000000058</v>
      </c>
      <c r="N36" s="627">
        <f>VLOOKUP($A36,'O&amp;M per TB'!$B$4:AB$375,N$5,FALSE)</f>
        <v>768.77999999999975</v>
      </c>
      <c r="O36" s="627">
        <f>VLOOKUP($A36,'O&amp;M per TB'!$B$4:AC$375,O$5,FALSE)</f>
        <v>846.46999999999935</v>
      </c>
      <c r="P36" s="627">
        <f>VLOOKUP($A36,'O&amp;M per TB'!$B$4:AD$375,P$5,FALSE)</f>
        <v>909.27000000000044</v>
      </c>
      <c r="U36" s="922"/>
      <c r="V36" s="867"/>
      <c r="W36" s="867"/>
      <c r="X36" s="867"/>
      <c r="Y36" s="867"/>
      <c r="Z36" s="867"/>
      <c r="AA36" s="867"/>
      <c r="AB36" s="867"/>
      <c r="AC36" s="867"/>
      <c r="AD36" s="867"/>
      <c r="AE36" s="867"/>
      <c r="AF36" s="867"/>
      <c r="AG36" s="867"/>
    </row>
    <row r="37" spans="1:33">
      <c r="A37" s="921">
        <v>5740</v>
      </c>
      <c r="B37" s="921" t="s">
        <v>2018</v>
      </c>
      <c r="C37" s="1521" t="s">
        <v>1991</v>
      </c>
      <c r="D37" s="1681">
        <v>5740</v>
      </c>
      <c r="E37" s="627">
        <f>VLOOKUP($A37,'O&amp;M per TB'!$B$4:S$375,E$5,FALSE)</f>
        <v>0</v>
      </c>
      <c r="F37" s="627">
        <f>VLOOKUP($A37,'O&amp;M per TB'!$B$4:T$375,F$5,FALSE)</f>
        <v>0</v>
      </c>
      <c r="G37" s="627">
        <f>VLOOKUP($A37,'O&amp;M per TB'!$B$4:U$375,G$5,FALSE)</f>
        <v>0</v>
      </c>
      <c r="H37" s="627">
        <f>VLOOKUP($A37,'O&amp;M per TB'!$B$4:V$375,H$5,FALSE)</f>
        <v>0</v>
      </c>
      <c r="I37" s="627">
        <f>VLOOKUP($A37,'O&amp;M per TB'!$B$4:W$375,I$5,FALSE)</f>
        <v>0</v>
      </c>
      <c r="J37" s="627">
        <f>VLOOKUP($A37,'O&amp;M per TB'!$B$4:X$375,J$5,FALSE)</f>
        <v>0</v>
      </c>
      <c r="K37" s="627">
        <f>VLOOKUP($A37,'O&amp;M per TB'!$B$4:Y$375,K$5,FALSE)</f>
        <v>0</v>
      </c>
      <c r="L37" s="627">
        <f>VLOOKUP($A37,'O&amp;M per TB'!$B$4:Z$375,L$5,FALSE)</f>
        <v>0</v>
      </c>
      <c r="M37" s="627">
        <f>VLOOKUP($A37,'O&amp;M per TB'!$B$4:AA$375,M$5,FALSE)</f>
        <v>0</v>
      </c>
      <c r="N37" s="627">
        <f>VLOOKUP($A37,'O&amp;M per TB'!$B$4:AB$375,N$5,FALSE)</f>
        <v>0</v>
      </c>
      <c r="O37" s="627">
        <f>VLOOKUP($A37,'O&amp;M per TB'!$B$4:AC$375,O$5,FALSE)</f>
        <v>2.33</v>
      </c>
      <c r="P37" s="627">
        <f>VLOOKUP($A37,'O&amp;M per TB'!$B$4:AD$375,P$5,FALSE)</f>
        <v>-3.63</v>
      </c>
      <c r="V37" s="1602">
        <f>SUM(V23:V36)</f>
        <v>8740.5800000000017</v>
      </c>
      <c r="W37" s="1602">
        <f>SUM(W23:W36)</f>
        <v>6296.7199999999993</v>
      </c>
      <c r="X37" s="1602">
        <f t="shared" ref="X37:AG37" si="25">SUM(X23:X36)</f>
        <v>5309.44</v>
      </c>
      <c r="Y37" s="1602">
        <f t="shared" si="25"/>
        <v>4804.7600000000011</v>
      </c>
      <c r="Z37" s="1602">
        <f t="shared" si="25"/>
        <v>5413.739999999998</v>
      </c>
      <c r="AA37" s="1602">
        <f t="shared" si="25"/>
        <v>7560.8100000000022</v>
      </c>
      <c r="AB37" s="1602">
        <f t="shared" si="25"/>
        <v>5724.27</v>
      </c>
      <c r="AC37" s="1602">
        <f t="shared" si="25"/>
        <v>6491.17</v>
      </c>
      <c r="AD37" s="1602">
        <f t="shared" si="25"/>
        <v>4403.91</v>
      </c>
      <c r="AE37" s="1602">
        <f t="shared" si="25"/>
        <v>6301.6099999999969</v>
      </c>
      <c r="AF37" s="1602">
        <f t="shared" si="25"/>
        <v>6504.2800000000061</v>
      </c>
      <c r="AG37" s="1602">
        <f t="shared" si="25"/>
        <v>8387.3499999999967</v>
      </c>
    </row>
    <row r="38" spans="1:33">
      <c r="A38" s="921">
        <v>5745</v>
      </c>
      <c r="B38" s="921" t="s">
        <v>2019</v>
      </c>
      <c r="C38" s="1521" t="s">
        <v>1981</v>
      </c>
      <c r="D38" s="1681">
        <v>5745</v>
      </c>
      <c r="E38" s="627">
        <f>VLOOKUP($A38,'O&amp;M per TB'!$B$4:S$375,E$5,FALSE)</f>
        <v>0</v>
      </c>
      <c r="F38" s="627">
        <f>VLOOKUP($A38,'O&amp;M per TB'!$B$4:T$375,F$5,FALSE)</f>
        <v>0</v>
      </c>
      <c r="G38" s="627">
        <f>VLOOKUP($A38,'O&amp;M per TB'!$B$4:U$375,G$5,FALSE)</f>
        <v>0</v>
      </c>
      <c r="H38" s="627">
        <f>VLOOKUP($A38,'O&amp;M per TB'!$B$4:V$375,H$5,FALSE)</f>
        <v>0</v>
      </c>
      <c r="I38" s="627">
        <f>VLOOKUP($A38,'O&amp;M per TB'!$B$4:W$375,I$5,FALSE)</f>
        <v>0</v>
      </c>
      <c r="J38" s="627">
        <f>VLOOKUP($A38,'O&amp;M per TB'!$B$4:X$375,J$5,FALSE)</f>
        <v>0</v>
      </c>
      <c r="K38" s="627">
        <f>VLOOKUP($A38,'O&amp;M per TB'!$B$4:Y$375,K$5,FALSE)</f>
        <v>0</v>
      </c>
      <c r="L38" s="627">
        <f>VLOOKUP($A38,'O&amp;M per TB'!$B$4:Z$375,L$5,FALSE)</f>
        <v>0</v>
      </c>
      <c r="M38" s="627">
        <f>VLOOKUP($A38,'O&amp;M per TB'!$B$4:AA$375,M$5,FALSE)</f>
        <v>0</v>
      </c>
      <c r="N38" s="627">
        <f>VLOOKUP($A38,'O&amp;M per TB'!$B$4:AB$375,N$5,FALSE)</f>
        <v>0</v>
      </c>
      <c r="O38" s="627">
        <f>VLOOKUP($A38,'O&amp;M per TB'!$B$4:AC$375,O$5,FALSE)</f>
        <v>0</v>
      </c>
      <c r="P38" s="627">
        <f>VLOOKUP($A38,'O&amp;M per TB'!$B$4:AD$375,P$5,FALSE)</f>
        <v>0</v>
      </c>
    </row>
    <row r="39" spans="1:33">
      <c r="A39" s="921">
        <v>5750</v>
      </c>
      <c r="B39" s="921" t="s">
        <v>2020</v>
      </c>
      <c r="C39" s="1521" t="s">
        <v>1981</v>
      </c>
      <c r="D39" s="1681">
        <v>5750</v>
      </c>
      <c r="E39" s="627">
        <f>VLOOKUP($A39,'O&amp;M per TB'!$B$4:S$375,E$5,FALSE)</f>
        <v>118.97</v>
      </c>
      <c r="F39" s="627">
        <f>VLOOKUP($A39,'O&amp;M per TB'!$B$4:T$375,F$5,FALSE)</f>
        <v>123.84</v>
      </c>
      <c r="G39" s="627">
        <f>VLOOKUP($A39,'O&amp;M per TB'!$B$4:U$375,G$5,FALSE)</f>
        <v>118.23000000000002</v>
      </c>
      <c r="H39" s="627">
        <f>VLOOKUP($A39,'O&amp;M per TB'!$B$4:V$375,H$5,FALSE)</f>
        <v>111.88999999999999</v>
      </c>
      <c r="I39" s="627">
        <f>VLOOKUP($A39,'O&amp;M per TB'!$B$4:W$375,I$5,FALSE)</f>
        <v>141.16000000000003</v>
      </c>
      <c r="J39" s="627">
        <f>VLOOKUP($A39,'O&amp;M per TB'!$B$4:X$375,J$5,FALSE)</f>
        <v>130.63999999999999</v>
      </c>
      <c r="K39" s="627">
        <f>VLOOKUP($A39,'O&amp;M per TB'!$B$4:Y$375,K$5,FALSE)</f>
        <v>139.51</v>
      </c>
      <c r="L39" s="627">
        <f>VLOOKUP($A39,'O&amp;M per TB'!$B$4:Z$375,L$5,FALSE)</f>
        <v>146.96000000000004</v>
      </c>
      <c r="M39" s="627">
        <f>VLOOKUP($A39,'O&amp;M per TB'!$B$4:AA$375,M$5,FALSE)</f>
        <v>159.33999999999992</v>
      </c>
      <c r="N39" s="627">
        <f>VLOOKUP($A39,'O&amp;M per TB'!$B$4:AB$375,N$5,FALSE)</f>
        <v>534.22</v>
      </c>
      <c r="O39" s="627">
        <f>VLOOKUP($A39,'O&amp;M per TB'!$B$4:AC$375,O$5,FALSE)</f>
        <v>249</v>
      </c>
      <c r="P39" s="627">
        <f>VLOOKUP($A39,'O&amp;M per TB'!$B$4:AD$375,P$5,FALSE)</f>
        <v>120.50999999999999</v>
      </c>
      <c r="R39" s="921">
        <v>5440</v>
      </c>
      <c r="S39" s="921" t="s">
        <v>1965</v>
      </c>
      <c r="T39" s="922">
        <v>610</v>
      </c>
      <c r="U39" s="922"/>
      <c r="V39" s="867"/>
      <c r="W39" s="867"/>
      <c r="X39" s="867"/>
      <c r="Y39" s="867"/>
      <c r="Z39" s="867"/>
      <c r="AA39" s="867"/>
      <c r="AB39" s="867"/>
      <c r="AC39" s="867"/>
      <c r="AD39" s="867"/>
      <c r="AE39" s="867"/>
      <c r="AF39" s="867"/>
      <c r="AG39" s="867"/>
    </row>
    <row r="40" spans="1:33">
      <c r="A40" s="921">
        <v>5755</v>
      </c>
      <c r="B40" s="921" t="s">
        <v>2021</v>
      </c>
      <c r="C40" s="1521" t="s">
        <v>1998</v>
      </c>
      <c r="D40" s="1681">
        <v>5755</v>
      </c>
      <c r="E40" s="627"/>
      <c r="F40" s="627"/>
      <c r="G40" s="627"/>
      <c r="H40" s="627"/>
      <c r="I40" s="627"/>
      <c r="J40" s="627"/>
      <c r="K40" s="627"/>
      <c r="L40" s="627"/>
      <c r="M40" s="627"/>
      <c r="N40" s="627"/>
      <c r="O40" s="627"/>
      <c r="P40" s="627"/>
      <c r="R40" s="921">
        <v>5455</v>
      </c>
      <c r="S40" s="921" t="s">
        <v>1968</v>
      </c>
      <c r="T40" s="922">
        <v>710</v>
      </c>
      <c r="U40" s="922"/>
      <c r="V40" s="867"/>
      <c r="W40" s="867"/>
      <c r="X40" s="867"/>
      <c r="Y40" s="867"/>
      <c r="Z40" s="867"/>
      <c r="AA40" s="867"/>
      <c r="AB40" s="867"/>
      <c r="AC40" s="867"/>
      <c r="AD40" s="867"/>
      <c r="AE40" s="867"/>
      <c r="AF40" s="867"/>
      <c r="AG40" s="867"/>
    </row>
    <row r="41" spans="1:33">
      <c r="A41" s="921">
        <v>5785</v>
      </c>
      <c r="B41" s="921" t="s">
        <v>2022</v>
      </c>
      <c r="C41" s="1521" t="s">
        <v>1998</v>
      </c>
      <c r="D41" s="1681">
        <v>5785</v>
      </c>
      <c r="E41" s="627">
        <f>VLOOKUP($A41,'O&amp;M per TB'!$B$4:S$375,E$5,FALSE)</f>
        <v>0</v>
      </c>
      <c r="F41" s="627">
        <f>VLOOKUP($A41,'O&amp;M per TB'!$B$4:T$375,F$5,FALSE)</f>
        <v>0</v>
      </c>
      <c r="G41" s="627">
        <f>VLOOKUP($A41,'O&amp;M per TB'!$B$4:U$375,G$5,FALSE)</f>
        <v>0</v>
      </c>
      <c r="H41" s="627">
        <f>VLOOKUP($A41,'O&amp;M per TB'!$B$4:V$375,H$5,FALSE)</f>
        <v>0</v>
      </c>
      <c r="I41" s="627">
        <f>VLOOKUP($A41,'O&amp;M per TB'!$B$4:W$375,I$5,FALSE)</f>
        <v>0</v>
      </c>
      <c r="J41" s="627">
        <f>VLOOKUP($A41,'O&amp;M per TB'!$B$4:X$375,J$5,FALSE)</f>
        <v>0</v>
      </c>
      <c r="K41" s="627">
        <f>VLOOKUP($A41,'O&amp;M per TB'!$B$4:Y$375,K$5,FALSE)</f>
        <v>0</v>
      </c>
      <c r="L41" s="627">
        <f>VLOOKUP($A41,'O&amp;M per TB'!$B$4:Z$375,L$5,FALSE)</f>
        <v>0</v>
      </c>
      <c r="M41" s="627">
        <f>VLOOKUP($A41,'O&amp;M per TB'!$B$4:AA$375,M$5,FALSE)</f>
        <v>0</v>
      </c>
      <c r="N41" s="627">
        <f>VLOOKUP($A41,'O&amp;M per TB'!$B$4:AB$375,N$5,FALSE)</f>
        <v>0</v>
      </c>
      <c r="O41" s="627">
        <f>VLOOKUP($A41,'O&amp;M per TB'!$B$4:AC$375,O$5,FALSE)</f>
        <v>0</v>
      </c>
      <c r="P41" s="627">
        <f>VLOOKUP($A41,'O&amp;M per TB'!$B$4:AD$375,P$5,FALSE)</f>
        <v>0</v>
      </c>
      <c r="V41" s="1602">
        <f>SUM(V39:V40)</f>
        <v>0</v>
      </c>
      <c r="W41" s="1602">
        <f>SUM(W39:W40)</f>
        <v>0</v>
      </c>
      <c r="X41" s="1602">
        <f t="shared" ref="X41:AG41" si="26">SUM(X39:X40)</f>
        <v>0</v>
      </c>
      <c r="Y41" s="1602">
        <f t="shared" si="26"/>
        <v>0</v>
      </c>
      <c r="Z41" s="1602">
        <f t="shared" si="26"/>
        <v>0</v>
      </c>
      <c r="AA41" s="1602">
        <f t="shared" si="26"/>
        <v>0</v>
      </c>
      <c r="AB41" s="1602">
        <f t="shared" si="26"/>
        <v>0</v>
      </c>
      <c r="AC41" s="1602">
        <f t="shared" si="26"/>
        <v>0</v>
      </c>
      <c r="AD41" s="1602">
        <f t="shared" si="26"/>
        <v>0</v>
      </c>
      <c r="AE41" s="1602">
        <f t="shared" si="26"/>
        <v>0</v>
      </c>
      <c r="AF41" s="1602">
        <f t="shared" si="26"/>
        <v>0</v>
      </c>
      <c r="AG41" s="1602">
        <f t="shared" si="26"/>
        <v>0</v>
      </c>
    </row>
    <row r="42" spans="1:33">
      <c r="A42" s="921">
        <v>5790</v>
      </c>
      <c r="B42" s="921" t="s">
        <v>2023</v>
      </c>
      <c r="C42" s="1521" t="s">
        <v>1998</v>
      </c>
      <c r="D42" s="1681">
        <v>5790</v>
      </c>
      <c r="E42" s="627">
        <f>VLOOKUP($A42,'O&amp;M per TB'!$B$4:S$375,E$5,FALSE)</f>
        <v>81.22</v>
      </c>
      <c r="F42" s="627">
        <f>VLOOKUP($A42,'O&amp;M per TB'!$B$4:T$375,F$5,FALSE)</f>
        <v>65.830000000000013</v>
      </c>
      <c r="G42" s="627">
        <f>VLOOKUP($A42,'O&amp;M per TB'!$B$4:U$375,G$5,FALSE)</f>
        <v>112.32999999999998</v>
      </c>
      <c r="H42" s="627">
        <f>VLOOKUP($A42,'O&amp;M per TB'!$B$4:V$375,H$5,FALSE)</f>
        <v>94.050000000000011</v>
      </c>
      <c r="I42" s="627">
        <f>VLOOKUP($A42,'O&amp;M per TB'!$B$4:W$375,I$5,FALSE)</f>
        <v>96.38</v>
      </c>
      <c r="J42" s="627">
        <f>VLOOKUP($A42,'O&amp;M per TB'!$B$4:X$375,J$5,FALSE)</f>
        <v>88.400000000000034</v>
      </c>
      <c r="K42" s="627">
        <f>VLOOKUP($A42,'O&amp;M per TB'!$B$4:Y$375,K$5,FALSE)</f>
        <v>99.860000000000014</v>
      </c>
      <c r="L42" s="627">
        <f>VLOOKUP($A42,'O&amp;M per TB'!$B$4:Z$375,L$5,FALSE)</f>
        <v>103.4799999999999</v>
      </c>
      <c r="M42" s="627">
        <f>VLOOKUP($A42,'O&amp;M per TB'!$B$4:AA$375,M$5,FALSE)</f>
        <v>100.5200000000001</v>
      </c>
      <c r="N42" s="627">
        <f>VLOOKUP($A42,'O&amp;M per TB'!$B$4:AB$375,N$5,FALSE)</f>
        <v>99.589999999999918</v>
      </c>
      <c r="O42" s="627">
        <f>VLOOKUP($A42,'O&amp;M per TB'!$B$4:AC$375,O$5,FALSE)</f>
        <v>96.520000000000095</v>
      </c>
      <c r="P42" s="627">
        <f>VLOOKUP($A42,'O&amp;M per TB'!$B$4:AD$375,P$5,FALSE)</f>
        <v>94.990000000000009</v>
      </c>
    </row>
    <row r="43" spans="1:33">
      <c r="A43" s="921">
        <v>5795</v>
      </c>
      <c r="B43" s="921" t="s">
        <v>2024</v>
      </c>
      <c r="C43" s="1521"/>
      <c r="D43" s="1681">
        <v>5795</v>
      </c>
      <c r="E43" s="627">
        <f>VLOOKUP($A43,'O&amp;M per TB'!$B$4:S$375,E$5,FALSE)</f>
        <v>0</v>
      </c>
      <c r="F43" s="627">
        <f>VLOOKUP($A43,'O&amp;M per TB'!$B$4:T$375,F$5,FALSE)</f>
        <v>0</v>
      </c>
      <c r="G43" s="627">
        <f>VLOOKUP($A43,'O&amp;M per TB'!$B$4:U$375,G$5,FALSE)</f>
        <v>0</v>
      </c>
      <c r="H43" s="627">
        <f>VLOOKUP($A43,'O&amp;M per TB'!$B$4:V$375,H$5,FALSE)</f>
        <v>0</v>
      </c>
      <c r="I43" s="627">
        <f>VLOOKUP($A43,'O&amp;M per TB'!$B$4:W$375,I$5,FALSE)</f>
        <v>6.14</v>
      </c>
      <c r="J43" s="627">
        <f>VLOOKUP($A43,'O&amp;M per TB'!$B$4:X$375,J$5,FALSE)</f>
        <v>0</v>
      </c>
      <c r="K43" s="627">
        <f>VLOOKUP($A43,'O&amp;M per TB'!$B$4:Y$375,K$5,FALSE)</f>
        <v>0</v>
      </c>
      <c r="L43" s="627">
        <f>VLOOKUP($A43,'O&amp;M per TB'!$B$4:Z$375,L$5,FALSE)</f>
        <v>0</v>
      </c>
      <c r="M43" s="627">
        <f>VLOOKUP($A43,'O&amp;M per TB'!$B$4:AA$375,M$5,FALSE)</f>
        <v>0</v>
      </c>
      <c r="N43" s="627">
        <f>VLOOKUP($A43,'O&amp;M per TB'!$B$4:AB$375,N$5,FALSE)</f>
        <v>0</v>
      </c>
      <c r="O43" s="627">
        <f>VLOOKUP($A43,'O&amp;M per TB'!$B$4:AC$375,O$5,FALSE)</f>
        <v>0</v>
      </c>
      <c r="P43" s="627">
        <f>VLOOKUP($A43,'O&amp;M per TB'!$B$4:AD$375,P$5,FALSE)</f>
        <v>18.64</v>
      </c>
    </row>
    <row r="44" spans="1:33">
      <c r="A44" s="921">
        <v>5800</v>
      </c>
      <c r="B44" s="921" t="s">
        <v>2025</v>
      </c>
      <c r="C44" s="1521" t="s">
        <v>1998</v>
      </c>
      <c r="D44" s="1681">
        <v>5800</v>
      </c>
      <c r="E44" s="627">
        <f>VLOOKUP($A44,'O&amp;M per TB'!$B$4:S$375,E$5,FALSE)</f>
        <v>0</v>
      </c>
      <c r="F44" s="627">
        <f>VLOOKUP($A44,'O&amp;M per TB'!$B$4:T$375,F$5,FALSE)</f>
        <v>0</v>
      </c>
      <c r="G44" s="627">
        <f>VLOOKUP($A44,'O&amp;M per TB'!$B$4:U$375,G$5,FALSE)</f>
        <v>1.6</v>
      </c>
      <c r="H44" s="627">
        <f>VLOOKUP($A44,'O&amp;M per TB'!$B$4:V$375,H$5,FALSE)</f>
        <v>0</v>
      </c>
      <c r="I44" s="627">
        <f>VLOOKUP($A44,'O&amp;M per TB'!$B$4:W$375,I$5,FALSE)</f>
        <v>0</v>
      </c>
      <c r="J44" s="627">
        <f>VLOOKUP($A44,'O&amp;M per TB'!$B$4:X$375,J$5,FALSE)</f>
        <v>0</v>
      </c>
      <c r="K44" s="627">
        <f>VLOOKUP($A44,'O&amp;M per TB'!$B$4:Y$375,K$5,FALSE)</f>
        <v>0</v>
      </c>
      <c r="L44" s="627">
        <f>VLOOKUP($A44,'O&amp;M per TB'!$B$4:Z$375,L$5,FALSE)</f>
        <v>0</v>
      </c>
      <c r="M44" s="627">
        <f>VLOOKUP($A44,'O&amp;M per TB'!$B$4:AA$375,M$5,FALSE)</f>
        <v>0</v>
      </c>
      <c r="N44" s="627">
        <f>VLOOKUP($A44,'O&amp;M per TB'!$B$4:AB$375,N$5,FALSE)</f>
        <v>0</v>
      </c>
      <c r="O44" s="627">
        <f>VLOOKUP($A44,'O&amp;M per TB'!$B$4:AC$375,O$5,FALSE)</f>
        <v>0</v>
      </c>
      <c r="P44" s="627">
        <f>VLOOKUP($A44,'O&amp;M per TB'!$B$4:AD$375,P$5,FALSE)</f>
        <v>0</v>
      </c>
      <c r="R44" s="921">
        <v>5470</v>
      </c>
      <c r="S44" s="921" t="s">
        <v>1970</v>
      </c>
      <c r="T44" s="922" t="s">
        <v>1971</v>
      </c>
      <c r="U44" s="922"/>
      <c r="V44" s="1602">
        <f>VLOOKUP($R44,$D$7:$E$124,2,FALSE)</f>
        <v>12428.29</v>
      </c>
      <c r="W44" s="1602">
        <f t="shared" ref="W44" si="27">VLOOKUP($R44,$D$7:$P$124,3,FALSE)</f>
        <v>13691.119999999999</v>
      </c>
      <c r="X44" s="1602">
        <f>VLOOKUP($R44,$D$7:$P$124,4,FALSE)</f>
        <v>14064.350000000002</v>
      </c>
      <c r="Y44" s="1602">
        <f>VLOOKUP($R44,$D$7:$P$124,5,FALSE)</f>
        <v>13374.379999999997</v>
      </c>
      <c r="Z44" s="1602">
        <f>VLOOKUP($R44,$D$7:$P$124,6,FALSE)</f>
        <v>15058.440000000002</v>
      </c>
      <c r="AA44" s="1602">
        <f>VLOOKUP($R44,$D$7:$P$124,7,FALSE)</f>
        <v>12928.089999999997</v>
      </c>
      <c r="AB44" s="1602">
        <f>VLOOKUP($R44,$D$7:$P$124,8,FALSE)</f>
        <v>12374.330000000002</v>
      </c>
      <c r="AC44" s="1602">
        <f>VLOOKUP($R44,$D$7:$P$124,9,FALSE)</f>
        <v>14332.960000000006</v>
      </c>
      <c r="AD44" s="1602">
        <f>VLOOKUP($R44,$D$7:$P$124,10,FALSE)</f>
        <v>13966.209999999992</v>
      </c>
      <c r="AE44" s="1602">
        <f>VLOOKUP($R44,$D$7:$P$124,11,FALSE)</f>
        <v>13209.169999999998</v>
      </c>
      <c r="AF44" s="1602">
        <f>VLOOKUP($R44,$D$7:$P$124,12,FALSE)</f>
        <v>12821.350000000006</v>
      </c>
      <c r="AG44" s="1602">
        <f>VLOOKUP($R44,$D$7:$P$124,13,FALSE)</f>
        <v>13652.540000000008</v>
      </c>
    </row>
    <row r="45" spans="1:33">
      <c r="A45" s="921">
        <v>5805</v>
      </c>
      <c r="B45" s="921" t="s">
        <v>2026</v>
      </c>
      <c r="C45" s="1521" t="s">
        <v>1998</v>
      </c>
      <c r="D45" s="1681">
        <v>5805</v>
      </c>
      <c r="E45" s="627">
        <f>VLOOKUP($A45,'O&amp;M per TB'!$B$4:S$375,E$5,FALSE)</f>
        <v>25</v>
      </c>
      <c r="F45" s="627">
        <f>VLOOKUP($A45,'O&amp;M per TB'!$B$4:T$375,F$5,FALSE)</f>
        <v>5625</v>
      </c>
      <c r="G45" s="627">
        <f>VLOOKUP($A45,'O&amp;M per TB'!$B$4:U$375,G$5,FALSE)</f>
        <v>0</v>
      </c>
      <c r="H45" s="627">
        <f>VLOOKUP($A45,'O&amp;M per TB'!$B$4:V$375,H$5,FALSE)</f>
        <v>245.31999999999971</v>
      </c>
      <c r="I45" s="627">
        <f>VLOOKUP($A45,'O&amp;M per TB'!$B$4:W$375,I$5,FALSE)</f>
        <v>0</v>
      </c>
      <c r="J45" s="627">
        <f>VLOOKUP($A45,'O&amp;M per TB'!$B$4:X$375,J$5,FALSE)</f>
        <v>0</v>
      </c>
      <c r="K45" s="627">
        <f>VLOOKUP($A45,'O&amp;M per TB'!$B$4:Y$375,K$5,FALSE)</f>
        <v>1.1500000000005457</v>
      </c>
      <c r="L45" s="627">
        <f>VLOOKUP($A45,'O&amp;M per TB'!$B$4:Z$375,L$5,FALSE)</f>
        <v>0</v>
      </c>
      <c r="M45" s="627">
        <f>VLOOKUP($A45,'O&amp;M per TB'!$B$4:AA$375,M$5,FALSE)</f>
        <v>0</v>
      </c>
      <c r="N45" s="627">
        <f>VLOOKUP($A45,'O&amp;M per TB'!$B$4:AB$375,N$5,FALSE)</f>
        <v>0</v>
      </c>
      <c r="O45" s="627">
        <f>VLOOKUP($A45,'O&amp;M per TB'!$B$4:AC$375,O$5,FALSE)</f>
        <v>1.75</v>
      </c>
      <c r="P45" s="627">
        <f>VLOOKUP($A45,'O&amp;M per TB'!$B$4:AD$375,P$5,FALSE)</f>
        <v>3.4499999999998181</v>
      </c>
    </row>
    <row r="46" spans="1:33">
      <c r="A46" s="921">
        <v>5810</v>
      </c>
      <c r="B46" s="921" t="s">
        <v>2027</v>
      </c>
      <c r="C46" s="1521" t="s">
        <v>1998</v>
      </c>
      <c r="D46" s="1681">
        <v>5810</v>
      </c>
      <c r="E46" s="627">
        <f>VLOOKUP($A46,'O&amp;M per TB'!$B$4:S$375,E$5,FALSE)</f>
        <v>363</v>
      </c>
      <c r="F46" s="627">
        <f>VLOOKUP($A46,'O&amp;M per TB'!$B$4:T$375,F$5,FALSE)</f>
        <v>74.730000000000018</v>
      </c>
      <c r="G46" s="627">
        <f>VLOOKUP($A46,'O&amp;M per TB'!$B$4:U$375,G$5,FALSE)</f>
        <v>919.40000000000009</v>
      </c>
      <c r="H46" s="627">
        <f>VLOOKUP($A46,'O&amp;M per TB'!$B$4:V$375,H$5,FALSE)</f>
        <v>647.6099999999999</v>
      </c>
      <c r="I46" s="627">
        <f>VLOOKUP($A46,'O&amp;M per TB'!$B$4:W$375,I$5,FALSE)</f>
        <v>387.72999999999979</v>
      </c>
      <c r="J46" s="627">
        <f>VLOOKUP($A46,'O&amp;M per TB'!$B$4:X$375,J$5,FALSE)</f>
        <v>1.8700000000003456</v>
      </c>
      <c r="K46" s="627">
        <f>VLOOKUP($A46,'O&amp;M per TB'!$B$4:Y$375,K$5,FALSE)</f>
        <v>18.679999999999836</v>
      </c>
      <c r="L46" s="627">
        <f>VLOOKUP($A46,'O&amp;M per TB'!$B$4:Z$375,L$5,FALSE)</f>
        <v>-262.63000000000011</v>
      </c>
      <c r="M46" s="627">
        <f>VLOOKUP($A46,'O&amp;M per TB'!$B$4:AA$375,M$5,FALSE)</f>
        <v>68.25</v>
      </c>
      <c r="N46" s="627">
        <f>VLOOKUP($A46,'O&amp;M per TB'!$B$4:AB$375,N$5,FALSE)</f>
        <v>2.3099999999999454</v>
      </c>
      <c r="O46" s="627">
        <f>VLOOKUP($A46,'O&amp;M per TB'!$B$4:AC$375,O$5,FALSE)</f>
        <v>13.460000000000036</v>
      </c>
      <c r="P46" s="627">
        <f>VLOOKUP($A46,'O&amp;M per TB'!$B$4:AD$375,P$5,FALSE)</f>
        <v>181.69000000000005</v>
      </c>
      <c r="R46" s="921">
        <v>5480</v>
      </c>
      <c r="S46" s="921" t="s">
        <v>1973</v>
      </c>
      <c r="T46" s="922" t="s">
        <v>1974</v>
      </c>
      <c r="U46" s="922"/>
      <c r="V46" s="867">
        <f t="shared" ref="V46:V48" si="28">VLOOKUP($R46,$D$7:$E$124,2,FALSE)</f>
        <v>4355</v>
      </c>
      <c r="W46" s="867">
        <f t="shared" ref="W46:W48" si="29">VLOOKUP($R46,$D$7:$P$124,3,FALSE)</f>
        <v>2860</v>
      </c>
      <c r="X46" s="867">
        <f>VLOOKUP($R46,$D$7:$P$124,4,FALSE)</f>
        <v>5070</v>
      </c>
      <c r="Y46" s="867">
        <f>VLOOKUP($R46,$D$7:$P$124,5,FALSE)</f>
        <v>2671.5</v>
      </c>
      <c r="Z46" s="867">
        <f>VLOOKUP($R46,$D$7:$P$124,6,FALSE)</f>
        <v>1683.5</v>
      </c>
      <c r="AA46" s="867">
        <f>VLOOKUP($R46,$D$7:$P$124,7,FALSE)</f>
        <v>3867.5</v>
      </c>
      <c r="AB46" s="867">
        <f>VLOOKUP($R46,$D$7:$P$124,8,FALSE)</f>
        <v>3893.5</v>
      </c>
      <c r="AC46" s="867">
        <f>VLOOKUP($R46,$D$7:$P$124,9,FALSE)</f>
        <v>5445</v>
      </c>
      <c r="AD46" s="867">
        <f>VLOOKUP($R46,$D$7:$P$124,10,FALSE)</f>
        <v>5312.5</v>
      </c>
      <c r="AE46" s="867">
        <f>VLOOKUP($R46,$D$7:$P$124,11,FALSE)</f>
        <v>3705</v>
      </c>
      <c r="AF46" s="867">
        <f>VLOOKUP($R46,$D$7:$P$124,12,FALSE)</f>
        <v>3965</v>
      </c>
      <c r="AG46" s="867">
        <f>VLOOKUP($R46,$D$7:$P$124,13,FALSE)</f>
        <v>3874</v>
      </c>
    </row>
    <row r="47" spans="1:33">
      <c r="A47" s="921">
        <v>5815</v>
      </c>
      <c r="B47" s="921" t="s">
        <v>2028</v>
      </c>
      <c r="C47" s="1521" t="s">
        <v>1998</v>
      </c>
      <c r="D47" s="1681">
        <v>5815</v>
      </c>
      <c r="E47" s="627">
        <f>VLOOKUP($A47,'O&amp;M per TB'!$B$4:S$375,E$5,FALSE)</f>
        <v>0</v>
      </c>
      <c r="F47" s="627">
        <f>VLOOKUP($A47,'O&amp;M per TB'!$B$4:T$375,F$5,FALSE)</f>
        <v>0</v>
      </c>
      <c r="G47" s="627">
        <f>VLOOKUP($A47,'O&amp;M per TB'!$B$4:U$375,G$5,FALSE)</f>
        <v>0</v>
      </c>
      <c r="H47" s="627">
        <f>VLOOKUP($A47,'O&amp;M per TB'!$B$4:V$375,H$5,FALSE)</f>
        <v>0</v>
      </c>
      <c r="I47" s="627">
        <f>VLOOKUP($A47,'O&amp;M per TB'!$B$4:W$375,I$5,FALSE)</f>
        <v>0</v>
      </c>
      <c r="J47" s="627">
        <f>VLOOKUP($A47,'O&amp;M per TB'!$B$4:X$375,J$5,FALSE)</f>
        <v>0</v>
      </c>
      <c r="K47" s="627">
        <f>VLOOKUP($A47,'O&amp;M per TB'!$B$4:Y$375,K$5,FALSE)</f>
        <v>0</v>
      </c>
      <c r="L47" s="627">
        <f>VLOOKUP($A47,'O&amp;M per TB'!$B$4:Z$375,L$5,FALSE)</f>
        <v>0</v>
      </c>
      <c r="M47" s="627">
        <f>VLOOKUP($A47,'O&amp;M per TB'!$B$4:AA$375,M$5,FALSE)</f>
        <v>0</v>
      </c>
      <c r="N47" s="627">
        <f>VLOOKUP($A47,'O&amp;M per TB'!$B$4:AB$375,N$5,FALSE)</f>
        <v>0</v>
      </c>
      <c r="O47" s="627">
        <f>VLOOKUP($A47,'O&amp;M per TB'!$B$4:AC$375,O$5,FALSE)</f>
        <v>0</v>
      </c>
      <c r="P47" s="627">
        <f>VLOOKUP($A47,'O&amp;M per TB'!$B$4:AD$375,P$5,FALSE)</f>
        <v>0</v>
      </c>
      <c r="R47" s="921">
        <v>5485</v>
      </c>
      <c r="S47" s="921" t="s">
        <v>1976</v>
      </c>
      <c r="T47" s="922" t="s">
        <v>1974</v>
      </c>
      <c r="U47" s="922"/>
      <c r="V47" s="867">
        <f t="shared" si="28"/>
        <v>402.44</v>
      </c>
      <c r="W47" s="867">
        <f t="shared" si="29"/>
        <v>0</v>
      </c>
      <c r="X47" s="867">
        <f>VLOOKUP($R47,$D$7:$P$124,4,FALSE)</f>
        <v>243.95999999999998</v>
      </c>
      <c r="Y47" s="867">
        <f>VLOOKUP($R47,$D$7:$P$124,5,FALSE)</f>
        <v>228.90999999999997</v>
      </c>
      <c r="Z47" s="867">
        <f>VLOOKUP($R47,$D$7:$P$124,6,FALSE)</f>
        <v>0</v>
      </c>
      <c r="AA47" s="867">
        <f>VLOOKUP($R47,$D$7:$P$124,7,FALSE)</f>
        <v>9738.0500000000011</v>
      </c>
      <c r="AB47" s="867">
        <f>VLOOKUP($R47,$D$7:$P$124,8,FALSE)</f>
        <v>249.30999999999949</v>
      </c>
      <c r="AC47" s="867">
        <f>VLOOKUP($R47,$D$7:$P$124,9,FALSE)</f>
        <v>8995.1</v>
      </c>
      <c r="AD47" s="867">
        <f>VLOOKUP($R47,$D$7:$P$124,10,FALSE)</f>
        <v>167.04000000000087</v>
      </c>
      <c r="AE47" s="867">
        <f>VLOOKUP($R47,$D$7:$P$124,11,FALSE)</f>
        <v>0</v>
      </c>
      <c r="AF47" s="867">
        <f>VLOOKUP($R47,$D$7:$P$124,12,FALSE)</f>
        <v>0</v>
      </c>
      <c r="AG47" s="867">
        <f>VLOOKUP($R47,$D$7:$P$124,13,FALSE)</f>
        <v>9121.7099999999991</v>
      </c>
    </row>
    <row r="48" spans="1:33">
      <c r="A48" s="921">
        <v>5820</v>
      </c>
      <c r="B48" s="921" t="s">
        <v>2016</v>
      </c>
      <c r="C48" s="1521" t="s">
        <v>2002</v>
      </c>
      <c r="D48" s="1681">
        <v>5820</v>
      </c>
      <c r="E48" s="627">
        <f>VLOOKUP($A48,'O&amp;M per TB'!$B$4:S$375,E$5,FALSE)</f>
        <v>0</v>
      </c>
      <c r="F48" s="627">
        <f>VLOOKUP($A48,'O&amp;M per TB'!$B$4:T$375,F$5,FALSE)</f>
        <v>0</v>
      </c>
      <c r="G48" s="627">
        <f>VLOOKUP($A48,'O&amp;M per TB'!$B$4:U$375,G$5,FALSE)</f>
        <v>13.63</v>
      </c>
      <c r="H48" s="627">
        <f>VLOOKUP($A48,'O&amp;M per TB'!$B$4:V$375,H$5,FALSE)</f>
        <v>24.529999999999994</v>
      </c>
      <c r="I48" s="627">
        <f>VLOOKUP($A48,'O&amp;M per TB'!$B$4:W$375,I$5,FALSE)</f>
        <v>29.290000000000006</v>
      </c>
      <c r="J48" s="627">
        <f>VLOOKUP($A48,'O&amp;M per TB'!$B$4:X$375,J$5,FALSE)</f>
        <v>69.290000000000006</v>
      </c>
      <c r="K48" s="627">
        <f>VLOOKUP($A48,'O&amp;M per TB'!$B$4:Y$375,K$5,FALSE)</f>
        <v>160.51999999999998</v>
      </c>
      <c r="L48" s="627">
        <f>VLOOKUP($A48,'O&amp;M per TB'!$B$4:Z$375,L$5,FALSE)</f>
        <v>-18.599999999999966</v>
      </c>
      <c r="M48" s="627">
        <f>VLOOKUP($A48,'O&amp;M per TB'!$B$4:AA$375,M$5,FALSE)</f>
        <v>28.549999999999955</v>
      </c>
      <c r="N48" s="627">
        <f>VLOOKUP($A48,'O&amp;M per TB'!$B$4:AB$375,N$5,FALSE)</f>
        <v>25.080000000000041</v>
      </c>
      <c r="O48" s="627">
        <f>VLOOKUP($A48,'O&amp;M per TB'!$B$4:AC$375,O$5,FALSE)</f>
        <v>6.4199999999999591</v>
      </c>
      <c r="P48" s="627">
        <f>VLOOKUP($A48,'O&amp;M per TB'!$B$4:AD$375,P$5,FALSE)</f>
        <v>-5.0799999999999841</v>
      </c>
      <c r="R48" s="921">
        <v>5490</v>
      </c>
      <c r="S48" s="921" t="s">
        <v>1978</v>
      </c>
      <c r="T48" s="922" t="s">
        <v>1974</v>
      </c>
      <c r="U48" s="922"/>
      <c r="V48" s="867">
        <f t="shared" si="28"/>
        <v>1411.25</v>
      </c>
      <c r="W48" s="867">
        <f t="shared" si="29"/>
        <v>23185.94</v>
      </c>
      <c r="X48" s="867">
        <f>VLOOKUP($R48,$D$7:$P$124,4,FALSE)</f>
        <v>3504.880000000001</v>
      </c>
      <c r="Y48" s="867">
        <f>VLOOKUP($R48,$D$7:$P$124,5,FALSE)</f>
        <v>1919.3100000000013</v>
      </c>
      <c r="Z48" s="867">
        <f>VLOOKUP($R48,$D$7:$P$124,6,FALSE)</f>
        <v>1236.8099999999977</v>
      </c>
      <c r="AA48" s="867">
        <f>VLOOKUP($R48,$D$7:$P$124,7,FALSE)</f>
        <v>21751.66</v>
      </c>
      <c r="AB48" s="867">
        <f>VLOOKUP($R48,$D$7:$P$124,8,FALSE)</f>
        <v>2597.3700000000026</v>
      </c>
      <c r="AC48" s="867">
        <f>VLOOKUP($R48,$D$7:$P$124,9,FALSE)</f>
        <v>13243.569999999992</v>
      </c>
      <c r="AD48" s="867">
        <f>VLOOKUP($R48,$D$7:$P$124,10,FALSE)</f>
        <v>2790.5600000000122</v>
      </c>
      <c r="AE48" s="867">
        <f>VLOOKUP($R48,$D$7:$P$124,11,FALSE)</f>
        <v>1017.5</v>
      </c>
      <c r="AF48" s="867">
        <f>VLOOKUP($R48,$D$7:$P$124,12,FALSE)</f>
        <v>10070.01999999999</v>
      </c>
      <c r="AG48" s="867">
        <f>VLOOKUP($R48,$D$7:$P$124,13,FALSE)</f>
        <v>5725.2000000000116</v>
      </c>
    </row>
    <row r="49" spans="1:33">
      <c r="A49" s="921">
        <v>5825</v>
      </c>
      <c r="B49" s="921" t="s">
        <v>2029</v>
      </c>
      <c r="C49" s="1521" t="s">
        <v>1998</v>
      </c>
      <c r="D49" s="1681">
        <v>5825</v>
      </c>
      <c r="E49" s="627">
        <f>VLOOKUP($A49,'O&amp;M per TB'!$B$4:S$375,E$5,FALSE)</f>
        <v>28.44</v>
      </c>
      <c r="F49" s="627">
        <f>VLOOKUP($A49,'O&amp;M per TB'!$B$4:T$375,F$5,FALSE)</f>
        <v>13.859999999999996</v>
      </c>
      <c r="G49" s="627">
        <f>VLOOKUP($A49,'O&amp;M per TB'!$B$4:U$375,G$5,FALSE)</f>
        <v>7.0500000000000043</v>
      </c>
      <c r="H49" s="627">
        <f>VLOOKUP($A49,'O&amp;M per TB'!$B$4:V$375,H$5,FALSE)</f>
        <v>58.74</v>
      </c>
      <c r="I49" s="627">
        <f>VLOOKUP($A49,'O&amp;M per TB'!$B$4:W$375,I$5,FALSE)</f>
        <v>1.3400000000000034</v>
      </c>
      <c r="J49" s="627">
        <f>VLOOKUP($A49,'O&amp;M per TB'!$B$4:X$375,J$5,FALSE)</f>
        <v>6.5</v>
      </c>
      <c r="K49" s="627">
        <f>VLOOKUP($A49,'O&amp;M per TB'!$B$4:Y$375,K$5,FALSE)</f>
        <v>-66.540000000000006</v>
      </c>
      <c r="L49" s="627">
        <f>VLOOKUP($A49,'O&amp;M per TB'!$B$4:Z$375,L$5,FALSE)</f>
        <v>14.679999999999993</v>
      </c>
      <c r="M49" s="627">
        <f>VLOOKUP($A49,'O&amp;M per TB'!$B$4:AA$375,M$5,FALSE)</f>
        <v>20.760000000000005</v>
      </c>
      <c r="N49" s="627">
        <f>VLOOKUP($A49,'O&amp;M per TB'!$B$4:AB$375,N$5,FALSE)</f>
        <v>7.0600000000000023</v>
      </c>
      <c r="O49" s="627">
        <f>VLOOKUP($A49,'O&amp;M per TB'!$B$4:AC$375,O$5,FALSE)</f>
        <v>24.58</v>
      </c>
      <c r="P49" s="627">
        <f>VLOOKUP($A49,'O&amp;M per TB'!$B$4:AD$375,P$5,FALSE)</f>
        <v>-40.129999999999995</v>
      </c>
      <c r="V49" s="1602">
        <f>SUM(V46:V48)</f>
        <v>6168.69</v>
      </c>
      <c r="W49" s="1602">
        <f>SUM(W46:W48)</f>
        <v>26045.94</v>
      </c>
      <c r="X49" s="1602">
        <f t="shared" ref="X49:AG49" si="30">SUM(X46:X48)</f>
        <v>8818.84</v>
      </c>
      <c r="Y49" s="1602">
        <f t="shared" si="30"/>
        <v>4819.7200000000012</v>
      </c>
      <c r="Z49" s="1602">
        <f t="shared" si="30"/>
        <v>2920.3099999999977</v>
      </c>
      <c r="AA49" s="1602">
        <f t="shared" si="30"/>
        <v>35357.21</v>
      </c>
      <c r="AB49" s="1602">
        <f t="shared" si="30"/>
        <v>6740.1800000000021</v>
      </c>
      <c r="AC49" s="1602">
        <f t="shared" si="30"/>
        <v>27683.669999999991</v>
      </c>
      <c r="AD49" s="1602">
        <f t="shared" si="30"/>
        <v>8270.1000000000131</v>
      </c>
      <c r="AE49" s="1602">
        <f t="shared" si="30"/>
        <v>4722.5</v>
      </c>
      <c r="AF49" s="1602">
        <f t="shared" si="30"/>
        <v>14035.01999999999</v>
      </c>
      <c r="AG49" s="1602">
        <f t="shared" si="30"/>
        <v>18720.910000000011</v>
      </c>
    </row>
    <row r="50" spans="1:33">
      <c r="A50" s="921">
        <v>5855</v>
      </c>
      <c r="B50" s="921" t="s">
        <v>2030</v>
      </c>
      <c r="C50" s="1521" t="s">
        <v>1998</v>
      </c>
      <c r="D50" s="1681">
        <v>5855</v>
      </c>
      <c r="E50" s="627">
        <f>VLOOKUP($A50,'O&amp;M per TB'!$B$4:S$375,E$5,FALSE)</f>
        <v>0</v>
      </c>
      <c r="F50" s="627">
        <f>VLOOKUP($A50,'O&amp;M per TB'!$B$4:T$375,F$5,FALSE)</f>
        <v>51.62</v>
      </c>
      <c r="G50" s="627">
        <f>VLOOKUP($A50,'O&amp;M per TB'!$B$4:U$375,G$5,FALSE)</f>
        <v>14.130000000000003</v>
      </c>
      <c r="H50" s="627">
        <f>VLOOKUP($A50,'O&amp;M per TB'!$B$4:V$375,H$5,FALSE)</f>
        <v>40.010000000000005</v>
      </c>
      <c r="I50" s="627">
        <f>VLOOKUP($A50,'O&amp;M per TB'!$B$4:W$375,I$5,FALSE)</f>
        <v>0</v>
      </c>
      <c r="J50" s="627">
        <f>VLOOKUP($A50,'O&amp;M per TB'!$B$4:X$375,J$5,FALSE)</f>
        <v>37.959999999999994</v>
      </c>
      <c r="K50" s="627">
        <f>VLOOKUP($A50,'O&amp;M per TB'!$B$4:Y$375,K$5,FALSE)</f>
        <v>26.02000000000001</v>
      </c>
      <c r="L50" s="627">
        <f>VLOOKUP($A50,'O&amp;M per TB'!$B$4:Z$375,L$5,FALSE)</f>
        <v>0</v>
      </c>
      <c r="M50" s="627">
        <f>VLOOKUP($A50,'O&amp;M per TB'!$B$4:AA$375,M$5,FALSE)</f>
        <v>25.739999999999981</v>
      </c>
      <c r="N50" s="627">
        <f>VLOOKUP($A50,'O&amp;M per TB'!$B$4:AB$375,N$5,FALSE)</f>
        <v>52.980000000000018</v>
      </c>
      <c r="O50" s="627">
        <f>VLOOKUP($A50,'O&amp;M per TB'!$B$4:AC$375,O$5,FALSE)</f>
        <v>26.960000000000008</v>
      </c>
      <c r="P50" s="627">
        <f>VLOOKUP($A50,'O&amp;M per TB'!$B$4:AD$375,P$5,FALSE)</f>
        <v>30.769999999999982</v>
      </c>
    </row>
    <row r="51" spans="1:33">
      <c r="A51" s="921">
        <v>5860</v>
      </c>
      <c r="B51" s="921" t="s">
        <v>2031</v>
      </c>
      <c r="C51" s="1521" t="s">
        <v>1991</v>
      </c>
      <c r="D51" s="1681">
        <v>5860</v>
      </c>
      <c r="E51" s="627">
        <f>VLOOKUP($A51,'O&amp;M per TB'!$B$4:S$375,E$5,FALSE)</f>
        <v>16.3</v>
      </c>
      <c r="F51" s="627">
        <f>VLOOKUP($A51,'O&amp;M per TB'!$B$4:T$375,F$5,FALSE)</f>
        <v>410.09999999999997</v>
      </c>
      <c r="G51" s="627">
        <f>VLOOKUP($A51,'O&amp;M per TB'!$B$4:U$375,G$5,FALSE)</f>
        <v>7.9000000000000341</v>
      </c>
      <c r="H51" s="627">
        <f>VLOOKUP($A51,'O&amp;M per TB'!$B$4:V$375,H$5,FALSE)</f>
        <v>255.44</v>
      </c>
      <c r="I51" s="627">
        <f>VLOOKUP($A51,'O&amp;M per TB'!$B$4:W$375,I$5,FALSE)</f>
        <v>173.75</v>
      </c>
      <c r="J51" s="627">
        <f>VLOOKUP($A51,'O&amp;M per TB'!$B$4:X$375,J$5,FALSE)</f>
        <v>508.98</v>
      </c>
      <c r="K51" s="627">
        <f>VLOOKUP($A51,'O&amp;M per TB'!$B$4:Y$375,K$5,FALSE)</f>
        <v>539.38999999999987</v>
      </c>
      <c r="L51" s="627">
        <f>VLOOKUP($A51,'O&amp;M per TB'!$B$4:Z$375,L$5,FALSE)</f>
        <v>16.660000000000082</v>
      </c>
      <c r="M51" s="627">
        <f>VLOOKUP($A51,'O&amp;M per TB'!$B$4:AA$375,M$5,FALSE)</f>
        <v>258.52</v>
      </c>
      <c r="N51" s="627">
        <f>VLOOKUP($A51,'O&amp;M per TB'!$B$4:AB$375,N$5,FALSE)</f>
        <v>77.880000000000109</v>
      </c>
      <c r="O51" s="627">
        <f>VLOOKUP($A51,'O&amp;M per TB'!$B$4:AC$375,O$5,FALSE)</f>
        <v>509.5</v>
      </c>
      <c r="P51" s="627">
        <f>VLOOKUP($A51,'O&amp;M per TB'!$B$4:AD$375,P$5,FALSE)</f>
        <v>201.50999999999976</v>
      </c>
      <c r="R51" s="921">
        <v>5525</v>
      </c>
      <c r="S51" s="921" t="s">
        <v>1990</v>
      </c>
      <c r="T51" s="922" t="s">
        <v>1991</v>
      </c>
      <c r="U51" s="922"/>
      <c r="V51" s="867">
        <f t="shared" ref="V51:V62" si="31">VLOOKUP($R51,$D$7:$E$124,2,FALSE)</f>
        <v>28.36</v>
      </c>
      <c r="W51" s="867">
        <f t="shared" ref="W51:W62" si="32">VLOOKUP($R51,$D$7:$P$124,3,FALSE)</f>
        <v>28</v>
      </c>
      <c r="X51" s="867">
        <f t="shared" ref="X51:X62" si="33">VLOOKUP($R51,$D$7:$P$124,4,FALSE)</f>
        <v>29.659999999999997</v>
      </c>
      <c r="Y51" s="867">
        <f t="shared" ref="Y51:Y62" si="34">VLOOKUP($R51,$D$7:$P$124,5,FALSE)</f>
        <v>30.680000000000007</v>
      </c>
      <c r="Z51" s="867">
        <f t="shared" ref="Z51:Z62" si="35">VLOOKUP($R51,$D$7:$P$124,6,FALSE)</f>
        <v>31.200000000000003</v>
      </c>
      <c r="AA51" s="867">
        <f t="shared" ref="AA51:AA62" si="36">VLOOKUP($R51,$D$7:$P$124,7,FALSE)</f>
        <v>31.53</v>
      </c>
      <c r="AB51" s="867">
        <f t="shared" ref="AB51:AB62" si="37">VLOOKUP($R51,$D$7:$P$124,8,FALSE)</f>
        <v>21.629999999999995</v>
      </c>
      <c r="AC51" s="867">
        <f t="shared" ref="AC51:AC62" si="38">VLOOKUP($R51,$D$7:$P$124,9,FALSE)</f>
        <v>27.599999999999994</v>
      </c>
      <c r="AD51" s="867">
        <f t="shared" ref="AD51:AD62" si="39">VLOOKUP($R51,$D$7:$P$124,10,FALSE)</f>
        <v>14.409999999999997</v>
      </c>
      <c r="AE51" s="867">
        <f t="shared" ref="AE51:AE62" si="40">VLOOKUP($R51,$D$7:$P$124,11,FALSE)</f>
        <v>39.449999999999989</v>
      </c>
      <c r="AF51" s="867">
        <f t="shared" ref="AF51:AF62" si="41">VLOOKUP($R51,$D$7:$P$124,12,FALSE)</f>
        <v>18.470000000000027</v>
      </c>
      <c r="AG51" s="867">
        <f t="shared" ref="AG51:AG62" si="42">VLOOKUP($R51,$D$7:$P$124,13,FALSE)</f>
        <v>23.289999999999964</v>
      </c>
    </row>
    <row r="52" spans="1:33">
      <c r="A52" s="921">
        <v>5865</v>
      </c>
      <c r="B52" s="921" t="s">
        <v>2032</v>
      </c>
      <c r="C52" s="1521" t="s">
        <v>1998</v>
      </c>
      <c r="D52" s="1681">
        <v>5865</v>
      </c>
      <c r="E52" s="627">
        <f>VLOOKUP($A52,'O&amp;M per TB'!$B$4:S$375,E$5,FALSE)</f>
        <v>0</v>
      </c>
      <c r="F52" s="627">
        <f>VLOOKUP($A52,'O&amp;M per TB'!$B$4:T$375,F$5,FALSE)</f>
        <v>8.51</v>
      </c>
      <c r="G52" s="627">
        <f>VLOOKUP($A52,'O&amp;M per TB'!$B$4:U$375,G$5,FALSE)</f>
        <v>3.59</v>
      </c>
      <c r="H52" s="627">
        <f>VLOOKUP($A52,'O&amp;M per TB'!$B$4:V$375,H$5,FALSE)</f>
        <v>13.37</v>
      </c>
      <c r="I52" s="627">
        <f>VLOOKUP($A52,'O&amp;M per TB'!$B$4:W$375,I$5,FALSE)</f>
        <v>5.0500000000000007</v>
      </c>
      <c r="J52" s="627">
        <f>VLOOKUP($A52,'O&amp;M per TB'!$B$4:X$375,J$5,FALSE)</f>
        <v>3.110000000000003</v>
      </c>
      <c r="K52" s="627">
        <f>VLOOKUP($A52,'O&amp;M per TB'!$B$4:Y$375,K$5,FALSE)</f>
        <v>4.6499999999999986</v>
      </c>
      <c r="L52" s="627">
        <f>VLOOKUP($A52,'O&amp;M per TB'!$B$4:Z$375,L$5,FALSE)</f>
        <v>7.43</v>
      </c>
      <c r="M52" s="627">
        <f>VLOOKUP($A52,'O&amp;M per TB'!$B$4:AA$375,M$5,FALSE)</f>
        <v>15.699999999999996</v>
      </c>
      <c r="N52" s="627">
        <f>VLOOKUP($A52,'O&amp;M per TB'!$B$4:AB$375,N$5,FALSE)</f>
        <v>15.36</v>
      </c>
      <c r="O52" s="627">
        <f>VLOOKUP($A52,'O&amp;M per TB'!$B$4:AC$375,O$5,FALSE)</f>
        <v>16.14</v>
      </c>
      <c r="P52" s="627">
        <f>VLOOKUP($A52,'O&amp;M per TB'!$B$4:AD$375,P$5,FALSE)</f>
        <v>3.8599999999999994</v>
      </c>
      <c r="R52" s="921">
        <v>5530</v>
      </c>
      <c r="S52" s="921" t="s">
        <v>1993</v>
      </c>
      <c r="T52" s="922" t="s">
        <v>1991</v>
      </c>
      <c r="U52" s="922"/>
      <c r="V52" s="867"/>
      <c r="W52" s="867"/>
      <c r="X52" s="867"/>
      <c r="Y52" s="867"/>
      <c r="Z52" s="867"/>
      <c r="AA52" s="867"/>
      <c r="AB52" s="867"/>
      <c r="AC52" s="867"/>
      <c r="AD52" s="867"/>
      <c r="AE52" s="867"/>
      <c r="AF52" s="867"/>
      <c r="AG52" s="867"/>
    </row>
    <row r="53" spans="1:33">
      <c r="A53" s="921">
        <v>5870</v>
      </c>
      <c r="B53" s="921" t="s">
        <v>2033</v>
      </c>
      <c r="C53" s="1521" t="s">
        <v>1998</v>
      </c>
      <c r="D53" s="1681">
        <v>5870</v>
      </c>
      <c r="E53" s="627">
        <f>VLOOKUP($A53,'O&amp;M per TB'!$B$4:S$375,E$5,FALSE)</f>
        <v>98.13</v>
      </c>
      <c r="F53" s="627">
        <f>VLOOKUP($A53,'O&amp;M per TB'!$B$4:T$375,F$5,FALSE)</f>
        <v>30</v>
      </c>
      <c r="G53" s="627">
        <f>VLOOKUP($A53,'O&amp;M per TB'!$B$4:U$375,G$5,FALSE)</f>
        <v>0</v>
      </c>
      <c r="H53" s="627">
        <f>VLOOKUP($A53,'O&amp;M per TB'!$B$4:V$375,H$5,FALSE)</f>
        <v>0</v>
      </c>
      <c r="I53" s="627">
        <f>VLOOKUP($A53,'O&amp;M per TB'!$B$4:W$375,I$5,FALSE)</f>
        <v>2.1200000000000045</v>
      </c>
      <c r="J53" s="627">
        <f>VLOOKUP($A53,'O&amp;M per TB'!$B$4:X$375,J$5,FALSE)</f>
        <v>2.7299999999999898</v>
      </c>
      <c r="K53" s="627">
        <f>VLOOKUP($A53,'O&amp;M per TB'!$B$4:Y$375,K$5,FALSE)</f>
        <v>0</v>
      </c>
      <c r="L53" s="627">
        <f>VLOOKUP($A53,'O&amp;M per TB'!$B$4:Z$375,L$5,FALSE)</f>
        <v>0</v>
      </c>
      <c r="M53" s="627">
        <f>VLOOKUP($A53,'O&amp;M per TB'!$B$4:AA$375,M$5,FALSE)</f>
        <v>0</v>
      </c>
      <c r="N53" s="627">
        <f>VLOOKUP($A53,'O&amp;M per TB'!$B$4:AB$375,N$5,FALSE)</f>
        <v>1.8800000000000239</v>
      </c>
      <c r="O53" s="627">
        <f>VLOOKUP($A53,'O&amp;M per TB'!$B$4:AC$375,O$5,FALSE)</f>
        <v>6.339999999999975</v>
      </c>
      <c r="P53" s="627">
        <f>VLOOKUP($A53,'O&amp;M per TB'!$B$4:AD$375,P$5,FALSE)</f>
        <v>592.69000000000005</v>
      </c>
      <c r="R53" s="921">
        <v>5535</v>
      </c>
      <c r="S53" s="921" t="s">
        <v>1995</v>
      </c>
      <c r="T53" s="922" t="s">
        <v>1991</v>
      </c>
      <c r="U53" s="922"/>
      <c r="V53" s="867">
        <f t="shared" si="31"/>
        <v>49.91</v>
      </c>
      <c r="W53" s="867">
        <f t="shared" si="32"/>
        <v>51.820000000000007</v>
      </c>
      <c r="X53" s="867">
        <f t="shared" si="33"/>
        <v>47.61999999999999</v>
      </c>
      <c r="Y53" s="867">
        <f t="shared" si="34"/>
        <v>44.599999999999994</v>
      </c>
      <c r="Z53" s="867">
        <f t="shared" si="35"/>
        <v>50.19</v>
      </c>
      <c r="AA53" s="867">
        <f t="shared" si="36"/>
        <v>44</v>
      </c>
      <c r="AB53" s="867">
        <f t="shared" si="37"/>
        <v>42.220000000000027</v>
      </c>
      <c r="AC53" s="867">
        <f t="shared" si="38"/>
        <v>53.129999999999995</v>
      </c>
      <c r="AD53" s="867">
        <f t="shared" si="39"/>
        <v>30.680000000000007</v>
      </c>
      <c r="AE53" s="867">
        <f t="shared" si="40"/>
        <v>77.079999999999984</v>
      </c>
      <c r="AF53" s="867">
        <f t="shared" si="41"/>
        <v>39.419999999999959</v>
      </c>
      <c r="AG53" s="867">
        <f t="shared" si="42"/>
        <v>43.230000000000018</v>
      </c>
    </row>
    <row r="54" spans="1:33">
      <c r="A54" s="921">
        <v>5875</v>
      </c>
      <c r="B54" s="921" t="s">
        <v>2034</v>
      </c>
      <c r="C54" s="1521" t="s">
        <v>1998</v>
      </c>
      <c r="D54" s="1681">
        <v>5875</v>
      </c>
      <c r="E54" s="627">
        <f>VLOOKUP($A54,'O&amp;M per TB'!$B$4:S$375,E$5,FALSE)</f>
        <v>33.770000000000003</v>
      </c>
      <c r="F54" s="627">
        <f>VLOOKUP($A54,'O&amp;M per TB'!$B$4:T$375,F$5,FALSE)</f>
        <v>13.909999999999997</v>
      </c>
      <c r="G54" s="627">
        <f>VLOOKUP($A54,'O&amp;M per TB'!$B$4:U$375,G$5,FALSE)</f>
        <v>5.7700000000000031</v>
      </c>
      <c r="H54" s="627">
        <f>VLOOKUP($A54,'O&amp;M per TB'!$B$4:V$375,H$5,FALSE)</f>
        <v>30.349999999999994</v>
      </c>
      <c r="I54" s="627">
        <f>VLOOKUP($A54,'O&amp;M per TB'!$B$4:W$375,I$5,FALSE)</f>
        <v>69.220000000000013</v>
      </c>
      <c r="J54" s="627">
        <f>VLOOKUP($A54,'O&amp;M per TB'!$B$4:X$375,J$5,FALSE)</f>
        <v>50.449999999999989</v>
      </c>
      <c r="K54" s="627">
        <f>VLOOKUP($A54,'O&amp;M per TB'!$B$4:Y$375,K$5,FALSE)</f>
        <v>38.960000000000008</v>
      </c>
      <c r="L54" s="627">
        <f>VLOOKUP($A54,'O&amp;M per TB'!$B$4:Z$375,L$5,FALSE)</f>
        <v>4.6200000000000045</v>
      </c>
      <c r="M54" s="627">
        <f>VLOOKUP($A54,'O&amp;M per TB'!$B$4:AA$375,M$5,FALSE)</f>
        <v>41.539999999999964</v>
      </c>
      <c r="N54" s="627">
        <f>VLOOKUP($A54,'O&amp;M per TB'!$B$4:AB$375,N$5,FALSE)</f>
        <v>40.020000000000039</v>
      </c>
      <c r="O54" s="627">
        <f>VLOOKUP($A54,'O&amp;M per TB'!$B$4:AC$375,O$5,FALSE)</f>
        <v>28.490000000000009</v>
      </c>
      <c r="P54" s="627">
        <f>VLOOKUP($A54,'O&amp;M per TB'!$B$4:AD$375,P$5,FALSE)</f>
        <v>39.870000000000005</v>
      </c>
      <c r="R54" s="921">
        <v>5540</v>
      </c>
      <c r="S54" s="921" t="s">
        <v>1996</v>
      </c>
      <c r="T54" s="922" t="s">
        <v>1991</v>
      </c>
      <c r="U54" s="922"/>
      <c r="V54" s="867">
        <f t="shared" si="31"/>
        <v>1008.21</v>
      </c>
      <c r="W54" s="867">
        <f t="shared" si="32"/>
        <v>645.3599999999999</v>
      </c>
      <c r="X54" s="867">
        <f t="shared" si="33"/>
        <v>799.77000000000021</v>
      </c>
      <c r="Y54" s="867">
        <f t="shared" si="34"/>
        <v>824.48</v>
      </c>
      <c r="Z54" s="867">
        <f t="shared" si="35"/>
        <v>710.46</v>
      </c>
      <c r="AA54" s="867">
        <f t="shared" si="36"/>
        <v>891.24999999999955</v>
      </c>
      <c r="AB54" s="867">
        <f t="shared" si="37"/>
        <v>700.75</v>
      </c>
      <c r="AC54" s="867">
        <f t="shared" si="38"/>
        <v>949.18000000000029</v>
      </c>
      <c r="AD54" s="867">
        <f t="shared" si="39"/>
        <v>773.67000000000007</v>
      </c>
      <c r="AE54" s="867">
        <f t="shared" si="40"/>
        <v>743.46</v>
      </c>
      <c r="AF54" s="867">
        <f t="shared" si="41"/>
        <v>703.64999999999964</v>
      </c>
      <c r="AG54" s="867">
        <f t="shared" si="42"/>
        <v>872</v>
      </c>
    </row>
    <row r="55" spans="1:33">
      <c r="A55" s="921">
        <v>5880</v>
      </c>
      <c r="B55" s="921" t="s">
        <v>2035</v>
      </c>
      <c r="C55" s="1521" t="s">
        <v>1991</v>
      </c>
      <c r="D55" s="1681">
        <v>5880</v>
      </c>
      <c r="E55" s="627">
        <f>VLOOKUP($A55,'O&amp;M per TB'!$B$4:S$375,E$5,FALSE)</f>
        <v>15.47</v>
      </c>
      <c r="F55" s="627">
        <f>VLOOKUP($A55,'O&amp;M per TB'!$B$4:T$375,F$5,FALSE)</f>
        <v>152.89000000000001</v>
      </c>
      <c r="G55" s="627">
        <f>VLOOKUP($A55,'O&amp;M per TB'!$B$4:U$375,G$5,FALSE)</f>
        <v>26.839999999999975</v>
      </c>
      <c r="H55" s="627">
        <f>VLOOKUP($A55,'O&amp;M per TB'!$B$4:V$375,H$5,FALSE)</f>
        <v>154.87</v>
      </c>
      <c r="I55" s="627">
        <f>VLOOKUP($A55,'O&amp;M per TB'!$B$4:W$375,I$5,FALSE)</f>
        <v>323.81</v>
      </c>
      <c r="J55" s="627">
        <f>VLOOKUP($A55,'O&amp;M per TB'!$B$4:X$375,J$5,FALSE)</f>
        <v>286.95000000000005</v>
      </c>
      <c r="K55" s="627">
        <f>VLOOKUP($A55,'O&amp;M per TB'!$B$4:Y$375,K$5,FALSE)</f>
        <v>203.50999999999988</v>
      </c>
      <c r="L55" s="627">
        <f>VLOOKUP($A55,'O&amp;M per TB'!$B$4:Z$375,L$5,FALSE)</f>
        <v>347.26</v>
      </c>
      <c r="M55" s="627">
        <f>VLOOKUP($A55,'O&amp;M per TB'!$B$4:AA$375,M$5,FALSE)</f>
        <v>9.1900000000000546</v>
      </c>
      <c r="N55" s="627">
        <f>VLOOKUP($A55,'O&amp;M per TB'!$B$4:AB$375,N$5,FALSE)</f>
        <v>366.05999999999995</v>
      </c>
      <c r="O55" s="627">
        <f>VLOOKUP($A55,'O&amp;M per TB'!$B$4:AC$375,O$5,FALSE)</f>
        <v>99.440000000000055</v>
      </c>
      <c r="P55" s="627">
        <f>VLOOKUP($A55,'O&amp;M per TB'!$B$4:AD$375,P$5,FALSE)</f>
        <v>34.1400000000001</v>
      </c>
      <c r="R55" s="921">
        <v>5740</v>
      </c>
      <c r="S55" s="921" t="s">
        <v>2018</v>
      </c>
      <c r="T55" s="922" t="s">
        <v>1991</v>
      </c>
      <c r="U55" s="922"/>
      <c r="V55" s="867">
        <f t="shared" si="31"/>
        <v>0</v>
      </c>
      <c r="W55" s="867">
        <f t="shared" si="32"/>
        <v>0</v>
      </c>
      <c r="X55" s="867">
        <f t="shared" si="33"/>
        <v>0</v>
      </c>
      <c r="Y55" s="867">
        <f t="shared" si="34"/>
        <v>0</v>
      </c>
      <c r="Z55" s="867">
        <f t="shared" si="35"/>
        <v>0</v>
      </c>
      <c r="AA55" s="867">
        <f t="shared" si="36"/>
        <v>0</v>
      </c>
      <c r="AB55" s="867">
        <f t="shared" si="37"/>
        <v>0</v>
      </c>
      <c r="AC55" s="867">
        <f t="shared" si="38"/>
        <v>0</v>
      </c>
      <c r="AD55" s="867">
        <f t="shared" si="39"/>
        <v>0</v>
      </c>
      <c r="AE55" s="867">
        <f t="shared" si="40"/>
        <v>0</v>
      </c>
      <c r="AF55" s="867">
        <f t="shared" si="41"/>
        <v>2.33</v>
      </c>
      <c r="AG55" s="867">
        <f t="shared" si="42"/>
        <v>-3.63</v>
      </c>
    </row>
    <row r="56" spans="1:33">
      <c r="A56" s="921">
        <v>5885</v>
      </c>
      <c r="B56" s="921" t="s">
        <v>2036</v>
      </c>
      <c r="C56" s="1521" t="s">
        <v>1998</v>
      </c>
      <c r="D56" s="1681">
        <v>5885</v>
      </c>
      <c r="E56" s="627">
        <f>VLOOKUP($A56,'O&amp;M per TB'!$B$4:S$375,E$5,FALSE)</f>
        <v>0.42</v>
      </c>
      <c r="F56" s="627">
        <f>VLOOKUP($A56,'O&amp;M per TB'!$B$4:T$375,F$5,FALSE)</f>
        <v>6.66</v>
      </c>
      <c r="G56" s="627">
        <f>VLOOKUP($A56,'O&amp;M per TB'!$B$4:U$375,G$5,FALSE)</f>
        <v>79.81</v>
      </c>
      <c r="H56" s="627">
        <f>VLOOKUP($A56,'O&amp;M per TB'!$B$4:V$375,H$5,FALSE)</f>
        <v>0</v>
      </c>
      <c r="I56" s="627">
        <f>VLOOKUP($A56,'O&amp;M per TB'!$B$4:W$375,I$5,FALSE)</f>
        <v>2.0400000000000063</v>
      </c>
      <c r="J56" s="627">
        <f>VLOOKUP($A56,'O&amp;M per TB'!$B$4:X$375,J$5,FALSE)</f>
        <v>2.0999999999999943</v>
      </c>
      <c r="K56" s="627">
        <f>VLOOKUP($A56,'O&amp;M per TB'!$B$4:Y$375,K$5,FALSE)</f>
        <v>59.240000000000009</v>
      </c>
      <c r="L56" s="627">
        <f>VLOOKUP($A56,'O&amp;M per TB'!$B$4:Z$375,L$5,FALSE)</f>
        <v>55.569999999999993</v>
      </c>
      <c r="M56" s="627">
        <f>VLOOKUP($A56,'O&amp;M per TB'!$B$4:AA$375,M$5,FALSE)</f>
        <v>11.849999999999994</v>
      </c>
      <c r="N56" s="627">
        <f>VLOOKUP($A56,'O&amp;M per TB'!$B$4:AB$375,N$5,FALSE)</f>
        <v>0</v>
      </c>
      <c r="O56" s="627">
        <f>VLOOKUP($A56,'O&amp;M per TB'!$B$4:AC$375,O$5,FALSE)</f>
        <v>17.939999999999998</v>
      </c>
      <c r="P56" s="627">
        <f>VLOOKUP($A56,'O&amp;M per TB'!$B$4:AD$375,P$5,FALSE)</f>
        <v>0</v>
      </c>
      <c r="R56" s="921">
        <v>5860</v>
      </c>
      <c r="S56" s="921" t="s">
        <v>2031</v>
      </c>
      <c r="T56" s="922" t="s">
        <v>1991</v>
      </c>
      <c r="U56" s="922"/>
      <c r="V56" s="867">
        <f t="shared" si="31"/>
        <v>16.3</v>
      </c>
      <c r="W56" s="867">
        <f t="shared" si="32"/>
        <v>410.09999999999997</v>
      </c>
      <c r="X56" s="867">
        <f t="shared" si="33"/>
        <v>7.9000000000000341</v>
      </c>
      <c r="Y56" s="867">
        <f t="shared" si="34"/>
        <v>255.44</v>
      </c>
      <c r="Z56" s="867">
        <f t="shared" si="35"/>
        <v>173.75</v>
      </c>
      <c r="AA56" s="867">
        <f t="shared" si="36"/>
        <v>508.98</v>
      </c>
      <c r="AB56" s="867">
        <f t="shared" si="37"/>
        <v>539.38999999999987</v>
      </c>
      <c r="AC56" s="867">
        <f t="shared" si="38"/>
        <v>16.660000000000082</v>
      </c>
      <c r="AD56" s="867">
        <f t="shared" si="39"/>
        <v>258.52</v>
      </c>
      <c r="AE56" s="867">
        <f t="shared" si="40"/>
        <v>77.880000000000109</v>
      </c>
      <c r="AF56" s="867">
        <f t="shared" si="41"/>
        <v>509.5</v>
      </c>
      <c r="AG56" s="867">
        <f t="shared" si="42"/>
        <v>201.50999999999976</v>
      </c>
    </row>
    <row r="57" spans="1:33">
      <c r="A57" s="921">
        <v>5890</v>
      </c>
      <c r="B57" s="921" t="s">
        <v>2037</v>
      </c>
      <c r="C57" s="1521" t="s">
        <v>1998</v>
      </c>
      <c r="D57" s="1681">
        <v>5890</v>
      </c>
      <c r="E57" s="627">
        <f>VLOOKUP($A57,'O&amp;M per TB'!$B$4:S$375,E$5,FALSE)</f>
        <v>23.02</v>
      </c>
      <c r="F57" s="627">
        <f>VLOOKUP($A57,'O&amp;M per TB'!$B$4:T$375,F$5,FALSE)</f>
        <v>3.620000000000001</v>
      </c>
      <c r="G57" s="627">
        <f>VLOOKUP($A57,'O&amp;M per TB'!$B$4:U$375,G$5,FALSE)</f>
        <v>3.5999999999999979</v>
      </c>
      <c r="H57" s="627">
        <f>VLOOKUP($A57,'O&amp;M per TB'!$B$4:V$375,H$5,FALSE)</f>
        <v>3.600000000000005</v>
      </c>
      <c r="I57" s="627">
        <f>VLOOKUP($A57,'O&amp;M per TB'!$B$4:W$375,I$5,FALSE)</f>
        <v>3.5999999999999943</v>
      </c>
      <c r="J57" s="627">
        <f>VLOOKUP($A57,'O&amp;M per TB'!$B$4:X$375,J$5,FALSE)</f>
        <v>3.5900000000000034</v>
      </c>
      <c r="K57" s="627">
        <f>VLOOKUP($A57,'O&amp;M per TB'!$B$4:Y$375,K$5,FALSE)</f>
        <v>3.9699999999999989</v>
      </c>
      <c r="L57" s="627">
        <f>VLOOKUP($A57,'O&amp;M per TB'!$B$4:Z$375,L$5,FALSE)</f>
        <v>3.5900000000000034</v>
      </c>
      <c r="M57" s="627">
        <f>VLOOKUP($A57,'O&amp;M per TB'!$B$4:AA$375,M$5,FALSE)</f>
        <v>3.5799999999999983</v>
      </c>
      <c r="N57" s="627">
        <f>VLOOKUP($A57,'O&amp;M per TB'!$B$4:AB$375,N$5,FALSE)</f>
        <v>3.5799999999999983</v>
      </c>
      <c r="O57" s="627">
        <f>VLOOKUP($A57,'O&amp;M per TB'!$B$4:AC$375,O$5,FALSE)</f>
        <v>3.5799999999999983</v>
      </c>
      <c r="P57" s="627">
        <f>VLOOKUP($A57,'O&amp;M per TB'!$B$4:AD$375,P$5,FALSE)</f>
        <v>3.5700000000000003</v>
      </c>
      <c r="R57" s="921">
        <v>5880</v>
      </c>
      <c r="S57" s="921" t="s">
        <v>2035</v>
      </c>
      <c r="T57" s="922" t="s">
        <v>1991</v>
      </c>
      <c r="U57" s="922"/>
      <c r="V57" s="867">
        <f t="shared" si="31"/>
        <v>15.47</v>
      </c>
      <c r="W57" s="867">
        <f t="shared" si="32"/>
        <v>152.89000000000001</v>
      </c>
      <c r="X57" s="867">
        <f t="shared" si="33"/>
        <v>26.839999999999975</v>
      </c>
      <c r="Y57" s="867">
        <f t="shared" si="34"/>
        <v>154.87</v>
      </c>
      <c r="Z57" s="867">
        <f t="shared" si="35"/>
        <v>323.81</v>
      </c>
      <c r="AA57" s="867">
        <f t="shared" si="36"/>
        <v>286.95000000000005</v>
      </c>
      <c r="AB57" s="867">
        <f t="shared" si="37"/>
        <v>203.50999999999988</v>
      </c>
      <c r="AC57" s="867">
        <f t="shared" si="38"/>
        <v>347.26</v>
      </c>
      <c r="AD57" s="867">
        <f t="shared" si="39"/>
        <v>9.1900000000000546</v>
      </c>
      <c r="AE57" s="867">
        <f t="shared" si="40"/>
        <v>366.05999999999995</v>
      </c>
      <c r="AF57" s="867">
        <f t="shared" si="41"/>
        <v>99.440000000000055</v>
      </c>
      <c r="AG57" s="867">
        <f t="shared" si="42"/>
        <v>34.1400000000001</v>
      </c>
    </row>
    <row r="58" spans="1:33">
      <c r="A58" s="921">
        <v>5895</v>
      </c>
      <c r="B58" s="921" t="s">
        <v>2038</v>
      </c>
      <c r="C58" s="1521" t="s">
        <v>1998</v>
      </c>
      <c r="D58" s="1681">
        <v>5895</v>
      </c>
      <c r="E58" s="627">
        <f>VLOOKUP($A58,'O&amp;M per TB'!$B$4:S$375,E$5,FALSE)</f>
        <v>15.04</v>
      </c>
      <c r="F58" s="627">
        <f>VLOOKUP($A58,'O&amp;M per TB'!$B$4:T$375,F$5,FALSE)</f>
        <v>18.410000000000004</v>
      </c>
      <c r="G58" s="627">
        <f>VLOOKUP($A58,'O&amp;M per TB'!$B$4:U$375,G$5,FALSE)</f>
        <v>53.56</v>
      </c>
      <c r="H58" s="627">
        <f>VLOOKUP($A58,'O&amp;M per TB'!$B$4:V$375,H$5,FALSE)</f>
        <v>20.39</v>
      </c>
      <c r="I58" s="627">
        <f>VLOOKUP($A58,'O&amp;M per TB'!$B$4:W$375,I$5,FALSE)</f>
        <v>55.120000000000005</v>
      </c>
      <c r="J58" s="627">
        <f>VLOOKUP($A58,'O&amp;M per TB'!$B$4:X$375,J$5,FALSE)</f>
        <v>24.679999999999978</v>
      </c>
      <c r="K58" s="627">
        <f>VLOOKUP($A58,'O&amp;M per TB'!$B$4:Y$375,K$5,FALSE)</f>
        <v>58.490000000000009</v>
      </c>
      <c r="L58" s="627">
        <f>VLOOKUP($A58,'O&amp;M per TB'!$B$4:Z$375,L$5,FALSE)</f>
        <v>14.139999999999986</v>
      </c>
      <c r="M58" s="627">
        <f>VLOOKUP($A58,'O&amp;M per TB'!$B$4:AA$375,M$5,FALSE)</f>
        <v>15.920000000000016</v>
      </c>
      <c r="N58" s="627">
        <f>VLOOKUP($A58,'O&amp;M per TB'!$B$4:AB$375,N$5,FALSE)</f>
        <v>63.610000000000014</v>
      </c>
      <c r="O58" s="627">
        <f>VLOOKUP($A58,'O&amp;M per TB'!$B$4:AC$375,O$5,FALSE)</f>
        <v>14.45999999999998</v>
      </c>
      <c r="P58" s="627">
        <f>VLOOKUP($A58,'O&amp;M per TB'!$B$4:AD$375,P$5,FALSE)</f>
        <v>54.430000000000007</v>
      </c>
      <c r="R58" s="921">
        <v>6320</v>
      </c>
      <c r="S58" s="921" t="s">
        <v>2039</v>
      </c>
      <c r="T58" s="922">
        <v>720</v>
      </c>
      <c r="U58" s="922"/>
      <c r="V58" s="867">
        <f t="shared" si="31"/>
        <v>664.72</v>
      </c>
      <c r="W58" s="867">
        <f t="shared" si="32"/>
        <v>337.87</v>
      </c>
      <c r="X58" s="867">
        <f t="shared" si="33"/>
        <v>76.239999999999895</v>
      </c>
      <c r="Y58" s="867">
        <f t="shared" si="34"/>
        <v>18.259999999999991</v>
      </c>
      <c r="Z58" s="867">
        <f t="shared" si="35"/>
        <v>279.07000000000016</v>
      </c>
      <c r="AA58" s="867">
        <f t="shared" si="36"/>
        <v>57.159999999999854</v>
      </c>
      <c r="AB58" s="867">
        <f t="shared" si="37"/>
        <v>359.81000000000017</v>
      </c>
      <c r="AC58" s="867">
        <f t="shared" si="38"/>
        <v>441.48</v>
      </c>
      <c r="AD58" s="867">
        <f t="shared" si="39"/>
        <v>10.839999999999691</v>
      </c>
      <c r="AE58" s="867">
        <f t="shared" si="40"/>
        <v>1994.7700000000004</v>
      </c>
      <c r="AF58" s="867">
        <f t="shared" si="41"/>
        <v>817.96</v>
      </c>
      <c r="AG58" s="867">
        <f t="shared" si="42"/>
        <v>172.05999999999949</v>
      </c>
    </row>
    <row r="59" spans="1:33">
      <c r="A59" s="921">
        <v>5900</v>
      </c>
      <c r="B59" s="921" t="s">
        <v>2040</v>
      </c>
      <c r="C59" s="1521" t="s">
        <v>1998</v>
      </c>
      <c r="D59" s="1681">
        <v>5900</v>
      </c>
      <c r="E59" s="627">
        <f>VLOOKUP($A59,'O&amp;M per TB'!$B$4:S$375,E$5,FALSE)</f>
        <v>26.43</v>
      </c>
      <c r="F59" s="627">
        <f>VLOOKUP($A59,'O&amp;M per TB'!$B$4:T$375,F$5,FALSE)</f>
        <v>6.9699999999999989</v>
      </c>
      <c r="G59" s="627">
        <f>VLOOKUP($A59,'O&amp;M per TB'!$B$4:U$375,G$5,FALSE)</f>
        <v>62.43</v>
      </c>
      <c r="H59" s="627">
        <f>VLOOKUP($A59,'O&amp;M per TB'!$B$4:V$375,H$5,FALSE)</f>
        <v>8.710000000000008</v>
      </c>
      <c r="I59" s="627">
        <f>VLOOKUP($A59,'O&amp;M per TB'!$B$4:W$375,I$5,FALSE)</f>
        <v>36.64</v>
      </c>
      <c r="J59" s="627">
        <f>VLOOKUP($A59,'O&amp;M per TB'!$B$4:X$375,J$5,FALSE)</f>
        <v>9.1699999999999875</v>
      </c>
      <c r="K59" s="627">
        <f>VLOOKUP($A59,'O&amp;M per TB'!$B$4:Y$375,K$5,FALSE)</f>
        <v>-257.47000000000003</v>
      </c>
      <c r="L59" s="627">
        <f>VLOOKUP($A59,'O&amp;M per TB'!$B$4:Z$375,L$5,FALSE)</f>
        <v>16.290000000000006</v>
      </c>
      <c r="M59" s="627">
        <f>VLOOKUP($A59,'O&amp;M per TB'!$B$4:AA$375,M$5,FALSE)</f>
        <v>19.709999999999994</v>
      </c>
      <c r="N59" s="627">
        <f>VLOOKUP($A59,'O&amp;M per TB'!$B$4:AB$375,N$5,FALSE)</f>
        <v>29.130000000000003</v>
      </c>
      <c r="O59" s="627">
        <f>VLOOKUP($A59,'O&amp;M per TB'!$B$4:AC$375,O$5,FALSE)</f>
        <v>303.89</v>
      </c>
      <c r="P59" s="627">
        <f>VLOOKUP($A59,'O&amp;M per TB'!$B$4:AD$375,P$5,FALSE)</f>
        <v>68.29000000000002</v>
      </c>
      <c r="R59" s="921">
        <v>6325</v>
      </c>
      <c r="S59" s="921" t="s">
        <v>2041</v>
      </c>
      <c r="T59" s="922">
        <v>720</v>
      </c>
      <c r="U59" s="922"/>
      <c r="V59" s="867">
        <f t="shared" si="31"/>
        <v>440</v>
      </c>
      <c r="W59" s="867">
        <f t="shared" si="32"/>
        <v>0</v>
      </c>
      <c r="X59" s="867">
        <f t="shared" si="33"/>
        <v>426.17999999999995</v>
      </c>
      <c r="Y59" s="867">
        <f t="shared" si="34"/>
        <v>870.00000000000011</v>
      </c>
      <c r="Z59" s="867">
        <f t="shared" si="35"/>
        <v>1264.9999999999998</v>
      </c>
      <c r="AA59" s="867">
        <f t="shared" si="36"/>
        <v>240</v>
      </c>
      <c r="AB59" s="867">
        <f t="shared" si="37"/>
        <v>337.5</v>
      </c>
      <c r="AC59" s="867">
        <f t="shared" si="38"/>
        <v>1114.8800000000006</v>
      </c>
      <c r="AD59" s="867">
        <f t="shared" si="39"/>
        <v>442.69999999999982</v>
      </c>
      <c r="AE59" s="867">
        <f t="shared" si="40"/>
        <v>220</v>
      </c>
      <c r="AF59" s="867">
        <f t="shared" si="41"/>
        <v>847.5</v>
      </c>
      <c r="AG59" s="867">
        <f t="shared" si="42"/>
        <v>1326.9499999999998</v>
      </c>
    </row>
    <row r="60" spans="1:33">
      <c r="A60" s="921">
        <v>5930</v>
      </c>
      <c r="B60" s="921" t="s">
        <v>2042</v>
      </c>
      <c r="C60" s="1521" t="s">
        <v>1998</v>
      </c>
      <c r="D60" s="1681">
        <v>5930</v>
      </c>
      <c r="E60" s="627">
        <f>VLOOKUP($A60,'O&amp;M per TB'!$B$4:S$375,E$5,FALSE)</f>
        <v>88.25</v>
      </c>
      <c r="F60" s="627">
        <f>VLOOKUP($A60,'O&amp;M per TB'!$B$4:T$375,F$5,FALSE)</f>
        <v>82.669999999999987</v>
      </c>
      <c r="G60" s="627">
        <f>VLOOKUP($A60,'O&amp;M per TB'!$B$4:U$375,G$5,FALSE)</f>
        <v>80.740000000000009</v>
      </c>
      <c r="H60" s="627">
        <f>VLOOKUP($A60,'O&amp;M per TB'!$B$4:V$375,H$5,FALSE)</f>
        <v>82.6</v>
      </c>
      <c r="I60" s="627">
        <f>VLOOKUP($A60,'O&amp;M per TB'!$B$4:W$375,I$5,FALSE)</f>
        <v>73.660000000000025</v>
      </c>
      <c r="J60" s="627">
        <f>VLOOKUP($A60,'O&amp;M per TB'!$B$4:X$375,J$5,FALSE)</f>
        <v>83.82</v>
      </c>
      <c r="K60" s="627">
        <f>VLOOKUP($A60,'O&amp;M per TB'!$B$4:Y$375,K$5,FALSE)</f>
        <v>86.5</v>
      </c>
      <c r="L60" s="627">
        <f>VLOOKUP($A60,'O&amp;M per TB'!$B$4:Z$375,L$5,FALSE)</f>
        <v>91.13</v>
      </c>
      <c r="M60" s="627">
        <f>VLOOKUP($A60,'O&amp;M per TB'!$B$4:AA$375,M$5,FALSE)</f>
        <v>87.139999999999986</v>
      </c>
      <c r="N60" s="627">
        <f>VLOOKUP($A60,'O&amp;M per TB'!$B$4:AB$375,N$5,FALSE)</f>
        <v>75.419999999999959</v>
      </c>
      <c r="O60" s="627">
        <f>VLOOKUP($A60,'O&amp;M per TB'!$B$4:AC$375,O$5,FALSE)</f>
        <v>71.62</v>
      </c>
      <c r="P60" s="627">
        <f>VLOOKUP($A60,'O&amp;M per TB'!$B$4:AD$375,P$5,FALSE)</f>
        <v>71.63</v>
      </c>
      <c r="R60" s="921">
        <v>6335</v>
      </c>
      <c r="S60" s="921" t="s">
        <v>2043</v>
      </c>
      <c r="T60" s="922">
        <v>720</v>
      </c>
      <c r="U60" s="922"/>
      <c r="V60" s="867">
        <f t="shared" si="31"/>
        <v>4085.56</v>
      </c>
      <c r="W60" s="867">
        <f t="shared" si="32"/>
        <v>0</v>
      </c>
      <c r="X60" s="867">
        <f t="shared" si="33"/>
        <v>4256.1200000000008</v>
      </c>
      <c r="Y60" s="867">
        <f t="shared" si="34"/>
        <v>-85.600000000000364</v>
      </c>
      <c r="Z60" s="867">
        <f t="shared" si="35"/>
        <v>2495.2100000000009</v>
      </c>
      <c r="AA60" s="867">
        <f t="shared" si="36"/>
        <v>788.11999999999898</v>
      </c>
      <c r="AB60" s="867">
        <f t="shared" si="37"/>
        <v>2030.2399999999998</v>
      </c>
      <c r="AC60" s="867">
        <f t="shared" si="38"/>
        <v>1305.8700000000008</v>
      </c>
      <c r="AD60" s="867">
        <f t="shared" si="39"/>
        <v>2131.59</v>
      </c>
      <c r="AE60" s="867">
        <f t="shared" si="40"/>
        <v>3614.880000000001</v>
      </c>
      <c r="AF60" s="867">
        <f t="shared" si="41"/>
        <v>2787.6399999999994</v>
      </c>
      <c r="AG60" s="867">
        <f t="shared" si="42"/>
        <v>1087.5</v>
      </c>
    </row>
    <row r="61" spans="1:33">
      <c r="A61" s="921">
        <v>5935</v>
      </c>
      <c r="B61" s="921" t="s">
        <v>2044</v>
      </c>
      <c r="C61" s="1521" t="s">
        <v>1998</v>
      </c>
      <c r="D61" s="1681">
        <v>5935</v>
      </c>
      <c r="E61" s="627">
        <f>VLOOKUP($A61,'O&amp;M per TB'!$B$4:S$375,E$5,FALSE)</f>
        <v>26.96</v>
      </c>
      <c r="F61" s="627">
        <f>VLOOKUP($A61,'O&amp;M per TB'!$B$4:T$375,F$5,FALSE)</f>
        <v>13.61</v>
      </c>
      <c r="G61" s="627">
        <f>VLOOKUP($A61,'O&amp;M per TB'!$B$4:U$375,G$5,FALSE)</f>
        <v>12.119999999999997</v>
      </c>
      <c r="H61" s="627">
        <f>VLOOKUP($A61,'O&amp;M per TB'!$B$4:V$375,H$5,FALSE)</f>
        <v>6.43</v>
      </c>
      <c r="I61" s="627">
        <f>VLOOKUP($A61,'O&amp;M per TB'!$B$4:W$375,I$5,FALSE)</f>
        <v>3.6400000000000006</v>
      </c>
      <c r="J61" s="627">
        <f>VLOOKUP($A61,'O&amp;M per TB'!$B$4:X$375,J$5,FALSE)</f>
        <v>2.7500000000000071</v>
      </c>
      <c r="K61" s="627">
        <f>VLOOKUP($A61,'O&amp;M per TB'!$B$4:Y$375,K$5,FALSE)</f>
        <v>1.1299999999999955</v>
      </c>
      <c r="L61" s="627">
        <f>VLOOKUP($A61,'O&amp;M per TB'!$B$4:Z$375,L$5,FALSE)</f>
        <v>1.1799999999999926</v>
      </c>
      <c r="M61" s="627">
        <f>VLOOKUP($A61,'O&amp;M per TB'!$B$4:AA$375,M$5,FALSE)</f>
        <v>0</v>
      </c>
      <c r="N61" s="627">
        <f>VLOOKUP($A61,'O&amp;M per TB'!$B$4:AB$375,N$5,FALSE)</f>
        <v>2.4200000000000017</v>
      </c>
      <c r="O61" s="627">
        <f>VLOOKUP($A61,'O&amp;M per TB'!$B$4:AC$375,O$5,FALSE)</f>
        <v>0</v>
      </c>
      <c r="P61" s="627">
        <f>VLOOKUP($A61,'O&amp;M per TB'!$B$4:AD$375,P$5,FALSE)</f>
        <v>4.7400000000000091</v>
      </c>
      <c r="R61" s="921">
        <v>6345</v>
      </c>
      <c r="S61" s="921" t="s">
        <v>2045</v>
      </c>
      <c r="T61" s="922">
        <v>720</v>
      </c>
      <c r="U61" s="922"/>
      <c r="V61" s="867">
        <f t="shared" si="31"/>
        <v>465.78</v>
      </c>
      <c r="W61" s="867">
        <f t="shared" si="32"/>
        <v>1621.59</v>
      </c>
      <c r="X61" s="867">
        <f t="shared" si="33"/>
        <v>4051.3900000000003</v>
      </c>
      <c r="Y61" s="867">
        <f t="shared" si="34"/>
        <v>679.13000000000011</v>
      </c>
      <c r="Z61" s="867">
        <f t="shared" si="35"/>
        <v>1733.4299999999994</v>
      </c>
      <c r="AA61" s="867">
        <f t="shared" si="36"/>
        <v>1341.2200000000012</v>
      </c>
      <c r="AB61" s="867">
        <f t="shared" si="37"/>
        <v>31945.53</v>
      </c>
      <c r="AC61" s="867">
        <f t="shared" si="38"/>
        <v>3442.3400000000038</v>
      </c>
      <c r="AD61" s="867">
        <f t="shared" si="39"/>
        <v>-31829.000000000004</v>
      </c>
      <c r="AE61" s="867">
        <f t="shared" si="40"/>
        <v>3687.4500000000007</v>
      </c>
      <c r="AF61" s="867">
        <f t="shared" si="41"/>
        <v>179.18000000000029</v>
      </c>
      <c r="AG61" s="867">
        <f t="shared" si="42"/>
        <v>2373.5699999999997</v>
      </c>
    </row>
    <row r="62" spans="1:33">
      <c r="A62" s="921">
        <v>5940</v>
      </c>
      <c r="B62" s="921" t="s">
        <v>2046</v>
      </c>
      <c r="C62" s="1521" t="s">
        <v>1998</v>
      </c>
      <c r="D62" s="1681">
        <v>5940</v>
      </c>
      <c r="E62" s="627">
        <f>VLOOKUP($A62,'O&amp;M per TB'!$B$4:S$375,E$5,FALSE)</f>
        <v>0</v>
      </c>
      <c r="F62" s="627">
        <f>VLOOKUP($A62,'O&amp;M per TB'!$B$4:T$375,F$5,FALSE)</f>
        <v>4.3</v>
      </c>
      <c r="G62" s="627">
        <f>VLOOKUP($A62,'O&amp;M per TB'!$B$4:U$375,G$5,FALSE)</f>
        <v>0</v>
      </c>
      <c r="H62" s="627">
        <f>VLOOKUP($A62,'O&amp;M per TB'!$B$4:V$375,H$5,FALSE)</f>
        <v>0</v>
      </c>
      <c r="I62" s="627">
        <f>VLOOKUP($A62,'O&amp;M per TB'!$B$4:W$375,I$5,FALSE)</f>
        <v>5.86</v>
      </c>
      <c r="J62" s="627">
        <f>VLOOKUP($A62,'O&amp;M per TB'!$B$4:X$375,J$5,FALSE)</f>
        <v>0</v>
      </c>
      <c r="K62" s="627">
        <f>VLOOKUP($A62,'O&amp;M per TB'!$B$4:Y$375,K$5,FALSE)</f>
        <v>0</v>
      </c>
      <c r="L62" s="627">
        <f>VLOOKUP($A62,'O&amp;M per TB'!$B$4:Z$375,L$5,FALSE)</f>
        <v>5.43</v>
      </c>
      <c r="M62" s="627">
        <f>VLOOKUP($A62,'O&amp;M per TB'!$B$4:AA$375,M$5,FALSE)</f>
        <v>0</v>
      </c>
      <c r="N62" s="627">
        <f>VLOOKUP($A62,'O&amp;M per TB'!$B$4:AB$375,N$5,FALSE)</f>
        <v>0</v>
      </c>
      <c r="O62" s="627">
        <f>VLOOKUP($A62,'O&amp;M per TB'!$B$4:AC$375,O$5,FALSE)</f>
        <v>4.5500000000000007</v>
      </c>
      <c r="P62" s="627">
        <f>VLOOKUP($A62,'O&amp;M per TB'!$B$4:AD$375,P$5,FALSE)</f>
        <v>-0.42999999999999972</v>
      </c>
      <c r="R62" s="921">
        <v>6355</v>
      </c>
      <c r="S62" s="921" t="s">
        <v>2047</v>
      </c>
      <c r="T62" s="1522" t="s">
        <v>1991</v>
      </c>
      <c r="U62" s="1522"/>
      <c r="V62" s="867">
        <f t="shared" si="31"/>
        <v>174.64</v>
      </c>
      <c r="W62" s="867">
        <f t="shared" si="32"/>
        <v>174.65000000000003</v>
      </c>
      <c r="X62" s="867">
        <f t="shared" si="33"/>
        <v>174.63999999999993</v>
      </c>
      <c r="Y62" s="867">
        <f t="shared" si="34"/>
        <v>174.6400000000001</v>
      </c>
      <c r="Z62" s="867">
        <f t="shared" si="35"/>
        <v>174.64</v>
      </c>
      <c r="AA62" s="867">
        <f t="shared" si="36"/>
        <v>174.64999999999986</v>
      </c>
      <c r="AB62" s="867">
        <f t="shared" si="37"/>
        <v>174.6400000000001</v>
      </c>
      <c r="AC62" s="867">
        <f t="shared" si="38"/>
        <v>0</v>
      </c>
      <c r="AD62" s="867">
        <f t="shared" si="39"/>
        <v>1633.4899999999998</v>
      </c>
      <c r="AE62" s="867">
        <f t="shared" si="40"/>
        <v>544.5</v>
      </c>
      <c r="AF62" s="867">
        <f t="shared" si="41"/>
        <v>544.5</v>
      </c>
      <c r="AG62" s="867">
        <f t="shared" si="42"/>
        <v>544.5</v>
      </c>
    </row>
    <row r="63" spans="1:33">
      <c r="A63" s="921">
        <v>5945</v>
      </c>
      <c r="B63" s="921" t="s">
        <v>2048</v>
      </c>
      <c r="C63" s="1521" t="s">
        <v>1998</v>
      </c>
      <c r="D63" s="1681">
        <v>5945</v>
      </c>
      <c r="E63" s="627">
        <f>VLOOKUP($A63,'O&amp;M per TB'!$B$4:S$375,E$5,FALSE)</f>
        <v>1171.67</v>
      </c>
      <c r="F63" s="627">
        <f>VLOOKUP($A63,'O&amp;M per TB'!$B$4:T$375,F$5,FALSE)</f>
        <v>1272.8800000000001</v>
      </c>
      <c r="G63" s="627">
        <f>VLOOKUP($A63,'O&amp;M per TB'!$B$4:U$375,G$5,FALSE)</f>
        <v>1337.5899999999997</v>
      </c>
      <c r="H63" s="627">
        <f>VLOOKUP($A63,'O&amp;M per TB'!$B$4:V$375,H$5,FALSE)</f>
        <v>1327.2100000000005</v>
      </c>
      <c r="I63" s="627">
        <f>VLOOKUP($A63,'O&amp;M per TB'!$B$4:W$375,I$5,FALSE)</f>
        <v>1306.96</v>
      </c>
      <c r="J63" s="627">
        <f>VLOOKUP($A63,'O&amp;M per TB'!$B$4:X$375,J$5,FALSE)</f>
        <v>1312.21</v>
      </c>
      <c r="K63" s="627">
        <f>VLOOKUP($A63,'O&amp;M per TB'!$B$4:Y$375,K$5,FALSE)</f>
        <v>1315.7199999999993</v>
      </c>
      <c r="L63" s="627">
        <f>VLOOKUP($A63,'O&amp;M per TB'!$B$4:Z$375,L$5,FALSE)</f>
        <v>1236.9099999999999</v>
      </c>
      <c r="M63" s="627">
        <f>VLOOKUP($A63,'O&amp;M per TB'!$B$4:AA$375,M$5,FALSE)</f>
        <v>1200.5</v>
      </c>
      <c r="N63" s="627">
        <f>VLOOKUP($A63,'O&amp;M per TB'!$B$4:AB$375,N$5,FALSE)</f>
        <v>1259.67</v>
      </c>
      <c r="O63" s="627">
        <f>VLOOKUP($A63,'O&amp;M per TB'!$B$4:AC$375,O$5,FALSE)</f>
        <v>1192.3199999999997</v>
      </c>
      <c r="P63" s="627">
        <f>VLOOKUP($A63,'O&amp;M per TB'!$B$4:AD$375,P$5,FALSE)</f>
        <v>1227.1900000000005</v>
      </c>
      <c r="V63" s="1602">
        <f>SUM(V51:V62)</f>
        <v>6948.9500000000007</v>
      </c>
      <c r="W63" s="1602">
        <f>SUM(W51:W62)</f>
        <v>3422.28</v>
      </c>
      <c r="X63" s="1602">
        <f t="shared" ref="X63:AG63" si="43">SUM(X51:X62)</f>
        <v>9896.36</v>
      </c>
      <c r="Y63" s="1602">
        <f t="shared" si="43"/>
        <v>2966.5</v>
      </c>
      <c r="Z63" s="1602">
        <f t="shared" si="43"/>
        <v>7236.76</v>
      </c>
      <c r="AA63" s="1602">
        <f t="shared" si="43"/>
        <v>4363.8599999999988</v>
      </c>
      <c r="AB63" s="1602">
        <f t="shared" si="43"/>
        <v>36355.22</v>
      </c>
      <c r="AC63" s="1602">
        <f t="shared" si="43"/>
        <v>7698.4000000000051</v>
      </c>
      <c r="AD63" s="1602">
        <f t="shared" si="43"/>
        <v>-26523.910000000003</v>
      </c>
      <c r="AE63" s="1602">
        <f t="shared" si="43"/>
        <v>11365.530000000002</v>
      </c>
      <c r="AF63" s="1602">
        <f t="shared" si="43"/>
        <v>6549.5899999999992</v>
      </c>
      <c r="AG63" s="1602">
        <f t="shared" si="43"/>
        <v>6675.119999999999</v>
      </c>
    </row>
    <row r="64" spans="1:33">
      <c r="A64" s="921">
        <v>5950</v>
      </c>
      <c r="B64" s="921" t="s">
        <v>2049</v>
      </c>
      <c r="C64" s="1521" t="s">
        <v>1998</v>
      </c>
      <c r="D64" s="1681">
        <v>5950</v>
      </c>
      <c r="E64" s="627">
        <f>VLOOKUP($A64,'O&amp;M per TB'!$B$4:S$375,E$5,FALSE)</f>
        <v>944.65</v>
      </c>
      <c r="F64" s="627">
        <f>VLOOKUP($A64,'O&amp;M per TB'!$B$4:T$375,F$5,FALSE)</f>
        <v>920.00000000000011</v>
      </c>
      <c r="G64" s="627">
        <f>VLOOKUP($A64,'O&amp;M per TB'!$B$4:U$375,G$5,FALSE)</f>
        <v>886.79999999999973</v>
      </c>
      <c r="H64" s="627">
        <f>VLOOKUP($A64,'O&amp;M per TB'!$B$4:V$375,H$5,FALSE)</f>
        <v>885.88000000000011</v>
      </c>
      <c r="I64" s="627">
        <f>VLOOKUP($A64,'O&amp;M per TB'!$B$4:W$375,I$5,FALSE)</f>
        <v>880.89999999999964</v>
      </c>
      <c r="J64" s="627">
        <f>VLOOKUP($A64,'O&amp;M per TB'!$B$4:X$375,J$5,FALSE)</f>
        <v>892.05000000000018</v>
      </c>
      <c r="K64" s="627">
        <f>VLOOKUP($A64,'O&amp;M per TB'!$B$4:Y$375,K$5,FALSE)</f>
        <v>938</v>
      </c>
      <c r="L64" s="627">
        <f>VLOOKUP($A64,'O&amp;M per TB'!$B$4:Z$375,L$5,FALSE)</f>
        <v>988.61000000000058</v>
      </c>
      <c r="M64" s="627">
        <f>VLOOKUP($A64,'O&amp;M per TB'!$B$4:AA$375,M$5,FALSE)</f>
        <v>1022.21</v>
      </c>
      <c r="N64" s="627">
        <f>VLOOKUP($A64,'O&amp;M per TB'!$B$4:AB$375,N$5,FALSE)</f>
        <v>1038.0499999999993</v>
      </c>
      <c r="O64" s="627">
        <f>VLOOKUP($A64,'O&amp;M per TB'!$B$4:AC$375,O$5,FALSE)</f>
        <v>1013.630000000001</v>
      </c>
      <c r="P64" s="627">
        <f>VLOOKUP($A64,'O&amp;M per TB'!$B$4:AD$375,P$5,FALSE)</f>
        <v>2008.7799999999988</v>
      </c>
    </row>
    <row r="65" spans="1:33">
      <c r="A65" s="921">
        <v>5955</v>
      </c>
      <c r="B65" s="921" t="s">
        <v>2050</v>
      </c>
      <c r="C65" s="1521" t="s">
        <v>1998</v>
      </c>
      <c r="D65" s="1681">
        <v>5955</v>
      </c>
      <c r="E65" s="627">
        <f>VLOOKUP($A65,'O&amp;M per TB'!$B$4:S$375,E$5,FALSE)</f>
        <v>21.01</v>
      </c>
      <c r="F65" s="627">
        <f>VLOOKUP($A65,'O&amp;M per TB'!$B$4:T$375,F$5,FALSE)</f>
        <v>29.37</v>
      </c>
      <c r="G65" s="627">
        <f>VLOOKUP($A65,'O&amp;M per TB'!$B$4:U$375,G$5,FALSE)</f>
        <v>20.9</v>
      </c>
      <c r="H65" s="627">
        <f>VLOOKUP($A65,'O&amp;M per TB'!$B$4:V$375,H$5,FALSE)</f>
        <v>20.879999999999995</v>
      </c>
      <c r="I65" s="627">
        <f>VLOOKUP($A65,'O&amp;M per TB'!$B$4:W$375,I$5,FALSE)</f>
        <v>20.850000000000009</v>
      </c>
      <c r="J65" s="627">
        <f>VLOOKUP($A65,'O&amp;M per TB'!$B$4:X$375,J$5,FALSE)</f>
        <v>136.37</v>
      </c>
      <c r="K65" s="627">
        <f>VLOOKUP($A65,'O&amp;M per TB'!$B$4:Y$375,K$5,FALSE)</f>
        <v>90.82</v>
      </c>
      <c r="L65" s="627">
        <f>VLOOKUP($A65,'O&amp;M per TB'!$B$4:Z$375,L$5,FALSE)</f>
        <v>29.100000000000023</v>
      </c>
      <c r="M65" s="627">
        <f>VLOOKUP($A65,'O&amp;M per TB'!$B$4:AA$375,M$5,FALSE)</f>
        <v>20.769999999999982</v>
      </c>
      <c r="N65" s="627">
        <f>VLOOKUP($A65,'O&amp;M per TB'!$B$4:AB$375,N$5,FALSE)</f>
        <v>162.07</v>
      </c>
      <c r="O65" s="627">
        <f>VLOOKUP($A65,'O&amp;M per TB'!$B$4:AC$375,O$5,FALSE)</f>
        <v>20.730000000000018</v>
      </c>
      <c r="P65" s="627">
        <f>VLOOKUP($A65,'O&amp;M per TB'!$B$4:AD$375,P$5,FALSE)</f>
        <v>102.82000000000005</v>
      </c>
      <c r="R65" s="921">
        <v>6020</v>
      </c>
      <c r="S65" s="921" t="s">
        <v>2051</v>
      </c>
      <c r="T65" s="922" t="s">
        <v>2052</v>
      </c>
      <c r="U65" s="922"/>
      <c r="V65" s="1602">
        <f>VLOOKUP($R65,$D$7:$E$124,2,FALSE)</f>
        <v>0</v>
      </c>
      <c r="W65" s="1602">
        <f t="shared" ref="W65:W68" si="44">VLOOKUP($R65,$D$7:$P$124,3,FALSE)</f>
        <v>0</v>
      </c>
      <c r="X65" s="1602">
        <f>VLOOKUP($R65,$D$7:$P$124,4,FALSE)</f>
        <v>0</v>
      </c>
      <c r="Y65" s="1602">
        <f>VLOOKUP($R65,$D$7:$P$124,5,FALSE)</f>
        <v>0</v>
      </c>
      <c r="Z65" s="1602">
        <f>VLOOKUP($R65,$D$7:$P$124,6,FALSE)</f>
        <v>0</v>
      </c>
      <c r="AA65" s="1602">
        <f>VLOOKUP($R65,$D$7:$P$124,7,FALSE)</f>
        <v>0</v>
      </c>
      <c r="AB65" s="1602">
        <f>VLOOKUP($R65,$D$7:$P$124,8,FALSE)</f>
        <v>0</v>
      </c>
      <c r="AC65" s="1602">
        <f>VLOOKUP($R65,$D$7:$P$124,9,FALSE)</f>
        <v>151.56</v>
      </c>
      <c r="AD65" s="1602">
        <f>VLOOKUP($R65,$D$7:$P$124,10,FALSE)</f>
        <v>-151.42000000000002</v>
      </c>
      <c r="AE65" s="1602">
        <f>VLOOKUP($R65,$D$7:$P$124,11,FALSE)</f>
        <v>0</v>
      </c>
      <c r="AF65" s="1602">
        <f>VLOOKUP($R65,$D$7:$P$124,12,FALSE)</f>
        <v>2380.2000000000003</v>
      </c>
      <c r="AG65" s="1602">
        <f>VLOOKUP($R65,$D$7:$P$124,13,FALSE)</f>
        <v>4425.6399999999994</v>
      </c>
    </row>
    <row r="66" spans="1:33">
      <c r="A66" s="921">
        <v>5960</v>
      </c>
      <c r="B66" s="921" t="s">
        <v>2053</v>
      </c>
      <c r="C66" s="1521" t="s">
        <v>1998</v>
      </c>
      <c r="D66" s="1681">
        <v>5960</v>
      </c>
      <c r="E66" s="627">
        <f>VLOOKUP($A66,'O&amp;M per TB'!$B$4:S$375,E$5,FALSE)</f>
        <v>70.650000000000006</v>
      </c>
      <c r="F66" s="627">
        <f>VLOOKUP($A66,'O&amp;M per TB'!$B$4:T$375,F$5,FALSE)</f>
        <v>4.5699999999999932</v>
      </c>
      <c r="G66" s="627">
        <f>VLOOKUP($A66,'O&amp;M per TB'!$B$4:U$375,G$5,FALSE)</f>
        <v>653.42999999999995</v>
      </c>
      <c r="H66" s="627">
        <f>VLOOKUP($A66,'O&amp;M per TB'!$B$4:V$375,H$5,FALSE)</f>
        <v>267.32000000000005</v>
      </c>
      <c r="I66" s="627">
        <f>VLOOKUP($A66,'O&amp;M per TB'!$B$4:W$375,I$5,FALSE)</f>
        <v>0</v>
      </c>
      <c r="J66" s="627">
        <f>VLOOKUP($A66,'O&amp;M per TB'!$B$4:X$375,J$5,FALSE)</f>
        <v>217.44000000000005</v>
      </c>
      <c r="K66" s="627">
        <f>VLOOKUP($A66,'O&amp;M per TB'!$B$4:Y$375,K$5,FALSE)</f>
        <v>262.54999999999995</v>
      </c>
      <c r="L66" s="627">
        <f>VLOOKUP($A66,'O&amp;M per TB'!$B$4:Z$375,L$5,FALSE)</f>
        <v>217.44000000000005</v>
      </c>
      <c r="M66" s="627">
        <f>VLOOKUP($A66,'O&amp;M per TB'!$B$4:AA$375,M$5,FALSE)</f>
        <v>0</v>
      </c>
      <c r="N66" s="627">
        <f>VLOOKUP($A66,'O&amp;M per TB'!$B$4:AB$375,N$5,FALSE)</f>
        <v>479.69000000000005</v>
      </c>
      <c r="O66" s="627">
        <f>VLOOKUP($A66,'O&amp;M per TB'!$B$4:AC$375,O$5,FALSE)</f>
        <v>219.57999999999993</v>
      </c>
      <c r="P66" s="627">
        <f>VLOOKUP($A66,'O&amp;M per TB'!$B$4:AD$375,P$5,FALSE)</f>
        <v>0</v>
      </c>
    </row>
    <row r="67" spans="1:33">
      <c r="A67" s="921">
        <v>5965</v>
      </c>
      <c r="B67" s="921" t="s">
        <v>2054</v>
      </c>
      <c r="C67" s="1521" t="s">
        <v>1998</v>
      </c>
      <c r="D67" s="1681">
        <v>5965</v>
      </c>
      <c r="E67" s="627">
        <f>VLOOKUP($A67,'O&amp;M per TB'!$B$4:S$375,E$5,FALSE)</f>
        <v>41</v>
      </c>
      <c r="F67" s="627">
        <f>VLOOKUP($A67,'O&amp;M per TB'!$B$4:T$375,F$5,FALSE)</f>
        <v>63.510000000000005</v>
      </c>
      <c r="G67" s="627">
        <f>VLOOKUP($A67,'O&amp;M per TB'!$B$4:U$375,G$5,FALSE)</f>
        <v>91.2</v>
      </c>
      <c r="H67" s="627">
        <f>VLOOKUP($A67,'O&amp;M per TB'!$B$4:V$375,H$5,FALSE)</f>
        <v>544.31999999999994</v>
      </c>
      <c r="I67" s="627">
        <f>VLOOKUP($A67,'O&amp;M per TB'!$B$4:W$375,I$5,FALSE)</f>
        <v>110.08000000000004</v>
      </c>
      <c r="J67" s="627">
        <f>VLOOKUP($A67,'O&amp;M per TB'!$B$4:X$375,J$5,FALSE)</f>
        <v>122.03999999999996</v>
      </c>
      <c r="K67" s="627">
        <f>VLOOKUP($A67,'O&amp;M per TB'!$B$4:Y$375,K$5,FALSE)</f>
        <v>47.029999999999973</v>
      </c>
      <c r="L67" s="627">
        <f>VLOOKUP($A67,'O&amp;M per TB'!$B$4:Z$375,L$5,FALSE)</f>
        <v>124.83000000000004</v>
      </c>
      <c r="M67" s="627">
        <f>VLOOKUP($A67,'O&amp;M per TB'!$B$4:AA$375,M$5,FALSE)</f>
        <v>112.02999999999997</v>
      </c>
      <c r="N67" s="627">
        <f>VLOOKUP($A67,'O&amp;M per TB'!$B$4:AB$375,N$5,FALSE)</f>
        <v>91.840000000000146</v>
      </c>
      <c r="O67" s="627">
        <f>VLOOKUP($A67,'O&amp;M per TB'!$B$4:AC$375,O$5,FALSE)</f>
        <v>145.32999999999993</v>
      </c>
      <c r="P67" s="627">
        <f>VLOOKUP($A67,'O&amp;M per TB'!$B$4:AD$375,P$5,FALSE)</f>
        <v>101.96000000000004</v>
      </c>
      <c r="R67" s="921">
        <v>6010</v>
      </c>
      <c r="S67" s="921" t="s">
        <v>2055</v>
      </c>
      <c r="T67" s="922" t="s">
        <v>2056</v>
      </c>
      <c r="U67" s="922"/>
      <c r="V67" s="867">
        <f t="shared" ref="V67:V68" si="45">VLOOKUP($R67,$D$7:$E$124,2,FALSE)</f>
        <v>274.2</v>
      </c>
      <c r="W67" s="867">
        <f t="shared" si="44"/>
        <v>285.08999999999997</v>
      </c>
      <c r="X67" s="867">
        <f>VLOOKUP($R67,$D$7:$P$124,4,FALSE)</f>
        <v>273.31000000000006</v>
      </c>
      <c r="Y67" s="867">
        <f>VLOOKUP($R67,$D$7:$P$124,5,FALSE)</f>
        <v>271.7299999999999</v>
      </c>
      <c r="Z67" s="867">
        <f>VLOOKUP($R67,$D$7:$P$124,6,FALSE)</f>
        <v>271.3900000000001</v>
      </c>
      <c r="AA67" s="867">
        <f>VLOOKUP($R67,$D$7:$P$124,7,FALSE)</f>
        <v>271.43000000000006</v>
      </c>
      <c r="AB67" s="867">
        <f>VLOOKUP($R67,$D$7:$P$124,8,FALSE)</f>
        <v>393.79999999999995</v>
      </c>
      <c r="AC67" s="867">
        <f>VLOOKUP($R67,$D$7:$P$124,9,FALSE)</f>
        <v>393.24</v>
      </c>
      <c r="AD67" s="867">
        <f>VLOOKUP($R67,$D$7:$P$124,10,FALSE)</f>
        <v>389.57999999999993</v>
      </c>
      <c r="AE67" s="867">
        <f>VLOOKUP($R67,$D$7:$P$124,11,FALSE)</f>
        <v>389.49000000000024</v>
      </c>
      <c r="AF67" s="867">
        <f>VLOOKUP($R67,$D$7:$P$124,12,FALSE)</f>
        <v>534.02999999999975</v>
      </c>
      <c r="AG67" s="867">
        <f>VLOOKUP($R67,$D$7:$P$124,13,FALSE)</f>
        <v>573.48999999999978</v>
      </c>
    </row>
    <row r="68" spans="1:33">
      <c r="A68" s="921">
        <v>5970</v>
      </c>
      <c r="B68" s="921" t="s">
        <v>2057</v>
      </c>
      <c r="C68" s="1521" t="s">
        <v>1998</v>
      </c>
      <c r="D68" s="1681">
        <v>5970</v>
      </c>
      <c r="E68" s="627">
        <f>VLOOKUP($A68,'O&amp;M per TB'!$B$4:S$375,E$5,FALSE)</f>
        <v>51.2</v>
      </c>
      <c r="F68" s="627">
        <f>VLOOKUP($A68,'O&amp;M per TB'!$B$4:T$375,F$5,FALSE)</f>
        <v>50.86</v>
      </c>
      <c r="G68" s="627">
        <f>VLOOKUP($A68,'O&amp;M per TB'!$B$4:U$375,G$5,FALSE)</f>
        <v>50.72999999999999</v>
      </c>
      <c r="H68" s="627">
        <f>VLOOKUP($A68,'O&amp;M per TB'!$B$4:V$375,H$5,FALSE)</f>
        <v>50.800000000000011</v>
      </c>
      <c r="I68" s="627">
        <f>VLOOKUP($A68,'O&amp;M per TB'!$B$4:W$375,I$5,FALSE)</f>
        <v>50.72999999999999</v>
      </c>
      <c r="J68" s="627">
        <f>VLOOKUP($A68,'O&amp;M per TB'!$B$4:X$375,J$5,FALSE)</f>
        <v>50.70999999999998</v>
      </c>
      <c r="K68" s="627">
        <f>VLOOKUP($A68,'O&amp;M per TB'!$B$4:Y$375,K$5,FALSE)</f>
        <v>50.660000000000025</v>
      </c>
      <c r="L68" s="627">
        <f>VLOOKUP($A68,'O&amp;M per TB'!$B$4:Z$375,L$5,FALSE)</f>
        <v>50.589999999999975</v>
      </c>
      <c r="M68" s="627">
        <f>VLOOKUP($A68,'O&amp;M per TB'!$B$4:AA$375,M$5,FALSE)</f>
        <v>50.29000000000002</v>
      </c>
      <c r="N68" s="627">
        <f>VLOOKUP($A68,'O&amp;M per TB'!$B$4:AB$375,N$5,FALSE)</f>
        <v>50.269999999999982</v>
      </c>
      <c r="O68" s="627">
        <f>VLOOKUP($A68,'O&amp;M per TB'!$B$4:AC$375,O$5,FALSE)</f>
        <v>80.300000000000011</v>
      </c>
      <c r="P68" s="627">
        <f>VLOOKUP($A68,'O&amp;M per TB'!$B$4:AD$375,P$5,FALSE)</f>
        <v>50.159999999999968</v>
      </c>
      <c r="R68" s="921">
        <v>6040</v>
      </c>
      <c r="S68" s="921" t="s">
        <v>2058</v>
      </c>
      <c r="T68" s="922" t="s">
        <v>2056</v>
      </c>
      <c r="U68" s="922"/>
      <c r="V68" s="867">
        <f t="shared" si="45"/>
        <v>395.26</v>
      </c>
      <c r="W68" s="867">
        <f t="shared" si="44"/>
        <v>391.27</v>
      </c>
      <c r="X68" s="867">
        <f>VLOOKUP($R68,$D$7:$P$124,4,FALSE)</f>
        <v>436.87000000000012</v>
      </c>
      <c r="Y68" s="867">
        <f>VLOOKUP($R68,$D$7:$P$124,5,FALSE)</f>
        <v>391.70999999999981</v>
      </c>
      <c r="Z68" s="867">
        <f>VLOOKUP($R68,$D$7:$P$124,6,FALSE)</f>
        <v>391.21000000000004</v>
      </c>
      <c r="AA68" s="867">
        <f>VLOOKUP($R68,$D$7:$P$124,7,FALSE)</f>
        <v>391.26</v>
      </c>
      <c r="AB68" s="867">
        <f>VLOOKUP($R68,$D$7:$P$124,8,FALSE)</f>
        <v>390.73</v>
      </c>
      <c r="AC68" s="867">
        <f>VLOOKUP($R68,$D$7:$P$124,9,FALSE)</f>
        <v>390.17999999999984</v>
      </c>
      <c r="AD68" s="867">
        <f>VLOOKUP($R68,$D$7:$P$124,10,FALSE)</f>
        <v>386.55000000000018</v>
      </c>
      <c r="AE68" s="867">
        <f>VLOOKUP($R68,$D$7:$P$124,11,FALSE)</f>
        <v>386.46000000000004</v>
      </c>
      <c r="AF68" s="867">
        <f>VLOOKUP($R68,$D$7:$P$124,12,FALSE)</f>
        <v>385.94999999999982</v>
      </c>
      <c r="AG68" s="867">
        <f>VLOOKUP($R68,$D$7:$P$124,13,FALSE)</f>
        <v>348.80000000000018</v>
      </c>
    </row>
    <row r="69" spans="1:33">
      <c r="A69" s="921">
        <v>5975</v>
      </c>
      <c r="B69" s="921" t="s">
        <v>2059</v>
      </c>
      <c r="C69" s="1521" t="s">
        <v>1998</v>
      </c>
      <c r="D69" s="1681">
        <v>5975</v>
      </c>
      <c r="E69" s="627">
        <f>VLOOKUP($A69,'O&amp;M per TB'!$B$4:S$375,E$5,FALSE)</f>
        <v>0</v>
      </c>
      <c r="F69" s="627">
        <f>VLOOKUP($A69,'O&amp;M per TB'!$B$4:T$375,F$5,FALSE)</f>
        <v>15.51</v>
      </c>
      <c r="G69" s="627">
        <f>VLOOKUP($A69,'O&amp;M per TB'!$B$4:U$375,G$5,FALSE)</f>
        <v>-13.43</v>
      </c>
      <c r="H69" s="627">
        <f>VLOOKUP($A69,'O&amp;M per TB'!$B$4:V$375,H$5,FALSE)</f>
        <v>0</v>
      </c>
      <c r="I69" s="627">
        <f>VLOOKUP($A69,'O&amp;M per TB'!$B$4:W$375,I$5,FALSE)</f>
        <v>32.89</v>
      </c>
      <c r="J69" s="627">
        <f>VLOOKUP($A69,'O&amp;M per TB'!$B$4:X$375,J$5,FALSE)</f>
        <v>0</v>
      </c>
      <c r="K69" s="627">
        <f>VLOOKUP($A69,'O&amp;M per TB'!$B$4:Y$375,K$5,FALSE)</f>
        <v>21.230000000000004</v>
      </c>
      <c r="L69" s="627">
        <f>VLOOKUP($A69,'O&amp;M per TB'!$B$4:Z$375,L$5,FALSE)</f>
        <v>18.739999999999995</v>
      </c>
      <c r="M69" s="627">
        <f>VLOOKUP($A69,'O&amp;M per TB'!$B$4:AA$375,M$5,FALSE)</f>
        <v>0</v>
      </c>
      <c r="N69" s="627">
        <f>VLOOKUP($A69,'O&amp;M per TB'!$B$4:AB$375,N$5,FALSE)</f>
        <v>0</v>
      </c>
      <c r="O69" s="627">
        <f>VLOOKUP($A69,'O&amp;M per TB'!$B$4:AC$375,O$5,FALSE)</f>
        <v>91.56</v>
      </c>
      <c r="P69" s="627">
        <f>VLOOKUP($A69,'O&amp;M per TB'!$B$4:AD$375,P$5,FALSE)</f>
        <v>0</v>
      </c>
      <c r="V69" s="1602">
        <f>SUM(V67:V68)</f>
        <v>669.46</v>
      </c>
      <c r="W69" s="1602">
        <f>SUM(W67:W68)</f>
        <v>676.3599999999999</v>
      </c>
      <c r="X69" s="1602">
        <f t="shared" ref="X69:AG69" si="46">SUM(X67:X68)</f>
        <v>710.18000000000018</v>
      </c>
      <c r="Y69" s="1602">
        <f t="shared" si="46"/>
        <v>663.43999999999971</v>
      </c>
      <c r="Z69" s="1602">
        <f t="shared" si="46"/>
        <v>662.60000000000014</v>
      </c>
      <c r="AA69" s="1602">
        <f t="shared" si="46"/>
        <v>662.69</v>
      </c>
      <c r="AB69" s="1602">
        <f t="shared" si="46"/>
        <v>784.53</v>
      </c>
      <c r="AC69" s="1602">
        <f t="shared" si="46"/>
        <v>783.41999999999985</v>
      </c>
      <c r="AD69" s="1602">
        <f t="shared" si="46"/>
        <v>776.13000000000011</v>
      </c>
      <c r="AE69" s="1602">
        <f t="shared" si="46"/>
        <v>775.95000000000027</v>
      </c>
      <c r="AF69" s="1602">
        <f t="shared" si="46"/>
        <v>919.97999999999956</v>
      </c>
      <c r="AG69" s="1602">
        <f t="shared" si="46"/>
        <v>922.29</v>
      </c>
    </row>
    <row r="70" spans="1:33">
      <c r="A70" s="921">
        <v>5980</v>
      </c>
      <c r="B70" s="921" t="s">
        <v>2060</v>
      </c>
      <c r="C70" s="1521" t="s">
        <v>1998</v>
      </c>
      <c r="D70" s="1681">
        <v>5980</v>
      </c>
      <c r="E70" s="627">
        <f>VLOOKUP($A70,'O&amp;M per TB'!$B$4:S$375,E$5,FALSE)</f>
        <v>0</v>
      </c>
      <c r="F70" s="627">
        <f>VLOOKUP($A70,'O&amp;M per TB'!$B$4:T$375,F$5,FALSE)</f>
        <v>0</v>
      </c>
      <c r="G70" s="627">
        <f>VLOOKUP($A70,'O&amp;M per TB'!$B$4:U$375,G$5,FALSE)</f>
        <v>0.67</v>
      </c>
      <c r="H70" s="627">
        <f>VLOOKUP($A70,'O&amp;M per TB'!$B$4:V$375,H$5,FALSE)</f>
        <v>0</v>
      </c>
      <c r="I70" s="627">
        <f>VLOOKUP($A70,'O&amp;M per TB'!$B$4:W$375,I$5,FALSE)</f>
        <v>0</v>
      </c>
      <c r="J70" s="627">
        <f>VLOOKUP($A70,'O&amp;M per TB'!$B$4:X$375,J$5,FALSE)</f>
        <v>0.66</v>
      </c>
      <c r="K70" s="627">
        <f>VLOOKUP($A70,'O&amp;M per TB'!$B$4:Y$375,K$5,FALSE)</f>
        <v>0</v>
      </c>
      <c r="L70" s="627">
        <f>VLOOKUP($A70,'O&amp;M per TB'!$B$4:Z$375,L$5,FALSE)</f>
        <v>0</v>
      </c>
      <c r="M70" s="627">
        <f>VLOOKUP($A70,'O&amp;M per TB'!$B$4:AA$375,M$5,FALSE)</f>
        <v>0.53</v>
      </c>
      <c r="N70" s="627">
        <f>VLOOKUP($A70,'O&amp;M per TB'!$B$4:AB$375,N$5,FALSE)</f>
        <v>0</v>
      </c>
      <c r="O70" s="627">
        <f>VLOOKUP($A70,'O&amp;M per TB'!$B$4:AC$375,O$5,FALSE)</f>
        <v>0</v>
      </c>
      <c r="P70" s="627">
        <f>VLOOKUP($A70,'O&amp;M per TB'!$B$4:AD$375,P$5,FALSE)</f>
        <v>-98.8</v>
      </c>
    </row>
    <row r="71" spans="1:33">
      <c r="A71" s="921">
        <v>5985</v>
      </c>
      <c r="B71" s="921" t="s">
        <v>2061</v>
      </c>
      <c r="C71" s="1521" t="s">
        <v>1998</v>
      </c>
      <c r="D71" s="1681">
        <v>5985</v>
      </c>
      <c r="E71" s="627"/>
      <c r="F71" s="627"/>
      <c r="G71" s="627"/>
      <c r="H71" s="627"/>
      <c r="I71" s="627"/>
      <c r="J71" s="627"/>
      <c r="K71" s="627"/>
      <c r="L71" s="627"/>
      <c r="M71" s="627"/>
      <c r="N71" s="627"/>
      <c r="O71" s="627"/>
      <c r="P71" s="627"/>
      <c r="R71" s="921">
        <v>6025</v>
      </c>
      <c r="S71" s="921" t="s">
        <v>2062</v>
      </c>
      <c r="T71" s="922" t="s">
        <v>2063</v>
      </c>
      <c r="U71" s="922"/>
      <c r="V71" s="1602">
        <f>VLOOKUP($R71,$D$7:$E$124,2,FALSE)</f>
        <v>0</v>
      </c>
      <c r="W71" s="1602">
        <f t="shared" ref="W71" si="47">VLOOKUP($R71,$D$7:$P$124,3,FALSE)</f>
        <v>7.44</v>
      </c>
      <c r="X71" s="1602">
        <f>VLOOKUP($R71,$D$7:$P$124,4,FALSE)</f>
        <v>0</v>
      </c>
      <c r="Y71" s="1602">
        <f>VLOOKUP($R71,$D$7:$P$124,5,FALSE)</f>
        <v>0</v>
      </c>
      <c r="Z71" s="1602">
        <f>VLOOKUP($R71,$D$7:$P$124,6,FALSE)</f>
        <v>0</v>
      </c>
      <c r="AA71" s="1602">
        <f>VLOOKUP($R71,$D$7:$P$124,7,FALSE)</f>
        <v>0</v>
      </c>
      <c r="AB71" s="1602">
        <f>VLOOKUP($R71,$D$7:$P$124,8,FALSE)</f>
        <v>0</v>
      </c>
      <c r="AC71" s="1602">
        <f>VLOOKUP($R71,$D$7:$P$124,9,FALSE)</f>
        <v>-310.89999999999998</v>
      </c>
      <c r="AD71" s="1602">
        <f>VLOOKUP($R71,$D$7:$P$124,10,FALSE)</f>
        <v>0</v>
      </c>
      <c r="AE71" s="1602">
        <f>VLOOKUP($R71,$D$7:$P$124,11,FALSE)</f>
        <v>26.70999999999998</v>
      </c>
      <c r="AF71" s="1602">
        <f>VLOOKUP($R71,$D$7:$P$124,12,FALSE)</f>
        <v>0</v>
      </c>
      <c r="AG71" s="1602">
        <f>VLOOKUP($R71,$D$7:$P$124,13,FALSE)</f>
        <v>168.91</v>
      </c>
    </row>
    <row r="72" spans="1:33">
      <c r="A72" s="921">
        <v>6010</v>
      </c>
      <c r="B72" s="921" t="s">
        <v>2055</v>
      </c>
      <c r="C72" s="1521" t="s">
        <v>2056</v>
      </c>
      <c r="D72" s="1681">
        <v>6010</v>
      </c>
      <c r="E72" s="627">
        <f>VLOOKUP($A72,'O&amp;M per TB'!$B$4:S$375,E$5,FALSE)</f>
        <v>274.2</v>
      </c>
      <c r="F72" s="627">
        <f>VLOOKUP($A72,'O&amp;M per TB'!$B$4:T$375,F$5,FALSE)</f>
        <v>285.08999999999997</v>
      </c>
      <c r="G72" s="627">
        <f>VLOOKUP($A72,'O&amp;M per TB'!$B$4:U$375,G$5,FALSE)</f>
        <v>273.31000000000006</v>
      </c>
      <c r="H72" s="627">
        <f>VLOOKUP($A72,'O&amp;M per TB'!$B$4:V$375,H$5,FALSE)</f>
        <v>271.7299999999999</v>
      </c>
      <c r="I72" s="627">
        <f>VLOOKUP($A72,'O&amp;M per TB'!$B$4:W$375,I$5,FALSE)</f>
        <v>271.3900000000001</v>
      </c>
      <c r="J72" s="627">
        <f>VLOOKUP($A72,'O&amp;M per TB'!$B$4:X$375,J$5,FALSE)</f>
        <v>271.43000000000006</v>
      </c>
      <c r="K72" s="627">
        <f>VLOOKUP($A72,'O&amp;M per TB'!$B$4:Y$375,K$5,FALSE)</f>
        <v>393.79999999999995</v>
      </c>
      <c r="L72" s="627">
        <f>VLOOKUP($A72,'O&amp;M per TB'!$B$4:Z$375,L$5,FALSE)</f>
        <v>393.24</v>
      </c>
      <c r="M72" s="627">
        <f>VLOOKUP($A72,'O&amp;M per TB'!$B$4:AA$375,M$5,FALSE)</f>
        <v>389.57999999999993</v>
      </c>
      <c r="N72" s="627">
        <f>VLOOKUP($A72,'O&amp;M per TB'!$B$4:AB$375,N$5,FALSE)</f>
        <v>389.49000000000024</v>
      </c>
      <c r="O72" s="627">
        <f>VLOOKUP($A72,'O&amp;M per TB'!$B$4:AC$375,O$5,FALSE)</f>
        <v>534.02999999999975</v>
      </c>
      <c r="P72" s="627">
        <f>VLOOKUP($A72,'O&amp;M per TB'!$B$4:AD$375,P$5,FALSE)</f>
        <v>573.48999999999978</v>
      </c>
    </row>
    <row r="73" spans="1:33">
      <c r="A73" s="921">
        <v>6015</v>
      </c>
      <c r="B73" s="921" t="s">
        <v>2064</v>
      </c>
      <c r="C73" s="1521" t="s">
        <v>1981</v>
      </c>
      <c r="D73" s="1681">
        <v>6015</v>
      </c>
      <c r="E73" s="627">
        <f>VLOOKUP($A73,'O&amp;M per TB'!$B$4:S$375,E$5,FALSE)</f>
        <v>2.0299999999999998</v>
      </c>
      <c r="F73" s="627">
        <f>VLOOKUP($A73,'O&amp;M per TB'!$B$4:T$375,F$5,FALSE)</f>
        <v>0.2200000000000002</v>
      </c>
      <c r="G73" s="627">
        <f>VLOOKUP($A73,'O&amp;M per TB'!$B$4:U$375,G$5,FALSE)</f>
        <v>1.62</v>
      </c>
      <c r="H73" s="627">
        <f>VLOOKUP($A73,'O&amp;M per TB'!$B$4:V$375,H$5,FALSE)</f>
        <v>0</v>
      </c>
      <c r="I73" s="627">
        <f>VLOOKUP($A73,'O&amp;M per TB'!$B$4:W$375,I$5,FALSE)</f>
        <v>0.30999999999999961</v>
      </c>
      <c r="J73" s="627">
        <f>VLOOKUP($A73,'O&amp;M per TB'!$B$4:X$375,J$5,FALSE)</f>
        <v>0</v>
      </c>
      <c r="K73" s="627">
        <f>VLOOKUP($A73,'O&amp;M per TB'!$B$4:Y$375,K$5,FALSE)</f>
        <v>0.3100000000000005</v>
      </c>
      <c r="L73" s="627">
        <f>VLOOKUP($A73,'O&amp;M per TB'!$B$4:Z$375,L$5,FALSE)</f>
        <v>0</v>
      </c>
      <c r="M73" s="627">
        <f>VLOOKUP($A73,'O&amp;M per TB'!$B$4:AA$375,M$5,FALSE)</f>
        <v>0.29999999999999982</v>
      </c>
      <c r="N73" s="627">
        <f>VLOOKUP($A73,'O&amp;M per TB'!$B$4:AB$375,N$5,FALSE)</f>
        <v>0</v>
      </c>
      <c r="O73" s="627">
        <f>VLOOKUP($A73,'O&amp;M per TB'!$B$4:AC$375,O$5,FALSE)</f>
        <v>14.54</v>
      </c>
      <c r="P73" s="627">
        <f>VLOOKUP($A73,'O&amp;M per TB'!$B$4:AD$375,P$5,FALSE)</f>
        <v>0</v>
      </c>
      <c r="R73" s="921">
        <v>5495</v>
      </c>
      <c r="S73" s="921" t="s">
        <v>1980</v>
      </c>
      <c r="T73" s="922" t="s">
        <v>1981</v>
      </c>
      <c r="U73" s="922"/>
      <c r="V73" s="867">
        <f t="shared" ref="V73" si="48">VLOOKUP($R73,$D$7:$E$124,2,FALSE)</f>
        <v>583.41</v>
      </c>
      <c r="W73" s="867">
        <f t="shared" ref="W73" si="49">VLOOKUP($R73,$D$7:$P$124,3,FALSE)</f>
        <v>1031.04</v>
      </c>
      <c r="X73" s="867">
        <f t="shared" ref="X73" si="50">VLOOKUP($R73,$D$7:$P$124,4,FALSE)</f>
        <v>573.83999999999992</v>
      </c>
      <c r="Y73" s="867">
        <f t="shared" ref="Y73" si="51">VLOOKUP($R73,$D$7:$P$124,5,FALSE)</f>
        <v>1027.44</v>
      </c>
      <c r="Z73" s="867">
        <f t="shared" ref="Z73" si="52">VLOOKUP($R73,$D$7:$P$124,6,FALSE)</f>
        <v>583.92000000000007</v>
      </c>
      <c r="AA73" s="867">
        <f t="shared" ref="AA73" si="53">VLOOKUP($R73,$D$7:$P$124,7,FALSE)</f>
        <v>1035.3600000000001</v>
      </c>
      <c r="AB73" s="867">
        <f t="shared" ref="AB73" si="54">VLOOKUP($R73,$D$7:$P$124,8,FALSE)</f>
        <v>591.84000000000015</v>
      </c>
      <c r="AC73" s="867">
        <f t="shared" ref="AC73" si="55">VLOOKUP($R73,$D$7:$P$124,9,FALSE)</f>
        <v>1031.04</v>
      </c>
      <c r="AD73" s="867">
        <f t="shared" ref="AD73" si="56">VLOOKUP($R73,$D$7:$P$124,10,FALSE)</f>
        <v>578.88000000000011</v>
      </c>
      <c r="AE73" s="867">
        <f t="shared" ref="AE73" si="57">VLOOKUP($R73,$D$7:$P$124,11,FALSE)</f>
        <v>1034.6399999999994</v>
      </c>
      <c r="AF73" s="867">
        <f t="shared" ref="AF73" si="58">VLOOKUP($R73,$D$7:$P$124,12,FALSE)</f>
        <v>573.84000000000015</v>
      </c>
      <c r="AG73" s="867">
        <f t="shared" ref="AG73" si="59">VLOOKUP($R73,$D$7:$P$124,13,FALSE)</f>
        <v>1025.2800000000007</v>
      </c>
    </row>
    <row r="74" spans="1:33">
      <c r="A74" s="921">
        <v>6020</v>
      </c>
      <c r="B74" s="921" t="s">
        <v>2051</v>
      </c>
      <c r="C74" s="1521" t="s">
        <v>2052</v>
      </c>
      <c r="D74" s="1681">
        <v>6020</v>
      </c>
      <c r="E74" s="627">
        <f>VLOOKUP($A74,'O&amp;M per TB'!$B$4:S$375,E$5,FALSE)</f>
        <v>0</v>
      </c>
      <c r="F74" s="627">
        <f>VLOOKUP($A74,'O&amp;M per TB'!$B$4:T$375,F$5,FALSE)</f>
        <v>0</v>
      </c>
      <c r="G74" s="627">
        <f>VLOOKUP($A74,'O&amp;M per TB'!$B$4:U$375,G$5,FALSE)</f>
        <v>0</v>
      </c>
      <c r="H74" s="627">
        <f>VLOOKUP($A74,'O&amp;M per TB'!$B$4:V$375,H$5,FALSE)</f>
        <v>0</v>
      </c>
      <c r="I74" s="627">
        <f>VLOOKUP($A74,'O&amp;M per TB'!$B$4:W$375,I$5,FALSE)</f>
        <v>0</v>
      </c>
      <c r="J74" s="627">
        <f>VLOOKUP($A74,'O&amp;M per TB'!$B$4:X$375,J$5,FALSE)</f>
        <v>0</v>
      </c>
      <c r="K74" s="627">
        <f>VLOOKUP($A74,'O&amp;M per TB'!$B$4:Y$375,K$5,FALSE)</f>
        <v>0</v>
      </c>
      <c r="L74" s="627">
        <f>VLOOKUP($A74,'O&amp;M per TB'!$B$4:Z$375,L$5,FALSE)</f>
        <v>151.56</v>
      </c>
      <c r="M74" s="627">
        <f>VLOOKUP($A74,'O&amp;M per TB'!$B$4:AA$375,M$5,FALSE)</f>
        <v>-151.42000000000002</v>
      </c>
      <c r="N74" s="627">
        <f>VLOOKUP($A74,'O&amp;M per TB'!$B$4:AB$375,N$5,FALSE)</f>
        <v>0</v>
      </c>
      <c r="O74" s="627">
        <f>VLOOKUP($A74,'O&amp;M per TB'!$B$4:AC$375,O$5,FALSE)</f>
        <v>2380.2000000000003</v>
      </c>
      <c r="P74" s="627">
        <f>VLOOKUP($A74,'O&amp;M per TB'!$B$4:AD$375,P$5,FALSE)</f>
        <v>4425.6399999999994</v>
      </c>
      <c r="R74" s="921">
        <v>5735</v>
      </c>
      <c r="S74" s="921" t="s">
        <v>2017</v>
      </c>
      <c r="T74" s="922" t="s">
        <v>1981</v>
      </c>
      <c r="U74" s="922"/>
      <c r="V74" s="867">
        <f t="shared" ref="V74:V80" si="60">VLOOKUP($R74,$D$7:$E$124,2,FALSE)</f>
        <v>529.96</v>
      </c>
      <c r="W74" s="867">
        <f t="shared" ref="W74:W89" si="61">VLOOKUP($R74,$D$7:$P$124,3,FALSE)</f>
        <v>555.37999999999988</v>
      </c>
      <c r="X74" s="867">
        <f t="shared" ref="X74:X80" si="62">VLOOKUP($R74,$D$7:$P$124,4,FALSE)</f>
        <v>1054.18</v>
      </c>
      <c r="Y74" s="867">
        <f t="shared" ref="Y74:Y80" si="63">VLOOKUP($R74,$D$7:$P$124,5,FALSE)</f>
        <v>901.01000000000022</v>
      </c>
      <c r="Z74" s="867">
        <f t="shared" ref="Z74:Z80" si="64">VLOOKUP($R74,$D$7:$P$124,6,FALSE)</f>
        <v>879.25</v>
      </c>
      <c r="AA74" s="867">
        <f t="shared" ref="AA74:AA80" si="65">VLOOKUP($R74,$D$7:$P$124,7,FALSE)</f>
        <v>863.33999999999969</v>
      </c>
      <c r="AB74" s="867">
        <f t="shared" ref="AB74:AB80" si="66">VLOOKUP($R74,$D$7:$P$124,8,FALSE)</f>
        <v>757.68000000000029</v>
      </c>
      <c r="AC74" s="867">
        <f t="shared" ref="AC74:AC80" si="67">VLOOKUP($R74,$D$7:$P$124,9,FALSE)</f>
        <v>938.72999999999956</v>
      </c>
      <c r="AD74" s="867">
        <f t="shared" ref="AD74:AD80" si="68">VLOOKUP($R74,$D$7:$P$124,10,FALSE)</f>
        <v>910.11000000000058</v>
      </c>
      <c r="AE74" s="867">
        <f t="shared" ref="AE74:AE80" si="69">VLOOKUP($R74,$D$7:$P$124,11,FALSE)</f>
        <v>768.77999999999975</v>
      </c>
      <c r="AF74" s="867">
        <f t="shared" ref="AF74:AF80" si="70">VLOOKUP($R74,$D$7:$P$124,12,FALSE)</f>
        <v>846.46999999999935</v>
      </c>
      <c r="AG74" s="867">
        <f t="shared" ref="AG74:AG80" si="71">VLOOKUP($R74,$D$7:$P$124,13,FALSE)</f>
        <v>909.27000000000044</v>
      </c>
    </row>
    <row r="75" spans="1:33">
      <c r="A75" s="921">
        <v>6025</v>
      </c>
      <c r="B75" s="921" t="s">
        <v>2062</v>
      </c>
      <c r="C75" s="1521" t="s">
        <v>2063</v>
      </c>
      <c r="D75" s="1681">
        <v>6025</v>
      </c>
      <c r="E75" s="627">
        <f>VLOOKUP($A75,'O&amp;M per TB'!$B$4:S$375,E$5,FALSE)</f>
        <v>0</v>
      </c>
      <c r="F75" s="627">
        <f>VLOOKUP($A75,'O&amp;M per TB'!$B$4:T$375,F$5,FALSE)</f>
        <v>7.44</v>
      </c>
      <c r="G75" s="627">
        <f>VLOOKUP($A75,'O&amp;M per TB'!$B$4:U$375,G$5,FALSE)</f>
        <v>0</v>
      </c>
      <c r="H75" s="627">
        <f>VLOOKUP($A75,'O&amp;M per TB'!$B$4:V$375,H$5,FALSE)</f>
        <v>0</v>
      </c>
      <c r="I75" s="627">
        <f>VLOOKUP($A75,'O&amp;M per TB'!$B$4:W$375,I$5,FALSE)</f>
        <v>0</v>
      </c>
      <c r="J75" s="627">
        <f>VLOOKUP($A75,'O&amp;M per TB'!$B$4:X$375,J$5,FALSE)</f>
        <v>0</v>
      </c>
      <c r="K75" s="627">
        <f>VLOOKUP($A75,'O&amp;M per TB'!$B$4:Y$375,K$5,FALSE)</f>
        <v>0</v>
      </c>
      <c r="L75" s="627">
        <f>VLOOKUP($A75,'O&amp;M per TB'!$B$4:Z$375,L$5,FALSE)</f>
        <v>-310.89999999999998</v>
      </c>
      <c r="M75" s="627">
        <f>VLOOKUP($A75,'O&amp;M per TB'!$B$4:AA$375,M$5,FALSE)</f>
        <v>0</v>
      </c>
      <c r="N75" s="627">
        <f>VLOOKUP($A75,'O&amp;M per TB'!$B$4:AB$375,N$5,FALSE)</f>
        <v>26.70999999999998</v>
      </c>
      <c r="O75" s="627">
        <f>VLOOKUP($A75,'O&amp;M per TB'!$B$4:AC$375,O$5,FALSE)</f>
        <v>0</v>
      </c>
      <c r="P75" s="627">
        <f>VLOOKUP($A75,'O&amp;M per TB'!$B$4:AD$375,P$5,FALSE)</f>
        <v>168.91</v>
      </c>
      <c r="R75" s="921">
        <v>5745</v>
      </c>
      <c r="S75" s="921" t="s">
        <v>2019</v>
      </c>
      <c r="T75" s="922" t="s">
        <v>1981</v>
      </c>
      <c r="U75" s="922"/>
      <c r="V75" s="867">
        <f t="shared" si="60"/>
        <v>0</v>
      </c>
      <c r="W75" s="867">
        <f t="shared" si="61"/>
        <v>0</v>
      </c>
      <c r="X75" s="867">
        <f t="shared" si="62"/>
        <v>0</v>
      </c>
      <c r="Y75" s="867">
        <f t="shared" si="63"/>
        <v>0</v>
      </c>
      <c r="Z75" s="867">
        <f t="shared" si="64"/>
        <v>0</v>
      </c>
      <c r="AA75" s="867">
        <f t="shared" si="65"/>
        <v>0</v>
      </c>
      <c r="AB75" s="867">
        <f t="shared" si="66"/>
        <v>0</v>
      </c>
      <c r="AC75" s="867">
        <f t="shared" si="67"/>
        <v>0</v>
      </c>
      <c r="AD75" s="867">
        <f t="shared" si="68"/>
        <v>0</v>
      </c>
      <c r="AE75" s="867">
        <f t="shared" si="69"/>
        <v>0</v>
      </c>
      <c r="AF75" s="867">
        <f t="shared" si="70"/>
        <v>0</v>
      </c>
      <c r="AG75" s="867">
        <f t="shared" si="71"/>
        <v>0</v>
      </c>
    </row>
    <row r="76" spans="1:33">
      <c r="A76" s="921">
        <v>6035</v>
      </c>
      <c r="B76" s="921" t="s">
        <v>2065</v>
      </c>
      <c r="C76" s="1521" t="s">
        <v>1981</v>
      </c>
      <c r="D76" s="1681">
        <v>6035</v>
      </c>
      <c r="E76" s="627">
        <f>VLOOKUP($A76,'O&amp;M per TB'!$B$4:S$375,E$5,FALSE)</f>
        <v>145.77000000000001</v>
      </c>
      <c r="F76" s="627">
        <f>VLOOKUP($A76,'O&amp;M per TB'!$B$4:T$375,F$5,FALSE)</f>
        <v>84.35</v>
      </c>
      <c r="G76" s="627">
        <f>VLOOKUP($A76,'O&amp;M per TB'!$B$4:U$375,G$5,FALSE)</f>
        <v>86.04000000000002</v>
      </c>
      <c r="H76" s="627">
        <f>VLOOKUP($A76,'O&amp;M per TB'!$B$4:V$375,H$5,FALSE)</f>
        <v>109.33999999999997</v>
      </c>
      <c r="I76" s="627">
        <f>VLOOKUP($A76,'O&amp;M per TB'!$B$4:W$375,I$5,FALSE)</f>
        <v>88.350000000000023</v>
      </c>
      <c r="J76" s="627">
        <f>VLOOKUP($A76,'O&amp;M per TB'!$B$4:X$375,J$5,FALSE)</f>
        <v>102.79999999999995</v>
      </c>
      <c r="K76" s="627">
        <f>VLOOKUP($A76,'O&amp;M per TB'!$B$4:Y$375,K$5,FALSE)</f>
        <v>109.02999999999997</v>
      </c>
      <c r="L76" s="627">
        <f>VLOOKUP($A76,'O&amp;M per TB'!$B$4:Z$375,L$5,FALSE)</f>
        <v>87.520000000000095</v>
      </c>
      <c r="M76" s="627">
        <f>VLOOKUP($A76,'O&amp;M per TB'!$B$4:AA$375,M$5,FALSE)</f>
        <v>84.439999999999941</v>
      </c>
      <c r="N76" s="627">
        <f>VLOOKUP($A76,'O&amp;M per TB'!$B$4:AB$375,N$5,FALSE)</f>
        <v>95.930000000000064</v>
      </c>
      <c r="O76" s="627">
        <f>VLOOKUP($A76,'O&amp;M per TB'!$B$4:AC$375,O$5,FALSE)</f>
        <v>89.719999999999914</v>
      </c>
      <c r="P76" s="627">
        <f>VLOOKUP($A76,'O&amp;M per TB'!$B$4:AD$375,P$5,FALSE)</f>
        <v>95.860000000000127</v>
      </c>
      <c r="R76" s="921">
        <v>5750</v>
      </c>
      <c r="S76" s="921" t="s">
        <v>2020</v>
      </c>
      <c r="T76" s="922" t="s">
        <v>1981</v>
      </c>
      <c r="U76" s="922"/>
      <c r="V76" s="867">
        <f t="shared" si="60"/>
        <v>118.97</v>
      </c>
      <c r="W76" s="867">
        <f t="shared" si="61"/>
        <v>123.84</v>
      </c>
      <c r="X76" s="867">
        <f t="shared" si="62"/>
        <v>118.23000000000002</v>
      </c>
      <c r="Y76" s="867">
        <f t="shared" si="63"/>
        <v>111.88999999999999</v>
      </c>
      <c r="Z76" s="867">
        <f t="shared" si="64"/>
        <v>141.16000000000003</v>
      </c>
      <c r="AA76" s="867">
        <f t="shared" si="65"/>
        <v>130.63999999999999</v>
      </c>
      <c r="AB76" s="867">
        <f t="shared" si="66"/>
        <v>139.51</v>
      </c>
      <c r="AC76" s="867">
        <f t="shared" si="67"/>
        <v>146.96000000000004</v>
      </c>
      <c r="AD76" s="867">
        <f t="shared" si="68"/>
        <v>159.33999999999992</v>
      </c>
      <c r="AE76" s="867">
        <f t="shared" si="69"/>
        <v>534.22</v>
      </c>
      <c r="AF76" s="867">
        <f t="shared" si="70"/>
        <v>249</v>
      </c>
      <c r="AG76" s="867">
        <f t="shared" si="71"/>
        <v>120.50999999999999</v>
      </c>
    </row>
    <row r="77" spans="1:33">
      <c r="A77" s="921">
        <v>6040</v>
      </c>
      <c r="B77" s="921" t="s">
        <v>2058</v>
      </c>
      <c r="C77" s="1521" t="s">
        <v>2056</v>
      </c>
      <c r="D77" s="1681">
        <v>6040</v>
      </c>
      <c r="E77" s="627">
        <f>VLOOKUP($A77,'O&amp;M per TB'!$B$4:S$375,E$5,FALSE)</f>
        <v>395.26</v>
      </c>
      <c r="F77" s="627">
        <f>VLOOKUP($A77,'O&amp;M per TB'!$B$4:T$375,F$5,FALSE)</f>
        <v>391.27</v>
      </c>
      <c r="G77" s="627">
        <f>VLOOKUP($A77,'O&amp;M per TB'!$B$4:U$375,G$5,FALSE)</f>
        <v>436.87000000000012</v>
      </c>
      <c r="H77" s="627">
        <f>VLOOKUP($A77,'O&amp;M per TB'!$B$4:V$375,H$5,FALSE)</f>
        <v>391.70999999999981</v>
      </c>
      <c r="I77" s="627">
        <f>VLOOKUP($A77,'O&amp;M per TB'!$B$4:W$375,I$5,FALSE)</f>
        <v>391.21000000000004</v>
      </c>
      <c r="J77" s="627">
        <f>VLOOKUP($A77,'O&amp;M per TB'!$B$4:X$375,J$5,FALSE)</f>
        <v>391.26</v>
      </c>
      <c r="K77" s="627">
        <f>VLOOKUP($A77,'O&amp;M per TB'!$B$4:Y$375,K$5,FALSE)</f>
        <v>390.73</v>
      </c>
      <c r="L77" s="627">
        <f>VLOOKUP($A77,'O&amp;M per TB'!$B$4:Z$375,L$5,FALSE)</f>
        <v>390.17999999999984</v>
      </c>
      <c r="M77" s="627">
        <f>VLOOKUP($A77,'O&amp;M per TB'!$B$4:AA$375,M$5,FALSE)</f>
        <v>386.55000000000018</v>
      </c>
      <c r="N77" s="627">
        <f>VLOOKUP($A77,'O&amp;M per TB'!$B$4:AB$375,N$5,FALSE)</f>
        <v>386.46000000000004</v>
      </c>
      <c r="O77" s="627">
        <f>VLOOKUP($A77,'O&amp;M per TB'!$B$4:AC$375,O$5,FALSE)</f>
        <v>385.94999999999982</v>
      </c>
      <c r="P77" s="627">
        <f>VLOOKUP($A77,'O&amp;M per TB'!$B$4:AD$375,P$5,FALSE)</f>
        <v>348.80000000000018</v>
      </c>
      <c r="R77" s="921">
        <v>6015</v>
      </c>
      <c r="S77" s="921" t="s">
        <v>2064</v>
      </c>
      <c r="T77" s="922" t="s">
        <v>1981</v>
      </c>
      <c r="U77" s="922"/>
      <c r="V77" s="867">
        <f t="shared" si="60"/>
        <v>2.0299999999999998</v>
      </c>
      <c r="W77" s="867">
        <f t="shared" si="61"/>
        <v>0.2200000000000002</v>
      </c>
      <c r="X77" s="867">
        <f t="shared" si="62"/>
        <v>1.62</v>
      </c>
      <c r="Y77" s="867">
        <f t="shared" si="63"/>
        <v>0</v>
      </c>
      <c r="Z77" s="867">
        <f t="shared" si="64"/>
        <v>0.30999999999999961</v>
      </c>
      <c r="AA77" s="867">
        <f t="shared" si="65"/>
        <v>0</v>
      </c>
      <c r="AB77" s="867">
        <f t="shared" si="66"/>
        <v>0.3100000000000005</v>
      </c>
      <c r="AC77" s="867">
        <f t="shared" si="67"/>
        <v>0</v>
      </c>
      <c r="AD77" s="867">
        <f t="shared" si="68"/>
        <v>0.29999999999999982</v>
      </c>
      <c r="AE77" s="867">
        <f t="shared" si="69"/>
        <v>0</v>
      </c>
      <c r="AF77" s="867">
        <f t="shared" si="70"/>
        <v>14.54</v>
      </c>
      <c r="AG77" s="867">
        <f t="shared" si="71"/>
        <v>0</v>
      </c>
    </row>
    <row r="78" spans="1:33">
      <c r="A78" s="921">
        <v>6045</v>
      </c>
      <c r="B78" s="921" t="s">
        <v>2066</v>
      </c>
      <c r="C78" s="1521" t="s">
        <v>1981</v>
      </c>
      <c r="D78" s="1681">
        <v>6045</v>
      </c>
      <c r="E78" s="627">
        <f>VLOOKUP($A78,'O&amp;M per TB'!$B$4:S$375,E$5,FALSE)</f>
        <v>0</v>
      </c>
      <c r="F78" s="627">
        <f>VLOOKUP($A78,'O&amp;M per TB'!$B$4:T$375,F$5,FALSE)</f>
        <v>0</v>
      </c>
      <c r="G78" s="627">
        <f>VLOOKUP($A78,'O&amp;M per TB'!$B$4:U$375,G$5,FALSE)</f>
        <v>1.69</v>
      </c>
      <c r="H78" s="627">
        <f>VLOOKUP($A78,'O&amp;M per TB'!$B$4:V$375,H$5,FALSE)</f>
        <v>0</v>
      </c>
      <c r="I78" s="627">
        <f>VLOOKUP($A78,'O&amp;M per TB'!$B$4:W$375,I$5,FALSE)</f>
        <v>0</v>
      </c>
      <c r="J78" s="627">
        <f>VLOOKUP($A78,'O&amp;M per TB'!$B$4:X$375,J$5,FALSE)</f>
        <v>0</v>
      </c>
      <c r="K78" s="627">
        <f>VLOOKUP($A78,'O&amp;M per TB'!$B$4:Y$375,K$5,FALSE)</f>
        <v>0</v>
      </c>
      <c r="L78" s="627">
        <f>VLOOKUP($A78,'O&amp;M per TB'!$B$4:Z$375,L$5,FALSE)</f>
        <v>0</v>
      </c>
      <c r="M78" s="627">
        <f>VLOOKUP($A78,'O&amp;M per TB'!$B$4:AA$375,M$5,FALSE)</f>
        <v>16.72</v>
      </c>
      <c r="N78" s="627">
        <f>VLOOKUP($A78,'O&amp;M per TB'!$B$4:AB$375,N$5,FALSE)</f>
        <v>74.87</v>
      </c>
      <c r="O78" s="627">
        <f>VLOOKUP($A78,'O&amp;M per TB'!$B$4:AC$375,O$5,FALSE)</f>
        <v>30.92</v>
      </c>
      <c r="P78" s="627">
        <f>VLOOKUP($A78,'O&amp;M per TB'!$B$4:AD$375,P$5,FALSE)</f>
        <v>68.239999999999995</v>
      </c>
      <c r="R78" s="921">
        <v>6035</v>
      </c>
      <c r="S78" s="921" t="s">
        <v>2065</v>
      </c>
      <c r="T78" s="922" t="s">
        <v>1981</v>
      </c>
      <c r="U78" s="922"/>
      <c r="V78" s="867">
        <f t="shared" si="60"/>
        <v>145.77000000000001</v>
      </c>
      <c r="W78" s="867">
        <f t="shared" si="61"/>
        <v>84.35</v>
      </c>
      <c r="X78" s="867">
        <f t="shared" si="62"/>
        <v>86.04000000000002</v>
      </c>
      <c r="Y78" s="867">
        <f t="shared" si="63"/>
        <v>109.33999999999997</v>
      </c>
      <c r="Z78" s="867">
        <f t="shared" si="64"/>
        <v>88.350000000000023</v>
      </c>
      <c r="AA78" s="867">
        <f t="shared" si="65"/>
        <v>102.79999999999995</v>
      </c>
      <c r="AB78" s="867">
        <f t="shared" si="66"/>
        <v>109.02999999999997</v>
      </c>
      <c r="AC78" s="867">
        <f t="shared" si="67"/>
        <v>87.520000000000095</v>
      </c>
      <c r="AD78" s="867">
        <f t="shared" si="68"/>
        <v>84.439999999999941</v>
      </c>
      <c r="AE78" s="867">
        <f t="shared" si="69"/>
        <v>95.930000000000064</v>
      </c>
      <c r="AF78" s="867">
        <f t="shared" si="70"/>
        <v>89.719999999999914</v>
      </c>
      <c r="AG78" s="867">
        <f t="shared" si="71"/>
        <v>95.860000000000127</v>
      </c>
    </row>
    <row r="79" spans="1:33">
      <c r="A79" s="921">
        <v>6050</v>
      </c>
      <c r="B79" s="921" t="s">
        <v>2067</v>
      </c>
      <c r="C79" s="1521" t="s">
        <v>1981</v>
      </c>
      <c r="D79" s="1681">
        <v>6050</v>
      </c>
      <c r="E79" s="627">
        <f>VLOOKUP($A79,'O&amp;M per TB'!$B$4:S$375,E$5,FALSE)</f>
        <v>-772.94</v>
      </c>
      <c r="F79" s="627">
        <f>VLOOKUP($A79,'O&amp;M per TB'!$B$4:T$375,F$5,FALSE)</f>
        <v>420.98000000000008</v>
      </c>
      <c r="G79" s="627">
        <f>VLOOKUP($A79,'O&amp;M per TB'!$B$4:U$375,G$5,FALSE)</f>
        <v>480.24</v>
      </c>
      <c r="H79" s="627">
        <f>VLOOKUP($A79,'O&amp;M per TB'!$B$4:V$375,H$5,FALSE)</f>
        <v>471.68000000000006</v>
      </c>
      <c r="I79" s="627">
        <f>VLOOKUP($A79,'O&amp;M per TB'!$B$4:W$375,I$5,FALSE)</f>
        <v>324.56999999999994</v>
      </c>
      <c r="J79" s="627">
        <f>VLOOKUP($A79,'O&amp;M per TB'!$B$4:X$375,J$5,FALSE)</f>
        <v>321</v>
      </c>
      <c r="K79" s="627">
        <f>VLOOKUP($A79,'O&amp;M per TB'!$B$4:Y$375,K$5,FALSE)</f>
        <v>729.57999999999993</v>
      </c>
      <c r="L79" s="627">
        <f>VLOOKUP($A79,'O&amp;M per TB'!$B$4:Z$375,L$5,FALSE)</f>
        <v>516.90000000000032</v>
      </c>
      <c r="M79" s="627">
        <f>VLOOKUP($A79,'O&amp;M per TB'!$B$4:AA$375,M$5,FALSE)</f>
        <v>277.13999999999987</v>
      </c>
      <c r="N79" s="627">
        <f>VLOOKUP($A79,'O&amp;M per TB'!$B$4:AB$375,N$5,FALSE)</f>
        <v>377.79999999999973</v>
      </c>
      <c r="O79" s="627">
        <f>VLOOKUP($A79,'O&amp;M per TB'!$B$4:AC$375,O$5,FALSE)</f>
        <v>310.3100000000004</v>
      </c>
      <c r="P79" s="627">
        <f>VLOOKUP($A79,'O&amp;M per TB'!$B$4:AD$375,P$5,FALSE)</f>
        <v>6616.65</v>
      </c>
      <c r="R79" s="921">
        <v>6045</v>
      </c>
      <c r="S79" s="921" t="s">
        <v>2066</v>
      </c>
      <c r="T79" s="922" t="s">
        <v>1981</v>
      </c>
      <c r="U79" s="922"/>
      <c r="V79" s="867">
        <f t="shared" si="60"/>
        <v>0</v>
      </c>
      <c r="W79" s="867">
        <f t="shared" si="61"/>
        <v>0</v>
      </c>
      <c r="X79" s="867">
        <f t="shared" si="62"/>
        <v>1.69</v>
      </c>
      <c r="Y79" s="867">
        <f t="shared" si="63"/>
        <v>0</v>
      </c>
      <c r="Z79" s="867">
        <f t="shared" si="64"/>
        <v>0</v>
      </c>
      <c r="AA79" s="867">
        <f t="shared" si="65"/>
        <v>0</v>
      </c>
      <c r="AB79" s="867">
        <f t="shared" si="66"/>
        <v>0</v>
      </c>
      <c r="AC79" s="867">
        <f t="shared" si="67"/>
        <v>0</v>
      </c>
      <c r="AD79" s="867">
        <f t="shared" si="68"/>
        <v>16.72</v>
      </c>
      <c r="AE79" s="867">
        <f t="shared" si="69"/>
        <v>74.87</v>
      </c>
      <c r="AF79" s="867">
        <f t="shared" si="70"/>
        <v>30.92</v>
      </c>
      <c r="AG79" s="867">
        <f t="shared" si="71"/>
        <v>68.239999999999995</v>
      </c>
    </row>
    <row r="80" spans="1:33">
      <c r="A80" s="921">
        <v>6065</v>
      </c>
      <c r="B80" s="921" t="s">
        <v>2068</v>
      </c>
      <c r="C80" s="1521" t="s">
        <v>2069</v>
      </c>
      <c r="D80" s="1681">
        <v>6065</v>
      </c>
      <c r="E80" s="627"/>
      <c r="F80" s="627"/>
      <c r="G80" s="627"/>
      <c r="H80" s="627"/>
      <c r="I80" s="627"/>
      <c r="J80" s="627"/>
      <c r="K80" s="627"/>
      <c r="L80" s="627"/>
      <c r="M80" s="627"/>
      <c r="N80" s="627"/>
      <c r="O80" s="627"/>
      <c r="P80" s="627"/>
      <c r="R80" s="921">
        <v>6050</v>
      </c>
      <c r="S80" s="921" t="s">
        <v>2067</v>
      </c>
      <c r="T80" s="922" t="s">
        <v>1981</v>
      </c>
      <c r="U80" s="922"/>
      <c r="V80" s="867">
        <f t="shared" si="60"/>
        <v>-772.94</v>
      </c>
      <c r="W80" s="867">
        <f t="shared" si="61"/>
        <v>420.98000000000008</v>
      </c>
      <c r="X80" s="867">
        <f t="shared" si="62"/>
        <v>480.24</v>
      </c>
      <c r="Y80" s="867">
        <f t="shared" si="63"/>
        <v>471.68000000000006</v>
      </c>
      <c r="Z80" s="867">
        <f t="shared" si="64"/>
        <v>324.56999999999994</v>
      </c>
      <c r="AA80" s="867">
        <f t="shared" si="65"/>
        <v>321</v>
      </c>
      <c r="AB80" s="867">
        <f t="shared" si="66"/>
        <v>729.57999999999993</v>
      </c>
      <c r="AC80" s="867">
        <f t="shared" si="67"/>
        <v>516.90000000000032</v>
      </c>
      <c r="AD80" s="867">
        <f t="shared" si="68"/>
        <v>277.13999999999987</v>
      </c>
      <c r="AE80" s="867">
        <f t="shared" si="69"/>
        <v>377.79999999999973</v>
      </c>
      <c r="AF80" s="867">
        <f t="shared" si="70"/>
        <v>310.3100000000004</v>
      </c>
      <c r="AG80" s="867">
        <f t="shared" si="71"/>
        <v>6616.65</v>
      </c>
    </row>
    <row r="81" spans="1:33">
      <c r="A81" s="921">
        <v>6070</v>
      </c>
      <c r="B81" s="921" t="s">
        <v>2070</v>
      </c>
      <c r="C81" s="1521" t="s">
        <v>2071</v>
      </c>
      <c r="D81" s="1681">
        <v>6070</v>
      </c>
      <c r="E81" s="627">
        <f>VLOOKUP($A81,'O&amp;M per TB'!$B$4:S$375,E$5,FALSE)</f>
        <v>-288.60000000000002</v>
      </c>
      <c r="F81" s="627">
        <f>VLOOKUP($A81,'O&amp;M per TB'!$B$4:T$375,F$5,FALSE)</f>
        <v>-5.5099999999999909</v>
      </c>
      <c r="G81" s="627">
        <f>VLOOKUP($A81,'O&amp;M per TB'!$B$4:U$375,G$5,FALSE)</f>
        <v>17.270000000000039</v>
      </c>
      <c r="H81" s="627">
        <f>VLOOKUP($A81,'O&amp;M per TB'!$B$4:V$375,H$5,FALSE)</f>
        <v>0</v>
      </c>
      <c r="I81" s="627">
        <f>VLOOKUP($A81,'O&amp;M per TB'!$B$4:W$375,I$5,FALSE)</f>
        <v>50.649999999999977</v>
      </c>
      <c r="J81" s="627">
        <f>VLOOKUP($A81,'O&amp;M per TB'!$B$4:X$375,J$5,FALSE)</f>
        <v>52.490000000000009</v>
      </c>
      <c r="K81" s="627">
        <f>VLOOKUP($A81,'O&amp;M per TB'!$B$4:Y$375,K$5,FALSE)</f>
        <v>89.71</v>
      </c>
      <c r="L81" s="627">
        <f>VLOOKUP($A81,'O&amp;M per TB'!$B$4:Z$375,L$5,FALSE)</f>
        <v>16.839999999999989</v>
      </c>
      <c r="M81" s="627">
        <f>VLOOKUP($A81,'O&amp;M per TB'!$B$4:AA$375,M$5,FALSE)</f>
        <v>0</v>
      </c>
      <c r="N81" s="627">
        <f>VLOOKUP($A81,'O&amp;M per TB'!$B$4:AB$375,N$5,FALSE)</f>
        <v>669.02</v>
      </c>
      <c r="O81" s="627">
        <f>VLOOKUP($A81,'O&amp;M per TB'!$B$4:AC$375,O$5,FALSE)</f>
        <v>150.10000000000002</v>
      </c>
      <c r="P81" s="627">
        <f>VLOOKUP($A81,'O&amp;M per TB'!$B$4:AD$375,P$5,FALSE)</f>
        <v>175.87</v>
      </c>
      <c r="V81" s="1602">
        <f>SUM(V73:V80)</f>
        <v>607.19999999999982</v>
      </c>
      <c r="W81" s="1602">
        <f t="shared" ref="W81:AG81" si="72">SUM(W73:W80)</f>
        <v>2215.81</v>
      </c>
      <c r="X81" s="1602">
        <f t="shared" si="72"/>
        <v>2315.84</v>
      </c>
      <c r="Y81" s="1602">
        <f t="shared" si="72"/>
        <v>2621.3600000000006</v>
      </c>
      <c r="Z81" s="1602">
        <f t="shared" si="72"/>
        <v>2017.5600000000002</v>
      </c>
      <c r="AA81" s="1602">
        <f t="shared" si="72"/>
        <v>2453.1399999999994</v>
      </c>
      <c r="AB81" s="1602">
        <f t="shared" si="72"/>
        <v>2327.9500000000003</v>
      </c>
      <c r="AC81" s="1602">
        <f t="shared" si="72"/>
        <v>2721.1499999999996</v>
      </c>
      <c r="AD81" s="1602">
        <f t="shared" si="72"/>
        <v>2026.9300000000005</v>
      </c>
      <c r="AE81" s="1602">
        <f t="shared" si="72"/>
        <v>2886.2399999999993</v>
      </c>
      <c r="AF81" s="1602">
        <f t="shared" si="72"/>
        <v>2114.7999999999997</v>
      </c>
      <c r="AG81" s="1602">
        <f t="shared" si="72"/>
        <v>8835.8100000000013</v>
      </c>
    </row>
    <row r="82" spans="1:33">
      <c r="A82" s="921">
        <v>6090</v>
      </c>
      <c r="B82" s="921" t="s">
        <v>2072</v>
      </c>
      <c r="C82" s="1521"/>
      <c r="D82" s="1681">
        <v>6090</v>
      </c>
      <c r="E82" s="627">
        <f>VLOOKUP($A82,'O&amp;M per TB'!$B$4:S$375,E$5,FALSE)</f>
        <v>21.16</v>
      </c>
      <c r="F82" s="627">
        <f>VLOOKUP($A82,'O&amp;M per TB'!$B$4:T$375,F$5,FALSE)</f>
        <v>20.94</v>
      </c>
      <c r="G82" s="627">
        <f>VLOOKUP($A82,'O&amp;M per TB'!$B$4:U$375,G$5,FALSE)</f>
        <v>21.53</v>
      </c>
      <c r="H82" s="627">
        <f>VLOOKUP($A82,'O&amp;M per TB'!$B$4:V$375,H$5,FALSE)</f>
        <v>21.6</v>
      </c>
      <c r="I82" s="627">
        <f>VLOOKUP($A82,'O&amp;M per TB'!$B$4:W$375,I$5,FALSE)</f>
        <v>22.33</v>
      </c>
      <c r="J82" s="627">
        <f>VLOOKUP($A82,'O&amp;M per TB'!$B$4:X$375,J$5,FALSE)</f>
        <v>22.329999999999984</v>
      </c>
      <c r="K82" s="627">
        <f>VLOOKUP($A82,'O&amp;M per TB'!$B$4:Y$375,K$5,FALSE)</f>
        <v>23</v>
      </c>
      <c r="L82" s="627">
        <f>VLOOKUP($A82,'O&amp;M per TB'!$B$4:Z$375,L$5,FALSE)</f>
        <v>22.970000000000027</v>
      </c>
      <c r="M82" s="627">
        <f>VLOOKUP($A82,'O&amp;M per TB'!$B$4:AA$375,M$5,FALSE)</f>
        <v>22.759999999999991</v>
      </c>
      <c r="N82" s="627">
        <f>VLOOKUP($A82,'O&amp;M per TB'!$B$4:AB$375,N$5,FALSE)</f>
        <v>22.75</v>
      </c>
      <c r="O82" s="627">
        <f>VLOOKUP($A82,'O&amp;M per TB'!$B$4:AC$375,O$5,FALSE)</f>
        <v>22.72</v>
      </c>
      <c r="P82" s="627">
        <f>VLOOKUP($A82,'O&amp;M per TB'!$B$4:AD$375,P$5,FALSE)</f>
        <v>45.400000000000006</v>
      </c>
      <c r="R82" s="921">
        <v>6090</v>
      </c>
      <c r="S82" s="921" t="s">
        <v>2072</v>
      </c>
      <c r="T82" s="922">
        <v>741</v>
      </c>
      <c r="V82" s="1602">
        <f>VLOOKUP(R82,D$7:E$124,2,FALSE)</f>
        <v>21.16</v>
      </c>
      <c r="W82" s="1602">
        <f t="shared" si="61"/>
        <v>20.94</v>
      </c>
      <c r="X82" s="1602">
        <f>VLOOKUP($R82,$D$7:$P$124,4,FALSE)</f>
        <v>21.53</v>
      </c>
      <c r="Y82" s="1602">
        <f>VLOOKUP($R82,$D$7:$P$124,5,FALSE)</f>
        <v>21.6</v>
      </c>
      <c r="Z82" s="1602">
        <f>VLOOKUP($R82,$D$7:$P$124,6,FALSE)</f>
        <v>22.33</v>
      </c>
      <c r="AA82" s="1602">
        <f>VLOOKUP($R82,$D$7:$P$124,7,FALSE)</f>
        <v>22.329999999999984</v>
      </c>
      <c r="AB82" s="1602">
        <f>VLOOKUP($R82,$D$7:$P$124,8,FALSE)</f>
        <v>23</v>
      </c>
      <c r="AC82" s="1602">
        <f>VLOOKUP($R82,$D$7:$P$124,9,FALSE)</f>
        <v>22.970000000000027</v>
      </c>
      <c r="AD82" s="1602">
        <f>VLOOKUP($R82,$D$7:$P$124,10,FALSE)</f>
        <v>22.759999999999991</v>
      </c>
      <c r="AE82" s="1602">
        <f>VLOOKUP($R82,$D$7:$P$124,11,FALSE)</f>
        <v>22.75</v>
      </c>
      <c r="AF82" s="1602">
        <f>VLOOKUP($R82,$D$7:$P$124,12,FALSE)</f>
        <v>22.72</v>
      </c>
      <c r="AG82" s="1602">
        <f>VLOOKUP($R82,$D$7:$P$124,13,FALSE)</f>
        <v>45.400000000000006</v>
      </c>
    </row>
    <row r="83" spans="1:33">
      <c r="A83" s="921">
        <v>6110</v>
      </c>
      <c r="B83" s="921" t="s">
        <v>1966</v>
      </c>
      <c r="C83" s="1521" t="s">
        <v>1967</v>
      </c>
      <c r="D83" s="1681">
        <v>6110</v>
      </c>
      <c r="E83" s="627">
        <f>VLOOKUP($A83,'O&amp;M per TB'!$B$4:S$375,E$5,FALSE)</f>
        <v>1042.2</v>
      </c>
      <c r="F83" s="627">
        <f>VLOOKUP($A83,'O&amp;M per TB'!$B$4:T$375,F$5,FALSE)</f>
        <v>948.25</v>
      </c>
      <c r="G83" s="627">
        <f>VLOOKUP($A83,'O&amp;M per TB'!$B$4:U$375,G$5,FALSE)</f>
        <v>1166.1400000000001</v>
      </c>
      <c r="H83" s="627">
        <f>VLOOKUP($A83,'O&amp;M per TB'!$B$4:V$375,H$5,FALSE)</f>
        <v>1291.7600000000002</v>
      </c>
      <c r="I83" s="627">
        <f>VLOOKUP($A83,'O&amp;M per TB'!$B$4:W$375,I$5,FALSE)</f>
        <v>1073.1799999999994</v>
      </c>
      <c r="J83" s="627">
        <f>VLOOKUP($A83,'O&amp;M per TB'!$B$4:X$375,J$5,FALSE)</f>
        <v>1087.25</v>
      </c>
      <c r="K83" s="627">
        <f>VLOOKUP($A83,'O&amp;M per TB'!$B$4:Y$375,K$5,FALSE)</f>
        <v>1097.9300000000003</v>
      </c>
      <c r="L83" s="627">
        <f>VLOOKUP($A83,'O&amp;M per TB'!$B$4:Z$375,L$5,FALSE)</f>
        <v>1047.4199999999992</v>
      </c>
      <c r="M83" s="627">
        <f>VLOOKUP($A83,'O&amp;M per TB'!$B$4:AA$375,M$5,FALSE)</f>
        <v>1077.1100000000006</v>
      </c>
      <c r="N83" s="627">
        <f>VLOOKUP($A83,'O&amp;M per TB'!$B$4:AB$375,N$5,FALSE)</f>
        <v>1090.1599999999999</v>
      </c>
      <c r="O83" s="627">
        <f>VLOOKUP($A83,'O&amp;M per TB'!$B$4:AC$375,O$5,FALSE)</f>
        <v>941.97000000000116</v>
      </c>
      <c r="P83" s="627">
        <f>VLOOKUP($A83,'O&amp;M per TB'!$B$4:AD$375,P$5,FALSE)</f>
        <v>1100.9899999999998</v>
      </c>
    </row>
    <row r="84" spans="1:33">
      <c r="A84" s="921">
        <v>6115</v>
      </c>
      <c r="B84" s="921" t="s">
        <v>1969</v>
      </c>
      <c r="C84" s="1521" t="s">
        <v>1967</v>
      </c>
      <c r="D84" s="1681">
        <v>6115</v>
      </c>
      <c r="E84" s="627">
        <f>VLOOKUP($A84,'O&amp;M per TB'!$B$4:S$375,E$5,FALSE)</f>
        <v>193.49</v>
      </c>
      <c r="F84" s="627">
        <f>VLOOKUP($A84,'O&amp;M per TB'!$B$4:T$375,F$5,FALSE)</f>
        <v>140.67000000000002</v>
      </c>
      <c r="G84" s="627">
        <f>VLOOKUP($A84,'O&amp;M per TB'!$B$4:U$375,G$5,FALSE)</f>
        <v>182.39999999999992</v>
      </c>
      <c r="H84" s="627">
        <f>VLOOKUP($A84,'O&amp;M per TB'!$B$4:V$375,H$5,FALSE)</f>
        <v>238.19000000000005</v>
      </c>
      <c r="I84" s="627">
        <f>VLOOKUP($A84,'O&amp;M per TB'!$B$4:W$375,I$5,FALSE)</f>
        <v>159.13999999999999</v>
      </c>
      <c r="J84" s="627">
        <f>VLOOKUP($A84,'O&amp;M per TB'!$B$4:X$375,J$5,FALSE)</f>
        <v>163.56000000000006</v>
      </c>
      <c r="K84" s="627">
        <f>VLOOKUP($A84,'O&amp;M per TB'!$B$4:Y$375,K$5,FALSE)</f>
        <v>179.68000000000006</v>
      </c>
      <c r="L84" s="627">
        <f>VLOOKUP($A84,'O&amp;M per TB'!$B$4:Z$375,L$5,FALSE)</f>
        <v>198.03999999999996</v>
      </c>
      <c r="M84" s="627">
        <f>VLOOKUP($A84,'O&amp;M per TB'!$B$4:AA$375,M$5,FALSE)</f>
        <v>202.43999999999983</v>
      </c>
      <c r="N84" s="627">
        <f>VLOOKUP($A84,'O&amp;M per TB'!$B$4:AB$375,N$5,FALSE)</f>
        <v>205.8900000000001</v>
      </c>
      <c r="O84" s="627">
        <f>VLOOKUP($A84,'O&amp;M per TB'!$B$4:AC$375,O$5,FALSE)</f>
        <v>202.42000000000007</v>
      </c>
      <c r="P84" s="627">
        <f>VLOOKUP($A84,'O&amp;M per TB'!$B$4:AD$375,P$5,FALSE)</f>
        <v>227.23999999999978</v>
      </c>
      <c r="R84" s="921">
        <v>6365</v>
      </c>
      <c r="S84" s="921" t="s">
        <v>2073</v>
      </c>
      <c r="T84" s="922" t="s">
        <v>2074</v>
      </c>
      <c r="U84" s="922"/>
      <c r="V84" s="1602">
        <f>VLOOKUP($R84,$D$7:$E$124,2,FALSE)</f>
        <v>0</v>
      </c>
      <c r="W84" s="1602">
        <f t="shared" si="61"/>
        <v>0</v>
      </c>
      <c r="X84" s="1602">
        <f>VLOOKUP($R84,$D$7:$P$124,4,FALSE)</f>
        <v>29.04</v>
      </c>
      <c r="Y84" s="1602">
        <f>VLOOKUP($R84,$D$7:$P$124,5,FALSE)</f>
        <v>0</v>
      </c>
      <c r="Z84" s="1602">
        <f>VLOOKUP($R84,$D$7:$P$124,6,FALSE)</f>
        <v>0</v>
      </c>
      <c r="AA84" s="1602">
        <f>VLOOKUP($R84,$D$7:$P$124,7,FALSE)</f>
        <v>0</v>
      </c>
      <c r="AB84" s="1602">
        <f>VLOOKUP($R84,$D$7:$P$124,8,FALSE)</f>
        <v>0</v>
      </c>
      <c r="AC84" s="1602">
        <f>VLOOKUP($R84,$D$7:$P$124,9,FALSE)</f>
        <v>0</v>
      </c>
      <c r="AD84" s="1602">
        <f>VLOOKUP($R84,$D$7:$P$124,10,FALSE)</f>
        <v>0</v>
      </c>
      <c r="AE84" s="1602">
        <f>VLOOKUP($R84,$D$7:$P$124,11,FALSE)</f>
        <v>0</v>
      </c>
      <c r="AF84" s="1602">
        <f>VLOOKUP($R84,$D$7:$P$124,12,FALSE)</f>
        <v>0</v>
      </c>
      <c r="AG84" s="1602">
        <f>VLOOKUP($R84,$D$7:$P$124,13,FALSE)</f>
        <v>14.469999999999999</v>
      </c>
    </row>
    <row r="85" spans="1:33">
      <c r="A85" s="921">
        <v>6120</v>
      </c>
      <c r="B85" s="921" t="s">
        <v>1999</v>
      </c>
      <c r="C85" s="1521" t="s">
        <v>2000</v>
      </c>
      <c r="D85" s="1681">
        <v>6120</v>
      </c>
      <c r="E85" s="627">
        <f>VLOOKUP($A85,'O&amp;M per TB'!$B$4:S$375,E$5,FALSE)</f>
        <v>842.15</v>
      </c>
      <c r="F85" s="627">
        <f>VLOOKUP($A85,'O&amp;M per TB'!$B$4:T$375,F$5,FALSE)</f>
        <v>859.63</v>
      </c>
      <c r="G85" s="627">
        <f>VLOOKUP($A85,'O&amp;M per TB'!$B$4:U$375,G$5,FALSE)</f>
        <v>826.75000000000023</v>
      </c>
      <c r="H85" s="627">
        <f>VLOOKUP($A85,'O&amp;M per TB'!$B$4:V$375,H$5,FALSE)</f>
        <v>860.23</v>
      </c>
      <c r="I85" s="627">
        <f>VLOOKUP($A85,'O&amp;M per TB'!$B$4:W$375,I$5,FALSE)</f>
        <v>845.26999999999953</v>
      </c>
      <c r="J85" s="627">
        <f>VLOOKUP($A85,'O&amp;M per TB'!$B$4:X$375,J$5,FALSE)</f>
        <v>846.53000000000065</v>
      </c>
      <c r="K85" s="627">
        <f>VLOOKUP($A85,'O&amp;M per TB'!$B$4:Y$375,K$5,FALSE)</f>
        <v>1084.21</v>
      </c>
      <c r="L85" s="627">
        <f>VLOOKUP($A85,'O&amp;M per TB'!$B$4:Z$375,L$5,FALSE)</f>
        <v>649.72999999999956</v>
      </c>
      <c r="M85" s="627">
        <f>VLOOKUP($A85,'O&amp;M per TB'!$B$4:AA$375,M$5,FALSE)</f>
        <v>825.43000000000029</v>
      </c>
      <c r="N85" s="627">
        <f>VLOOKUP($A85,'O&amp;M per TB'!$B$4:AB$375,N$5,FALSE)</f>
        <v>843.40999999999985</v>
      </c>
      <c r="O85" s="627">
        <f>VLOOKUP($A85,'O&amp;M per TB'!$B$4:AC$375,O$5,FALSE)</f>
        <v>2054.7299999999996</v>
      </c>
      <c r="P85" s="627">
        <f>VLOOKUP($A85,'O&amp;M per TB'!$B$4:AD$375,P$5,FALSE)</f>
        <v>72.239999999999782</v>
      </c>
    </row>
    <row r="86" spans="1:33">
      <c r="A86" s="921">
        <v>6125</v>
      </c>
      <c r="B86" s="921" t="s">
        <v>1972</v>
      </c>
      <c r="C86" s="1521" t="s">
        <v>1967</v>
      </c>
      <c r="D86" s="1681">
        <v>6125</v>
      </c>
      <c r="E86" s="627">
        <f>VLOOKUP($A86,'O&amp;M per TB'!$B$4:S$375,E$5,FALSE)</f>
        <v>164.16</v>
      </c>
      <c r="F86" s="627">
        <f>VLOOKUP($A86,'O&amp;M per TB'!$B$4:T$375,F$5,FALSE)</f>
        <v>164.83</v>
      </c>
      <c r="G86" s="627">
        <f>VLOOKUP($A86,'O&amp;M per TB'!$B$4:U$375,G$5,FALSE)</f>
        <v>165.87</v>
      </c>
      <c r="H86" s="627">
        <f>VLOOKUP($A86,'O&amp;M per TB'!$B$4:V$375,H$5,FALSE)</f>
        <v>167.64</v>
      </c>
      <c r="I86" s="627">
        <f>VLOOKUP($A86,'O&amp;M per TB'!$B$4:W$375,I$5,FALSE)</f>
        <v>172.75</v>
      </c>
      <c r="J86" s="627">
        <f>VLOOKUP($A86,'O&amp;M per TB'!$B$4:X$375,J$5,FALSE)</f>
        <v>172.33000000000004</v>
      </c>
      <c r="K86" s="627">
        <f>VLOOKUP($A86,'O&amp;M per TB'!$B$4:Y$375,K$5,FALSE)</f>
        <v>172.09000000000003</v>
      </c>
      <c r="L86" s="627">
        <f>VLOOKUP($A86,'O&amp;M per TB'!$B$4:Z$375,L$5,FALSE)</f>
        <v>170.51999999999998</v>
      </c>
      <c r="M86" s="627">
        <f>VLOOKUP($A86,'O&amp;M per TB'!$B$4:AA$375,M$5,FALSE)</f>
        <v>169.37999999999988</v>
      </c>
      <c r="N86" s="627">
        <f>VLOOKUP($A86,'O&amp;M per TB'!$B$4:AB$375,N$5,FALSE)</f>
        <v>174.43000000000006</v>
      </c>
      <c r="O86" s="627">
        <f>VLOOKUP($A86,'O&amp;M per TB'!$B$4:AC$375,O$5,FALSE)</f>
        <v>170.42000000000007</v>
      </c>
      <c r="P86" s="627">
        <f>VLOOKUP($A86,'O&amp;M per TB'!$B$4:AD$375,P$5,FALSE)</f>
        <v>169.82999999999993</v>
      </c>
      <c r="R86" s="921">
        <v>6215</v>
      </c>
      <c r="S86" s="921" t="s">
        <v>2075</v>
      </c>
      <c r="T86" s="922" t="s">
        <v>2076</v>
      </c>
      <c r="U86" s="922"/>
      <c r="V86" s="867">
        <f t="shared" ref="V86:V89" si="73">VLOOKUP($R86,$D$7:$E$124,2,FALSE)</f>
        <v>638.82000000000005</v>
      </c>
      <c r="W86" s="867">
        <f t="shared" si="61"/>
        <v>628.50999999999988</v>
      </c>
      <c r="X86" s="867">
        <f>VLOOKUP($R86,$D$7:$P$124,4,FALSE)</f>
        <v>772.82000000000016</v>
      </c>
      <c r="Y86" s="867">
        <f>VLOOKUP($R86,$D$7:$P$124,5,FALSE)</f>
        <v>758.27999999999975</v>
      </c>
      <c r="Z86" s="867">
        <f>VLOOKUP($R86,$D$7:$P$124,6,FALSE)</f>
        <v>797.10000000000036</v>
      </c>
      <c r="AA86" s="867">
        <f>VLOOKUP($R86,$D$7:$P$124,7,FALSE)</f>
        <v>880.28999999999951</v>
      </c>
      <c r="AB86" s="867">
        <f>VLOOKUP($R86,$D$7:$P$124,8,FALSE)</f>
        <v>858.05000000000018</v>
      </c>
      <c r="AC86" s="867">
        <f>VLOOKUP($R86,$D$7:$P$124,9,FALSE)</f>
        <v>806.46</v>
      </c>
      <c r="AD86" s="867">
        <f>VLOOKUP($R86,$D$7:$P$124,10,FALSE)</f>
        <v>678.73000000000047</v>
      </c>
      <c r="AE86" s="867">
        <f>VLOOKUP($R86,$D$7:$P$124,11,FALSE)</f>
        <v>712.80999999999949</v>
      </c>
      <c r="AF86" s="867">
        <f>VLOOKUP($R86,$D$7:$P$124,12,FALSE)</f>
        <v>645.48999999999978</v>
      </c>
      <c r="AG86" s="867">
        <f>VLOOKUP($R86,$D$7:$P$124,13,FALSE)</f>
        <v>622.09000000000106</v>
      </c>
    </row>
    <row r="87" spans="1:33">
      <c r="A87" s="921">
        <v>6130</v>
      </c>
      <c r="B87" s="921" t="s">
        <v>1975</v>
      </c>
      <c r="C87" s="1521" t="s">
        <v>1967</v>
      </c>
      <c r="D87" s="1681">
        <v>6130</v>
      </c>
      <c r="E87" s="627">
        <f>VLOOKUP($A87,'O&amp;M per TB'!$B$4:S$375,E$5,FALSE)</f>
        <v>390.74</v>
      </c>
      <c r="F87" s="627">
        <f>VLOOKUP($A87,'O&amp;M per TB'!$B$4:T$375,F$5,FALSE)</f>
        <v>371.42999999999995</v>
      </c>
      <c r="G87" s="627">
        <f>VLOOKUP($A87,'O&amp;M per TB'!$B$4:U$375,G$5,FALSE)</f>
        <v>355.07000000000005</v>
      </c>
      <c r="H87" s="627">
        <f>VLOOKUP($A87,'O&amp;M per TB'!$B$4:V$375,H$5,FALSE)</f>
        <v>384.15000000000009</v>
      </c>
      <c r="I87" s="627">
        <f>VLOOKUP($A87,'O&amp;M per TB'!$B$4:W$375,I$5,FALSE)</f>
        <v>381.53999999999996</v>
      </c>
      <c r="J87" s="627">
        <f>VLOOKUP($A87,'O&amp;M per TB'!$B$4:X$375,J$5,FALSE)</f>
        <v>383.70999999999981</v>
      </c>
      <c r="K87" s="627">
        <f>VLOOKUP($A87,'O&amp;M per TB'!$B$4:Y$375,K$5,FALSE)</f>
        <v>391.95000000000027</v>
      </c>
      <c r="L87" s="627">
        <f>VLOOKUP($A87,'O&amp;M per TB'!$B$4:Z$375,L$5,FALSE)</f>
        <v>411.37999999999965</v>
      </c>
      <c r="M87" s="627">
        <f>VLOOKUP($A87,'O&amp;M per TB'!$B$4:AA$375,M$5,FALSE)</f>
        <v>428.14000000000033</v>
      </c>
      <c r="N87" s="627">
        <f>VLOOKUP($A87,'O&amp;M per TB'!$B$4:AB$375,N$5,FALSE)</f>
        <v>411.69999999999982</v>
      </c>
      <c r="O87" s="627">
        <f>VLOOKUP($A87,'O&amp;M per TB'!$B$4:AC$375,O$5,FALSE)</f>
        <v>415.58000000000038</v>
      </c>
      <c r="P87" s="627">
        <f>VLOOKUP($A87,'O&amp;M per TB'!$B$4:AD$375,P$5,FALSE)</f>
        <v>417.76999999999953</v>
      </c>
      <c r="R87" s="921">
        <v>6220</v>
      </c>
      <c r="S87" s="921" t="s">
        <v>2077</v>
      </c>
      <c r="T87" s="922" t="s">
        <v>2076</v>
      </c>
      <c r="U87" s="922"/>
      <c r="V87" s="867">
        <f t="shared" si="73"/>
        <v>262.06</v>
      </c>
      <c r="W87" s="867">
        <f t="shared" si="61"/>
        <v>351.68</v>
      </c>
      <c r="X87" s="867">
        <f>VLOOKUP($R87,$D$7:$P$124,4,FALSE)</f>
        <v>217.93999999999994</v>
      </c>
      <c r="Y87" s="867">
        <f>VLOOKUP($R87,$D$7:$P$124,5,FALSE)</f>
        <v>562.43999999999994</v>
      </c>
      <c r="Z87" s="867">
        <f>VLOOKUP($R87,$D$7:$P$124,6,FALSE)</f>
        <v>399.06000000000017</v>
      </c>
      <c r="AA87" s="867">
        <f>VLOOKUP($R87,$D$7:$P$124,7,FALSE)</f>
        <v>322.72000000000003</v>
      </c>
      <c r="AB87" s="867">
        <f>VLOOKUP($R87,$D$7:$P$124,8,FALSE)</f>
        <v>419.65999999999985</v>
      </c>
      <c r="AC87" s="867">
        <f>VLOOKUP($R87,$D$7:$P$124,9,FALSE)</f>
        <v>312.38999999999987</v>
      </c>
      <c r="AD87" s="867">
        <f>VLOOKUP($R87,$D$7:$P$124,10,FALSE)</f>
        <v>402.53999999999996</v>
      </c>
      <c r="AE87" s="867">
        <f>VLOOKUP($R87,$D$7:$P$124,11,FALSE)</f>
        <v>292.42000000000007</v>
      </c>
      <c r="AF87" s="867">
        <f>VLOOKUP($R87,$D$7:$P$124,12,FALSE)</f>
        <v>384.20000000000027</v>
      </c>
      <c r="AG87" s="867">
        <f>VLOOKUP($R87,$D$7:$P$124,13,FALSE)</f>
        <v>311.9699999999998</v>
      </c>
    </row>
    <row r="88" spans="1:33">
      <c r="A88" s="921">
        <v>6135</v>
      </c>
      <c r="B88" s="921" t="s">
        <v>1977</v>
      </c>
      <c r="C88" s="1521" t="s">
        <v>1967</v>
      </c>
      <c r="D88" s="1681">
        <v>6135</v>
      </c>
      <c r="E88" s="627">
        <f>VLOOKUP($A88,'O&amp;M per TB'!$B$4:S$375,E$5,FALSE)</f>
        <v>2359.3200000000002</v>
      </c>
      <c r="F88" s="627">
        <f>VLOOKUP($A88,'O&amp;M per TB'!$B$4:T$375,F$5,FALSE)</f>
        <v>2263.85</v>
      </c>
      <c r="G88" s="627">
        <f>VLOOKUP($A88,'O&amp;M per TB'!$B$4:U$375,G$5,FALSE)</f>
        <v>2441.16</v>
      </c>
      <c r="H88" s="627">
        <f>VLOOKUP($A88,'O&amp;M per TB'!$B$4:V$375,H$5,FALSE)</f>
        <v>2230.1499999999996</v>
      </c>
      <c r="I88" s="627">
        <f>VLOOKUP($A88,'O&amp;M per TB'!$B$4:W$375,I$5,FALSE)</f>
        <v>2523</v>
      </c>
      <c r="J88" s="627">
        <f>VLOOKUP($A88,'O&amp;M per TB'!$B$4:X$375,J$5,FALSE)</f>
        <v>3169.9400000000005</v>
      </c>
      <c r="K88" s="627">
        <f>VLOOKUP($A88,'O&amp;M per TB'!$B$4:Y$375,K$5,FALSE)</f>
        <v>3226.4299999999985</v>
      </c>
      <c r="L88" s="627">
        <f>VLOOKUP($A88,'O&amp;M per TB'!$B$4:Z$375,L$5,FALSE)</f>
        <v>3845.5500000000029</v>
      </c>
      <c r="M88" s="627">
        <f>VLOOKUP($A88,'O&amp;M per TB'!$B$4:AA$375,M$5,FALSE)</f>
        <v>3299.619999999999</v>
      </c>
      <c r="N88" s="627">
        <f>VLOOKUP($A88,'O&amp;M per TB'!$B$4:AB$375,N$5,FALSE)</f>
        <v>3186.7299999999996</v>
      </c>
      <c r="O88" s="627">
        <f>VLOOKUP($A88,'O&amp;M per TB'!$B$4:AC$375,O$5,FALSE)</f>
        <v>3560.1899999999987</v>
      </c>
      <c r="P88" s="627">
        <f>VLOOKUP($A88,'O&amp;M per TB'!$B$4:AD$375,P$5,FALSE)</f>
        <v>4456.2000000000007</v>
      </c>
      <c r="R88" s="921">
        <v>6225</v>
      </c>
      <c r="S88" s="921" t="s">
        <v>2078</v>
      </c>
      <c r="T88" s="922" t="s">
        <v>2076</v>
      </c>
      <c r="U88" s="922"/>
      <c r="V88" s="867">
        <f t="shared" si="73"/>
        <v>0</v>
      </c>
      <c r="W88" s="867">
        <f t="shared" si="61"/>
        <v>0</v>
      </c>
      <c r="X88" s="867">
        <f>VLOOKUP($R88,$D$7:$P$124,4,FALSE)</f>
        <v>0</v>
      </c>
      <c r="Y88" s="867">
        <f>VLOOKUP($R88,$D$7:$P$124,5,FALSE)</f>
        <v>0</v>
      </c>
      <c r="Z88" s="867">
        <f>VLOOKUP($R88,$D$7:$P$124,6,FALSE)</f>
        <v>212.04</v>
      </c>
      <c r="AA88" s="867">
        <f>VLOOKUP($R88,$D$7:$P$124,7,FALSE)</f>
        <v>-1.5099999999999909</v>
      </c>
      <c r="AB88" s="867">
        <f>VLOOKUP($R88,$D$7:$P$124,8,FALSE)</f>
        <v>0</v>
      </c>
      <c r="AC88" s="867">
        <f>VLOOKUP($R88,$D$7:$P$124,9,FALSE)</f>
        <v>0</v>
      </c>
      <c r="AD88" s="867">
        <f>VLOOKUP($R88,$D$7:$P$124,10,FALSE)</f>
        <v>0</v>
      </c>
      <c r="AE88" s="867">
        <f>VLOOKUP($R88,$D$7:$P$124,11,FALSE)</f>
        <v>0</v>
      </c>
      <c r="AF88" s="867">
        <f>VLOOKUP($R88,$D$7:$P$124,12,FALSE)</f>
        <v>122.73999999999998</v>
      </c>
      <c r="AG88" s="867">
        <f>VLOOKUP($R88,$D$7:$P$124,13,FALSE)</f>
        <v>0.15000000000003411</v>
      </c>
    </row>
    <row r="89" spans="1:33">
      <c r="A89" s="921">
        <v>6140</v>
      </c>
      <c r="B89" s="921" t="s">
        <v>1979</v>
      </c>
      <c r="C89" s="1521" t="s">
        <v>1967</v>
      </c>
      <c r="D89" s="1681">
        <v>6140</v>
      </c>
      <c r="E89" s="627">
        <f>VLOOKUP($A89,'O&amp;M per TB'!$B$4:S$375,E$5,FALSE)</f>
        <v>223.44</v>
      </c>
      <c r="F89" s="627">
        <f>VLOOKUP($A89,'O&amp;M per TB'!$B$4:T$375,F$5,FALSE)</f>
        <v>291.73999999999995</v>
      </c>
      <c r="G89" s="627">
        <f>VLOOKUP($A89,'O&amp;M per TB'!$B$4:U$375,G$5,FALSE)</f>
        <v>327.57000000000005</v>
      </c>
      <c r="H89" s="627">
        <f>VLOOKUP($A89,'O&amp;M per TB'!$B$4:V$375,H$5,FALSE)</f>
        <v>349.27</v>
      </c>
      <c r="I89" s="627">
        <f>VLOOKUP($A89,'O&amp;M per TB'!$B$4:W$375,I$5,FALSE)</f>
        <v>298.73</v>
      </c>
      <c r="J89" s="627">
        <f>VLOOKUP($A89,'O&amp;M per TB'!$B$4:X$375,J$5,FALSE)</f>
        <v>326.43000000000006</v>
      </c>
      <c r="K89" s="627">
        <f>VLOOKUP($A89,'O&amp;M per TB'!$B$4:Y$375,K$5,FALSE)</f>
        <v>321.51999999999975</v>
      </c>
      <c r="L89" s="627">
        <f>VLOOKUP($A89,'O&amp;M per TB'!$B$4:Z$375,L$5,FALSE)</f>
        <v>327.07000000000016</v>
      </c>
      <c r="M89" s="627">
        <f>VLOOKUP($A89,'O&amp;M per TB'!$B$4:AA$375,M$5,FALSE)</f>
        <v>336.17000000000007</v>
      </c>
      <c r="N89" s="627">
        <f>VLOOKUP($A89,'O&amp;M per TB'!$B$4:AB$375,N$5,FALSE)</f>
        <v>323.94999999999982</v>
      </c>
      <c r="O89" s="627">
        <f>VLOOKUP($A89,'O&amp;M per TB'!$B$4:AC$375,O$5,FALSE)</f>
        <v>326.55999999999995</v>
      </c>
      <c r="P89" s="627">
        <f>VLOOKUP($A89,'O&amp;M per TB'!$B$4:AD$375,P$5,FALSE)</f>
        <v>323.23</v>
      </c>
      <c r="R89" s="921">
        <v>6230</v>
      </c>
      <c r="S89" s="921" t="s">
        <v>2079</v>
      </c>
      <c r="T89" s="922" t="s">
        <v>2076</v>
      </c>
      <c r="U89" s="922"/>
      <c r="V89" s="867">
        <f t="shared" si="73"/>
        <v>69.3</v>
      </c>
      <c r="W89" s="867">
        <f t="shared" si="61"/>
        <v>69.399999999999991</v>
      </c>
      <c r="X89" s="867">
        <f>VLOOKUP($R89,$D$7:$P$124,4,FALSE)</f>
        <v>69.180000000000007</v>
      </c>
      <c r="Y89" s="867">
        <f>VLOOKUP($R89,$D$7:$P$124,5,FALSE)</f>
        <v>68.87</v>
      </c>
      <c r="Z89" s="867">
        <f>VLOOKUP($R89,$D$7:$P$124,6,FALSE)</f>
        <v>110.82999999999998</v>
      </c>
      <c r="AA89" s="867">
        <f>VLOOKUP($R89,$D$7:$P$124,7,FALSE)</f>
        <v>87.28000000000003</v>
      </c>
      <c r="AB89" s="867">
        <f>VLOOKUP($R89,$D$7:$P$124,8,FALSE)</f>
        <v>0</v>
      </c>
      <c r="AC89" s="867">
        <f>VLOOKUP($R89,$D$7:$P$124,9,FALSE)</f>
        <v>76.409999999999968</v>
      </c>
      <c r="AD89" s="867">
        <f>VLOOKUP($R89,$D$7:$P$124,10,FALSE)</f>
        <v>0</v>
      </c>
      <c r="AE89" s="867">
        <f>VLOOKUP($R89,$D$7:$P$124,11,FALSE)</f>
        <v>290.83000000000004</v>
      </c>
      <c r="AF89" s="867">
        <f>VLOOKUP($R89,$D$7:$P$124,12,FALSE)</f>
        <v>0</v>
      </c>
      <c r="AG89" s="867">
        <f>VLOOKUP($R89,$D$7:$P$124,13,FALSE)</f>
        <v>139.31999999999994</v>
      </c>
    </row>
    <row r="90" spans="1:33">
      <c r="A90" s="921">
        <v>6145</v>
      </c>
      <c r="B90" s="921" t="s">
        <v>1982</v>
      </c>
      <c r="C90" s="1521" t="s">
        <v>1967</v>
      </c>
      <c r="D90" s="1681">
        <v>6145</v>
      </c>
      <c r="E90" s="627">
        <f>VLOOKUP($A90,'O&amp;M per TB'!$B$4:S$375,E$5,FALSE)</f>
        <v>1078.81</v>
      </c>
      <c r="F90" s="627">
        <f>VLOOKUP($A90,'O&amp;M per TB'!$B$4:T$375,F$5,FALSE)</f>
        <v>992.09999999999991</v>
      </c>
      <c r="G90" s="627">
        <f>VLOOKUP($A90,'O&amp;M per TB'!$B$4:U$375,G$5,FALSE)</f>
        <v>1011.7200000000003</v>
      </c>
      <c r="H90" s="627">
        <f>VLOOKUP($A90,'O&amp;M per TB'!$B$4:V$375,H$5,FALSE)</f>
        <v>1062.3199999999997</v>
      </c>
      <c r="I90" s="627">
        <f>VLOOKUP($A90,'O&amp;M per TB'!$B$4:W$375,I$5,FALSE)</f>
        <v>1043.5600000000004</v>
      </c>
      <c r="J90" s="627">
        <f>VLOOKUP($A90,'O&amp;M per TB'!$B$4:X$375,J$5,FALSE)</f>
        <v>1105.54</v>
      </c>
      <c r="K90" s="627">
        <f>VLOOKUP($A90,'O&amp;M per TB'!$B$4:Y$375,K$5,FALSE)</f>
        <v>1117.6999999999998</v>
      </c>
      <c r="L90" s="627">
        <f>VLOOKUP($A90,'O&amp;M per TB'!$B$4:Z$375,L$5,FALSE)</f>
        <v>1040.6499999999996</v>
      </c>
      <c r="M90" s="627">
        <f>VLOOKUP($A90,'O&amp;M per TB'!$B$4:AA$375,M$5,FALSE)</f>
        <v>1056.9300000000003</v>
      </c>
      <c r="N90" s="627">
        <f>VLOOKUP($A90,'O&amp;M per TB'!$B$4:AB$375,N$5,FALSE)</f>
        <v>1045.5100000000002</v>
      </c>
      <c r="O90" s="627">
        <f>VLOOKUP($A90,'O&amp;M per TB'!$B$4:AC$375,O$5,FALSE)</f>
        <v>1049.6399999999994</v>
      </c>
      <c r="P90" s="627">
        <f>VLOOKUP($A90,'O&amp;M per TB'!$B$4:AD$375,P$5,FALSE)</f>
        <v>1123.1599999999999</v>
      </c>
      <c r="V90" s="1602">
        <f>SUM(V86:V89)</f>
        <v>970.18000000000006</v>
      </c>
      <c r="W90" s="1602">
        <f>SUM(W86:W89)</f>
        <v>1049.5899999999999</v>
      </c>
      <c r="X90" s="1602">
        <f t="shared" ref="X90:AG90" si="74">SUM(X86:X89)</f>
        <v>1059.94</v>
      </c>
      <c r="Y90" s="1602">
        <f t="shared" si="74"/>
        <v>1389.5899999999997</v>
      </c>
      <c r="Z90" s="1602">
        <f t="shared" si="74"/>
        <v>1519.0300000000004</v>
      </c>
      <c r="AA90" s="1602">
        <f t="shared" si="74"/>
        <v>1288.7799999999995</v>
      </c>
      <c r="AB90" s="1602">
        <f t="shared" si="74"/>
        <v>1277.71</v>
      </c>
      <c r="AC90" s="1602">
        <f t="shared" si="74"/>
        <v>1195.2599999999998</v>
      </c>
      <c r="AD90" s="1602">
        <f t="shared" si="74"/>
        <v>1081.2700000000004</v>
      </c>
      <c r="AE90" s="1602">
        <f t="shared" si="74"/>
        <v>1296.0599999999995</v>
      </c>
      <c r="AF90" s="1602">
        <f t="shared" si="74"/>
        <v>1152.43</v>
      </c>
      <c r="AG90" s="1602">
        <f t="shared" si="74"/>
        <v>1073.5300000000009</v>
      </c>
    </row>
    <row r="91" spans="1:33">
      <c r="C91" s="1521"/>
      <c r="E91" s="627"/>
      <c r="F91" s="627"/>
      <c r="G91" s="627"/>
      <c r="H91" s="627"/>
      <c r="I91" s="627"/>
      <c r="J91" s="627"/>
      <c r="K91" s="627"/>
      <c r="L91" s="627"/>
      <c r="M91" s="627"/>
      <c r="N91" s="627"/>
      <c r="O91" s="627"/>
      <c r="P91" s="627"/>
      <c r="V91" s="867"/>
      <c r="W91" s="867"/>
      <c r="X91" s="867"/>
      <c r="Y91" s="867"/>
      <c r="Z91" s="867"/>
      <c r="AA91" s="867"/>
      <c r="AB91" s="867"/>
      <c r="AC91" s="867"/>
      <c r="AD91" s="867"/>
      <c r="AE91" s="867"/>
      <c r="AF91" s="867"/>
      <c r="AG91" s="867"/>
    </row>
    <row r="92" spans="1:33">
      <c r="A92" s="921">
        <v>6146</v>
      </c>
      <c r="B92" s="921" t="s">
        <v>1985</v>
      </c>
      <c r="C92" s="1521" t="s">
        <v>1967</v>
      </c>
      <c r="D92" s="1681">
        <v>6146</v>
      </c>
      <c r="E92" s="627">
        <f>VLOOKUP($A92,'O&amp;M per TB'!$B$4:S$375,E$5,FALSE)</f>
        <v>452.31</v>
      </c>
      <c r="F92" s="627">
        <f>VLOOKUP($A92,'O&amp;M per TB'!$B$4:T$375,F$5,FALSE)</f>
        <v>421.55</v>
      </c>
      <c r="G92" s="627">
        <f>VLOOKUP($A92,'O&amp;M per TB'!$B$4:U$375,G$5,FALSE)</f>
        <v>442.08000000000004</v>
      </c>
      <c r="H92" s="627">
        <f>VLOOKUP($A92,'O&amp;M per TB'!$B$4:V$375,H$5,FALSE)</f>
        <v>537.53</v>
      </c>
      <c r="I92" s="627">
        <f>VLOOKUP($A92,'O&amp;M per TB'!$B$4:W$375,I$5,FALSE)</f>
        <v>441.56000000000017</v>
      </c>
      <c r="J92" s="627">
        <f>VLOOKUP($A92,'O&amp;M per TB'!$B$4:X$375,J$5,FALSE)</f>
        <v>454.15999999999985</v>
      </c>
      <c r="K92" s="627">
        <f>VLOOKUP($A92,'O&amp;M per TB'!$B$4:Y$375,K$5,FALSE)</f>
        <v>416.36999999999989</v>
      </c>
      <c r="L92" s="627">
        <f>VLOOKUP($A92,'O&amp;M per TB'!$B$4:Z$375,L$5,FALSE)</f>
        <v>407.71000000000004</v>
      </c>
      <c r="M92" s="627">
        <f>VLOOKUP($A92,'O&amp;M per TB'!$B$4:AA$375,M$5,FALSE)</f>
        <v>479.30999999999995</v>
      </c>
      <c r="N92" s="627">
        <f>VLOOKUP($A92,'O&amp;M per TB'!$B$4:AB$375,N$5,FALSE)</f>
        <v>420.17000000000007</v>
      </c>
      <c r="O92" s="627">
        <f>VLOOKUP($A92,'O&amp;M per TB'!$B$4:AC$375,O$5,FALSE)</f>
        <v>426.56999999999971</v>
      </c>
      <c r="P92" s="627">
        <f>VLOOKUP($A92,'O&amp;M per TB'!$B$4:AD$375,P$5,FALSE)</f>
        <v>457.53000000000065</v>
      </c>
      <c r="R92" s="921">
        <v>5705</v>
      </c>
      <c r="S92" s="921" t="s">
        <v>2080</v>
      </c>
      <c r="T92" s="922" t="s">
        <v>2015</v>
      </c>
      <c r="V92" s="867">
        <f t="shared" ref="V92:V93" si="75">VLOOKUP($R92,$D$7:$E$124,2,FALSE)</f>
        <v>2308.98</v>
      </c>
      <c r="W92" s="867">
        <f t="shared" ref="W92:W93" si="76">VLOOKUP($R92,$D$7:$P$124,3,FALSE)</f>
        <v>2019.0400000000004</v>
      </c>
      <c r="X92" s="867">
        <f>VLOOKUP($R92,$D$7:$P$124,4,FALSE)</f>
        <v>2270.6899999999996</v>
      </c>
      <c r="Y92" s="867">
        <f>VLOOKUP($R92,$D$7:$P$124,5,FALSE)</f>
        <v>2313.6400000000003</v>
      </c>
      <c r="Z92" s="867">
        <f>VLOOKUP($R92,$D$7:$P$124,6,FALSE)</f>
        <v>2273.0499999999993</v>
      </c>
      <c r="AA92" s="867">
        <f>VLOOKUP($R92,$D$7:$P$124,7,FALSE)</f>
        <v>2278.5599999999995</v>
      </c>
      <c r="AB92" s="867">
        <f>VLOOKUP($R92,$D$7:$P$124,8,FALSE)</f>
        <v>2270.2700000000004</v>
      </c>
      <c r="AC92" s="867">
        <f>VLOOKUP($R92,$D$7:$P$124,9,FALSE)</f>
        <v>2268.2700000000004</v>
      </c>
      <c r="AD92" s="867">
        <f>VLOOKUP($R92,$D$7:$P$124,10,FALSE)</f>
        <v>2245.9399999999987</v>
      </c>
      <c r="AE92" s="867">
        <f>VLOOKUP($R92,$D$7:$P$124,11,FALSE)</f>
        <v>2397.9799999999996</v>
      </c>
      <c r="AF92" s="867">
        <f>VLOOKUP($R92,$D$7:$P$124,12,FALSE)</f>
        <v>2339.9300000000003</v>
      </c>
      <c r="AG92" s="867">
        <f>VLOOKUP($R92,$D$7:$P$124,13,FALSE)</f>
        <v>2340.0699999999997</v>
      </c>
    </row>
    <row r="93" spans="1:33">
      <c r="A93" s="921">
        <v>6147</v>
      </c>
      <c r="B93" s="921" t="s">
        <v>1987</v>
      </c>
      <c r="C93" s="1521" t="s">
        <v>1967</v>
      </c>
      <c r="D93" s="1681">
        <v>6147</v>
      </c>
      <c r="E93" s="627"/>
      <c r="F93" s="627"/>
      <c r="G93" s="627"/>
      <c r="H93" s="627"/>
      <c r="I93" s="627"/>
      <c r="J93" s="627"/>
      <c r="K93" s="627"/>
      <c r="L93" s="627"/>
      <c r="M93" s="627"/>
      <c r="N93" s="627"/>
      <c r="O93" s="627"/>
      <c r="P93" s="627"/>
      <c r="R93" s="921">
        <v>5715</v>
      </c>
      <c r="S93" s="921" t="s">
        <v>2014</v>
      </c>
      <c r="T93" s="922" t="s">
        <v>2015</v>
      </c>
      <c r="U93" s="922"/>
      <c r="V93" s="867">
        <f t="shared" si="75"/>
        <v>75.75</v>
      </c>
      <c r="W93" s="867">
        <f t="shared" si="76"/>
        <v>137.07</v>
      </c>
      <c r="X93" s="867">
        <f>VLOOKUP($R93,$D$7:$P$124,4,FALSE)</f>
        <v>74.95999999999998</v>
      </c>
      <c r="Y93" s="867">
        <f>VLOOKUP($R93,$D$7:$P$124,5,FALSE)</f>
        <v>283.39999999999998</v>
      </c>
      <c r="Z93" s="867">
        <f>VLOOKUP($R93,$D$7:$P$124,6,FALSE)</f>
        <v>332.13</v>
      </c>
      <c r="AA93" s="867">
        <f>VLOOKUP($R93,$D$7:$P$124,7,FALSE)</f>
        <v>652.83000000000015</v>
      </c>
      <c r="AB93" s="867">
        <f>VLOOKUP($R93,$D$7:$P$124,8,FALSE)</f>
        <v>784.39999999999986</v>
      </c>
      <c r="AC93" s="867">
        <f>VLOOKUP($R93,$D$7:$P$124,9,FALSE)</f>
        <v>178.23000000000002</v>
      </c>
      <c r="AD93" s="867">
        <f>VLOOKUP($R93,$D$7:$P$124,10,FALSE)</f>
        <v>635.4699999999998</v>
      </c>
      <c r="AE93" s="867">
        <f>VLOOKUP($R93,$D$7:$P$124,11,FALSE)</f>
        <v>1162.5100000000002</v>
      </c>
      <c r="AF93" s="867">
        <f>VLOOKUP($R93,$D$7:$P$124,12,FALSE)</f>
        <v>1985.2200000000003</v>
      </c>
      <c r="AG93" s="867">
        <f>VLOOKUP($R93,$D$7:$P$124,13,FALSE)</f>
        <v>-322.32999999999993</v>
      </c>
    </row>
    <row r="94" spans="1:33">
      <c r="A94" s="921">
        <v>6150</v>
      </c>
      <c r="B94" s="921" t="s">
        <v>1989</v>
      </c>
      <c r="C94" s="1521" t="s">
        <v>1967</v>
      </c>
      <c r="D94" s="1681">
        <v>6150</v>
      </c>
      <c r="E94" s="627">
        <f>VLOOKUP($A94,'O&amp;M per TB'!$B$4:S$375,E$5,FALSE)</f>
        <v>16250.25</v>
      </c>
      <c r="F94" s="627">
        <f>VLOOKUP($A94,'O&amp;M per TB'!$B$4:T$375,F$5,FALSE)</f>
        <v>11730.150000000001</v>
      </c>
      <c r="G94" s="627">
        <f>VLOOKUP($A94,'O&amp;M per TB'!$B$4:U$375,G$5,FALSE)</f>
        <v>13782.330000000002</v>
      </c>
      <c r="H94" s="627">
        <f>VLOOKUP($A94,'O&amp;M per TB'!$B$4:V$375,H$5,FALSE)</f>
        <v>16526.82</v>
      </c>
      <c r="I94" s="627">
        <f>VLOOKUP($A94,'O&amp;M per TB'!$B$4:W$375,I$5,FALSE)</f>
        <v>14731.37999999999</v>
      </c>
      <c r="J94" s="627">
        <f>VLOOKUP($A94,'O&amp;M per TB'!$B$4:X$375,J$5,FALSE)</f>
        <v>14243.960000000006</v>
      </c>
      <c r="K94" s="627">
        <f>VLOOKUP($A94,'O&amp;M per TB'!$B$4:Y$375,K$5,FALSE)</f>
        <v>12998.830000000002</v>
      </c>
      <c r="L94" s="627">
        <f>VLOOKUP($A94,'O&amp;M per TB'!$B$4:Z$375,L$5,FALSE)</f>
        <v>14437.220000000001</v>
      </c>
      <c r="M94" s="627">
        <f>VLOOKUP($A94,'O&amp;M per TB'!$B$4:AA$375,M$5,FALSE)</f>
        <v>13596.160000000003</v>
      </c>
      <c r="N94" s="627">
        <f>VLOOKUP($A94,'O&amp;M per TB'!$B$4:AB$375,N$5,FALSE)</f>
        <v>13152.799999999988</v>
      </c>
      <c r="O94" s="627">
        <f>VLOOKUP($A94,'O&amp;M per TB'!$B$4:AC$375,O$5,FALSE)</f>
        <v>12497.910000000003</v>
      </c>
      <c r="P94" s="627">
        <f>VLOOKUP($A94,'O&amp;M per TB'!$B$4:AD$375,P$5,FALSE)</f>
        <v>14794.390000000014</v>
      </c>
      <c r="V94" s="1602">
        <f>SUM(V92:V93)</f>
        <v>2384.73</v>
      </c>
      <c r="W94" s="1602">
        <f t="shared" ref="W94:AG94" si="77">SUM(W92:W93)</f>
        <v>2156.1100000000006</v>
      </c>
      <c r="X94" s="1602">
        <f t="shared" si="77"/>
        <v>2345.6499999999996</v>
      </c>
      <c r="Y94" s="1602">
        <f t="shared" si="77"/>
        <v>2597.0400000000004</v>
      </c>
      <c r="Z94" s="1602">
        <f t="shared" si="77"/>
        <v>2605.1799999999994</v>
      </c>
      <c r="AA94" s="1602">
        <f t="shared" si="77"/>
        <v>2931.3899999999994</v>
      </c>
      <c r="AB94" s="1602">
        <f t="shared" si="77"/>
        <v>3054.67</v>
      </c>
      <c r="AC94" s="1602">
        <f t="shared" si="77"/>
        <v>2446.5000000000005</v>
      </c>
      <c r="AD94" s="1602">
        <f t="shared" si="77"/>
        <v>2881.4099999999985</v>
      </c>
      <c r="AE94" s="1602">
        <f t="shared" si="77"/>
        <v>3560.49</v>
      </c>
      <c r="AF94" s="1602">
        <f t="shared" si="77"/>
        <v>4325.1500000000005</v>
      </c>
      <c r="AG94" s="1602">
        <f t="shared" si="77"/>
        <v>2017.7399999999998</v>
      </c>
    </row>
    <row r="95" spans="1:33">
      <c r="A95" s="921">
        <v>6155</v>
      </c>
      <c r="B95" s="921" t="s">
        <v>1992</v>
      </c>
      <c r="C95" s="1521" t="s">
        <v>1967</v>
      </c>
      <c r="D95" s="1681">
        <v>6155</v>
      </c>
      <c r="E95" s="627">
        <f>VLOOKUP($A95,'O&amp;M per TB'!$B$4:S$375,E$5,FALSE)</f>
        <v>255.19</v>
      </c>
      <c r="F95" s="627">
        <f>VLOOKUP($A95,'O&amp;M per TB'!$B$4:T$375,F$5,FALSE)</f>
        <v>259.67</v>
      </c>
      <c r="G95" s="627">
        <f>VLOOKUP($A95,'O&amp;M per TB'!$B$4:U$375,G$5,FALSE)</f>
        <v>305.15999999999997</v>
      </c>
      <c r="H95" s="627">
        <f>VLOOKUP($A95,'O&amp;M per TB'!$B$4:V$375,H$5,FALSE)</f>
        <v>315.53999999999996</v>
      </c>
      <c r="I95" s="627">
        <f>VLOOKUP($A95,'O&amp;M per TB'!$B$4:W$375,I$5,FALSE)</f>
        <v>300.75</v>
      </c>
      <c r="J95" s="627">
        <f>VLOOKUP($A95,'O&amp;M per TB'!$B$4:X$375,J$5,FALSE)</f>
        <v>330.24</v>
      </c>
      <c r="K95" s="627">
        <f>VLOOKUP($A95,'O&amp;M per TB'!$B$4:Y$375,K$5,FALSE)</f>
        <v>328.49</v>
      </c>
      <c r="L95" s="627">
        <f>VLOOKUP($A95,'O&amp;M per TB'!$B$4:Z$375,L$5,FALSE)</f>
        <v>300.24000000000024</v>
      </c>
      <c r="M95" s="627">
        <f>VLOOKUP($A95,'O&amp;M per TB'!$B$4:AA$375,M$5,FALSE)</f>
        <v>314.4699999999998</v>
      </c>
      <c r="N95" s="627">
        <f>VLOOKUP($A95,'O&amp;M per TB'!$B$4:AB$375,N$5,FALSE)</f>
        <v>289.86000000000013</v>
      </c>
      <c r="O95" s="627">
        <f>VLOOKUP($A95,'O&amp;M per TB'!$B$4:AC$375,O$5,FALSE)</f>
        <v>277.36999999999989</v>
      </c>
      <c r="P95" s="627">
        <f>VLOOKUP($A95,'O&amp;M per TB'!$B$4:AD$375,P$5,FALSE)</f>
        <v>287.57999999999993</v>
      </c>
      <c r="R95" s="921">
        <v>6065</v>
      </c>
      <c r="S95" s="921" t="s">
        <v>2068</v>
      </c>
      <c r="T95" s="922" t="s">
        <v>2069</v>
      </c>
      <c r="U95" s="922"/>
      <c r="V95" s="867"/>
      <c r="W95" s="867"/>
      <c r="X95" s="867"/>
      <c r="Y95" s="867"/>
      <c r="Z95" s="867"/>
      <c r="AA95" s="867"/>
      <c r="AB95" s="867"/>
      <c r="AC95" s="867"/>
      <c r="AD95" s="867"/>
      <c r="AE95" s="867"/>
      <c r="AF95" s="867"/>
      <c r="AG95" s="867"/>
    </row>
    <row r="96" spans="1:33">
      <c r="A96" s="921">
        <v>6165</v>
      </c>
      <c r="B96" s="921" t="s">
        <v>1994</v>
      </c>
      <c r="C96" s="1521" t="s">
        <v>1967</v>
      </c>
      <c r="D96" s="1681">
        <v>6165</v>
      </c>
      <c r="E96" s="627">
        <f>VLOOKUP($A96,'O&amp;M per TB'!$B$4:S$375,E$5,FALSE)</f>
        <v>-3808.25</v>
      </c>
      <c r="F96" s="627">
        <f>VLOOKUP($A96,'O&amp;M per TB'!$B$4:T$375,F$5,FALSE)</f>
        <v>-1412.4700000000003</v>
      </c>
      <c r="G96" s="627">
        <f>VLOOKUP($A96,'O&amp;M per TB'!$B$4:U$375,G$5,FALSE)</f>
        <v>-675.34999999999945</v>
      </c>
      <c r="H96" s="627">
        <f>VLOOKUP($A96,'O&amp;M per TB'!$B$4:V$375,H$5,FALSE)</f>
        <v>-3420.09</v>
      </c>
      <c r="I96" s="627">
        <f>VLOOKUP($A96,'O&amp;M per TB'!$B$4:W$375,I$5,FALSE)</f>
        <v>-1451.130000000001</v>
      </c>
      <c r="J96" s="627">
        <f>VLOOKUP($A96,'O&amp;M per TB'!$B$4:X$375,J$5,FALSE)</f>
        <v>-1298.3599999999988</v>
      </c>
      <c r="K96" s="627">
        <f>VLOOKUP($A96,'O&amp;M per TB'!$B$4:Y$375,K$5,FALSE)</f>
        <v>-1019.1400000000012</v>
      </c>
      <c r="L96" s="627">
        <f>VLOOKUP($A96,'O&amp;M per TB'!$B$4:Z$375,L$5,FALSE)</f>
        <v>-1691.9899999999998</v>
      </c>
      <c r="M96" s="627">
        <f>VLOOKUP($A96,'O&amp;M per TB'!$B$4:AA$375,M$5,FALSE)</f>
        <v>-2297.4699999999993</v>
      </c>
      <c r="N96" s="627">
        <f>VLOOKUP($A96,'O&amp;M per TB'!$B$4:AB$375,N$5,FALSE)</f>
        <v>-958.91999999999825</v>
      </c>
      <c r="O96" s="627">
        <f>VLOOKUP($A96,'O&amp;M per TB'!$B$4:AC$375,O$5,FALSE)</f>
        <v>-1778.260000000002</v>
      </c>
      <c r="P96" s="627">
        <f>VLOOKUP($A96,'O&amp;M per TB'!$B$4:AD$375,P$5,FALSE)</f>
        <v>-2178.8499999999985</v>
      </c>
    </row>
    <row r="97" spans="1:33">
      <c r="A97" s="921">
        <v>6185</v>
      </c>
      <c r="B97" s="921" t="s">
        <v>2081</v>
      </c>
      <c r="C97" s="1521" t="s">
        <v>1998</v>
      </c>
      <c r="D97" s="1681">
        <v>6185</v>
      </c>
      <c r="E97" s="627">
        <f>VLOOKUP($A97,'O&amp;M per TB'!$B$4:S$375,E$5,FALSE)</f>
        <v>5.14</v>
      </c>
      <c r="F97" s="627">
        <f>VLOOKUP($A97,'O&amp;M per TB'!$B$4:T$375,F$5,FALSE)</f>
        <v>58.41</v>
      </c>
      <c r="G97" s="627">
        <f>VLOOKUP($A97,'O&amp;M per TB'!$B$4:U$375,G$5,FALSE)</f>
        <v>140.79000000000002</v>
      </c>
      <c r="H97" s="627">
        <f>VLOOKUP($A97,'O&amp;M per TB'!$B$4:V$375,H$5,FALSE)</f>
        <v>-34.349999999999994</v>
      </c>
      <c r="I97" s="627">
        <f>VLOOKUP($A97,'O&amp;M per TB'!$B$4:W$375,I$5,FALSE)</f>
        <v>7.4699999999999989</v>
      </c>
      <c r="J97" s="627">
        <f>VLOOKUP($A97,'O&amp;M per TB'!$B$4:X$375,J$5,FALSE)</f>
        <v>34.94</v>
      </c>
      <c r="K97" s="627">
        <f>VLOOKUP($A97,'O&amp;M per TB'!$B$4:Y$375,K$5,FALSE)</f>
        <v>86.809999999999974</v>
      </c>
      <c r="L97" s="627">
        <f>VLOOKUP($A97,'O&amp;M per TB'!$B$4:Z$375,L$5,FALSE)</f>
        <v>64.460000000000036</v>
      </c>
      <c r="M97" s="627">
        <f>VLOOKUP($A97,'O&amp;M per TB'!$B$4:AA$375,M$5,FALSE)</f>
        <v>347.37999999999994</v>
      </c>
      <c r="N97" s="627">
        <f>VLOOKUP($A97,'O&amp;M per TB'!$B$4:AB$375,N$5,FALSE)</f>
        <v>34.690000000000055</v>
      </c>
      <c r="O97" s="627">
        <f>VLOOKUP($A97,'O&amp;M per TB'!$B$4:AC$375,O$5,FALSE)</f>
        <v>136.05999999999995</v>
      </c>
      <c r="P97" s="627">
        <f>VLOOKUP($A97,'O&amp;M per TB'!$B$4:AD$375,P$5,FALSE)</f>
        <v>20.180000000000064</v>
      </c>
      <c r="R97" s="921">
        <v>6070</v>
      </c>
      <c r="S97" s="921" t="s">
        <v>2070</v>
      </c>
      <c r="T97" s="922" t="s">
        <v>2071</v>
      </c>
      <c r="U97" s="922"/>
      <c r="V97" s="1602">
        <f>VLOOKUP($R97,$D$7:$E$124,2,FALSE)</f>
        <v>-288.60000000000002</v>
      </c>
      <c r="W97" s="1602">
        <f t="shared" ref="W97" si="78">VLOOKUP($R97,$D$7:$P$124,3,FALSE)</f>
        <v>-5.5099999999999909</v>
      </c>
      <c r="X97" s="1602">
        <f>VLOOKUP($R97,$D$7:$P$124,4,FALSE)</f>
        <v>17.270000000000039</v>
      </c>
      <c r="Y97" s="1602">
        <f>VLOOKUP($R97,$D$7:$P$124,5,FALSE)</f>
        <v>0</v>
      </c>
      <c r="Z97" s="1602">
        <f>VLOOKUP($R97,$D$7:$P$124,6,FALSE)</f>
        <v>50.649999999999977</v>
      </c>
      <c r="AA97" s="1602">
        <f>VLOOKUP($R97,$D$7:$P$124,7,FALSE)</f>
        <v>52.490000000000009</v>
      </c>
      <c r="AB97" s="1602">
        <f>VLOOKUP($R97,$D$7:$P$124,8,FALSE)</f>
        <v>89.71</v>
      </c>
      <c r="AC97" s="1602">
        <f>VLOOKUP($R97,$D$7:$P$124,9,FALSE)</f>
        <v>16.839999999999989</v>
      </c>
      <c r="AD97" s="1602">
        <f>VLOOKUP($R97,$D$7:$P$124,10,FALSE)</f>
        <v>0</v>
      </c>
      <c r="AE97" s="1602">
        <f>VLOOKUP($R97,$D$7:$P$124,11,FALSE)</f>
        <v>669.02</v>
      </c>
      <c r="AF97" s="1602">
        <f>VLOOKUP($R97,$D$7:$P$124,12,FALSE)</f>
        <v>150.10000000000002</v>
      </c>
      <c r="AG97" s="1602">
        <f>VLOOKUP($R97,$D$7:$P$124,13,FALSE)</f>
        <v>175.87</v>
      </c>
    </row>
    <row r="98" spans="1:33">
      <c r="A98" s="921">
        <v>6190</v>
      </c>
      <c r="B98" s="921" t="s">
        <v>2082</v>
      </c>
      <c r="C98" s="1521" t="s">
        <v>1998</v>
      </c>
      <c r="D98" s="1681">
        <v>6190</v>
      </c>
      <c r="E98" s="627">
        <f>VLOOKUP($A98,'O&amp;M per TB'!$B$4:S$375,E$5,FALSE)</f>
        <v>6.91</v>
      </c>
      <c r="F98" s="627">
        <f>VLOOKUP($A98,'O&amp;M per TB'!$B$4:T$375,F$5,FALSE)</f>
        <v>23.09</v>
      </c>
      <c r="G98" s="627">
        <f>VLOOKUP($A98,'O&amp;M per TB'!$B$4:U$375,G$5,FALSE)</f>
        <v>48.22</v>
      </c>
      <c r="H98" s="627">
        <f>VLOOKUP($A98,'O&amp;M per TB'!$B$4:V$375,H$5,FALSE)</f>
        <v>9.6700000000000017</v>
      </c>
      <c r="I98" s="627">
        <f>VLOOKUP($A98,'O&amp;M per TB'!$B$4:W$375,I$5,FALSE)</f>
        <v>40.489999999999995</v>
      </c>
      <c r="J98" s="627">
        <f>VLOOKUP($A98,'O&amp;M per TB'!$B$4:X$375,J$5,FALSE)</f>
        <v>19.22</v>
      </c>
      <c r="K98" s="627">
        <f>VLOOKUP($A98,'O&amp;M per TB'!$B$4:Y$375,K$5,FALSE)</f>
        <v>72.41</v>
      </c>
      <c r="L98" s="627">
        <f>VLOOKUP($A98,'O&amp;M per TB'!$B$4:Z$375,L$5,FALSE)</f>
        <v>7.3200000000000216</v>
      </c>
      <c r="M98" s="627">
        <f>VLOOKUP($A98,'O&amp;M per TB'!$B$4:AA$375,M$5,FALSE)</f>
        <v>78.359999999999985</v>
      </c>
      <c r="N98" s="627">
        <f>VLOOKUP($A98,'O&amp;M per TB'!$B$4:AB$375,N$5,FALSE)</f>
        <v>124.50999999999999</v>
      </c>
      <c r="O98" s="627">
        <f>VLOOKUP($A98,'O&amp;M per TB'!$B$4:AC$375,O$5,FALSE)</f>
        <v>44.81</v>
      </c>
      <c r="P98" s="627">
        <f>VLOOKUP($A98,'O&amp;M per TB'!$B$4:AD$375,P$5,FALSE)</f>
        <v>29.990000000000009</v>
      </c>
    </row>
    <row r="99" spans="1:33">
      <c r="A99" s="921">
        <v>6195</v>
      </c>
      <c r="B99" s="921" t="s">
        <v>2083</v>
      </c>
      <c r="C99" s="1521" t="s">
        <v>1998</v>
      </c>
      <c r="D99" s="1681">
        <v>6195</v>
      </c>
      <c r="E99" s="627">
        <f>VLOOKUP($A99,'O&amp;M per TB'!$B$4:S$375,E$5,FALSE)</f>
        <v>0.35</v>
      </c>
      <c r="F99" s="627">
        <f>VLOOKUP($A99,'O&amp;M per TB'!$B$4:T$375,F$5,FALSE)</f>
        <v>5.32</v>
      </c>
      <c r="G99" s="627">
        <f>VLOOKUP($A99,'O&amp;M per TB'!$B$4:U$375,G$5,FALSE)</f>
        <v>4.58</v>
      </c>
      <c r="H99" s="627">
        <f>VLOOKUP($A99,'O&amp;M per TB'!$B$4:V$375,H$5,FALSE)</f>
        <v>8.3000000000000007</v>
      </c>
      <c r="I99" s="627">
        <f>VLOOKUP($A99,'O&amp;M per TB'!$B$4:W$375,I$5,FALSE)</f>
        <v>3.259999999999998</v>
      </c>
      <c r="J99" s="627">
        <f>VLOOKUP($A99,'O&amp;M per TB'!$B$4:X$375,J$5,FALSE)</f>
        <v>3.5500000000000007</v>
      </c>
      <c r="K99" s="627">
        <f>VLOOKUP($A99,'O&amp;M per TB'!$B$4:Y$375,K$5,FALSE)</f>
        <v>68.59</v>
      </c>
      <c r="L99" s="627">
        <f>VLOOKUP($A99,'O&amp;M per TB'!$B$4:Z$375,L$5,FALSE)</f>
        <v>3.1899999999999977</v>
      </c>
      <c r="M99" s="627">
        <f>VLOOKUP($A99,'O&amp;M per TB'!$B$4:AA$375,M$5,FALSE)</f>
        <v>321.65000000000003</v>
      </c>
      <c r="N99" s="627">
        <f>VLOOKUP($A99,'O&amp;M per TB'!$B$4:AB$375,N$5,FALSE)</f>
        <v>10.779999999999973</v>
      </c>
      <c r="O99" s="627">
        <f>VLOOKUP($A99,'O&amp;M per TB'!$B$4:AC$375,O$5,FALSE)</f>
        <v>12.29000000000002</v>
      </c>
      <c r="P99" s="627">
        <f>VLOOKUP($A99,'O&amp;M per TB'!$B$4:AD$375,P$5,FALSE)</f>
        <v>10.779999999999973</v>
      </c>
      <c r="R99" s="921">
        <v>5505</v>
      </c>
      <c r="S99" s="921" t="s">
        <v>1983</v>
      </c>
      <c r="T99" s="922" t="s">
        <v>1984</v>
      </c>
      <c r="U99" s="922"/>
      <c r="V99" s="867">
        <f t="shared" ref="V99:V101" si="79">VLOOKUP($R99,$D$7:$E$124,2,FALSE)</f>
        <v>12.63</v>
      </c>
      <c r="W99" s="867">
        <f t="shared" ref="W99:W101" si="80">VLOOKUP($R99,$D$7:$P$124,3,FALSE)</f>
        <v>-10.48</v>
      </c>
      <c r="X99" s="867">
        <f>VLOOKUP($R99,$D$7:$P$124,4,FALSE)</f>
        <v>28.020000000000003</v>
      </c>
      <c r="Y99" s="867">
        <f>VLOOKUP($R99,$D$7:$P$124,5,FALSE)</f>
        <v>24.689999999999998</v>
      </c>
      <c r="Z99" s="867">
        <f>VLOOKUP($R99,$D$7:$P$124,6,FALSE)</f>
        <v>17.150000000000006</v>
      </c>
      <c r="AA99" s="867">
        <f>VLOOKUP($R99,$D$7:$P$124,7,FALSE)</f>
        <v>15.61</v>
      </c>
      <c r="AB99" s="867">
        <f>VLOOKUP($R99,$D$7:$P$124,8,FALSE)</f>
        <v>13.64</v>
      </c>
      <c r="AC99" s="867">
        <f>VLOOKUP($R99,$D$7:$P$124,9,FALSE)</f>
        <v>14.670000000000002</v>
      </c>
      <c r="AD99" s="867">
        <f>VLOOKUP($R99,$D$7:$P$124,10,FALSE)</f>
        <v>11.209999999999994</v>
      </c>
      <c r="AE99" s="867">
        <f>VLOOKUP($R99,$D$7:$P$124,11,FALSE)</f>
        <v>16.850000000000009</v>
      </c>
      <c r="AF99" s="867">
        <f>VLOOKUP($R99,$D$7:$P$124,12,FALSE)</f>
        <v>15.639999999999986</v>
      </c>
      <c r="AG99" s="867">
        <f>VLOOKUP($R99,$D$7:$P$124,13,FALSE)</f>
        <v>13.730000000000018</v>
      </c>
    </row>
    <row r="100" spans="1:33">
      <c r="A100" s="921">
        <v>6200</v>
      </c>
      <c r="B100" s="921" t="s">
        <v>2084</v>
      </c>
      <c r="C100" s="1521" t="s">
        <v>1998</v>
      </c>
      <c r="D100" s="1681">
        <v>6200</v>
      </c>
      <c r="E100" s="627">
        <f>VLOOKUP($A100,'O&amp;M per TB'!$B$4:S$375,E$5,FALSE)</f>
        <v>6.83</v>
      </c>
      <c r="F100" s="627">
        <f>VLOOKUP($A100,'O&amp;M per TB'!$B$4:T$375,F$5,FALSE)</f>
        <v>19.759999999999998</v>
      </c>
      <c r="G100" s="627">
        <f>VLOOKUP($A100,'O&amp;M per TB'!$B$4:U$375,G$5,FALSE)</f>
        <v>226.29</v>
      </c>
      <c r="H100" s="627">
        <f>VLOOKUP($A100,'O&amp;M per TB'!$B$4:V$375,H$5,FALSE)</f>
        <v>3.5400000000000205</v>
      </c>
      <c r="I100" s="627">
        <f>VLOOKUP($A100,'O&amp;M per TB'!$B$4:W$375,I$5,FALSE)</f>
        <v>51.329999999999984</v>
      </c>
      <c r="J100" s="627">
        <f>VLOOKUP($A100,'O&amp;M per TB'!$B$4:X$375,J$5,FALSE)</f>
        <v>22.29000000000002</v>
      </c>
      <c r="K100" s="627">
        <f>VLOOKUP($A100,'O&amp;M per TB'!$B$4:Y$375,K$5,FALSE)</f>
        <v>42.949999999999989</v>
      </c>
      <c r="L100" s="627">
        <f>VLOOKUP($A100,'O&amp;M per TB'!$B$4:Z$375,L$5,FALSE)</f>
        <v>5.4599999999999795</v>
      </c>
      <c r="M100" s="627">
        <f>VLOOKUP($A100,'O&amp;M per TB'!$B$4:AA$375,M$5,FALSE)</f>
        <v>402.74000000000007</v>
      </c>
      <c r="N100" s="627">
        <f>VLOOKUP($A100,'O&amp;M per TB'!$B$4:AB$375,N$5,FALSE)</f>
        <v>73.059999999999945</v>
      </c>
      <c r="O100" s="627">
        <f>VLOOKUP($A100,'O&amp;M per TB'!$B$4:AC$375,O$5,FALSE)</f>
        <v>117.16999999999996</v>
      </c>
      <c r="P100" s="627">
        <f>VLOOKUP($A100,'O&amp;M per TB'!$B$4:AD$375,P$5,FALSE)</f>
        <v>22.190000000000055</v>
      </c>
      <c r="R100" s="921">
        <v>5510</v>
      </c>
      <c r="S100" s="921" t="s">
        <v>1986</v>
      </c>
      <c r="T100" s="922" t="s">
        <v>1984</v>
      </c>
      <c r="U100" s="922"/>
      <c r="V100" s="867">
        <f t="shared" si="79"/>
        <v>0</v>
      </c>
      <c r="W100" s="867">
        <f t="shared" si="80"/>
        <v>0</v>
      </c>
      <c r="X100" s="867">
        <f>VLOOKUP($R100,$D$7:$P$124,4,FALSE)</f>
        <v>0</v>
      </c>
      <c r="Y100" s="867">
        <f>VLOOKUP($R100,$D$7:$P$124,5,FALSE)</f>
        <v>0</v>
      </c>
      <c r="Z100" s="867">
        <f>VLOOKUP($R100,$D$7:$P$124,6,FALSE)</f>
        <v>0</v>
      </c>
      <c r="AA100" s="867">
        <f>VLOOKUP($R100,$D$7:$P$124,7,FALSE)</f>
        <v>0</v>
      </c>
      <c r="AB100" s="867">
        <f>VLOOKUP($R100,$D$7:$P$124,8,FALSE)</f>
        <v>0</v>
      </c>
      <c r="AC100" s="867">
        <f>VLOOKUP($R100,$D$7:$P$124,9,FALSE)</f>
        <v>0</v>
      </c>
      <c r="AD100" s="867">
        <f>VLOOKUP($R100,$D$7:$P$124,10,FALSE)</f>
        <v>0</v>
      </c>
      <c r="AE100" s="867">
        <f>VLOOKUP($R100,$D$7:$P$124,11,FALSE)</f>
        <v>0</v>
      </c>
      <c r="AF100" s="867">
        <f>VLOOKUP($R100,$D$7:$P$124,12,FALSE)</f>
        <v>0</v>
      </c>
      <c r="AG100" s="867">
        <f>VLOOKUP($R100,$D$7:$P$124,13,FALSE)</f>
        <v>0</v>
      </c>
    </row>
    <row r="101" spans="1:33">
      <c r="A101" s="921">
        <v>6205</v>
      </c>
      <c r="B101" s="921" t="s">
        <v>2085</v>
      </c>
      <c r="C101" s="1521" t="s">
        <v>1998</v>
      </c>
      <c r="D101" s="1681">
        <v>6205</v>
      </c>
      <c r="E101" s="627">
        <f>VLOOKUP($A101,'O&amp;M per TB'!$B$4:S$375,E$5,FALSE)</f>
        <v>0</v>
      </c>
      <c r="F101" s="627">
        <f>VLOOKUP($A101,'O&amp;M per TB'!$B$4:T$375,F$5,FALSE)</f>
        <v>1.1399999999999999</v>
      </c>
      <c r="G101" s="627">
        <f>VLOOKUP($A101,'O&amp;M per TB'!$B$4:U$375,G$5,FALSE)</f>
        <v>0</v>
      </c>
      <c r="H101" s="627">
        <f>VLOOKUP($A101,'O&amp;M per TB'!$B$4:V$375,H$5,FALSE)</f>
        <v>8.7999999999999989</v>
      </c>
      <c r="I101" s="627">
        <f>VLOOKUP($A101,'O&amp;M per TB'!$B$4:W$375,I$5,FALSE)</f>
        <v>0.61000000000000121</v>
      </c>
      <c r="J101" s="627">
        <f>VLOOKUP($A101,'O&amp;M per TB'!$B$4:X$375,J$5,FALSE)</f>
        <v>2.1999999999999993</v>
      </c>
      <c r="K101" s="627">
        <f>VLOOKUP($A101,'O&amp;M per TB'!$B$4:Y$375,K$5,FALSE)</f>
        <v>0.88000000000000078</v>
      </c>
      <c r="L101" s="627">
        <f>VLOOKUP($A101,'O&amp;M per TB'!$B$4:Z$375,L$5,FALSE)</f>
        <v>3.5499999999999989</v>
      </c>
      <c r="M101" s="627">
        <f>VLOOKUP($A101,'O&amp;M per TB'!$B$4:AA$375,M$5,FALSE)</f>
        <v>0.39000000000000057</v>
      </c>
      <c r="N101" s="627">
        <f>VLOOKUP($A101,'O&amp;M per TB'!$B$4:AB$375,N$5,FALSE)</f>
        <v>0</v>
      </c>
      <c r="O101" s="627">
        <f>VLOOKUP($A101,'O&amp;M per TB'!$B$4:AC$375,O$5,FALSE)</f>
        <v>14.880000000000003</v>
      </c>
      <c r="P101" s="627">
        <f>VLOOKUP($A101,'O&amp;M per TB'!$B$4:AD$375,P$5,FALSE)</f>
        <v>0</v>
      </c>
      <c r="R101" s="921">
        <v>5515</v>
      </c>
      <c r="S101" s="921" t="s">
        <v>1988</v>
      </c>
      <c r="T101" s="922" t="s">
        <v>1984</v>
      </c>
      <c r="U101" s="922"/>
      <c r="V101" s="867">
        <f t="shared" si="79"/>
        <v>-31</v>
      </c>
      <c r="W101" s="867">
        <f t="shared" si="80"/>
        <v>18</v>
      </c>
      <c r="X101" s="867">
        <f>VLOOKUP($R101,$D$7:$P$124,4,FALSE)</f>
        <v>25</v>
      </c>
      <c r="Y101" s="867">
        <f>VLOOKUP($R101,$D$7:$P$124,5,FALSE)</f>
        <v>1118</v>
      </c>
      <c r="Z101" s="867">
        <f>VLOOKUP($R101,$D$7:$P$124,6,FALSE)</f>
        <v>384</v>
      </c>
      <c r="AA101" s="867">
        <f>VLOOKUP($R101,$D$7:$P$124,7,FALSE)</f>
        <v>-1193</v>
      </c>
      <c r="AB101" s="867">
        <f>VLOOKUP($R101,$D$7:$P$124,8,FALSE)</f>
        <v>-130</v>
      </c>
      <c r="AC101" s="867">
        <f>VLOOKUP($R101,$D$7:$P$124,9,FALSE)</f>
        <v>647</v>
      </c>
      <c r="AD101" s="867">
        <f>VLOOKUP($R101,$D$7:$P$124,10,FALSE)</f>
        <v>-38</v>
      </c>
      <c r="AE101" s="867">
        <f>VLOOKUP($R101,$D$7:$P$124,11,FALSE)</f>
        <v>-177</v>
      </c>
      <c r="AF101" s="867">
        <f>VLOOKUP($R101,$D$7:$P$124,12,FALSE)</f>
        <v>-254</v>
      </c>
      <c r="AG101" s="867">
        <f>VLOOKUP($R101,$D$7:$P$124,13,FALSE)</f>
        <v>-398</v>
      </c>
    </row>
    <row r="102" spans="1:33">
      <c r="A102" s="921">
        <v>6207</v>
      </c>
      <c r="B102" s="921" t="s">
        <v>2086</v>
      </c>
      <c r="C102" s="1521" t="s">
        <v>1998</v>
      </c>
      <c r="D102" s="1681">
        <v>6207</v>
      </c>
      <c r="E102" s="627">
        <f>VLOOKUP($A102,'O&amp;M per TB'!$B$4:S$375,E$5,FALSE)</f>
        <v>54.81</v>
      </c>
      <c r="F102" s="627">
        <f>VLOOKUP($A102,'O&amp;M per TB'!$B$4:T$375,F$5,FALSE)</f>
        <v>105.72999999999999</v>
      </c>
      <c r="G102" s="627">
        <f>VLOOKUP($A102,'O&amp;M per TB'!$B$4:U$375,G$5,FALSE)</f>
        <v>64.330000000000013</v>
      </c>
      <c r="H102" s="627">
        <f>VLOOKUP($A102,'O&amp;M per TB'!$B$4:V$375,H$5,FALSE)</f>
        <v>341.91999999999996</v>
      </c>
      <c r="I102" s="627">
        <f>VLOOKUP($A102,'O&amp;M per TB'!$B$4:W$375,I$5,FALSE)</f>
        <v>-246.17999999999995</v>
      </c>
      <c r="J102" s="627">
        <f>VLOOKUP($A102,'O&amp;M per TB'!$B$4:X$375,J$5,FALSE)</f>
        <v>6.0099999999999909</v>
      </c>
      <c r="K102" s="627">
        <f>VLOOKUP($A102,'O&amp;M per TB'!$B$4:Y$375,K$5,FALSE)</f>
        <v>110.50999999999999</v>
      </c>
      <c r="L102" s="627">
        <f>VLOOKUP($A102,'O&amp;M per TB'!$B$4:Z$375,L$5,FALSE)</f>
        <v>52.800000000000011</v>
      </c>
      <c r="M102" s="627">
        <f>VLOOKUP($A102,'O&amp;M per TB'!$B$4:AA$375,M$5,FALSE)</f>
        <v>42.599999999999966</v>
      </c>
      <c r="N102" s="627">
        <f>VLOOKUP($A102,'O&amp;M per TB'!$B$4:AB$375,N$5,FALSE)</f>
        <v>54.110000000000014</v>
      </c>
      <c r="O102" s="627">
        <f>VLOOKUP($A102,'O&amp;M per TB'!$B$4:AC$375,O$5,FALSE)</f>
        <v>112.13999999999999</v>
      </c>
      <c r="P102" s="627">
        <f>VLOOKUP($A102,'O&amp;M per TB'!$B$4:AD$375,P$5,FALSE)</f>
        <v>40.25</v>
      </c>
      <c r="V102" s="1602">
        <f>SUM(V99:V101)</f>
        <v>-18.369999999999997</v>
      </c>
      <c r="W102" s="1602">
        <f>SUM(W99:W101)</f>
        <v>7.52</v>
      </c>
      <c r="X102" s="1602">
        <f t="shared" ref="X102:AG102" si="81">SUM(X99:X101)</f>
        <v>53.02</v>
      </c>
      <c r="Y102" s="1602">
        <f t="shared" si="81"/>
        <v>1142.69</v>
      </c>
      <c r="Z102" s="1602">
        <f t="shared" si="81"/>
        <v>401.15</v>
      </c>
      <c r="AA102" s="1602">
        <f t="shared" si="81"/>
        <v>-1177.3900000000001</v>
      </c>
      <c r="AB102" s="1602">
        <f t="shared" si="81"/>
        <v>-116.36</v>
      </c>
      <c r="AC102" s="1602">
        <f t="shared" si="81"/>
        <v>661.67</v>
      </c>
      <c r="AD102" s="1602">
        <f t="shared" si="81"/>
        <v>-26.790000000000006</v>
      </c>
      <c r="AE102" s="1602">
        <f t="shared" si="81"/>
        <v>-160.14999999999998</v>
      </c>
      <c r="AF102" s="1602">
        <f t="shared" si="81"/>
        <v>-238.36</v>
      </c>
      <c r="AG102" s="1602">
        <f t="shared" si="81"/>
        <v>-384.27</v>
      </c>
    </row>
    <row r="103" spans="1:33">
      <c r="A103" s="921">
        <v>6215</v>
      </c>
      <c r="B103" s="921" t="s">
        <v>2075</v>
      </c>
      <c r="C103" s="1521" t="s">
        <v>2076</v>
      </c>
      <c r="D103" s="1681">
        <v>6215</v>
      </c>
      <c r="E103" s="627">
        <f>VLOOKUP($A103,'O&amp;M per TB'!$B$4:S$375,E$5,FALSE)</f>
        <v>638.82000000000005</v>
      </c>
      <c r="F103" s="627">
        <f>VLOOKUP($A103,'O&amp;M per TB'!$B$4:T$375,F$5,FALSE)</f>
        <v>628.50999999999988</v>
      </c>
      <c r="G103" s="627">
        <f>VLOOKUP($A103,'O&amp;M per TB'!$B$4:U$375,G$5,FALSE)</f>
        <v>772.82000000000016</v>
      </c>
      <c r="H103" s="627">
        <f>VLOOKUP($A103,'O&amp;M per TB'!$B$4:V$375,H$5,FALSE)</f>
        <v>758.27999999999975</v>
      </c>
      <c r="I103" s="627">
        <f>VLOOKUP($A103,'O&amp;M per TB'!$B$4:W$375,I$5,FALSE)</f>
        <v>797.10000000000036</v>
      </c>
      <c r="J103" s="627">
        <f>VLOOKUP($A103,'O&amp;M per TB'!$B$4:X$375,J$5,FALSE)</f>
        <v>880.28999999999951</v>
      </c>
      <c r="K103" s="627">
        <f>VLOOKUP($A103,'O&amp;M per TB'!$B$4:Y$375,K$5,FALSE)</f>
        <v>858.05000000000018</v>
      </c>
      <c r="L103" s="627">
        <f>VLOOKUP($A103,'O&amp;M per TB'!$B$4:Z$375,L$5,FALSE)</f>
        <v>806.46</v>
      </c>
      <c r="M103" s="627">
        <f>VLOOKUP($A103,'O&amp;M per TB'!$B$4:AA$375,M$5,FALSE)</f>
        <v>678.73000000000047</v>
      </c>
      <c r="N103" s="627">
        <f>VLOOKUP($A103,'O&amp;M per TB'!$B$4:AB$375,N$5,FALSE)</f>
        <v>712.80999999999949</v>
      </c>
      <c r="O103" s="627">
        <f>VLOOKUP($A103,'O&amp;M per TB'!$B$4:AC$375,O$5,FALSE)</f>
        <v>645.48999999999978</v>
      </c>
      <c r="P103" s="627">
        <f>VLOOKUP($A103,'O&amp;M per TB'!$B$4:AD$375,P$5,FALSE)</f>
        <v>622.09000000000106</v>
      </c>
    </row>
    <row r="104" spans="1:33">
      <c r="A104" s="921">
        <v>6220</v>
      </c>
      <c r="B104" s="921" t="s">
        <v>2077</v>
      </c>
      <c r="C104" s="1521" t="s">
        <v>2076</v>
      </c>
      <c r="D104" s="1681">
        <v>6220</v>
      </c>
      <c r="E104" s="627">
        <f>VLOOKUP($A104,'O&amp;M per TB'!$B$4:S$375,E$5,FALSE)</f>
        <v>262.06</v>
      </c>
      <c r="F104" s="627">
        <f>VLOOKUP($A104,'O&amp;M per TB'!$B$4:T$375,F$5,FALSE)</f>
        <v>351.68</v>
      </c>
      <c r="G104" s="627">
        <f>VLOOKUP($A104,'O&amp;M per TB'!$B$4:U$375,G$5,FALSE)</f>
        <v>217.93999999999994</v>
      </c>
      <c r="H104" s="627">
        <f>VLOOKUP($A104,'O&amp;M per TB'!$B$4:V$375,H$5,FALSE)</f>
        <v>562.43999999999994</v>
      </c>
      <c r="I104" s="627">
        <f>VLOOKUP($A104,'O&amp;M per TB'!$B$4:W$375,I$5,FALSE)</f>
        <v>399.06000000000017</v>
      </c>
      <c r="J104" s="627">
        <f>VLOOKUP($A104,'O&amp;M per TB'!$B$4:X$375,J$5,FALSE)</f>
        <v>322.72000000000003</v>
      </c>
      <c r="K104" s="627">
        <f>VLOOKUP($A104,'O&amp;M per TB'!$B$4:Y$375,K$5,FALSE)</f>
        <v>419.65999999999985</v>
      </c>
      <c r="L104" s="627">
        <f>VLOOKUP($A104,'O&amp;M per TB'!$B$4:Z$375,L$5,FALSE)</f>
        <v>312.38999999999987</v>
      </c>
      <c r="M104" s="627">
        <f>VLOOKUP($A104,'O&amp;M per TB'!$B$4:AA$375,M$5,FALSE)</f>
        <v>402.53999999999996</v>
      </c>
      <c r="N104" s="627">
        <f>VLOOKUP($A104,'O&amp;M per TB'!$B$4:AB$375,N$5,FALSE)</f>
        <v>292.42000000000007</v>
      </c>
      <c r="O104" s="627">
        <f>VLOOKUP($A104,'O&amp;M per TB'!$B$4:AC$375,O$5,FALSE)</f>
        <v>384.20000000000027</v>
      </c>
      <c r="P104" s="627">
        <f>VLOOKUP($A104,'O&amp;M per TB'!$B$4:AD$375,P$5,FALSE)</f>
        <v>311.9699999999998</v>
      </c>
      <c r="R104" s="921">
        <v>5545</v>
      </c>
      <c r="S104" s="921" t="s">
        <v>1997</v>
      </c>
      <c r="T104" s="922" t="s">
        <v>1998</v>
      </c>
      <c r="U104" s="922"/>
      <c r="V104" s="867">
        <f t="shared" ref="V104:V108" si="82">VLOOKUP($R104,$D$7:$E$124,2,FALSE)</f>
        <v>10.36</v>
      </c>
      <c r="W104" s="867">
        <f t="shared" ref="W104:W108" si="83">VLOOKUP($R104,$D$7:$P$124,3,FALSE)</f>
        <v>0</v>
      </c>
      <c r="X104" s="867">
        <f>VLOOKUP($R104,$D$7:$P$124,4,FALSE)</f>
        <v>0</v>
      </c>
      <c r="Y104" s="867">
        <f>VLOOKUP($R104,$D$7:$P$124,5,FALSE)</f>
        <v>50.08</v>
      </c>
      <c r="Z104" s="867">
        <f>VLOOKUP($R104,$D$7:$P$124,6,FALSE)</f>
        <v>23.25</v>
      </c>
      <c r="AA104" s="867">
        <f>VLOOKUP($R104,$D$7:$P$124,7,FALSE)</f>
        <v>21.340000000000003</v>
      </c>
      <c r="AB104" s="867">
        <f>VLOOKUP($R104,$D$7:$P$124,8,FALSE)</f>
        <v>24.849999999999994</v>
      </c>
      <c r="AC104" s="867">
        <f>VLOOKUP($R104,$D$7:$P$124,9,FALSE)</f>
        <v>25.700000000000017</v>
      </c>
      <c r="AD104" s="867">
        <f>VLOOKUP($R104,$D$7:$P$124,10,FALSE)</f>
        <v>21.439999999999998</v>
      </c>
      <c r="AE104" s="867">
        <f>VLOOKUP($R104,$D$7:$P$124,11,FALSE)</f>
        <v>22.129999999999995</v>
      </c>
      <c r="AF104" s="867">
        <f>VLOOKUP($R104,$D$7:$P$124,12,FALSE)</f>
        <v>25.180000000000007</v>
      </c>
      <c r="AG104" s="867">
        <f>VLOOKUP($R104,$D$7:$P$124,13,FALSE)</f>
        <v>0</v>
      </c>
    </row>
    <row r="105" spans="1:33">
      <c r="A105" s="921">
        <v>6225</v>
      </c>
      <c r="B105" s="921" t="s">
        <v>2078</v>
      </c>
      <c r="C105" s="1521" t="s">
        <v>2076</v>
      </c>
      <c r="D105" s="1681">
        <v>6225</v>
      </c>
      <c r="E105" s="627">
        <f>VLOOKUP($A105,'O&amp;M per TB'!$B$4:S$375,E$5,FALSE)</f>
        <v>0</v>
      </c>
      <c r="F105" s="627">
        <f>VLOOKUP($A105,'O&amp;M per TB'!$B$4:T$375,F$5,FALSE)</f>
        <v>0</v>
      </c>
      <c r="G105" s="627">
        <f>VLOOKUP($A105,'O&amp;M per TB'!$B$4:U$375,G$5,FALSE)</f>
        <v>0</v>
      </c>
      <c r="H105" s="627">
        <f>VLOOKUP($A105,'O&amp;M per TB'!$B$4:V$375,H$5,FALSE)</f>
        <v>0</v>
      </c>
      <c r="I105" s="627">
        <f>VLOOKUP($A105,'O&amp;M per TB'!$B$4:W$375,I$5,FALSE)</f>
        <v>212.04</v>
      </c>
      <c r="J105" s="627">
        <f>VLOOKUP($A105,'O&amp;M per TB'!$B$4:X$375,J$5,FALSE)</f>
        <v>-1.5099999999999909</v>
      </c>
      <c r="K105" s="627">
        <f>VLOOKUP($A105,'O&amp;M per TB'!$B$4:Y$375,K$5,FALSE)</f>
        <v>0</v>
      </c>
      <c r="L105" s="627">
        <f>VLOOKUP($A105,'O&amp;M per TB'!$B$4:Z$375,L$5,FALSE)</f>
        <v>0</v>
      </c>
      <c r="M105" s="627">
        <f>VLOOKUP($A105,'O&amp;M per TB'!$B$4:AA$375,M$5,FALSE)</f>
        <v>0</v>
      </c>
      <c r="N105" s="627">
        <f>VLOOKUP($A105,'O&amp;M per TB'!$B$4:AB$375,N$5,FALSE)</f>
        <v>0</v>
      </c>
      <c r="O105" s="627">
        <f>VLOOKUP($A105,'O&amp;M per TB'!$B$4:AC$375,O$5,FALSE)</f>
        <v>122.73999999999998</v>
      </c>
      <c r="P105" s="627">
        <f>VLOOKUP($A105,'O&amp;M per TB'!$B$4:AD$375,P$5,FALSE)</f>
        <v>0.15000000000003411</v>
      </c>
      <c r="R105" s="921">
        <v>5755</v>
      </c>
      <c r="S105" s="921" t="s">
        <v>2021</v>
      </c>
      <c r="T105" s="922" t="s">
        <v>1998</v>
      </c>
      <c r="U105" s="922"/>
      <c r="V105" s="867"/>
      <c r="W105" s="867"/>
      <c r="X105" s="867"/>
      <c r="Y105" s="867"/>
      <c r="Z105" s="867"/>
      <c r="AA105" s="867"/>
      <c r="AB105" s="867"/>
      <c r="AC105" s="867"/>
      <c r="AD105" s="867"/>
      <c r="AE105" s="867"/>
      <c r="AF105" s="867"/>
      <c r="AG105" s="867"/>
    </row>
    <row r="106" spans="1:33">
      <c r="A106" s="921">
        <v>6230</v>
      </c>
      <c r="B106" s="921" t="s">
        <v>2079</v>
      </c>
      <c r="C106" s="1521" t="s">
        <v>2076</v>
      </c>
      <c r="D106" s="1681">
        <v>6230</v>
      </c>
      <c r="E106" s="627">
        <f>VLOOKUP($A106,'O&amp;M per TB'!$B$4:S$375,E$5,FALSE)</f>
        <v>69.3</v>
      </c>
      <c r="F106" s="627">
        <f>VLOOKUP($A106,'O&amp;M per TB'!$B$4:T$375,F$5,FALSE)</f>
        <v>69.399999999999991</v>
      </c>
      <c r="G106" s="627">
        <f>VLOOKUP($A106,'O&amp;M per TB'!$B$4:U$375,G$5,FALSE)</f>
        <v>69.180000000000007</v>
      </c>
      <c r="H106" s="627">
        <f>VLOOKUP($A106,'O&amp;M per TB'!$B$4:V$375,H$5,FALSE)</f>
        <v>68.87</v>
      </c>
      <c r="I106" s="627">
        <f>VLOOKUP($A106,'O&amp;M per TB'!$B$4:W$375,I$5,FALSE)</f>
        <v>110.82999999999998</v>
      </c>
      <c r="J106" s="627">
        <f>VLOOKUP($A106,'O&amp;M per TB'!$B$4:X$375,J$5,FALSE)</f>
        <v>87.28000000000003</v>
      </c>
      <c r="K106" s="627">
        <f>VLOOKUP($A106,'O&amp;M per TB'!$B$4:Y$375,K$5,FALSE)</f>
        <v>0</v>
      </c>
      <c r="L106" s="627">
        <f>VLOOKUP($A106,'O&amp;M per TB'!$B$4:Z$375,L$5,FALSE)</f>
        <v>76.409999999999968</v>
      </c>
      <c r="M106" s="627">
        <f>VLOOKUP($A106,'O&amp;M per TB'!$B$4:AA$375,M$5,FALSE)</f>
        <v>0</v>
      </c>
      <c r="N106" s="627">
        <f>VLOOKUP($A106,'O&amp;M per TB'!$B$4:AB$375,N$5,FALSE)</f>
        <v>290.83000000000004</v>
      </c>
      <c r="O106" s="627">
        <f>VLOOKUP($A106,'O&amp;M per TB'!$B$4:AC$375,O$5,FALSE)</f>
        <v>0</v>
      </c>
      <c r="P106" s="627">
        <f>VLOOKUP($A106,'O&amp;M per TB'!$B$4:AD$375,P$5,FALSE)</f>
        <v>139.31999999999994</v>
      </c>
      <c r="R106" s="921">
        <v>5790</v>
      </c>
      <c r="S106" s="921" t="s">
        <v>2023</v>
      </c>
      <c r="T106" s="922" t="s">
        <v>1998</v>
      </c>
      <c r="U106" s="922"/>
      <c r="V106" s="867">
        <f t="shared" si="82"/>
        <v>81.22</v>
      </c>
      <c r="W106" s="867">
        <f t="shared" si="83"/>
        <v>65.830000000000013</v>
      </c>
      <c r="X106" s="867">
        <f t="shared" ref="X106:X108" si="84">VLOOKUP($R106,$D$7:$P$124,4,FALSE)</f>
        <v>112.32999999999998</v>
      </c>
      <c r="Y106" s="867">
        <f t="shared" ref="Y106:Y108" si="85">VLOOKUP($R106,$D$7:$P$124,5,FALSE)</f>
        <v>94.050000000000011</v>
      </c>
      <c r="Z106" s="867">
        <f t="shared" ref="Z106:Z108" si="86">VLOOKUP($R106,$D$7:$P$124,6,FALSE)</f>
        <v>96.38</v>
      </c>
      <c r="AA106" s="867">
        <f t="shared" ref="AA106:AA108" si="87">VLOOKUP($R106,$D$7:$P$124,7,FALSE)</f>
        <v>88.400000000000034</v>
      </c>
      <c r="AB106" s="867">
        <f t="shared" ref="AB106:AB108" si="88">VLOOKUP($R106,$D$7:$P$124,8,FALSE)</f>
        <v>99.860000000000014</v>
      </c>
      <c r="AC106" s="867">
        <f t="shared" ref="AC106:AC108" si="89">VLOOKUP($R106,$D$7:$P$124,9,FALSE)</f>
        <v>103.4799999999999</v>
      </c>
      <c r="AD106" s="867">
        <f t="shared" ref="AD106:AD108" si="90">VLOOKUP($R106,$D$7:$P$124,10,FALSE)</f>
        <v>100.5200000000001</v>
      </c>
      <c r="AE106" s="867">
        <f t="shared" ref="AE106:AE108" si="91">VLOOKUP($R106,$D$7:$P$124,11,FALSE)</f>
        <v>99.589999999999918</v>
      </c>
      <c r="AF106" s="867">
        <f t="shared" ref="AF106:AF108" si="92">VLOOKUP($R106,$D$7:$P$124,12,FALSE)</f>
        <v>96.520000000000095</v>
      </c>
      <c r="AG106" s="867">
        <f t="shared" ref="AG106:AG108" si="93">VLOOKUP($R106,$D$7:$P$124,13,FALSE)</f>
        <v>94.990000000000009</v>
      </c>
    </row>
    <row r="107" spans="1:33">
      <c r="A107" s="921">
        <v>6255</v>
      </c>
      <c r="B107" s="921" t="s">
        <v>2087</v>
      </c>
      <c r="C107" s="1521">
        <v>675</v>
      </c>
      <c r="D107" s="1681">
        <v>6255</v>
      </c>
      <c r="E107" s="627"/>
      <c r="F107" s="627"/>
      <c r="G107" s="627"/>
      <c r="H107" s="627"/>
      <c r="I107" s="627"/>
      <c r="J107" s="627"/>
      <c r="K107" s="627"/>
      <c r="L107" s="627"/>
      <c r="M107" s="627"/>
      <c r="N107" s="627"/>
      <c r="O107" s="627"/>
      <c r="P107" s="627"/>
      <c r="R107" s="921">
        <v>5795</v>
      </c>
      <c r="S107" s="921" t="s">
        <v>2088</v>
      </c>
      <c r="T107" s="922">
        <v>775</v>
      </c>
      <c r="V107" s="867">
        <f t="shared" si="82"/>
        <v>0</v>
      </c>
      <c r="W107" s="867">
        <f t="shared" si="83"/>
        <v>0</v>
      </c>
      <c r="X107" s="867">
        <f t="shared" si="84"/>
        <v>0</v>
      </c>
      <c r="Y107" s="867">
        <f t="shared" si="85"/>
        <v>0</v>
      </c>
      <c r="Z107" s="867">
        <f t="shared" si="86"/>
        <v>6.14</v>
      </c>
      <c r="AA107" s="867">
        <f t="shared" si="87"/>
        <v>0</v>
      </c>
      <c r="AB107" s="867">
        <f t="shared" si="88"/>
        <v>0</v>
      </c>
      <c r="AC107" s="867">
        <f t="shared" si="89"/>
        <v>0</v>
      </c>
      <c r="AD107" s="867">
        <f t="shared" si="90"/>
        <v>0</v>
      </c>
      <c r="AE107" s="867">
        <f t="shared" si="91"/>
        <v>0</v>
      </c>
      <c r="AF107" s="867">
        <f t="shared" si="92"/>
        <v>0</v>
      </c>
      <c r="AG107" s="867">
        <f t="shared" si="93"/>
        <v>18.64</v>
      </c>
    </row>
    <row r="108" spans="1:33">
      <c r="A108" s="921">
        <v>6260</v>
      </c>
      <c r="B108" s="921" t="s">
        <v>2089</v>
      </c>
      <c r="C108" s="1521">
        <v>675</v>
      </c>
      <c r="D108" s="1681">
        <v>6260</v>
      </c>
      <c r="E108" s="627">
        <f>VLOOKUP($A108,'O&amp;M per TB'!$B$4:S$375,E$5,FALSE)</f>
        <v>875.86</v>
      </c>
      <c r="F108" s="627">
        <f>VLOOKUP($A108,'O&amp;M per TB'!$B$4:T$375,F$5,FALSE)</f>
        <v>0</v>
      </c>
      <c r="G108" s="627">
        <f>VLOOKUP($A108,'O&amp;M per TB'!$B$4:U$375,G$5,FALSE)</f>
        <v>696.91</v>
      </c>
      <c r="H108" s="627">
        <f>VLOOKUP($A108,'O&amp;M per TB'!$B$4:V$375,H$5,FALSE)</f>
        <v>1130.1999999999998</v>
      </c>
      <c r="I108" s="627">
        <f>VLOOKUP($A108,'O&amp;M per TB'!$B$4:W$375,I$5,FALSE)</f>
        <v>223.0300000000002</v>
      </c>
      <c r="J108" s="627">
        <f>VLOOKUP($A108,'O&amp;M per TB'!$B$4:X$375,J$5,FALSE)</f>
        <v>459.36000000000013</v>
      </c>
      <c r="K108" s="627">
        <f>VLOOKUP($A108,'O&amp;M per TB'!$B$4:Y$375,K$5,FALSE)</f>
        <v>501.27999999999975</v>
      </c>
      <c r="L108" s="627">
        <f>VLOOKUP($A108,'O&amp;M per TB'!$B$4:Z$375,L$5,FALSE)</f>
        <v>786.79000000000042</v>
      </c>
      <c r="M108" s="627">
        <f>VLOOKUP($A108,'O&amp;M per TB'!$B$4:AA$375,M$5,FALSE)</f>
        <v>402.88999999999942</v>
      </c>
      <c r="N108" s="627">
        <f>VLOOKUP($A108,'O&amp;M per TB'!$B$4:AB$375,N$5,FALSE)</f>
        <v>166.99000000000069</v>
      </c>
      <c r="O108" s="627">
        <f>VLOOKUP($A108,'O&amp;M per TB'!$B$4:AC$375,O$5,FALSE)</f>
        <v>416.72999999999956</v>
      </c>
      <c r="P108" s="627">
        <f>VLOOKUP($A108,'O&amp;M per TB'!$B$4:AD$375,P$5,FALSE)</f>
        <v>136.94999999999982</v>
      </c>
      <c r="R108" s="921">
        <v>5800</v>
      </c>
      <c r="S108" s="921" t="s">
        <v>2025</v>
      </c>
      <c r="T108" s="922" t="s">
        <v>1998</v>
      </c>
      <c r="U108" s="922"/>
      <c r="V108" s="867">
        <f t="shared" si="82"/>
        <v>0</v>
      </c>
      <c r="W108" s="867">
        <f t="shared" si="83"/>
        <v>0</v>
      </c>
      <c r="X108" s="867">
        <f t="shared" si="84"/>
        <v>1.6</v>
      </c>
      <c r="Y108" s="867">
        <f t="shared" si="85"/>
        <v>0</v>
      </c>
      <c r="Z108" s="867">
        <f t="shared" si="86"/>
        <v>0</v>
      </c>
      <c r="AA108" s="867">
        <f t="shared" si="87"/>
        <v>0</v>
      </c>
      <c r="AB108" s="867">
        <f t="shared" si="88"/>
        <v>0</v>
      </c>
      <c r="AC108" s="867">
        <f t="shared" si="89"/>
        <v>0</v>
      </c>
      <c r="AD108" s="867">
        <f t="shared" si="90"/>
        <v>0</v>
      </c>
      <c r="AE108" s="867">
        <f t="shared" si="91"/>
        <v>0</v>
      </c>
      <c r="AF108" s="867">
        <f t="shared" si="92"/>
        <v>0</v>
      </c>
      <c r="AG108" s="867">
        <f t="shared" si="93"/>
        <v>0</v>
      </c>
    </row>
    <row r="109" spans="1:33">
      <c r="A109" s="921">
        <v>6265</v>
      </c>
      <c r="B109" s="921" t="s">
        <v>2298</v>
      </c>
      <c r="C109" s="1521">
        <v>775</v>
      </c>
      <c r="D109" s="1681">
        <v>6265</v>
      </c>
      <c r="E109" s="627">
        <f>VLOOKUP($A109,'O&amp;M per TB'!$B$4:S$375,E$5,FALSE)</f>
        <v>0</v>
      </c>
      <c r="F109" s="627">
        <f>VLOOKUP($A109,'O&amp;M per TB'!$B$4:T$375,F$5,FALSE)</f>
        <v>47</v>
      </c>
      <c r="G109" s="627">
        <f>VLOOKUP($A109,'O&amp;M per TB'!$B$4:U$375,G$5,FALSE)</f>
        <v>0</v>
      </c>
      <c r="H109" s="627">
        <f>VLOOKUP($A109,'O&amp;M per TB'!$B$4:V$375,H$5,FALSE)</f>
        <v>0</v>
      </c>
      <c r="I109" s="627">
        <f>VLOOKUP($A109,'O&amp;M per TB'!$B$4:W$375,I$5,FALSE)</f>
        <v>0</v>
      </c>
      <c r="J109" s="627">
        <f>VLOOKUP($A109,'O&amp;M per TB'!$B$4:X$375,J$5,FALSE)</f>
        <v>0</v>
      </c>
      <c r="K109" s="627">
        <f>VLOOKUP($A109,'O&amp;M per TB'!$B$4:Y$375,K$5,FALSE)</f>
        <v>0</v>
      </c>
      <c r="L109" s="627">
        <f>VLOOKUP($A109,'O&amp;M per TB'!$B$4:Z$375,L$5,FALSE)</f>
        <v>0</v>
      </c>
      <c r="M109" s="627">
        <f>VLOOKUP($A109,'O&amp;M per TB'!$B$4:AA$375,M$5,FALSE)</f>
        <v>0</v>
      </c>
      <c r="N109" s="627">
        <f>VLOOKUP($A109,'O&amp;M per TB'!$B$4:AB$375,N$5,FALSE)</f>
        <v>0</v>
      </c>
      <c r="O109" s="627">
        <f>VLOOKUP($A109,'O&amp;M per TB'!$B$4:AC$375,O$5,FALSE)</f>
        <v>0</v>
      </c>
      <c r="P109" s="627">
        <f>VLOOKUP($A109,'O&amp;M per TB'!$B$4:AD$375,P$5,FALSE)</f>
        <v>0</v>
      </c>
      <c r="R109" s="921">
        <v>5805</v>
      </c>
      <c r="S109" s="921" t="s">
        <v>2026</v>
      </c>
      <c r="T109" s="922" t="s">
        <v>1998</v>
      </c>
      <c r="U109" s="922"/>
      <c r="V109" s="867">
        <f t="shared" ref="V109:V131" si="94">VLOOKUP($R109,$D$7:$E$124,2,FALSE)</f>
        <v>25</v>
      </c>
      <c r="W109" s="867">
        <f t="shared" ref="W109:W131" si="95">VLOOKUP($R109,$D$7:$P$124,3,FALSE)</f>
        <v>5625</v>
      </c>
      <c r="X109" s="867">
        <f t="shared" ref="X109:X131" si="96">VLOOKUP($R109,$D$7:$P$124,4,FALSE)</f>
        <v>0</v>
      </c>
      <c r="Y109" s="867">
        <f t="shared" ref="Y109:Y131" si="97">VLOOKUP($R109,$D$7:$P$124,5,FALSE)</f>
        <v>245.31999999999971</v>
      </c>
      <c r="Z109" s="867">
        <f t="shared" ref="Z109:Z131" si="98">VLOOKUP($R109,$D$7:$P$124,6,FALSE)</f>
        <v>0</v>
      </c>
      <c r="AA109" s="867">
        <f t="shared" ref="AA109:AA131" si="99">VLOOKUP($R109,$D$7:$P$124,7,FALSE)</f>
        <v>0</v>
      </c>
      <c r="AB109" s="867">
        <f t="shared" ref="AB109:AB131" si="100">VLOOKUP($R109,$D$7:$P$124,8,FALSE)</f>
        <v>1.1500000000005457</v>
      </c>
      <c r="AC109" s="867">
        <f t="shared" ref="AC109:AC131" si="101">VLOOKUP($R109,$D$7:$P$124,9,FALSE)</f>
        <v>0</v>
      </c>
      <c r="AD109" s="867">
        <f t="shared" ref="AD109:AD131" si="102">VLOOKUP($R109,$D$7:$P$124,10,FALSE)</f>
        <v>0</v>
      </c>
      <c r="AE109" s="867">
        <f t="shared" ref="AE109:AE131" si="103">VLOOKUP($R109,$D$7:$P$124,11,FALSE)</f>
        <v>0</v>
      </c>
      <c r="AF109" s="867">
        <f t="shared" ref="AF109:AF131" si="104">VLOOKUP($R109,$D$7:$P$124,12,FALSE)</f>
        <v>1.75</v>
      </c>
      <c r="AG109" s="867">
        <f t="shared" ref="AG109:AG131" si="105">VLOOKUP($R109,$D$7:$P$124,13,FALSE)</f>
        <v>3.4499999999998181</v>
      </c>
    </row>
    <row r="110" spans="1:33">
      <c r="A110" s="921">
        <v>6270</v>
      </c>
      <c r="B110" s="921" t="s">
        <v>2090</v>
      </c>
      <c r="C110" s="1521">
        <v>775</v>
      </c>
      <c r="D110" s="1681">
        <v>6270</v>
      </c>
      <c r="E110" s="627">
        <f>VLOOKUP($A110,'O&amp;M per TB'!$B$4:S$375,E$5,FALSE)</f>
        <v>1123.4100000000001</v>
      </c>
      <c r="F110" s="627">
        <f>VLOOKUP($A110,'O&amp;M per TB'!$B$4:T$375,F$5,FALSE)</f>
        <v>2951.99</v>
      </c>
      <c r="G110" s="627">
        <f>VLOOKUP($A110,'O&amp;M per TB'!$B$4:U$375,G$5,FALSE)</f>
        <v>2137.4999999999995</v>
      </c>
      <c r="H110" s="627">
        <f>VLOOKUP($A110,'O&amp;M per TB'!$B$4:V$375,H$5,FALSE)</f>
        <v>3811.0699999999997</v>
      </c>
      <c r="I110" s="627">
        <f>VLOOKUP($A110,'O&amp;M per TB'!$B$4:W$375,I$5,FALSE)</f>
        <v>0</v>
      </c>
      <c r="J110" s="627">
        <f>VLOOKUP($A110,'O&amp;M per TB'!$B$4:X$375,J$5,FALSE)</f>
        <v>1971.7900000000009</v>
      </c>
      <c r="K110" s="627">
        <f>VLOOKUP($A110,'O&amp;M per TB'!$B$4:Y$375,K$5,FALSE)</f>
        <v>1446.5200000000004</v>
      </c>
      <c r="L110" s="627">
        <f>VLOOKUP($A110,'O&amp;M per TB'!$B$4:Z$375,L$5,FALSE)</f>
        <v>1312</v>
      </c>
      <c r="M110" s="627">
        <f>VLOOKUP($A110,'O&amp;M per TB'!$B$4:AA$375,M$5,FALSE)</f>
        <v>1544</v>
      </c>
      <c r="N110" s="627">
        <f>VLOOKUP($A110,'O&amp;M per TB'!$B$4:AB$375,N$5,FALSE)</f>
        <v>1323.9999999999982</v>
      </c>
      <c r="O110" s="627">
        <f>VLOOKUP($A110,'O&amp;M per TB'!$B$4:AC$375,O$5,FALSE)</f>
        <v>3322</v>
      </c>
      <c r="P110" s="627">
        <f>VLOOKUP($A110,'O&amp;M per TB'!$B$4:AD$375,P$5,FALSE)</f>
        <v>3708.25</v>
      </c>
      <c r="R110" s="921">
        <v>5810</v>
      </c>
      <c r="S110" s="921" t="s">
        <v>2027</v>
      </c>
      <c r="T110" s="922" t="s">
        <v>1998</v>
      </c>
      <c r="U110" s="922"/>
      <c r="V110" s="867">
        <f t="shared" si="94"/>
        <v>363</v>
      </c>
      <c r="W110" s="867">
        <f t="shared" si="95"/>
        <v>74.730000000000018</v>
      </c>
      <c r="X110" s="867">
        <f t="shared" si="96"/>
        <v>919.40000000000009</v>
      </c>
      <c r="Y110" s="867">
        <f t="shared" si="97"/>
        <v>647.6099999999999</v>
      </c>
      <c r="Z110" s="867">
        <f t="shared" si="98"/>
        <v>387.72999999999979</v>
      </c>
      <c r="AA110" s="867">
        <f t="shared" si="99"/>
        <v>1.8700000000003456</v>
      </c>
      <c r="AB110" s="867">
        <f t="shared" si="100"/>
        <v>18.679999999999836</v>
      </c>
      <c r="AC110" s="867">
        <f t="shared" si="101"/>
        <v>-262.63000000000011</v>
      </c>
      <c r="AD110" s="867">
        <f t="shared" si="102"/>
        <v>68.25</v>
      </c>
      <c r="AE110" s="867">
        <f t="shared" si="103"/>
        <v>2.3099999999999454</v>
      </c>
      <c r="AF110" s="867">
        <f t="shared" si="104"/>
        <v>13.460000000000036</v>
      </c>
      <c r="AG110" s="867">
        <f t="shared" si="105"/>
        <v>181.69000000000005</v>
      </c>
    </row>
    <row r="111" spans="1:33">
      <c r="A111" s="921">
        <v>6320</v>
      </c>
      <c r="B111" s="921" t="s">
        <v>2039</v>
      </c>
      <c r="C111" s="1521">
        <v>720</v>
      </c>
      <c r="D111" s="1681">
        <v>6320</v>
      </c>
      <c r="E111" s="627">
        <f>VLOOKUP($A111,'O&amp;M per TB'!$B$4:S$375,E$5,FALSE)</f>
        <v>664.72</v>
      </c>
      <c r="F111" s="627">
        <f>VLOOKUP($A111,'O&amp;M per TB'!$B$4:T$375,F$5,FALSE)</f>
        <v>337.87</v>
      </c>
      <c r="G111" s="627">
        <f>VLOOKUP($A111,'O&amp;M per TB'!$B$4:U$375,G$5,FALSE)</f>
        <v>76.239999999999895</v>
      </c>
      <c r="H111" s="627">
        <f>VLOOKUP($A111,'O&amp;M per TB'!$B$4:V$375,H$5,FALSE)</f>
        <v>18.259999999999991</v>
      </c>
      <c r="I111" s="627">
        <f>VLOOKUP($A111,'O&amp;M per TB'!$B$4:W$375,I$5,FALSE)</f>
        <v>279.07000000000016</v>
      </c>
      <c r="J111" s="627">
        <f>VLOOKUP($A111,'O&amp;M per TB'!$B$4:X$375,J$5,FALSE)</f>
        <v>57.159999999999854</v>
      </c>
      <c r="K111" s="627">
        <f>VLOOKUP($A111,'O&amp;M per TB'!$B$4:Y$375,K$5,FALSE)</f>
        <v>359.81000000000017</v>
      </c>
      <c r="L111" s="627">
        <f>VLOOKUP($A111,'O&amp;M per TB'!$B$4:Z$375,L$5,FALSE)</f>
        <v>441.48</v>
      </c>
      <c r="M111" s="627">
        <f>VLOOKUP($A111,'O&amp;M per TB'!$B$4:AA$375,M$5,FALSE)</f>
        <v>10.839999999999691</v>
      </c>
      <c r="N111" s="627">
        <f>VLOOKUP($A111,'O&amp;M per TB'!$B$4:AB$375,N$5,FALSE)</f>
        <v>1994.7700000000004</v>
      </c>
      <c r="O111" s="627">
        <f>VLOOKUP($A111,'O&amp;M per TB'!$B$4:AC$375,O$5,FALSE)</f>
        <v>817.96</v>
      </c>
      <c r="P111" s="627">
        <f>VLOOKUP($A111,'O&amp;M per TB'!$B$4:AD$375,P$5,FALSE)</f>
        <v>172.05999999999949</v>
      </c>
      <c r="R111" s="921">
        <v>5815</v>
      </c>
      <c r="S111" s="921" t="s">
        <v>2028</v>
      </c>
      <c r="T111" s="922" t="s">
        <v>1998</v>
      </c>
      <c r="U111" s="922"/>
      <c r="V111" s="867">
        <f t="shared" si="94"/>
        <v>0</v>
      </c>
      <c r="W111" s="867">
        <f t="shared" si="95"/>
        <v>0</v>
      </c>
      <c r="X111" s="867">
        <f t="shared" si="96"/>
        <v>0</v>
      </c>
      <c r="Y111" s="867">
        <f t="shared" si="97"/>
        <v>0</v>
      </c>
      <c r="Z111" s="867">
        <f t="shared" si="98"/>
        <v>0</v>
      </c>
      <c r="AA111" s="867">
        <f t="shared" si="99"/>
        <v>0</v>
      </c>
      <c r="AB111" s="867">
        <f t="shared" si="100"/>
        <v>0</v>
      </c>
      <c r="AC111" s="867">
        <f t="shared" si="101"/>
        <v>0</v>
      </c>
      <c r="AD111" s="867">
        <f t="shared" si="102"/>
        <v>0</v>
      </c>
      <c r="AE111" s="867">
        <f t="shared" si="103"/>
        <v>0</v>
      </c>
      <c r="AF111" s="867">
        <f t="shared" si="104"/>
        <v>0</v>
      </c>
      <c r="AG111" s="867">
        <f t="shared" si="105"/>
        <v>0</v>
      </c>
    </row>
    <row r="112" spans="1:33">
      <c r="A112" s="921">
        <v>6325</v>
      </c>
      <c r="B112" s="921" t="s">
        <v>2041</v>
      </c>
      <c r="C112" s="1521">
        <v>720</v>
      </c>
      <c r="D112" s="1681">
        <v>6325</v>
      </c>
      <c r="E112" s="627">
        <f>VLOOKUP($A112,'O&amp;M per TB'!$B$4:S$375,E$5,FALSE)</f>
        <v>440</v>
      </c>
      <c r="F112" s="627">
        <f>VLOOKUP($A112,'O&amp;M per TB'!$B$4:T$375,F$5,FALSE)</f>
        <v>0</v>
      </c>
      <c r="G112" s="627">
        <f>VLOOKUP($A112,'O&amp;M per TB'!$B$4:U$375,G$5,FALSE)</f>
        <v>426.17999999999995</v>
      </c>
      <c r="H112" s="627">
        <f>VLOOKUP($A112,'O&amp;M per TB'!$B$4:V$375,H$5,FALSE)</f>
        <v>870.00000000000011</v>
      </c>
      <c r="I112" s="627">
        <f>VLOOKUP($A112,'O&amp;M per TB'!$B$4:W$375,I$5,FALSE)</f>
        <v>1264.9999999999998</v>
      </c>
      <c r="J112" s="627">
        <f>VLOOKUP($A112,'O&amp;M per TB'!$B$4:X$375,J$5,FALSE)</f>
        <v>240</v>
      </c>
      <c r="K112" s="627">
        <f>VLOOKUP($A112,'O&amp;M per TB'!$B$4:Y$375,K$5,FALSE)</f>
        <v>337.5</v>
      </c>
      <c r="L112" s="627">
        <f>VLOOKUP($A112,'O&amp;M per TB'!$B$4:Z$375,L$5,FALSE)</f>
        <v>1114.8800000000006</v>
      </c>
      <c r="M112" s="627">
        <f>VLOOKUP($A112,'O&amp;M per TB'!$B$4:AA$375,M$5,FALSE)</f>
        <v>442.69999999999982</v>
      </c>
      <c r="N112" s="627">
        <f>VLOOKUP($A112,'O&amp;M per TB'!$B$4:AB$375,N$5,FALSE)</f>
        <v>220</v>
      </c>
      <c r="O112" s="627">
        <f>VLOOKUP($A112,'O&amp;M per TB'!$B$4:AC$375,O$5,FALSE)</f>
        <v>847.5</v>
      </c>
      <c r="P112" s="627">
        <f>VLOOKUP($A112,'O&amp;M per TB'!$B$4:AD$375,P$5,FALSE)</f>
        <v>1326.9499999999998</v>
      </c>
      <c r="R112" s="921">
        <v>5825</v>
      </c>
      <c r="S112" s="921" t="s">
        <v>2029</v>
      </c>
      <c r="T112" s="922" t="s">
        <v>1998</v>
      </c>
      <c r="U112" s="922"/>
      <c r="V112" s="867">
        <f t="shared" si="94"/>
        <v>28.44</v>
      </c>
      <c r="W112" s="867">
        <f t="shared" si="95"/>
        <v>13.859999999999996</v>
      </c>
      <c r="X112" s="867">
        <f t="shared" si="96"/>
        <v>7.0500000000000043</v>
      </c>
      <c r="Y112" s="867">
        <f t="shared" si="97"/>
        <v>58.74</v>
      </c>
      <c r="Z112" s="867">
        <f t="shared" si="98"/>
        <v>1.3400000000000034</v>
      </c>
      <c r="AA112" s="867">
        <f t="shared" si="99"/>
        <v>6.5</v>
      </c>
      <c r="AB112" s="867">
        <f t="shared" si="100"/>
        <v>-66.540000000000006</v>
      </c>
      <c r="AC112" s="867">
        <f t="shared" si="101"/>
        <v>14.679999999999993</v>
      </c>
      <c r="AD112" s="867">
        <f t="shared" si="102"/>
        <v>20.760000000000005</v>
      </c>
      <c r="AE112" s="867">
        <f t="shared" si="103"/>
        <v>7.0600000000000023</v>
      </c>
      <c r="AF112" s="867">
        <f t="shared" si="104"/>
        <v>24.58</v>
      </c>
      <c r="AG112" s="867">
        <f t="shared" si="105"/>
        <v>-40.129999999999995</v>
      </c>
    </row>
    <row r="113" spans="1:33">
      <c r="A113" s="921">
        <v>6335</v>
      </c>
      <c r="B113" s="921" t="s">
        <v>2043</v>
      </c>
      <c r="C113" s="1521">
        <v>720</v>
      </c>
      <c r="D113" s="1681">
        <v>6335</v>
      </c>
      <c r="E113" s="627">
        <f>VLOOKUP($A113,'O&amp;M per TB'!$B$4:S$375,E$5,FALSE)</f>
        <v>4085.56</v>
      </c>
      <c r="F113" s="627">
        <f>VLOOKUP($A113,'O&amp;M per TB'!$B$4:T$375,F$5,FALSE)</f>
        <v>0</v>
      </c>
      <c r="G113" s="627">
        <f>VLOOKUP($A113,'O&amp;M per TB'!$B$4:U$375,G$5,FALSE)</f>
        <v>4256.1200000000008</v>
      </c>
      <c r="H113" s="627">
        <f>VLOOKUP($A113,'O&amp;M per TB'!$B$4:V$375,H$5,FALSE)</f>
        <v>-85.600000000000364</v>
      </c>
      <c r="I113" s="627">
        <f>VLOOKUP($A113,'O&amp;M per TB'!$B$4:W$375,I$5,FALSE)</f>
        <v>2495.2100000000009</v>
      </c>
      <c r="J113" s="627">
        <f>VLOOKUP($A113,'O&amp;M per TB'!$B$4:X$375,J$5,FALSE)</f>
        <v>788.11999999999898</v>
      </c>
      <c r="K113" s="627">
        <f>VLOOKUP($A113,'O&amp;M per TB'!$B$4:Y$375,K$5,FALSE)</f>
        <v>2030.2399999999998</v>
      </c>
      <c r="L113" s="627">
        <f>VLOOKUP($A113,'O&amp;M per TB'!$B$4:Z$375,L$5,FALSE)</f>
        <v>1305.8700000000008</v>
      </c>
      <c r="M113" s="627">
        <f>VLOOKUP($A113,'O&amp;M per TB'!$B$4:AA$375,M$5,FALSE)</f>
        <v>2131.59</v>
      </c>
      <c r="N113" s="627">
        <f>VLOOKUP($A113,'O&amp;M per TB'!$B$4:AB$375,N$5,FALSE)</f>
        <v>3614.880000000001</v>
      </c>
      <c r="O113" s="627">
        <f>VLOOKUP($A113,'O&amp;M per TB'!$B$4:AC$375,O$5,FALSE)</f>
        <v>2787.6399999999994</v>
      </c>
      <c r="P113" s="627">
        <f>VLOOKUP($A113,'O&amp;M per TB'!$B$4:AD$375,P$5,FALSE)</f>
        <v>1087.5</v>
      </c>
      <c r="R113" s="921">
        <v>5855</v>
      </c>
      <c r="S113" s="921" t="s">
        <v>2030</v>
      </c>
      <c r="T113" s="922" t="s">
        <v>1998</v>
      </c>
      <c r="U113" s="922"/>
      <c r="V113" s="867">
        <f t="shared" si="94"/>
        <v>0</v>
      </c>
      <c r="W113" s="867">
        <f t="shared" si="95"/>
        <v>51.62</v>
      </c>
      <c r="X113" s="867">
        <f t="shared" si="96"/>
        <v>14.130000000000003</v>
      </c>
      <c r="Y113" s="867">
        <f t="shared" si="97"/>
        <v>40.010000000000005</v>
      </c>
      <c r="Z113" s="867">
        <f t="shared" si="98"/>
        <v>0</v>
      </c>
      <c r="AA113" s="867">
        <f t="shared" si="99"/>
        <v>37.959999999999994</v>
      </c>
      <c r="AB113" s="867">
        <f t="shared" si="100"/>
        <v>26.02000000000001</v>
      </c>
      <c r="AC113" s="867">
        <f t="shared" si="101"/>
        <v>0</v>
      </c>
      <c r="AD113" s="867">
        <f t="shared" si="102"/>
        <v>25.739999999999981</v>
      </c>
      <c r="AE113" s="867">
        <f t="shared" si="103"/>
        <v>52.980000000000018</v>
      </c>
      <c r="AF113" s="867">
        <f t="shared" si="104"/>
        <v>26.960000000000008</v>
      </c>
      <c r="AG113" s="867">
        <f t="shared" si="105"/>
        <v>30.769999999999982</v>
      </c>
    </row>
    <row r="114" spans="1:33">
      <c r="A114" s="921">
        <v>6340</v>
      </c>
      <c r="B114" s="921" t="s">
        <v>2091</v>
      </c>
      <c r="C114" s="1521"/>
      <c r="D114" s="1681">
        <v>6340</v>
      </c>
      <c r="E114" s="627">
        <f>VLOOKUP($A114,'O&amp;M per TB'!$B$4:S$375,E$5,FALSE)</f>
        <v>0</v>
      </c>
      <c r="F114" s="627">
        <f>VLOOKUP($A114,'O&amp;M per TB'!$B$4:T$375,F$5,FALSE)</f>
        <v>0</v>
      </c>
      <c r="G114" s="627">
        <f>VLOOKUP($A114,'O&amp;M per TB'!$B$4:U$375,G$5,FALSE)</f>
        <v>0</v>
      </c>
      <c r="H114" s="627">
        <f>VLOOKUP($A114,'O&amp;M per TB'!$B$4:V$375,H$5,FALSE)</f>
        <v>0</v>
      </c>
      <c r="I114" s="627">
        <f>VLOOKUP($A114,'O&amp;M per TB'!$B$4:W$375,I$5,FALSE)</f>
        <v>0</v>
      </c>
      <c r="J114" s="627">
        <f>VLOOKUP($A114,'O&amp;M per TB'!$B$4:X$375,J$5,FALSE)</f>
        <v>0</v>
      </c>
      <c r="K114" s="627">
        <f>VLOOKUP($A114,'O&amp;M per TB'!$B$4:Y$375,K$5,FALSE)</f>
        <v>0</v>
      </c>
      <c r="L114" s="627">
        <f>VLOOKUP($A114,'O&amp;M per TB'!$B$4:Z$375,L$5,FALSE)</f>
        <v>0</v>
      </c>
      <c r="M114" s="627">
        <f>VLOOKUP($A114,'O&amp;M per TB'!$B$4:AA$375,M$5,FALSE)</f>
        <v>0</v>
      </c>
      <c r="N114" s="627">
        <f>VLOOKUP($A114,'O&amp;M per TB'!$B$4:AB$375,N$5,FALSE)</f>
        <v>0</v>
      </c>
      <c r="O114" s="627">
        <f>VLOOKUP($A114,'O&amp;M per TB'!$B$4:AC$375,O$5,FALSE)</f>
        <v>0</v>
      </c>
      <c r="P114" s="627">
        <f>VLOOKUP($A114,'O&amp;M per TB'!$B$4:AD$375,P$5,FALSE)</f>
        <v>10625</v>
      </c>
      <c r="R114" s="921">
        <v>5865</v>
      </c>
      <c r="S114" s="921" t="s">
        <v>2032</v>
      </c>
      <c r="T114" s="922" t="s">
        <v>1998</v>
      </c>
      <c r="U114" s="922"/>
      <c r="V114" s="867">
        <f t="shared" si="94"/>
        <v>0</v>
      </c>
      <c r="W114" s="867">
        <f t="shared" si="95"/>
        <v>8.51</v>
      </c>
      <c r="X114" s="867">
        <f t="shared" si="96"/>
        <v>3.59</v>
      </c>
      <c r="Y114" s="867">
        <f t="shared" si="97"/>
        <v>13.37</v>
      </c>
      <c r="Z114" s="867">
        <f t="shared" si="98"/>
        <v>5.0500000000000007</v>
      </c>
      <c r="AA114" s="867">
        <f t="shared" si="99"/>
        <v>3.110000000000003</v>
      </c>
      <c r="AB114" s="867">
        <f t="shared" si="100"/>
        <v>4.6499999999999986</v>
      </c>
      <c r="AC114" s="867">
        <f t="shared" si="101"/>
        <v>7.43</v>
      </c>
      <c r="AD114" s="867">
        <f t="shared" si="102"/>
        <v>15.699999999999996</v>
      </c>
      <c r="AE114" s="867">
        <f t="shared" si="103"/>
        <v>15.36</v>
      </c>
      <c r="AF114" s="867">
        <f t="shared" si="104"/>
        <v>16.14</v>
      </c>
      <c r="AG114" s="867">
        <f t="shared" si="105"/>
        <v>3.8599999999999994</v>
      </c>
    </row>
    <row r="115" spans="1:33">
      <c r="A115" s="921">
        <v>6345</v>
      </c>
      <c r="B115" s="921" t="s">
        <v>2045</v>
      </c>
      <c r="C115" s="1521">
        <v>720</v>
      </c>
      <c r="D115" s="1681">
        <v>6345</v>
      </c>
      <c r="E115" s="627">
        <f>VLOOKUP($A115,'O&amp;M per TB'!$B$4:S$375,E$5,FALSE)</f>
        <v>465.78</v>
      </c>
      <c r="F115" s="627">
        <f>VLOOKUP($A115,'O&amp;M per TB'!$B$4:T$375,F$5,FALSE)</f>
        <v>1621.59</v>
      </c>
      <c r="G115" s="627">
        <f>VLOOKUP($A115,'O&amp;M per TB'!$B$4:U$375,G$5,FALSE)</f>
        <v>4051.3900000000003</v>
      </c>
      <c r="H115" s="627">
        <f>VLOOKUP($A115,'O&amp;M per TB'!$B$4:V$375,H$5,FALSE)</f>
        <v>679.13000000000011</v>
      </c>
      <c r="I115" s="627">
        <f>VLOOKUP($A115,'O&amp;M per TB'!$B$4:W$375,I$5,FALSE)</f>
        <v>1733.4299999999994</v>
      </c>
      <c r="J115" s="627">
        <f>VLOOKUP($A115,'O&amp;M per TB'!$B$4:X$375,J$5,FALSE)</f>
        <v>1341.2200000000012</v>
      </c>
      <c r="K115" s="627">
        <f>VLOOKUP($A115,'O&amp;M per TB'!$B$4:Y$375,K$5,FALSE)</f>
        <v>31945.53</v>
      </c>
      <c r="L115" s="627">
        <f>VLOOKUP($A115,'O&amp;M per TB'!$B$4:Z$375,L$5,FALSE)</f>
        <v>3442.3400000000038</v>
      </c>
      <c r="M115" s="627">
        <f>VLOOKUP($A115,'O&amp;M per TB'!$B$4:AA$375,M$5,FALSE)</f>
        <v>-31829.000000000004</v>
      </c>
      <c r="N115" s="627">
        <f>VLOOKUP($A115,'O&amp;M per TB'!$B$4:AB$375,N$5,FALSE)</f>
        <v>3687.4500000000007</v>
      </c>
      <c r="O115" s="627">
        <f>VLOOKUP($A115,'O&amp;M per TB'!$B$4:AC$375,O$5,FALSE)</f>
        <v>179.18000000000029</v>
      </c>
      <c r="P115" s="627">
        <f>VLOOKUP($A115,'O&amp;M per TB'!$B$4:AD$375,P$5,FALSE)</f>
        <v>2373.5699999999997</v>
      </c>
      <c r="R115" s="921">
        <v>5870</v>
      </c>
      <c r="S115" s="921" t="s">
        <v>2033</v>
      </c>
      <c r="T115" s="922" t="s">
        <v>1998</v>
      </c>
      <c r="U115" s="922"/>
      <c r="V115" s="867">
        <f t="shared" si="94"/>
        <v>98.13</v>
      </c>
      <c r="W115" s="867">
        <f t="shared" si="95"/>
        <v>30</v>
      </c>
      <c r="X115" s="867">
        <f t="shared" si="96"/>
        <v>0</v>
      </c>
      <c r="Y115" s="867">
        <f t="shared" si="97"/>
        <v>0</v>
      </c>
      <c r="Z115" s="867">
        <f t="shared" si="98"/>
        <v>2.1200000000000045</v>
      </c>
      <c r="AA115" s="867">
        <f t="shared" si="99"/>
        <v>2.7299999999999898</v>
      </c>
      <c r="AB115" s="867">
        <f t="shared" si="100"/>
        <v>0</v>
      </c>
      <c r="AC115" s="867">
        <f t="shared" si="101"/>
        <v>0</v>
      </c>
      <c r="AD115" s="867">
        <f t="shared" si="102"/>
        <v>0</v>
      </c>
      <c r="AE115" s="867">
        <f t="shared" si="103"/>
        <v>1.8800000000000239</v>
      </c>
      <c r="AF115" s="867">
        <f t="shared" si="104"/>
        <v>6.339999999999975</v>
      </c>
      <c r="AG115" s="867">
        <f t="shared" si="105"/>
        <v>592.69000000000005</v>
      </c>
    </row>
    <row r="116" spans="1:33">
      <c r="A116" s="921">
        <v>6355</v>
      </c>
      <c r="B116" s="921" t="s">
        <v>2047</v>
      </c>
      <c r="C116" s="1521" t="s">
        <v>1991</v>
      </c>
      <c r="D116" s="1681">
        <v>6355</v>
      </c>
      <c r="E116" s="627">
        <f>VLOOKUP($A116,'O&amp;M per TB'!$B$4:S$375,E$5,FALSE)</f>
        <v>174.64</v>
      </c>
      <c r="F116" s="627">
        <f>VLOOKUP($A116,'O&amp;M per TB'!$B$4:T$375,F$5,FALSE)</f>
        <v>174.65000000000003</v>
      </c>
      <c r="G116" s="627">
        <f>VLOOKUP($A116,'O&amp;M per TB'!$B$4:U$375,G$5,FALSE)</f>
        <v>174.63999999999993</v>
      </c>
      <c r="H116" s="627">
        <f>VLOOKUP($A116,'O&amp;M per TB'!$B$4:V$375,H$5,FALSE)</f>
        <v>174.6400000000001</v>
      </c>
      <c r="I116" s="627">
        <f>VLOOKUP($A116,'O&amp;M per TB'!$B$4:W$375,I$5,FALSE)</f>
        <v>174.64</v>
      </c>
      <c r="J116" s="627">
        <f>VLOOKUP($A116,'O&amp;M per TB'!$B$4:X$375,J$5,FALSE)</f>
        <v>174.64999999999986</v>
      </c>
      <c r="K116" s="627">
        <f>VLOOKUP($A116,'O&amp;M per TB'!$B$4:Y$375,K$5,FALSE)</f>
        <v>174.6400000000001</v>
      </c>
      <c r="L116" s="627">
        <f>VLOOKUP($A116,'O&amp;M per TB'!$B$4:Z$375,L$5,FALSE)</f>
        <v>0</v>
      </c>
      <c r="M116" s="627">
        <f>VLOOKUP($A116,'O&amp;M per TB'!$B$4:AA$375,M$5,FALSE)</f>
        <v>1633.4899999999998</v>
      </c>
      <c r="N116" s="627">
        <f>VLOOKUP($A116,'O&amp;M per TB'!$B$4:AB$375,N$5,FALSE)</f>
        <v>544.5</v>
      </c>
      <c r="O116" s="627">
        <f>VLOOKUP($A116,'O&amp;M per TB'!$B$4:AC$375,O$5,FALSE)</f>
        <v>544.5</v>
      </c>
      <c r="P116" s="627">
        <f>VLOOKUP($A116,'O&amp;M per TB'!$B$4:AD$375,P$5,FALSE)</f>
        <v>544.5</v>
      </c>
      <c r="R116" s="921">
        <v>5875</v>
      </c>
      <c r="S116" s="921" t="s">
        <v>2034</v>
      </c>
      <c r="T116" s="922" t="s">
        <v>1998</v>
      </c>
      <c r="U116" s="922"/>
      <c r="V116" s="867">
        <f t="shared" si="94"/>
        <v>33.770000000000003</v>
      </c>
      <c r="W116" s="867">
        <f t="shared" si="95"/>
        <v>13.909999999999997</v>
      </c>
      <c r="X116" s="867">
        <f t="shared" si="96"/>
        <v>5.7700000000000031</v>
      </c>
      <c r="Y116" s="867">
        <f t="shared" si="97"/>
        <v>30.349999999999994</v>
      </c>
      <c r="Z116" s="867">
        <f t="shared" si="98"/>
        <v>69.220000000000013</v>
      </c>
      <c r="AA116" s="867">
        <f t="shared" si="99"/>
        <v>50.449999999999989</v>
      </c>
      <c r="AB116" s="867">
        <f t="shared" si="100"/>
        <v>38.960000000000008</v>
      </c>
      <c r="AC116" s="867">
        <f t="shared" si="101"/>
        <v>4.6200000000000045</v>
      </c>
      <c r="AD116" s="867">
        <f t="shared" si="102"/>
        <v>41.539999999999964</v>
      </c>
      <c r="AE116" s="867">
        <f t="shared" si="103"/>
        <v>40.020000000000039</v>
      </c>
      <c r="AF116" s="867">
        <f t="shared" si="104"/>
        <v>28.490000000000009</v>
      </c>
      <c r="AG116" s="867">
        <f t="shared" si="105"/>
        <v>39.870000000000005</v>
      </c>
    </row>
    <row r="117" spans="1:33">
      <c r="A117" s="921">
        <v>6360</v>
      </c>
      <c r="B117" s="921" t="s">
        <v>2092</v>
      </c>
      <c r="C117" s="1521" t="s">
        <v>1998</v>
      </c>
      <c r="D117" s="1681">
        <v>6360</v>
      </c>
      <c r="E117" s="627">
        <f>VLOOKUP($A117,'O&amp;M per TB'!$B$4:S$375,E$5,FALSE)</f>
        <v>0</v>
      </c>
      <c r="F117" s="627">
        <f>VLOOKUP($A117,'O&amp;M per TB'!$B$4:T$375,F$5,FALSE)</f>
        <v>0</v>
      </c>
      <c r="G117" s="627">
        <f>VLOOKUP($A117,'O&amp;M per TB'!$B$4:U$375,G$5,FALSE)</f>
        <v>0</v>
      </c>
      <c r="H117" s="627">
        <f>VLOOKUP($A117,'O&amp;M per TB'!$B$4:V$375,H$5,FALSE)</f>
        <v>0</v>
      </c>
      <c r="I117" s="627">
        <f>VLOOKUP($A117,'O&amp;M per TB'!$B$4:W$375,I$5,FALSE)</f>
        <v>0</v>
      </c>
      <c r="J117" s="627">
        <f>VLOOKUP($A117,'O&amp;M per TB'!$B$4:X$375,J$5,FALSE)</f>
        <v>0</v>
      </c>
      <c r="K117" s="627">
        <f>VLOOKUP($A117,'O&amp;M per TB'!$B$4:Y$375,K$5,FALSE)</f>
        <v>0</v>
      </c>
      <c r="L117" s="627">
        <f>VLOOKUP($A117,'O&amp;M per TB'!$B$4:Z$375,L$5,FALSE)</f>
        <v>0</v>
      </c>
      <c r="M117" s="627">
        <f>VLOOKUP($A117,'O&amp;M per TB'!$B$4:AA$375,M$5,FALSE)</f>
        <v>0</v>
      </c>
      <c r="N117" s="627">
        <f>VLOOKUP($A117,'O&amp;M per TB'!$B$4:AB$375,N$5,FALSE)</f>
        <v>0</v>
      </c>
      <c r="O117" s="627">
        <f>VLOOKUP($A117,'O&amp;M per TB'!$B$4:AC$375,O$5,FALSE)</f>
        <v>0</v>
      </c>
      <c r="P117" s="627">
        <f>VLOOKUP($A117,'O&amp;M per TB'!$B$4:AD$375,P$5,FALSE)</f>
        <v>30.15</v>
      </c>
      <c r="R117" s="921">
        <v>5885</v>
      </c>
      <c r="S117" s="921" t="s">
        <v>2036</v>
      </c>
      <c r="T117" s="922" t="s">
        <v>1998</v>
      </c>
      <c r="U117" s="922"/>
      <c r="V117" s="867">
        <f t="shared" si="94"/>
        <v>0.42</v>
      </c>
      <c r="W117" s="867">
        <f t="shared" si="95"/>
        <v>6.66</v>
      </c>
      <c r="X117" s="867">
        <f t="shared" si="96"/>
        <v>79.81</v>
      </c>
      <c r="Y117" s="867">
        <f t="shared" si="97"/>
        <v>0</v>
      </c>
      <c r="Z117" s="867">
        <f t="shared" si="98"/>
        <v>2.0400000000000063</v>
      </c>
      <c r="AA117" s="867">
        <f t="shared" si="99"/>
        <v>2.0999999999999943</v>
      </c>
      <c r="AB117" s="867">
        <f t="shared" si="100"/>
        <v>59.240000000000009</v>
      </c>
      <c r="AC117" s="867">
        <f t="shared" si="101"/>
        <v>55.569999999999993</v>
      </c>
      <c r="AD117" s="867">
        <f t="shared" si="102"/>
        <v>11.849999999999994</v>
      </c>
      <c r="AE117" s="867">
        <f t="shared" si="103"/>
        <v>0</v>
      </c>
      <c r="AF117" s="867">
        <f t="shared" si="104"/>
        <v>17.939999999999998</v>
      </c>
      <c r="AG117" s="867">
        <f t="shared" si="105"/>
        <v>0</v>
      </c>
    </row>
    <row r="118" spans="1:33">
      <c r="A118" s="921">
        <v>6365</v>
      </c>
      <c r="B118" s="921" t="s">
        <v>2073</v>
      </c>
      <c r="C118" s="1521" t="s">
        <v>2074</v>
      </c>
      <c r="D118" s="1681">
        <v>6365</v>
      </c>
      <c r="E118" s="627">
        <f>VLOOKUP($A118,'O&amp;M per TB'!$B$4:S$375,E$5,FALSE)</f>
        <v>0</v>
      </c>
      <c r="F118" s="627">
        <f>VLOOKUP($A118,'O&amp;M per TB'!$B$4:T$375,F$5,FALSE)</f>
        <v>0</v>
      </c>
      <c r="G118" s="627">
        <f>VLOOKUP($A118,'O&amp;M per TB'!$B$4:U$375,G$5,FALSE)</f>
        <v>29.04</v>
      </c>
      <c r="H118" s="627">
        <f>VLOOKUP($A118,'O&amp;M per TB'!$B$4:V$375,H$5,FALSE)</f>
        <v>0</v>
      </c>
      <c r="I118" s="627">
        <f>VLOOKUP($A118,'O&amp;M per TB'!$B$4:W$375,I$5,FALSE)</f>
        <v>0</v>
      </c>
      <c r="J118" s="627">
        <f>VLOOKUP($A118,'O&amp;M per TB'!$B$4:X$375,J$5,FALSE)</f>
        <v>0</v>
      </c>
      <c r="K118" s="627">
        <f>VLOOKUP($A118,'O&amp;M per TB'!$B$4:Y$375,K$5,FALSE)</f>
        <v>0</v>
      </c>
      <c r="L118" s="627">
        <f>VLOOKUP($A118,'O&amp;M per TB'!$B$4:Z$375,L$5,FALSE)</f>
        <v>0</v>
      </c>
      <c r="M118" s="627">
        <f>VLOOKUP($A118,'O&amp;M per TB'!$B$4:AA$375,M$5,FALSE)</f>
        <v>0</v>
      </c>
      <c r="N118" s="627">
        <f>VLOOKUP($A118,'O&amp;M per TB'!$B$4:AB$375,N$5,FALSE)</f>
        <v>0</v>
      </c>
      <c r="O118" s="627">
        <f>VLOOKUP($A118,'O&amp;M per TB'!$B$4:AC$375,O$5,FALSE)</f>
        <v>0</v>
      </c>
      <c r="P118" s="627">
        <f>VLOOKUP($A118,'O&amp;M per TB'!$B$4:AD$375,P$5,FALSE)</f>
        <v>14.469999999999999</v>
      </c>
      <c r="R118" s="921">
        <v>5890</v>
      </c>
      <c r="S118" s="921" t="s">
        <v>2037</v>
      </c>
      <c r="T118" s="922" t="s">
        <v>1998</v>
      </c>
      <c r="U118" s="922"/>
      <c r="V118" s="867">
        <f t="shared" si="94"/>
        <v>23.02</v>
      </c>
      <c r="W118" s="867">
        <f t="shared" si="95"/>
        <v>3.620000000000001</v>
      </c>
      <c r="X118" s="867">
        <f t="shared" si="96"/>
        <v>3.5999999999999979</v>
      </c>
      <c r="Y118" s="867">
        <f t="shared" si="97"/>
        <v>3.600000000000005</v>
      </c>
      <c r="Z118" s="867">
        <f t="shared" si="98"/>
        <v>3.5999999999999943</v>
      </c>
      <c r="AA118" s="867">
        <f t="shared" si="99"/>
        <v>3.5900000000000034</v>
      </c>
      <c r="AB118" s="867">
        <f t="shared" si="100"/>
        <v>3.9699999999999989</v>
      </c>
      <c r="AC118" s="867">
        <f t="shared" si="101"/>
        <v>3.5900000000000034</v>
      </c>
      <c r="AD118" s="867">
        <f t="shared" si="102"/>
        <v>3.5799999999999983</v>
      </c>
      <c r="AE118" s="867">
        <f t="shared" si="103"/>
        <v>3.5799999999999983</v>
      </c>
      <c r="AF118" s="867">
        <f t="shared" si="104"/>
        <v>3.5799999999999983</v>
      </c>
      <c r="AG118" s="867">
        <f t="shared" si="105"/>
        <v>3.5700000000000003</v>
      </c>
    </row>
    <row r="119" spans="1:33">
      <c r="A119" s="921">
        <v>6370</v>
      </c>
      <c r="B119" s="921" t="s">
        <v>2093</v>
      </c>
      <c r="C119" s="1521" t="s">
        <v>1998</v>
      </c>
      <c r="D119" s="1681">
        <v>6370</v>
      </c>
      <c r="E119" s="627"/>
      <c r="F119" s="627"/>
      <c r="G119" s="627"/>
      <c r="H119" s="627"/>
      <c r="I119" s="627"/>
      <c r="J119" s="627"/>
      <c r="K119" s="627"/>
      <c r="L119" s="627"/>
      <c r="M119" s="627"/>
      <c r="N119" s="627"/>
      <c r="O119" s="627"/>
      <c r="P119" s="627"/>
      <c r="R119" s="921">
        <v>5895</v>
      </c>
      <c r="S119" s="921" t="s">
        <v>2038</v>
      </c>
      <c r="T119" s="922" t="s">
        <v>1998</v>
      </c>
      <c r="U119" s="922"/>
      <c r="V119" s="867">
        <f t="shared" si="94"/>
        <v>15.04</v>
      </c>
      <c r="W119" s="867">
        <f t="shared" si="95"/>
        <v>18.410000000000004</v>
      </c>
      <c r="X119" s="867">
        <f t="shared" si="96"/>
        <v>53.56</v>
      </c>
      <c r="Y119" s="867">
        <f t="shared" si="97"/>
        <v>20.39</v>
      </c>
      <c r="Z119" s="867">
        <f t="shared" si="98"/>
        <v>55.120000000000005</v>
      </c>
      <c r="AA119" s="867">
        <f t="shared" si="99"/>
        <v>24.679999999999978</v>
      </c>
      <c r="AB119" s="867">
        <f t="shared" si="100"/>
        <v>58.490000000000009</v>
      </c>
      <c r="AC119" s="867">
        <f t="shared" si="101"/>
        <v>14.139999999999986</v>
      </c>
      <c r="AD119" s="867">
        <f t="shared" si="102"/>
        <v>15.920000000000016</v>
      </c>
      <c r="AE119" s="867">
        <f t="shared" si="103"/>
        <v>63.610000000000014</v>
      </c>
      <c r="AF119" s="867">
        <f t="shared" si="104"/>
        <v>14.45999999999998</v>
      </c>
      <c r="AG119" s="867">
        <f t="shared" si="105"/>
        <v>54.430000000000007</v>
      </c>
    </row>
    <row r="120" spans="1:33">
      <c r="A120" s="921">
        <v>6375</v>
      </c>
      <c r="B120" s="921" t="s">
        <v>2094</v>
      </c>
      <c r="C120" s="1521" t="s">
        <v>1998</v>
      </c>
      <c r="D120" s="1681">
        <v>6375</v>
      </c>
      <c r="E120" s="627"/>
      <c r="F120" s="627"/>
      <c r="G120" s="627"/>
      <c r="H120" s="627"/>
      <c r="I120" s="627"/>
      <c r="J120" s="627"/>
      <c r="K120" s="627"/>
      <c r="L120" s="627"/>
      <c r="M120" s="627"/>
      <c r="N120" s="627"/>
      <c r="O120" s="627"/>
      <c r="P120" s="627"/>
      <c r="R120" s="921">
        <v>5900</v>
      </c>
      <c r="S120" s="921" t="s">
        <v>2040</v>
      </c>
      <c r="T120" s="922" t="s">
        <v>1998</v>
      </c>
      <c r="U120" s="922"/>
      <c r="V120" s="867">
        <f t="shared" si="94"/>
        <v>26.43</v>
      </c>
      <c r="W120" s="867">
        <f t="shared" si="95"/>
        <v>6.9699999999999989</v>
      </c>
      <c r="X120" s="867">
        <f t="shared" si="96"/>
        <v>62.43</v>
      </c>
      <c r="Y120" s="867">
        <f t="shared" si="97"/>
        <v>8.710000000000008</v>
      </c>
      <c r="Z120" s="867">
        <f t="shared" si="98"/>
        <v>36.64</v>
      </c>
      <c r="AA120" s="867">
        <f t="shared" si="99"/>
        <v>9.1699999999999875</v>
      </c>
      <c r="AB120" s="867">
        <f t="shared" si="100"/>
        <v>-257.47000000000003</v>
      </c>
      <c r="AC120" s="867">
        <f t="shared" si="101"/>
        <v>16.290000000000006</v>
      </c>
      <c r="AD120" s="867">
        <f t="shared" si="102"/>
        <v>19.709999999999994</v>
      </c>
      <c r="AE120" s="867">
        <f t="shared" si="103"/>
        <v>29.130000000000003</v>
      </c>
      <c r="AF120" s="867">
        <f t="shared" si="104"/>
        <v>303.89</v>
      </c>
      <c r="AG120" s="867">
        <f t="shared" si="105"/>
        <v>68.29000000000002</v>
      </c>
    </row>
    <row r="121" spans="1:33">
      <c r="A121" s="921">
        <v>6385</v>
      </c>
      <c r="B121" s="921" t="s">
        <v>2095</v>
      </c>
      <c r="C121" s="1521" t="s">
        <v>1998</v>
      </c>
      <c r="D121" s="1681">
        <v>6385</v>
      </c>
      <c r="E121" s="627">
        <f>VLOOKUP($A121,'O&amp;M per TB'!$B$4:S$375,E$5,FALSE)</f>
        <v>0</v>
      </c>
      <c r="F121" s="627">
        <f>VLOOKUP($A121,'O&amp;M per TB'!$B$4:T$375,F$5,FALSE)</f>
        <v>0</v>
      </c>
      <c r="G121" s="627">
        <f>VLOOKUP($A121,'O&amp;M per TB'!$B$4:U$375,G$5,FALSE)</f>
        <v>3.72</v>
      </c>
      <c r="H121" s="627">
        <f>VLOOKUP($A121,'O&amp;M per TB'!$B$4:V$375,H$5,FALSE)</f>
        <v>16.290000000000003</v>
      </c>
      <c r="I121" s="627">
        <f>VLOOKUP($A121,'O&amp;M per TB'!$B$4:W$375,I$5,FALSE)</f>
        <v>297.65000000000003</v>
      </c>
      <c r="J121" s="627">
        <f>VLOOKUP($A121,'O&amp;M per TB'!$B$4:X$375,J$5,FALSE)</f>
        <v>-289.42</v>
      </c>
      <c r="K121" s="627">
        <f>VLOOKUP($A121,'O&amp;M per TB'!$B$4:Y$375,K$5,FALSE)</f>
        <v>380.51</v>
      </c>
      <c r="L121" s="627">
        <f>VLOOKUP($A121,'O&amp;M per TB'!$B$4:Z$375,L$5,FALSE)</f>
        <v>0</v>
      </c>
      <c r="M121" s="627">
        <f>VLOOKUP($A121,'O&amp;M per TB'!$B$4:AA$375,M$5,FALSE)</f>
        <v>124.69000000000005</v>
      </c>
      <c r="N121" s="627">
        <f>VLOOKUP($A121,'O&amp;M per TB'!$B$4:AB$375,N$5,FALSE)</f>
        <v>0</v>
      </c>
      <c r="O121" s="627">
        <f>VLOOKUP($A121,'O&amp;M per TB'!$B$4:AC$375,O$5,FALSE)</f>
        <v>0</v>
      </c>
      <c r="P121" s="627">
        <f>VLOOKUP($A121,'O&amp;M per TB'!$B$4:AD$375,P$5,FALSE)</f>
        <v>196.28999999999996</v>
      </c>
      <c r="R121" s="921">
        <v>5930</v>
      </c>
      <c r="S121" s="921" t="s">
        <v>2042</v>
      </c>
      <c r="T121" s="922" t="s">
        <v>1998</v>
      </c>
      <c r="U121" s="922"/>
      <c r="V121" s="867">
        <f t="shared" si="94"/>
        <v>88.25</v>
      </c>
      <c r="W121" s="867">
        <f t="shared" si="95"/>
        <v>82.669999999999987</v>
      </c>
      <c r="X121" s="867">
        <f t="shared" si="96"/>
        <v>80.740000000000009</v>
      </c>
      <c r="Y121" s="867">
        <f t="shared" si="97"/>
        <v>82.6</v>
      </c>
      <c r="Z121" s="867">
        <f t="shared" si="98"/>
        <v>73.660000000000025</v>
      </c>
      <c r="AA121" s="867">
        <f t="shared" si="99"/>
        <v>83.82</v>
      </c>
      <c r="AB121" s="867">
        <f t="shared" si="100"/>
        <v>86.5</v>
      </c>
      <c r="AC121" s="867">
        <f t="shared" si="101"/>
        <v>91.13</v>
      </c>
      <c r="AD121" s="867">
        <f t="shared" si="102"/>
        <v>87.139999999999986</v>
      </c>
      <c r="AE121" s="867">
        <f t="shared" si="103"/>
        <v>75.419999999999959</v>
      </c>
      <c r="AF121" s="867">
        <f t="shared" si="104"/>
        <v>71.62</v>
      </c>
      <c r="AG121" s="867">
        <f t="shared" si="105"/>
        <v>71.63</v>
      </c>
    </row>
    <row r="122" spans="1:33">
      <c r="A122" s="921">
        <v>6390</v>
      </c>
      <c r="B122" s="921" t="s">
        <v>2096</v>
      </c>
      <c r="C122" s="1521" t="s">
        <v>1998</v>
      </c>
      <c r="D122" s="1681">
        <v>6390</v>
      </c>
      <c r="E122" s="627">
        <f>VLOOKUP($A122,'O&amp;M per TB'!$B$4:S$375,E$5,FALSE)</f>
        <v>7.65</v>
      </c>
      <c r="F122" s="627">
        <f>VLOOKUP($A122,'O&amp;M per TB'!$B$4:T$375,F$5,FALSE)</f>
        <v>6.3599999999999994</v>
      </c>
      <c r="G122" s="627">
        <f>VLOOKUP($A122,'O&amp;M per TB'!$B$4:U$375,G$5,FALSE)</f>
        <v>13.58</v>
      </c>
      <c r="H122" s="627">
        <f>VLOOKUP($A122,'O&amp;M per TB'!$B$4:V$375,H$5,FALSE)</f>
        <v>9.360000000000003</v>
      </c>
      <c r="I122" s="627">
        <f>VLOOKUP($A122,'O&amp;M per TB'!$B$4:W$375,I$5,FALSE)</f>
        <v>14.129999999999995</v>
      </c>
      <c r="J122" s="627">
        <f>VLOOKUP($A122,'O&amp;M per TB'!$B$4:X$375,J$5,FALSE)</f>
        <v>1151.6100000000001</v>
      </c>
      <c r="K122" s="627">
        <f>VLOOKUP($A122,'O&amp;M per TB'!$B$4:Y$375,K$5,FALSE)</f>
        <v>222.41999999999985</v>
      </c>
      <c r="L122" s="627">
        <f>VLOOKUP($A122,'O&amp;M per TB'!$B$4:Z$375,L$5,FALSE)</f>
        <v>98.220000000000027</v>
      </c>
      <c r="M122" s="627">
        <f>VLOOKUP($A122,'O&amp;M per TB'!$B$4:AA$375,M$5,FALSE)</f>
        <v>5.5399999999999636</v>
      </c>
      <c r="N122" s="627">
        <f>VLOOKUP($A122,'O&amp;M per TB'!$B$4:AB$375,N$5,FALSE)</f>
        <v>6.6300000000001091</v>
      </c>
      <c r="O122" s="627">
        <f>VLOOKUP($A122,'O&amp;M per TB'!$B$4:AC$375,O$5,FALSE)</f>
        <v>10.059999999999945</v>
      </c>
      <c r="P122" s="627">
        <f>VLOOKUP($A122,'O&amp;M per TB'!$B$4:AD$375,P$5,FALSE)</f>
        <v>7.5499999999999545</v>
      </c>
      <c r="R122" s="921">
        <v>5935</v>
      </c>
      <c r="S122" s="921" t="s">
        <v>2044</v>
      </c>
      <c r="T122" s="922" t="s">
        <v>1998</v>
      </c>
      <c r="U122" s="922"/>
      <c r="V122" s="867">
        <f t="shared" si="94"/>
        <v>26.96</v>
      </c>
      <c r="W122" s="867">
        <f t="shared" si="95"/>
        <v>13.61</v>
      </c>
      <c r="X122" s="867">
        <f t="shared" si="96"/>
        <v>12.119999999999997</v>
      </c>
      <c r="Y122" s="867">
        <f t="shared" si="97"/>
        <v>6.43</v>
      </c>
      <c r="Z122" s="867">
        <f t="shared" si="98"/>
        <v>3.6400000000000006</v>
      </c>
      <c r="AA122" s="867">
        <f t="shared" si="99"/>
        <v>2.7500000000000071</v>
      </c>
      <c r="AB122" s="867">
        <f t="shared" si="100"/>
        <v>1.1299999999999955</v>
      </c>
      <c r="AC122" s="867">
        <f t="shared" si="101"/>
        <v>1.1799999999999926</v>
      </c>
      <c r="AD122" s="867">
        <f t="shared" si="102"/>
        <v>0</v>
      </c>
      <c r="AE122" s="867">
        <f t="shared" si="103"/>
        <v>2.4200000000000017</v>
      </c>
      <c r="AF122" s="867">
        <f t="shared" si="104"/>
        <v>0</v>
      </c>
      <c r="AG122" s="867">
        <f t="shared" si="105"/>
        <v>4.7400000000000091</v>
      </c>
    </row>
    <row r="123" spans="1:33">
      <c r="A123" s="921">
        <v>6400</v>
      </c>
      <c r="B123" s="921" t="s">
        <v>2097</v>
      </c>
      <c r="C123" s="921">
        <v>711</v>
      </c>
      <c r="D123" s="1681">
        <v>6400</v>
      </c>
      <c r="E123" s="627">
        <f>VLOOKUP($A123,'O&amp;M per TB'!$B$4:S$375,E$5,FALSE)</f>
        <v>0</v>
      </c>
      <c r="F123" s="627">
        <f>VLOOKUP($A123,'O&amp;M per TB'!$B$4:T$375,F$5,FALSE)</f>
        <v>0</v>
      </c>
      <c r="G123" s="627">
        <f>VLOOKUP($A123,'O&amp;M per TB'!$B$4:U$375,G$5,FALSE)</f>
        <v>1000</v>
      </c>
      <c r="H123" s="627">
        <f>VLOOKUP($A123,'O&amp;M per TB'!$B$4:V$375,H$5,FALSE)</f>
        <v>0</v>
      </c>
      <c r="I123" s="627">
        <f>VLOOKUP($A123,'O&amp;M per TB'!$B$4:W$375,I$5,FALSE)</f>
        <v>0</v>
      </c>
      <c r="J123" s="627">
        <f>VLOOKUP($A123,'O&amp;M per TB'!$B$4:X$375,J$5,FALSE)</f>
        <v>0</v>
      </c>
      <c r="K123" s="627">
        <f>VLOOKUP($A123,'O&amp;M per TB'!$B$4:Y$375,K$5,FALSE)</f>
        <v>0</v>
      </c>
      <c r="L123" s="627">
        <f>VLOOKUP($A123,'O&amp;M per TB'!$B$4:Z$375,L$5,FALSE)</f>
        <v>0</v>
      </c>
      <c r="M123" s="627">
        <f>VLOOKUP($A123,'O&amp;M per TB'!$B$4:AA$375,M$5,FALSE)</f>
        <v>0</v>
      </c>
      <c r="N123" s="627">
        <f>VLOOKUP($A123,'O&amp;M per TB'!$B$4:AB$375,N$5,FALSE)</f>
        <v>1530</v>
      </c>
      <c r="O123" s="627">
        <f>VLOOKUP($A123,'O&amp;M per TB'!$B$4:AC$375,O$5,FALSE)</f>
        <v>0</v>
      </c>
      <c r="P123" s="627">
        <f>VLOOKUP($A123,'O&amp;M per TB'!$B$4:AD$375,P$5,FALSE)</f>
        <v>0</v>
      </c>
      <c r="R123" s="921">
        <v>5940</v>
      </c>
      <c r="S123" s="921" t="s">
        <v>2046</v>
      </c>
      <c r="T123" s="922" t="s">
        <v>1998</v>
      </c>
      <c r="U123" s="922"/>
      <c r="V123" s="867">
        <f t="shared" si="94"/>
        <v>0</v>
      </c>
      <c r="W123" s="867">
        <f t="shared" si="95"/>
        <v>4.3</v>
      </c>
      <c r="X123" s="867">
        <f t="shared" si="96"/>
        <v>0</v>
      </c>
      <c r="Y123" s="867">
        <f t="shared" si="97"/>
        <v>0</v>
      </c>
      <c r="Z123" s="867">
        <f t="shared" si="98"/>
        <v>5.86</v>
      </c>
      <c r="AA123" s="867">
        <f t="shared" si="99"/>
        <v>0</v>
      </c>
      <c r="AB123" s="867">
        <f t="shared" si="100"/>
        <v>0</v>
      </c>
      <c r="AC123" s="867">
        <f t="shared" si="101"/>
        <v>5.43</v>
      </c>
      <c r="AD123" s="867">
        <f t="shared" si="102"/>
        <v>0</v>
      </c>
      <c r="AE123" s="867">
        <f t="shared" si="103"/>
        <v>0</v>
      </c>
      <c r="AF123" s="867">
        <f t="shared" si="104"/>
        <v>4.5500000000000007</v>
      </c>
      <c r="AG123" s="867">
        <f t="shared" si="105"/>
        <v>-0.42999999999999972</v>
      </c>
    </row>
    <row r="124" spans="1:33">
      <c r="A124" s="921">
        <v>6410</v>
      </c>
      <c r="B124" s="921" t="s">
        <v>2098</v>
      </c>
      <c r="C124" s="921">
        <v>711</v>
      </c>
      <c r="D124" s="1681">
        <v>6410</v>
      </c>
      <c r="E124" s="627">
        <f>VLOOKUP($A124,'O&amp;M per TB'!$B$4:S$375,E$5,FALSE)</f>
        <v>11231.21</v>
      </c>
      <c r="F124" s="627">
        <f>VLOOKUP($A124,'O&amp;M per TB'!$B$4:T$375,F$5,FALSE)</f>
        <v>11569.650000000001</v>
      </c>
      <c r="G124" s="627">
        <f>VLOOKUP($A124,'O&amp;M per TB'!$B$4:U$375,G$5,FALSE)</f>
        <v>20400</v>
      </c>
      <c r="H124" s="627">
        <f>VLOOKUP($A124,'O&amp;M per TB'!$B$4:V$375,H$5,FALSE)</f>
        <v>15600</v>
      </c>
      <c r="I124" s="627">
        <f>VLOOKUP($A124,'O&amp;M per TB'!$B$4:W$375,I$5,FALSE)</f>
        <v>13200</v>
      </c>
      <c r="J124" s="627">
        <f>VLOOKUP($A124,'O&amp;M per TB'!$B$4:X$375,J$5,FALSE)</f>
        <v>10800</v>
      </c>
      <c r="K124" s="627">
        <f>VLOOKUP($A124,'O&amp;M per TB'!$B$4:Y$375,K$5,FALSE)</f>
        <v>16800</v>
      </c>
      <c r="L124" s="627">
        <f>VLOOKUP($A124,'O&amp;M per TB'!$B$4:Z$375,L$5,FALSE)</f>
        <v>13200</v>
      </c>
      <c r="M124" s="627">
        <f>VLOOKUP($A124,'O&amp;M per TB'!$B$4:AA$375,M$5,FALSE)</f>
        <v>14400</v>
      </c>
      <c r="N124" s="627">
        <f>VLOOKUP($A124,'O&amp;M per TB'!$B$4:AB$375,N$5,FALSE)</f>
        <v>13499.999999999985</v>
      </c>
      <c r="O124" s="627">
        <f>VLOOKUP($A124,'O&amp;M per TB'!$B$4:AC$375,O$5,FALSE)</f>
        <v>8400</v>
      </c>
      <c r="P124" s="627">
        <f>VLOOKUP($A124,'O&amp;M per TB'!$B$4:AD$375,P$5,FALSE)</f>
        <v>20400</v>
      </c>
      <c r="R124" s="921">
        <v>5945</v>
      </c>
      <c r="S124" s="921" t="s">
        <v>2048</v>
      </c>
      <c r="T124" s="922" t="s">
        <v>1998</v>
      </c>
      <c r="U124" s="922"/>
      <c r="V124" s="867">
        <f t="shared" si="94"/>
        <v>1171.67</v>
      </c>
      <c r="W124" s="867">
        <f t="shared" si="95"/>
        <v>1272.8800000000001</v>
      </c>
      <c r="X124" s="867">
        <f t="shared" si="96"/>
        <v>1337.5899999999997</v>
      </c>
      <c r="Y124" s="867">
        <f t="shared" si="97"/>
        <v>1327.2100000000005</v>
      </c>
      <c r="Z124" s="867">
        <f t="shared" si="98"/>
        <v>1306.96</v>
      </c>
      <c r="AA124" s="867">
        <f t="shared" si="99"/>
        <v>1312.21</v>
      </c>
      <c r="AB124" s="867">
        <f t="shared" si="100"/>
        <v>1315.7199999999993</v>
      </c>
      <c r="AC124" s="867">
        <f t="shared" si="101"/>
        <v>1236.9099999999999</v>
      </c>
      <c r="AD124" s="867">
        <f t="shared" si="102"/>
        <v>1200.5</v>
      </c>
      <c r="AE124" s="867">
        <f t="shared" si="103"/>
        <v>1259.67</v>
      </c>
      <c r="AF124" s="867">
        <f t="shared" si="104"/>
        <v>1192.3199999999997</v>
      </c>
      <c r="AG124" s="867">
        <f t="shared" si="105"/>
        <v>1227.1900000000005</v>
      </c>
    </row>
    <row r="125" spans="1:33">
      <c r="R125" s="921">
        <v>5950</v>
      </c>
      <c r="S125" s="921" t="s">
        <v>2049</v>
      </c>
      <c r="T125" s="922" t="s">
        <v>1998</v>
      </c>
      <c r="U125" s="922"/>
      <c r="V125" s="867">
        <f t="shared" si="94"/>
        <v>944.65</v>
      </c>
      <c r="W125" s="867">
        <f t="shared" si="95"/>
        <v>920.00000000000011</v>
      </c>
      <c r="X125" s="867">
        <f t="shared" si="96"/>
        <v>886.79999999999973</v>
      </c>
      <c r="Y125" s="867">
        <f t="shared" si="97"/>
        <v>885.88000000000011</v>
      </c>
      <c r="Z125" s="867">
        <f t="shared" si="98"/>
        <v>880.89999999999964</v>
      </c>
      <c r="AA125" s="867">
        <f t="shared" si="99"/>
        <v>892.05000000000018</v>
      </c>
      <c r="AB125" s="867">
        <f t="shared" si="100"/>
        <v>938</v>
      </c>
      <c r="AC125" s="867">
        <f t="shared" si="101"/>
        <v>988.61000000000058</v>
      </c>
      <c r="AD125" s="867">
        <f t="shared" si="102"/>
        <v>1022.21</v>
      </c>
      <c r="AE125" s="867">
        <f t="shared" si="103"/>
        <v>1038.0499999999993</v>
      </c>
      <c r="AF125" s="867">
        <f t="shared" si="104"/>
        <v>1013.630000000001</v>
      </c>
      <c r="AG125" s="867">
        <f t="shared" si="105"/>
        <v>2008.7799999999988</v>
      </c>
    </row>
    <row r="126" spans="1:33">
      <c r="D126" s="1566"/>
      <c r="E126" s="867"/>
      <c r="F126" s="867"/>
      <c r="G126" s="867"/>
      <c r="H126" s="867"/>
      <c r="I126" s="867"/>
      <c r="J126" s="867"/>
      <c r="K126" s="867"/>
      <c r="L126" s="867"/>
      <c r="M126" s="867"/>
      <c r="N126" s="867"/>
      <c r="O126" s="867"/>
      <c r="P126" s="867"/>
      <c r="R126" s="921">
        <v>5955</v>
      </c>
      <c r="S126" s="921" t="s">
        <v>2050</v>
      </c>
      <c r="T126" s="922" t="s">
        <v>1998</v>
      </c>
      <c r="U126" s="922"/>
      <c r="V126" s="867">
        <f t="shared" si="94"/>
        <v>21.01</v>
      </c>
      <c r="W126" s="867">
        <f t="shared" si="95"/>
        <v>29.37</v>
      </c>
      <c r="X126" s="867">
        <f t="shared" si="96"/>
        <v>20.9</v>
      </c>
      <c r="Y126" s="867">
        <f t="shared" si="97"/>
        <v>20.879999999999995</v>
      </c>
      <c r="Z126" s="867">
        <f t="shared" si="98"/>
        <v>20.850000000000009</v>
      </c>
      <c r="AA126" s="867">
        <f t="shared" si="99"/>
        <v>136.37</v>
      </c>
      <c r="AB126" s="867">
        <f t="shared" si="100"/>
        <v>90.82</v>
      </c>
      <c r="AC126" s="867">
        <f t="shared" si="101"/>
        <v>29.100000000000023</v>
      </c>
      <c r="AD126" s="867">
        <f t="shared" si="102"/>
        <v>20.769999999999982</v>
      </c>
      <c r="AE126" s="867">
        <f t="shared" si="103"/>
        <v>162.07</v>
      </c>
      <c r="AF126" s="867">
        <f t="shared" si="104"/>
        <v>20.730000000000018</v>
      </c>
      <c r="AG126" s="867">
        <f t="shared" si="105"/>
        <v>102.82000000000005</v>
      </c>
    </row>
    <row r="127" spans="1:33">
      <c r="E127" s="867"/>
      <c r="F127" s="867"/>
      <c r="G127" s="867"/>
      <c r="H127" s="867"/>
      <c r="I127" s="867"/>
      <c r="J127" s="867"/>
      <c r="K127" s="867"/>
      <c r="L127" s="867"/>
      <c r="M127" s="867"/>
      <c r="N127" s="867"/>
      <c r="O127" s="867"/>
      <c r="P127" s="867"/>
      <c r="R127" s="921">
        <v>5960</v>
      </c>
      <c r="S127" s="921" t="s">
        <v>2053</v>
      </c>
      <c r="T127" s="922" t="s">
        <v>1998</v>
      </c>
      <c r="U127" s="922"/>
      <c r="V127" s="867">
        <f t="shared" si="94"/>
        <v>70.650000000000006</v>
      </c>
      <c r="W127" s="867">
        <f t="shared" si="95"/>
        <v>4.5699999999999932</v>
      </c>
      <c r="X127" s="867">
        <f t="shared" si="96"/>
        <v>653.42999999999995</v>
      </c>
      <c r="Y127" s="867">
        <f t="shared" si="97"/>
        <v>267.32000000000005</v>
      </c>
      <c r="Z127" s="867">
        <f t="shared" si="98"/>
        <v>0</v>
      </c>
      <c r="AA127" s="867">
        <f t="shared" si="99"/>
        <v>217.44000000000005</v>
      </c>
      <c r="AB127" s="867">
        <f t="shared" si="100"/>
        <v>262.54999999999995</v>
      </c>
      <c r="AC127" s="867">
        <f t="shared" si="101"/>
        <v>217.44000000000005</v>
      </c>
      <c r="AD127" s="867">
        <f t="shared" si="102"/>
        <v>0</v>
      </c>
      <c r="AE127" s="867">
        <f t="shared" si="103"/>
        <v>479.69000000000005</v>
      </c>
      <c r="AF127" s="867">
        <f t="shared" si="104"/>
        <v>219.57999999999993</v>
      </c>
      <c r="AG127" s="867">
        <f t="shared" si="105"/>
        <v>0</v>
      </c>
    </row>
    <row r="128" spans="1:33">
      <c r="E128" s="867"/>
      <c r="F128" s="867"/>
      <c r="G128" s="867"/>
      <c r="H128" s="867"/>
      <c r="I128" s="867"/>
      <c r="J128" s="867"/>
      <c r="K128" s="867"/>
      <c r="L128" s="867"/>
      <c r="M128" s="867"/>
      <c r="N128" s="867"/>
      <c r="O128" s="867"/>
      <c r="P128" s="867"/>
      <c r="R128" s="921">
        <v>5965</v>
      </c>
      <c r="S128" s="921" t="s">
        <v>2054</v>
      </c>
      <c r="T128" s="922" t="s">
        <v>1998</v>
      </c>
      <c r="U128" s="922"/>
      <c r="V128" s="867">
        <f t="shared" si="94"/>
        <v>41</v>
      </c>
      <c r="W128" s="867">
        <f t="shared" si="95"/>
        <v>63.510000000000005</v>
      </c>
      <c r="X128" s="867">
        <f t="shared" si="96"/>
        <v>91.2</v>
      </c>
      <c r="Y128" s="867">
        <f t="shared" si="97"/>
        <v>544.31999999999994</v>
      </c>
      <c r="Z128" s="867">
        <f t="shared" si="98"/>
        <v>110.08000000000004</v>
      </c>
      <c r="AA128" s="867">
        <f t="shared" si="99"/>
        <v>122.03999999999996</v>
      </c>
      <c r="AB128" s="867">
        <f t="shared" si="100"/>
        <v>47.029999999999973</v>
      </c>
      <c r="AC128" s="867">
        <f t="shared" si="101"/>
        <v>124.83000000000004</v>
      </c>
      <c r="AD128" s="867">
        <f t="shared" si="102"/>
        <v>112.02999999999997</v>
      </c>
      <c r="AE128" s="867">
        <f t="shared" si="103"/>
        <v>91.840000000000146</v>
      </c>
      <c r="AF128" s="867">
        <f t="shared" si="104"/>
        <v>145.32999999999993</v>
      </c>
      <c r="AG128" s="867">
        <f t="shared" si="105"/>
        <v>101.96000000000004</v>
      </c>
    </row>
    <row r="129" spans="2:33">
      <c r="B129" s="1576" t="s">
        <v>2225</v>
      </c>
      <c r="E129" s="1575">
        <f t="shared" ref="E129:O129" si="106">SUM(E7:E128)</f>
        <v>74508.47</v>
      </c>
      <c r="F129" s="1575">
        <f t="shared" si="106"/>
        <v>95780.57</v>
      </c>
      <c r="G129" s="1575">
        <f t="shared" si="106"/>
        <v>94092.299999999988</v>
      </c>
      <c r="H129" s="1575">
        <f t="shared" si="106"/>
        <v>80247.06</v>
      </c>
      <c r="I129" s="1575">
        <f t="shared" si="106"/>
        <v>75193.469999999987</v>
      </c>
      <c r="J129" s="1575">
        <f t="shared" si="106"/>
        <v>104680.19</v>
      </c>
      <c r="K129" s="1575">
        <f t="shared" si="106"/>
        <v>111509.64999999998</v>
      </c>
      <c r="L129" s="1575">
        <f t="shared" si="106"/>
        <v>103318.83000000002</v>
      </c>
      <c r="M129" s="1575">
        <f t="shared" si="106"/>
        <v>46723.009999999995</v>
      </c>
      <c r="N129" s="1575">
        <f t="shared" si="106"/>
        <v>85183.419999999984</v>
      </c>
      <c r="O129" s="1575">
        <f t="shared" si="106"/>
        <v>86887.41</v>
      </c>
      <c r="P129" s="1575">
        <f>SUM(P7:P128)</f>
        <v>125730.37000000002</v>
      </c>
      <c r="R129" s="921">
        <v>5970</v>
      </c>
      <c r="S129" s="921" t="s">
        <v>2057</v>
      </c>
      <c r="T129" s="922" t="s">
        <v>1998</v>
      </c>
      <c r="U129" s="922"/>
      <c r="V129" s="867">
        <f t="shared" si="94"/>
        <v>51.2</v>
      </c>
      <c r="W129" s="867">
        <f t="shared" si="95"/>
        <v>50.86</v>
      </c>
      <c r="X129" s="867">
        <f t="shared" si="96"/>
        <v>50.72999999999999</v>
      </c>
      <c r="Y129" s="867">
        <f t="shared" si="97"/>
        <v>50.800000000000011</v>
      </c>
      <c r="Z129" s="867">
        <f t="shared" si="98"/>
        <v>50.72999999999999</v>
      </c>
      <c r="AA129" s="867">
        <f t="shared" si="99"/>
        <v>50.70999999999998</v>
      </c>
      <c r="AB129" s="867">
        <f t="shared" si="100"/>
        <v>50.660000000000025</v>
      </c>
      <c r="AC129" s="867">
        <f t="shared" si="101"/>
        <v>50.589999999999975</v>
      </c>
      <c r="AD129" s="867">
        <f t="shared" si="102"/>
        <v>50.29000000000002</v>
      </c>
      <c r="AE129" s="867">
        <f t="shared" si="103"/>
        <v>50.269999999999982</v>
      </c>
      <c r="AF129" s="867">
        <f t="shared" si="104"/>
        <v>80.300000000000011</v>
      </c>
      <c r="AG129" s="867">
        <f t="shared" si="105"/>
        <v>50.159999999999968</v>
      </c>
    </row>
    <row r="130" spans="2:33">
      <c r="R130" s="921">
        <v>5975</v>
      </c>
      <c r="S130" s="921" t="s">
        <v>2059</v>
      </c>
      <c r="T130" s="922" t="s">
        <v>1998</v>
      </c>
      <c r="U130" s="922"/>
      <c r="V130" s="867">
        <f t="shared" si="94"/>
        <v>0</v>
      </c>
      <c r="W130" s="867">
        <f t="shared" si="95"/>
        <v>15.51</v>
      </c>
      <c r="X130" s="867">
        <f t="shared" si="96"/>
        <v>-13.43</v>
      </c>
      <c r="Y130" s="867">
        <f t="shared" si="97"/>
        <v>0</v>
      </c>
      <c r="Z130" s="867">
        <f t="shared" si="98"/>
        <v>32.89</v>
      </c>
      <c r="AA130" s="867">
        <f t="shared" si="99"/>
        <v>0</v>
      </c>
      <c r="AB130" s="867">
        <f t="shared" si="100"/>
        <v>21.230000000000004</v>
      </c>
      <c r="AC130" s="867">
        <f t="shared" si="101"/>
        <v>18.739999999999995</v>
      </c>
      <c r="AD130" s="867">
        <f t="shared" si="102"/>
        <v>0</v>
      </c>
      <c r="AE130" s="867">
        <f t="shared" si="103"/>
        <v>0</v>
      </c>
      <c r="AF130" s="867">
        <f t="shared" si="104"/>
        <v>91.56</v>
      </c>
      <c r="AG130" s="867">
        <f t="shared" si="105"/>
        <v>0</v>
      </c>
    </row>
    <row r="131" spans="2:33">
      <c r="B131" s="1576" t="s">
        <v>2227</v>
      </c>
      <c r="D131" s="1522"/>
      <c r="E131" s="1604">
        <f t="shared" ref="E131:P131" si="107">+V157</f>
        <v>74508.47</v>
      </c>
      <c r="F131" s="1604">
        <f t="shared" si="107"/>
        <v>95780.57</v>
      </c>
      <c r="G131" s="1604">
        <f t="shared" si="107"/>
        <v>94092.3</v>
      </c>
      <c r="H131" s="1604">
        <f t="shared" si="107"/>
        <v>80247.06</v>
      </c>
      <c r="I131" s="1604">
        <f t="shared" si="107"/>
        <v>75193.469999999987</v>
      </c>
      <c r="J131" s="1604">
        <f t="shared" si="107"/>
        <v>104680.19</v>
      </c>
      <c r="K131" s="1604">
        <f t="shared" si="107"/>
        <v>111509.65000000001</v>
      </c>
      <c r="L131" s="1604">
        <f t="shared" si="107"/>
        <v>103318.82999999999</v>
      </c>
      <c r="M131" s="1604">
        <f t="shared" si="107"/>
        <v>46723.010000000009</v>
      </c>
      <c r="N131" s="1604">
        <f t="shared" si="107"/>
        <v>85183.419999999955</v>
      </c>
      <c r="O131" s="1604">
        <f t="shared" si="107"/>
        <v>86887.409999999989</v>
      </c>
      <c r="P131" s="1604">
        <f t="shared" si="107"/>
        <v>125730.37000000001</v>
      </c>
      <c r="R131" s="921">
        <v>5980</v>
      </c>
      <c r="S131" s="921" t="s">
        <v>2060</v>
      </c>
      <c r="T131" s="922" t="s">
        <v>1998</v>
      </c>
      <c r="U131" s="922"/>
      <c r="V131" s="867">
        <f t="shared" si="94"/>
        <v>0</v>
      </c>
      <c r="W131" s="867">
        <f t="shared" si="95"/>
        <v>0</v>
      </c>
      <c r="X131" s="867">
        <f t="shared" si="96"/>
        <v>0.67</v>
      </c>
      <c r="Y131" s="867">
        <f t="shared" si="97"/>
        <v>0</v>
      </c>
      <c r="Z131" s="867">
        <f t="shared" si="98"/>
        <v>0</v>
      </c>
      <c r="AA131" s="867">
        <f t="shared" si="99"/>
        <v>0.66</v>
      </c>
      <c r="AB131" s="867">
        <f t="shared" si="100"/>
        <v>0</v>
      </c>
      <c r="AC131" s="867">
        <f t="shared" si="101"/>
        <v>0</v>
      </c>
      <c r="AD131" s="867">
        <f t="shared" si="102"/>
        <v>0.53</v>
      </c>
      <c r="AE131" s="867">
        <f t="shared" si="103"/>
        <v>0</v>
      </c>
      <c r="AF131" s="867">
        <f t="shared" si="104"/>
        <v>0</v>
      </c>
      <c r="AG131" s="867">
        <f t="shared" si="105"/>
        <v>-98.8</v>
      </c>
    </row>
    <row r="132" spans="2:33">
      <c r="R132" s="921">
        <v>5985</v>
      </c>
      <c r="S132" s="921" t="s">
        <v>2061</v>
      </c>
      <c r="T132" s="922" t="s">
        <v>1998</v>
      </c>
      <c r="U132" s="922"/>
      <c r="V132" s="867"/>
      <c r="W132" s="867"/>
      <c r="X132" s="867"/>
      <c r="Y132" s="867"/>
      <c r="Z132" s="867"/>
      <c r="AA132" s="867"/>
      <c r="AB132" s="867"/>
      <c r="AC132" s="867"/>
      <c r="AD132" s="867"/>
      <c r="AE132" s="867"/>
      <c r="AF132" s="867"/>
      <c r="AG132" s="867"/>
    </row>
    <row r="133" spans="2:33">
      <c r="B133" s="921" t="s">
        <v>612</v>
      </c>
      <c r="E133" s="867">
        <f>+E129-E131</f>
        <v>0</v>
      </c>
      <c r="F133" s="867">
        <f t="shared" ref="F133:P133" si="108">+F129-F131</f>
        <v>0</v>
      </c>
      <c r="G133" s="867">
        <f t="shared" si="108"/>
        <v>0</v>
      </c>
      <c r="H133" s="867">
        <f t="shared" si="108"/>
        <v>0</v>
      </c>
      <c r="I133" s="867">
        <f t="shared" si="108"/>
        <v>0</v>
      </c>
      <c r="J133" s="867">
        <f t="shared" si="108"/>
        <v>0</v>
      </c>
      <c r="K133" s="867">
        <f t="shared" si="108"/>
        <v>0</v>
      </c>
      <c r="L133" s="867">
        <f t="shared" si="108"/>
        <v>0</v>
      </c>
      <c r="M133" s="867">
        <f t="shared" si="108"/>
        <v>0</v>
      </c>
      <c r="N133" s="867">
        <f t="shared" si="108"/>
        <v>0</v>
      </c>
      <c r="O133" s="867">
        <f t="shared" si="108"/>
        <v>0</v>
      </c>
      <c r="P133" s="867">
        <f t="shared" si="108"/>
        <v>0</v>
      </c>
      <c r="R133" s="921">
        <v>6185</v>
      </c>
      <c r="S133" s="921" t="s">
        <v>2081</v>
      </c>
      <c r="T133" s="922" t="s">
        <v>1998</v>
      </c>
      <c r="U133" s="922"/>
      <c r="V133" s="867">
        <f t="shared" ref="V133:V138" si="109">VLOOKUP($R133,$D$7:$E$124,2,FALSE)</f>
        <v>5.14</v>
      </c>
      <c r="W133" s="867">
        <f t="shared" ref="W133:W138" si="110">VLOOKUP($R133,$D$7:$P$124,3,FALSE)</f>
        <v>58.41</v>
      </c>
      <c r="X133" s="867">
        <f t="shared" ref="X133:X138" si="111">VLOOKUP($R133,$D$7:$P$124,4,FALSE)</f>
        <v>140.79000000000002</v>
      </c>
      <c r="Y133" s="867">
        <f t="shared" ref="Y133:Y138" si="112">VLOOKUP($R133,$D$7:$P$124,5,FALSE)</f>
        <v>-34.349999999999994</v>
      </c>
      <c r="Z133" s="867">
        <f t="shared" ref="Z133:Z138" si="113">VLOOKUP($R133,$D$7:$P$124,6,FALSE)</f>
        <v>7.4699999999999989</v>
      </c>
      <c r="AA133" s="867">
        <f t="shared" ref="AA133:AA138" si="114">VLOOKUP($R133,$D$7:$P$124,7,FALSE)</f>
        <v>34.94</v>
      </c>
      <c r="AB133" s="867">
        <f t="shared" ref="AB133:AB138" si="115">VLOOKUP($R133,$D$7:$P$124,8,FALSE)</f>
        <v>86.809999999999974</v>
      </c>
      <c r="AC133" s="867">
        <f t="shared" ref="AC133:AC138" si="116">VLOOKUP($R133,$D$7:$P$124,9,FALSE)</f>
        <v>64.460000000000036</v>
      </c>
      <c r="AD133" s="867">
        <f t="shared" ref="AD133:AD138" si="117">VLOOKUP($R133,$D$7:$P$124,10,FALSE)</f>
        <v>347.37999999999994</v>
      </c>
      <c r="AE133" s="867">
        <f t="shared" ref="AE133:AE138" si="118">VLOOKUP($R133,$D$7:$P$124,11,FALSE)</f>
        <v>34.690000000000055</v>
      </c>
      <c r="AF133" s="867">
        <f t="shared" ref="AF133:AF138" si="119">VLOOKUP($R133,$D$7:$P$124,12,FALSE)</f>
        <v>136.05999999999995</v>
      </c>
      <c r="AG133" s="867">
        <f t="shared" ref="AG133:AG138" si="120">VLOOKUP($R133,$D$7:$P$124,13,FALSE)</f>
        <v>20.180000000000064</v>
      </c>
    </row>
    <row r="134" spans="2:33">
      <c r="R134" s="921">
        <v>6190</v>
      </c>
      <c r="S134" s="921" t="s">
        <v>2082</v>
      </c>
      <c r="T134" s="922" t="s">
        <v>1998</v>
      </c>
      <c r="U134" s="922"/>
      <c r="V134" s="867">
        <f t="shared" si="109"/>
        <v>6.91</v>
      </c>
      <c r="W134" s="867">
        <f t="shared" si="110"/>
        <v>23.09</v>
      </c>
      <c r="X134" s="867">
        <f t="shared" si="111"/>
        <v>48.22</v>
      </c>
      <c r="Y134" s="867">
        <f t="shared" si="112"/>
        <v>9.6700000000000017</v>
      </c>
      <c r="Z134" s="867">
        <f t="shared" si="113"/>
        <v>40.489999999999995</v>
      </c>
      <c r="AA134" s="867">
        <f t="shared" si="114"/>
        <v>19.22</v>
      </c>
      <c r="AB134" s="867">
        <f t="shared" si="115"/>
        <v>72.41</v>
      </c>
      <c r="AC134" s="867">
        <f t="shared" si="116"/>
        <v>7.3200000000000216</v>
      </c>
      <c r="AD134" s="867">
        <f t="shared" si="117"/>
        <v>78.359999999999985</v>
      </c>
      <c r="AE134" s="867">
        <f t="shared" si="118"/>
        <v>124.50999999999999</v>
      </c>
      <c r="AF134" s="867">
        <f t="shared" si="119"/>
        <v>44.81</v>
      </c>
      <c r="AG134" s="867">
        <f t="shared" si="120"/>
        <v>29.990000000000009</v>
      </c>
    </row>
    <row r="135" spans="2:33">
      <c r="R135" s="921">
        <v>6195</v>
      </c>
      <c r="S135" s="921" t="s">
        <v>2083</v>
      </c>
      <c r="T135" s="922" t="s">
        <v>1998</v>
      </c>
      <c r="U135" s="922"/>
      <c r="V135" s="867">
        <f t="shared" si="109"/>
        <v>0.35</v>
      </c>
      <c r="W135" s="867">
        <f t="shared" si="110"/>
        <v>5.32</v>
      </c>
      <c r="X135" s="867">
        <f t="shared" si="111"/>
        <v>4.58</v>
      </c>
      <c r="Y135" s="867">
        <f t="shared" si="112"/>
        <v>8.3000000000000007</v>
      </c>
      <c r="Z135" s="867">
        <f t="shared" si="113"/>
        <v>3.259999999999998</v>
      </c>
      <c r="AA135" s="867">
        <f t="shared" si="114"/>
        <v>3.5500000000000007</v>
      </c>
      <c r="AB135" s="867">
        <f t="shared" si="115"/>
        <v>68.59</v>
      </c>
      <c r="AC135" s="867">
        <f t="shared" si="116"/>
        <v>3.1899999999999977</v>
      </c>
      <c r="AD135" s="867">
        <f t="shared" si="117"/>
        <v>321.65000000000003</v>
      </c>
      <c r="AE135" s="867">
        <f t="shared" si="118"/>
        <v>10.779999999999973</v>
      </c>
      <c r="AF135" s="867">
        <f t="shared" si="119"/>
        <v>12.29000000000002</v>
      </c>
      <c r="AG135" s="867">
        <f t="shared" si="120"/>
        <v>10.779999999999973</v>
      </c>
    </row>
    <row r="136" spans="2:33">
      <c r="R136" s="921">
        <v>6200</v>
      </c>
      <c r="S136" s="921" t="s">
        <v>2084</v>
      </c>
      <c r="T136" s="922" t="s">
        <v>1998</v>
      </c>
      <c r="U136" s="922"/>
      <c r="V136" s="867">
        <f t="shared" si="109"/>
        <v>6.83</v>
      </c>
      <c r="W136" s="867">
        <f t="shared" si="110"/>
        <v>19.759999999999998</v>
      </c>
      <c r="X136" s="867">
        <f t="shared" si="111"/>
        <v>226.29</v>
      </c>
      <c r="Y136" s="867">
        <f t="shared" si="112"/>
        <v>3.5400000000000205</v>
      </c>
      <c r="Z136" s="867">
        <f t="shared" si="113"/>
        <v>51.329999999999984</v>
      </c>
      <c r="AA136" s="867">
        <f t="shared" si="114"/>
        <v>22.29000000000002</v>
      </c>
      <c r="AB136" s="867">
        <f t="shared" si="115"/>
        <v>42.949999999999989</v>
      </c>
      <c r="AC136" s="867">
        <f t="shared" si="116"/>
        <v>5.4599999999999795</v>
      </c>
      <c r="AD136" s="867">
        <f t="shared" si="117"/>
        <v>402.74000000000007</v>
      </c>
      <c r="AE136" s="867">
        <f t="shared" si="118"/>
        <v>73.059999999999945</v>
      </c>
      <c r="AF136" s="867">
        <f t="shared" si="119"/>
        <v>117.16999999999996</v>
      </c>
      <c r="AG136" s="867">
        <f t="shared" si="120"/>
        <v>22.190000000000055</v>
      </c>
    </row>
    <row r="137" spans="2:33">
      <c r="R137" s="921">
        <v>6205</v>
      </c>
      <c r="S137" s="921" t="s">
        <v>2085</v>
      </c>
      <c r="T137" s="922" t="s">
        <v>1998</v>
      </c>
      <c r="U137" s="922"/>
      <c r="V137" s="867">
        <f t="shared" si="109"/>
        <v>0</v>
      </c>
      <c r="W137" s="867">
        <f t="shared" si="110"/>
        <v>1.1399999999999999</v>
      </c>
      <c r="X137" s="867">
        <f t="shared" si="111"/>
        <v>0</v>
      </c>
      <c r="Y137" s="867">
        <f t="shared" si="112"/>
        <v>8.7999999999999989</v>
      </c>
      <c r="Z137" s="867">
        <f t="shared" si="113"/>
        <v>0.61000000000000121</v>
      </c>
      <c r="AA137" s="867">
        <f t="shared" si="114"/>
        <v>2.1999999999999993</v>
      </c>
      <c r="AB137" s="867">
        <f t="shared" si="115"/>
        <v>0.88000000000000078</v>
      </c>
      <c r="AC137" s="867">
        <f t="shared" si="116"/>
        <v>3.5499999999999989</v>
      </c>
      <c r="AD137" s="867">
        <f t="shared" si="117"/>
        <v>0.39000000000000057</v>
      </c>
      <c r="AE137" s="867">
        <f t="shared" si="118"/>
        <v>0</v>
      </c>
      <c r="AF137" s="867">
        <f t="shared" si="119"/>
        <v>14.880000000000003</v>
      </c>
      <c r="AG137" s="867">
        <f t="shared" si="120"/>
        <v>0</v>
      </c>
    </row>
    <row r="138" spans="2:33">
      <c r="R138" s="921">
        <v>6207</v>
      </c>
      <c r="S138" s="921" t="s">
        <v>2086</v>
      </c>
      <c r="T138" s="922" t="s">
        <v>1998</v>
      </c>
      <c r="U138" s="922"/>
      <c r="V138" s="867">
        <f t="shared" si="109"/>
        <v>54.81</v>
      </c>
      <c r="W138" s="867">
        <f t="shared" si="110"/>
        <v>105.72999999999999</v>
      </c>
      <c r="X138" s="867">
        <f t="shared" si="111"/>
        <v>64.330000000000013</v>
      </c>
      <c r="Y138" s="867">
        <f t="shared" si="112"/>
        <v>341.91999999999996</v>
      </c>
      <c r="Z138" s="867">
        <f t="shared" si="113"/>
        <v>-246.17999999999995</v>
      </c>
      <c r="AA138" s="867">
        <f t="shared" si="114"/>
        <v>6.0099999999999909</v>
      </c>
      <c r="AB138" s="867">
        <f t="shared" si="115"/>
        <v>110.50999999999999</v>
      </c>
      <c r="AC138" s="867">
        <f t="shared" si="116"/>
        <v>52.800000000000011</v>
      </c>
      <c r="AD138" s="867">
        <f t="shared" si="117"/>
        <v>42.599999999999966</v>
      </c>
      <c r="AE138" s="867">
        <f t="shared" si="118"/>
        <v>54.110000000000014</v>
      </c>
      <c r="AF138" s="867">
        <f t="shared" si="119"/>
        <v>112.13999999999999</v>
      </c>
      <c r="AG138" s="867">
        <f t="shared" si="120"/>
        <v>40.25</v>
      </c>
    </row>
    <row r="139" spans="2:33">
      <c r="R139" s="921">
        <v>6255</v>
      </c>
      <c r="S139" s="921" t="s">
        <v>2087</v>
      </c>
      <c r="T139" s="922">
        <v>675</v>
      </c>
      <c r="U139" s="922"/>
      <c r="V139" s="867"/>
      <c r="W139" s="867"/>
      <c r="X139" s="867"/>
      <c r="Y139" s="867"/>
      <c r="Z139" s="867"/>
      <c r="AA139" s="867"/>
      <c r="AB139" s="867"/>
      <c r="AC139" s="867"/>
      <c r="AD139" s="867"/>
      <c r="AE139" s="867"/>
      <c r="AF139" s="867"/>
      <c r="AG139" s="867"/>
    </row>
    <row r="140" spans="2:33">
      <c r="R140" s="921">
        <v>6260</v>
      </c>
      <c r="S140" s="921" t="s">
        <v>2089</v>
      </c>
      <c r="T140" s="922">
        <v>675</v>
      </c>
      <c r="U140" s="922"/>
      <c r="V140" s="867">
        <f>VLOOKUP($R140,$D$7:$E$124,2,FALSE)</f>
        <v>875.86</v>
      </c>
      <c r="W140" s="867">
        <f>VLOOKUP($R140,$D$7:$P$124,3,FALSE)</f>
        <v>0</v>
      </c>
      <c r="X140" s="867">
        <f>VLOOKUP($R140,$D$7:$P$124,4,FALSE)</f>
        <v>696.91</v>
      </c>
      <c r="Y140" s="867">
        <f>VLOOKUP($R140,$D$7:$P$124,5,FALSE)</f>
        <v>1130.1999999999998</v>
      </c>
      <c r="Z140" s="867">
        <f>VLOOKUP($R140,$D$7:$P$124,6,FALSE)</f>
        <v>223.0300000000002</v>
      </c>
      <c r="AA140" s="867">
        <f>VLOOKUP($R140,$D$7:$P$124,7,FALSE)</f>
        <v>459.36000000000013</v>
      </c>
      <c r="AB140" s="867">
        <f>VLOOKUP($R140,$D$7:$P$124,8,FALSE)</f>
        <v>501.27999999999975</v>
      </c>
      <c r="AC140" s="867">
        <f>VLOOKUP($R140,$D$7:$P$124,9,FALSE)</f>
        <v>786.79000000000042</v>
      </c>
      <c r="AD140" s="867">
        <f>VLOOKUP($R140,$D$7:$P$124,10,FALSE)</f>
        <v>402.88999999999942</v>
      </c>
      <c r="AE140" s="867">
        <f>VLOOKUP($R140,$D$7:$P$124,11,FALSE)</f>
        <v>166.99000000000069</v>
      </c>
      <c r="AF140" s="867">
        <f>VLOOKUP($R140,$D$7:$P$124,12,FALSE)</f>
        <v>416.72999999999956</v>
      </c>
      <c r="AG140" s="867">
        <f>VLOOKUP($R140,$D$7:$P$124,13,FALSE)</f>
        <v>136.94999999999982</v>
      </c>
    </row>
    <row r="141" spans="2:33">
      <c r="R141" s="921">
        <v>6265</v>
      </c>
      <c r="S141" s="921" t="s">
        <v>2299</v>
      </c>
      <c r="T141" s="922">
        <v>775</v>
      </c>
      <c r="U141" s="922"/>
      <c r="V141" s="867">
        <f>VLOOKUP($R141,$D$7:$E$124,2,FALSE)</f>
        <v>0</v>
      </c>
      <c r="W141" s="867">
        <f>VLOOKUP($R141,$D$7:$P$124,3,FALSE)</f>
        <v>47</v>
      </c>
      <c r="X141" s="867">
        <f>VLOOKUP($R141,$D$7:$P$124,4,FALSE)</f>
        <v>0</v>
      </c>
      <c r="Y141" s="867">
        <f>VLOOKUP($R141,$D$7:$P$124,5,FALSE)</f>
        <v>0</v>
      </c>
      <c r="Z141" s="867">
        <f>VLOOKUP($R141,$D$7:$P$124,6,FALSE)</f>
        <v>0</v>
      </c>
      <c r="AA141" s="867">
        <f>VLOOKUP($R141,$D$7:$P$124,7,FALSE)</f>
        <v>0</v>
      </c>
      <c r="AB141" s="867">
        <f>VLOOKUP($R141,$D$7:$P$124,8,FALSE)</f>
        <v>0</v>
      </c>
      <c r="AC141" s="867">
        <f>VLOOKUP($R141,$D$7:$P$124,9,FALSE)</f>
        <v>0</v>
      </c>
      <c r="AD141" s="867">
        <f>VLOOKUP($R141,$D$7:$P$124,10,FALSE)</f>
        <v>0</v>
      </c>
      <c r="AE141" s="867">
        <f>VLOOKUP($R141,$D$7:$P$124,11,FALSE)</f>
        <v>0</v>
      </c>
      <c r="AF141" s="867">
        <f>VLOOKUP($R141,$D$7:$P$124,12,FALSE)</f>
        <v>0</v>
      </c>
      <c r="AG141" s="867">
        <f>VLOOKUP($R141,$D$7:$P$124,13,FALSE)</f>
        <v>0</v>
      </c>
    </row>
    <row r="142" spans="2:33">
      <c r="R142" s="921">
        <v>6270</v>
      </c>
      <c r="S142" s="921" t="s">
        <v>2090</v>
      </c>
      <c r="T142" s="922">
        <v>775</v>
      </c>
      <c r="U142" s="922"/>
      <c r="V142" s="867">
        <f>VLOOKUP($R142,$D$7:$E$124,2,FALSE)</f>
        <v>1123.4100000000001</v>
      </c>
      <c r="W142" s="867">
        <f>VLOOKUP($R142,$D$7:$P$124,3,FALSE)</f>
        <v>2951.99</v>
      </c>
      <c r="X142" s="867">
        <f>VLOOKUP($R142,$D$7:$P$124,4,FALSE)</f>
        <v>2137.4999999999995</v>
      </c>
      <c r="Y142" s="867">
        <f>VLOOKUP($R142,$D$7:$P$124,5,FALSE)</f>
        <v>3811.0699999999997</v>
      </c>
      <c r="Z142" s="867">
        <f>VLOOKUP($R142,$D$7:$P$124,6,FALSE)</f>
        <v>0</v>
      </c>
      <c r="AA142" s="867">
        <f>VLOOKUP($R142,$D$7:$P$124,7,FALSE)</f>
        <v>1971.7900000000009</v>
      </c>
      <c r="AB142" s="867">
        <f>VLOOKUP($R142,$D$7:$P$124,8,FALSE)</f>
        <v>1446.5200000000004</v>
      </c>
      <c r="AC142" s="867">
        <f>VLOOKUP($R142,$D$7:$P$124,9,FALSE)</f>
        <v>1312</v>
      </c>
      <c r="AD142" s="867">
        <f>VLOOKUP($R142,$D$7:$P$124,10,FALSE)</f>
        <v>1544</v>
      </c>
      <c r="AE142" s="867">
        <f>VLOOKUP($R142,$D$7:$P$124,11,FALSE)</f>
        <v>1323.9999999999982</v>
      </c>
      <c r="AF142" s="867">
        <f>VLOOKUP($R142,$D$7:$P$124,12,FALSE)</f>
        <v>3322</v>
      </c>
      <c r="AG142" s="867">
        <f>VLOOKUP($R142,$D$7:$P$124,13,FALSE)</f>
        <v>3708.25</v>
      </c>
    </row>
    <row r="143" spans="2:33">
      <c r="R143" s="921">
        <v>6340</v>
      </c>
      <c r="S143" s="921" t="s">
        <v>2091</v>
      </c>
      <c r="T143" s="922">
        <v>775</v>
      </c>
      <c r="V143" s="867">
        <f>VLOOKUP($R143,$D$7:$E$124,2,FALSE)</f>
        <v>0</v>
      </c>
      <c r="W143" s="867">
        <f>VLOOKUP($R143,$D$7:$P$124,3,FALSE)</f>
        <v>0</v>
      </c>
      <c r="X143" s="867">
        <f>VLOOKUP($R143,$D$7:$P$124,4,FALSE)</f>
        <v>0</v>
      </c>
      <c r="Y143" s="867">
        <f>VLOOKUP($R143,$D$7:$P$124,5,FALSE)</f>
        <v>0</v>
      </c>
      <c r="Z143" s="867">
        <f>VLOOKUP($R143,$D$7:$P$124,6,FALSE)</f>
        <v>0</v>
      </c>
      <c r="AA143" s="867">
        <f>VLOOKUP($R143,$D$7:$P$124,7,FALSE)</f>
        <v>0</v>
      </c>
      <c r="AB143" s="867">
        <f>VLOOKUP($R143,$D$7:$P$124,8,FALSE)</f>
        <v>0</v>
      </c>
      <c r="AC143" s="867">
        <f>VLOOKUP($R143,$D$7:$P$124,9,FALSE)</f>
        <v>0</v>
      </c>
      <c r="AD143" s="867">
        <f>VLOOKUP($R143,$D$7:$P$124,10,FALSE)</f>
        <v>0</v>
      </c>
      <c r="AE143" s="867">
        <f>VLOOKUP($R143,$D$7:$P$124,11,FALSE)</f>
        <v>0</v>
      </c>
      <c r="AF143" s="867">
        <f>VLOOKUP($R143,$D$7:$P$124,12,FALSE)</f>
        <v>0</v>
      </c>
      <c r="AG143" s="867">
        <f>VLOOKUP($R143,$D$7:$P$124,13,FALSE)</f>
        <v>10625</v>
      </c>
    </row>
    <row r="144" spans="2:33">
      <c r="R144" s="921">
        <v>6360</v>
      </c>
      <c r="S144" s="921" t="s">
        <v>2092</v>
      </c>
      <c r="T144" s="922" t="s">
        <v>1998</v>
      </c>
      <c r="U144" s="922"/>
      <c r="V144" s="867">
        <f>VLOOKUP($R144,$D$7:$E$124,2,FALSE)</f>
        <v>0</v>
      </c>
      <c r="W144" s="867">
        <f>VLOOKUP($R144,$D$7:$P$124,3,FALSE)</f>
        <v>0</v>
      </c>
      <c r="X144" s="867">
        <f>VLOOKUP($R144,$D$7:$P$124,4,FALSE)</f>
        <v>0</v>
      </c>
      <c r="Y144" s="867">
        <f>VLOOKUP($R144,$D$7:$P$124,5,FALSE)</f>
        <v>0</v>
      </c>
      <c r="Z144" s="867">
        <f>VLOOKUP($R144,$D$7:$P$124,6,FALSE)</f>
        <v>0</v>
      </c>
      <c r="AA144" s="867">
        <f>VLOOKUP($R144,$D$7:$P$124,7,FALSE)</f>
        <v>0</v>
      </c>
      <c r="AB144" s="867">
        <f>VLOOKUP($R144,$D$7:$P$124,8,FALSE)</f>
        <v>0</v>
      </c>
      <c r="AC144" s="867">
        <f>VLOOKUP($R144,$D$7:$P$124,9,FALSE)</f>
        <v>0</v>
      </c>
      <c r="AD144" s="867">
        <f>VLOOKUP($R144,$D$7:$P$124,10,FALSE)</f>
        <v>0</v>
      </c>
      <c r="AE144" s="867">
        <f>VLOOKUP($R144,$D$7:$P$124,11,FALSE)</f>
        <v>0</v>
      </c>
      <c r="AF144" s="867">
        <f>VLOOKUP($R144,$D$7:$P$124,12,FALSE)</f>
        <v>0</v>
      </c>
      <c r="AG144" s="867">
        <f>VLOOKUP($R144,$D$7:$P$124,13,FALSE)</f>
        <v>30.15</v>
      </c>
    </row>
    <row r="145" spans="18:33">
      <c r="R145" s="921">
        <v>6370</v>
      </c>
      <c r="S145" s="921" t="s">
        <v>2093</v>
      </c>
      <c r="T145" s="922" t="s">
        <v>1998</v>
      </c>
      <c r="U145" s="922"/>
      <c r="V145" s="867"/>
      <c r="W145" s="867"/>
      <c r="X145" s="867"/>
      <c r="Y145" s="867"/>
      <c r="Z145" s="867"/>
      <c r="AA145" s="867"/>
      <c r="AB145" s="867"/>
      <c r="AC145" s="867"/>
      <c r="AD145" s="867"/>
      <c r="AE145" s="867"/>
      <c r="AF145" s="867"/>
      <c r="AG145" s="867"/>
    </row>
    <row r="146" spans="18:33">
      <c r="R146" s="921">
        <v>6375</v>
      </c>
      <c r="S146" s="921" t="s">
        <v>2094</v>
      </c>
      <c r="T146" s="922" t="s">
        <v>1998</v>
      </c>
      <c r="U146" s="922"/>
      <c r="V146" s="867"/>
      <c r="W146" s="867"/>
      <c r="X146" s="867"/>
      <c r="Y146" s="867"/>
      <c r="Z146" s="867"/>
      <c r="AA146" s="867"/>
      <c r="AB146" s="867"/>
      <c r="AC146" s="867"/>
      <c r="AD146" s="867"/>
      <c r="AE146" s="867"/>
      <c r="AF146" s="867"/>
      <c r="AG146" s="867"/>
    </row>
    <row r="147" spans="18:33">
      <c r="R147" s="921">
        <v>6385</v>
      </c>
      <c r="S147" s="921" t="s">
        <v>2095</v>
      </c>
      <c r="T147" s="922" t="s">
        <v>1998</v>
      </c>
      <c r="U147" s="922"/>
      <c r="V147" s="867">
        <f>VLOOKUP($R147,$D$7:$E$124,2,FALSE)</f>
        <v>0</v>
      </c>
      <c r="W147" s="867">
        <f>VLOOKUP($R147,$D$7:$P$124,3,FALSE)</f>
        <v>0</v>
      </c>
      <c r="X147" s="867">
        <f>VLOOKUP($R147,$D$7:$P$124,4,FALSE)</f>
        <v>3.72</v>
      </c>
      <c r="Y147" s="867">
        <f>VLOOKUP($R147,$D$7:$P$124,5,FALSE)</f>
        <v>16.290000000000003</v>
      </c>
      <c r="Z147" s="867">
        <f>VLOOKUP($R147,$D$7:$P$124,6,FALSE)</f>
        <v>297.65000000000003</v>
      </c>
      <c r="AA147" s="867">
        <f>VLOOKUP($R147,$D$7:$P$124,7,FALSE)</f>
        <v>-289.42</v>
      </c>
      <c r="AB147" s="867">
        <f>VLOOKUP($R147,$D$7:$P$124,8,FALSE)</f>
        <v>380.51</v>
      </c>
      <c r="AC147" s="867">
        <f>VLOOKUP($R147,$D$7:$P$124,9,FALSE)</f>
        <v>0</v>
      </c>
      <c r="AD147" s="867">
        <f>VLOOKUP($R147,$D$7:$P$124,10,FALSE)</f>
        <v>124.69000000000005</v>
      </c>
      <c r="AE147" s="867">
        <f>VLOOKUP($R147,$D$7:$P$124,11,FALSE)</f>
        <v>0</v>
      </c>
      <c r="AF147" s="867">
        <f>VLOOKUP($R147,$D$7:$P$124,12,FALSE)</f>
        <v>0</v>
      </c>
      <c r="AG147" s="867">
        <f>VLOOKUP($R147,$D$7:$P$124,13,FALSE)</f>
        <v>196.28999999999996</v>
      </c>
    </row>
    <row r="148" spans="18:33">
      <c r="R148" s="921">
        <v>6390</v>
      </c>
      <c r="S148" s="921" t="s">
        <v>2096</v>
      </c>
      <c r="T148" s="922" t="s">
        <v>1998</v>
      </c>
      <c r="U148" s="922"/>
      <c r="V148" s="867">
        <f>VLOOKUP($R148,$D$7:$E$124,2,FALSE)</f>
        <v>7.65</v>
      </c>
      <c r="W148" s="867">
        <f>VLOOKUP($R148,$D$7:$P$124,3,FALSE)</f>
        <v>6.3599999999999994</v>
      </c>
      <c r="X148" s="867">
        <f>VLOOKUP($R148,$D$7:$P$124,4,FALSE)</f>
        <v>13.58</v>
      </c>
      <c r="Y148" s="867">
        <f>VLOOKUP($R148,$D$7:$P$124,5,FALSE)</f>
        <v>9.360000000000003</v>
      </c>
      <c r="Z148" s="867">
        <f>VLOOKUP($R148,$D$7:$P$124,6,FALSE)</f>
        <v>14.129999999999995</v>
      </c>
      <c r="AA148" s="867">
        <f>VLOOKUP($R148,$D$7:$P$124,7,FALSE)</f>
        <v>1151.6100000000001</v>
      </c>
      <c r="AB148" s="867">
        <f>VLOOKUP($R148,$D$7:$P$124,8,FALSE)</f>
        <v>222.41999999999985</v>
      </c>
      <c r="AC148" s="867">
        <f>VLOOKUP($R148,$D$7:$P$124,9,FALSE)</f>
        <v>98.220000000000027</v>
      </c>
      <c r="AD148" s="867">
        <f>VLOOKUP($R148,$D$7:$P$124,10,FALSE)</f>
        <v>5.5399999999999636</v>
      </c>
      <c r="AE148" s="867">
        <f>VLOOKUP($R148,$D$7:$P$124,11,FALSE)</f>
        <v>6.6300000000001091</v>
      </c>
      <c r="AF148" s="867">
        <f>VLOOKUP($R148,$D$7:$P$124,12,FALSE)</f>
        <v>10.059999999999945</v>
      </c>
      <c r="AG148" s="867">
        <f>VLOOKUP($R148,$D$7:$P$124,13,FALSE)</f>
        <v>7.5499999999999545</v>
      </c>
    </row>
    <row r="149" spans="18:33">
      <c r="V149" s="1602">
        <f t="shared" ref="V149:AG149" si="121">SUM(V104:V148)</f>
        <v>5201.1799999999994</v>
      </c>
      <c r="W149" s="1602">
        <f t="shared" si="121"/>
        <v>11595.2</v>
      </c>
      <c r="X149" s="1602">
        <f t="shared" si="121"/>
        <v>7719.9399999999978</v>
      </c>
      <c r="Y149" s="1602">
        <f t="shared" si="121"/>
        <v>9702.4700000000012</v>
      </c>
      <c r="Z149" s="1602">
        <f t="shared" si="121"/>
        <v>3565.99</v>
      </c>
      <c r="AA149" s="1602">
        <f t="shared" si="121"/>
        <v>6451.5000000000018</v>
      </c>
      <c r="AB149" s="1602">
        <f t="shared" si="121"/>
        <v>5758.38</v>
      </c>
      <c r="AC149" s="1602">
        <f t="shared" si="121"/>
        <v>5080.6200000000017</v>
      </c>
      <c r="AD149" s="1602">
        <f t="shared" si="121"/>
        <v>6108.72</v>
      </c>
      <c r="AE149" s="1602">
        <f t="shared" si="121"/>
        <v>5291.8499999999985</v>
      </c>
      <c r="AF149" s="1602">
        <f t="shared" si="121"/>
        <v>7605.0499999999993</v>
      </c>
      <c r="AG149" s="1602">
        <f t="shared" si="121"/>
        <v>19347.75</v>
      </c>
    </row>
    <row r="151" spans="18:33">
      <c r="R151" s="921">
        <v>6400</v>
      </c>
      <c r="S151" s="921" t="s">
        <v>2097</v>
      </c>
      <c r="T151" s="921">
        <v>711</v>
      </c>
      <c r="V151" s="867">
        <f>VLOOKUP($R151,$D$7:$E$124,2,FALSE)</f>
        <v>0</v>
      </c>
      <c r="W151" s="867">
        <f>VLOOKUP($R151,$D$7:$P$124,3,FALSE)</f>
        <v>0</v>
      </c>
      <c r="X151" s="867">
        <f>VLOOKUP($R151,$D$7:$P$124,4,FALSE)</f>
        <v>1000</v>
      </c>
      <c r="Y151" s="867">
        <f>VLOOKUP($R151,$D$7:$P$124,5,FALSE)</f>
        <v>0</v>
      </c>
      <c r="Z151" s="867">
        <f>VLOOKUP($R151,$D$7:$P$124,6,FALSE)</f>
        <v>0</v>
      </c>
      <c r="AA151" s="867">
        <f>VLOOKUP($R151,$D$7:$P$124,7,FALSE)</f>
        <v>0</v>
      </c>
      <c r="AB151" s="867">
        <f>VLOOKUP($R151,$D$7:$P$124,8,FALSE)</f>
        <v>0</v>
      </c>
      <c r="AC151" s="867">
        <f>VLOOKUP($R151,$D$7:$P$124,9,FALSE)</f>
        <v>0</v>
      </c>
      <c r="AD151" s="867">
        <f>VLOOKUP($R151,$D$7:$P$124,10,FALSE)</f>
        <v>0</v>
      </c>
      <c r="AE151" s="867">
        <f>VLOOKUP($R151,$D$7:$P$124,11,FALSE)</f>
        <v>1530</v>
      </c>
      <c r="AF151" s="867">
        <f>VLOOKUP($R151,$D$7:$P$124,12,FALSE)</f>
        <v>0</v>
      </c>
      <c r="AG151" s="867">
        <f>VLOOKUP($R151,$D$7:$P$124,13,FALSE)</f>
        <v>0</v>
      </c>
    </row>
    <row r="152" spans="18:33">
      <c r="R152" s="921">
        <v>6410</v>
      </c>
      <c r="S152" s="921" t="s">
        <v>2098</v>
      </c>
      <c r="T152" s="921">
        <v>711</v>
      </c>
      <c r="V152" s="867">
        <f>VLOOKUP($R152,$D$7:$E$124,2,FALSE)</f>
        <v>11231.21</v>
      </c>
      <c r="W152" s="867">
        <f>VLOOKUP($R152,$D$7:$P$124,3,FALSE)</f>
        <v>11569.650000000001</v>
      </c>
      <c r="X152" s="867">
        <f>VLOOKUP($R152,$D$7:$P$124,4,FALSE)</f>
        <v>20400</v>
      </c>
      <c r="Y152" s="867">
        <f>VLOOKUP($R152,$D$7:$P$124,5,FALSE)</f>
        <v>15600</v>
      </c>
      <c r="Z152" s="867">
        <f>VLOOKUP($R152,$D$7:$P$124,6,FALSE)</f>
        <v>13200</v>
      </c>
      <c r="AA152" s="867">
        <f>VLOOKUP($R152,$D$7:$P$124,7,FALSE)</f>
        <v>10800</v>
      </c>
      <c r="AB152" s="867">
        <f>VLOOKUP($R152,$D$7:$P$124,8,FALSE)</f>
        <v>16800</v>
      </c>
      <c r="AC152" s="867">
        <f>VLOOKUP($R152,$D$7:$P$124,9,FALSE)</f>
        <v>13200</v>
      </c>
      <c r="AD152" s="867">
        <f>VLOOKUP($R152,$D$7:$P$124,10,FALSE)</f>
        <v>14400</v>
      </c>
      <c r="AE152" s="867">
        <f>VLOOKUP($R152,$D$7:$P$124,11,FALSE)</f>
        <v>13499.999999999985</v>
      </c>
      <c r="AF152" s="867">
        <f>VLOOKUP($R152,$D$7:$P$124,12,FALSE)</f>
        <v>8400</v>
      </c>
      <c r="AG152" s="867">
        <f>VLOOKUP($R152,$D$7:$P$124,13,FALSE)</f>
        <v>20400</v>
      </c>
    </row>
    <row r="153" spans="18:33">
      <c r="V153" s="1602">
        <f>SUM(V151:V152)</f>
        <v>11231.21</v>
      </c>
      <c r="W153" s="1602">
        <f>SUM(W151:W152)</f>
        <v>11569.650000000001</v>
      </c>
      <c r="X153" s="1602">
        <f t="shared" ref="X153:AG153" si="122">SUM(X151:X152)</f>
        <v>21400</v>
      </c>
      <c r="Y153" s="1602">
        <f t="shared" si="122"/>
        <v>15600</v>
      </c>
      <c r="Z153" s="1602">
        <f t="shared" si="122"/>
        <v>13200</v>
      </c>
      <c r="AA153" s="1602">
        <f t="shared" si="122"/>
        <v>10800</v>
      </c>
      <c r="AB153" s="1602">
        <f t="shared" si="122"/>
        <v>16800</v>
      </c>
      <c r="AC153" s="1602">
        <f t="shared" si="122"/>
        <v>13200</v>
      </c>
      <c r="AD153" s="1602">
        <f t="shared" si="122"/>
        <v>14400</v>
      </c>
      <c r="AE153" s="1602">
        <f t="shared" si="122"/>
        <v>15029.999999999985</v>
      </c>
      <c r="AF153" s="1602">
        <f t="shared" si="122"/>
        <v>8400</v>
      </c>
      <c r="AG153" s="1602">
        <f t="shared" si="122"/>
        <v>20400</v>
      </c>
    </row>
    <row r="155" spans="18:33">
      <c r="R155" s="921">
        <v>5785</v>
      </c>
      <c r="S155" s="921" t="s">
        <v>2022</v>
      </c>
      <c r="T155" s="922" t="s">
        <v>1998</v>
      </c>
      <c r="U155" s="922"/>
      <c r="V155" s="1602">
        <f>VLOOKUP($R155,$D$7:$E$124,2,FALSE)</f>
        <v>0</v>
      </c>
      <c r="W155" s="1602">
        <f>VLOOKUP($R155,$D$7:$P$124,3,FALSE)</f>
        <v>0</v>
      </c>
      <c r="X155" s="1602">
        <f>VLOOKUP($R155,$D$7:$P$124,4,FALSE)</f>
        <v>0</v>
      </c>
      <c r="Y155" s="1602">
        <f>VLOOKUP($R155,$D$7:$P$124,5,FALSE)</f>
        <v>0</v>
      </c>
      <c r="Z155" s="1602">
        <f>VLOOKUP($R155,$D$7:$P$124,6,FALSE)</f>
        <v>0</v>
      </c>
      <c r="AA155" s="1602">
        <f>VLOOKUP($R155,$D$7:$P$124,7,FALSE)</f>
        <v>0</v>
      </c>
      <c r="AB155" s="1602">
        <f>VLOOKUP($R155,$D$7:$P$124,8,FALSE)</f>
        <v>0</v>
      </c>
      <c r="AC155" s="1602">
        <f>VLOOKUP($R155,$D$7:$P$124,9,FALSE)</f>
        <v>0</v>
      </c>
      <c r="AD155" s="1602">
        <f>VLOOKUP($R155,$D$7:$P$124,10,FALSE)</f>
        <v>0</v>
      </c>
      <c r="AE155" s="1602">
        <f>VLOOKUP($R155,$D$7:$P$124,11,FALSE)</f>
        <v>0</v>
      </c>
      <c r="AF155" s="1602">
        <f>VLOOKUP($R155,$D$7:$P$124,12,FALSE)</f>
        <v>0</v>
      </c>
      <c r="AG155" s="1602">
        <f>VLOOKUP($R155,$D$7:$P$124,13,FALSE)</f>
        <v>0</v>
      </c>
    </row>
    <row r="157" spans="18:33" ht="13.5" thickBot="1">
      <c r="V157" s="1603">
        <f t="shared" ref="V157:AG157" si="123">+V19+V21+V37+V41+V44+V49+V63+V65+V69+V71+V81+V82+V84+V90+V94+V95+V97+V102+V149+V153+V155</f>
        <v>74508.47</v>
      </c>
      <c r="W157" s="1603">
        <f t="shared" si="123"/>
        <v>95780.57</v>
      </c>
      <c r="X157" s="1603">
        <f t="shared" si="123"/>
        <v>94092.3</v>
      </c>
      <c r="Y157" s="1603">
        <f t="shared" si="123"/>
        <v>80247.06</v>
      </c>
      <c r="Z157" s="1603">
        <f t="shared" si="123"/>
        <v>75193.469999999987</v>
      </c>
      <c r="AA157" s="1603">
        <f t="shared" si="123"/>
        <v>104680.19</v>
      </c>
      <c r="AB157" s="1603">
        <f t="shared" si="123"/>
        <v>111509.65000000001</v>
      </c>
      <c r="AC157" s="1603">
        <f t="shared" si="123"/>
        <v>103318.82999999999</v>
      </c>
      <c r="AD157" s="1603">
        <f t="shared" si="123"/>
        <v>46723.010000000009</v>
      </c>
      <c r="AE157" s="1603">
        <f t="shared" si="123"/>
        <v>85183.419999999955</v>
      </c>
      <c r="AF157" s="1603">
        <f t="shared" si="123"/>
        <v>86887.409999999989</v>
      </c>
      <c r="AG157" s="1603">
        <f t="shared" si="123"/>
        <v>125730.37000000001</v>
      </c>
    </row>
    <row r="158" spans="18:33" ht="13.5" thickTop="1"/>
  </sheetData>
  <pageMargins left="0.7" right="0.7" top="0.75" bottom="0.75" header="0.3" footer="0.3"/>
  <pageSetup orientation="portrait" horizontalDpi="1200" verticalDpi="1200"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dimension ref="A1:R226"/>
  <sheetViews>
    <sheetView workbookViewId="0"/>
  </sheetViews>
  <sheetFormatPr defaultColWidth="9.140625" defaultRowHeight="12"/>
  <cols>
    <col min="1" max="1" width="6" style="559" customWidth="1"/>
    <col min="2" max="2" width="33" style="520" customWidth="1"/>
    <col min="3" max="3" width="8.7109375" style="557" customWidth="1"/>
    <col min="4" max="7" width="9.7109375" style="608" customWidth="1"/>
    <col min="8" max="8" width="10.5703125" style="608" customWidth="1"/>
    <col min="9" max="13" width="9.7109375" style="608" customWidth="1"/>
    <col min="14" max="14" width="11" style="608" customWidth="1"/>
    <col min="15" max="15" width="11.5703125" style="609" customWidth="1"/>
    <col min="16" max="16" width="13.7109375" style="558" customWidth="1"/>
    <col min="17" max="17" width="10.5703125" style="520" bestFit="1" customWidth="1"/>
    <col min="18" max="16384" width="9.140625" style="520"/>
  </cols>
  <sheetData>
    <row r="1" spans="1:16" ht="12" customHeight="1">
      <c r="B1" s="518" t="s">
        <v>349</v>
      </c>
      <c r="C1" s="568"/>
      <c r="D1" s="700" t="e">
        <f>+C1/C4</f>
        <v>#REF!</v>
      </c>
      <c r="E1" s="840"/>
      <c r="F1" s="840"/>
      <c r="G1" s="840"/>
      <c r="H1" s="840"/>
      <c r="I1" s="840"/>
      <c r="J1" s="840"/>
      <c r="K1" s="840"/>
      <c r="L1" s="840"/>
      <c r="M1" s="840"/>
      <c r="N1" s="840"/>
      <c r="O1" s="840"/>
      <c r="P1" s="840"/>
    </row>
    <row r="2" spans="1:16" ht="12" customHeight="1">
      <c r="B2" s="518" t="s">
        <v>352</v>
      </c>
      <c r="C2" s="568" t="e">
        <f>+#REF!</f>
        <v>#REF!</v>
      </c>
      <c r="D2" s="700" t="e">
        <f>+C2/C4</f>
        <v>#REF!</v>
      </c>
      <c r="E2" s="840"/>
      <c r="F2" s="840"/>
      <c r="G2" s="840"/>
      <c r="H2" s="840"/>
      <c r="I2" s="840"/>
      <c r="J2" s="840"/>
      <c r="K2" s="840"/>
      <c r="L2" s="840"/>
      <c r="M2" s="840"/>
      <c r="N2" s="840"/>
      <c r="O2" s="840"/>
      <c r="P2" s="840"/>
    </row>
    <row r="3" spans="1:16" ht="12" customHeight="1">
      <c r="B3" s="518" t="s">
        <v>350</v>
      </c>
      <c r="C3" s="569"/>
      <c r="D3" s="120"/>
      <c r="E3" s="840"/>
      <c r="F3" s="840"/>
      <c r="G3" s="840"/>
      <c r="H3" s="840"/>
      <c r="I3" s="840"/>
      <c r="J3" s="840"/>
      <c r="K3" s="840"/>
      <c r="L3" s="840"/>
      <c r="M3" s="840"/>
      <c r="N3" s="840"/>
      <c r="O3" s="840"/>
      <c r="P3" s="840"/>
    </row>
    <row r="4" spans="1:16" ht="12" customHeight="1">
      <c r="B4" s="521" t="s">
        <v>348</v>
      </c>
      <c r="C4" s="567" t="e">
        <f>SUM(C1:C3)</f>
        <v>#REF!</v>
      </c>
      <c r="D4" s="120"/>
      <c r="E4" s="840"/>
      <c r="F4" s="840"/>
      <c r="G4" s="840"/>
      <c r="H4" s="840"/>
      <c r="I4" s="840"/>
      <c r="J4" s="840"/>
      <c r="K4" s="840"/>
      <c r="L4" s="840"/>
      <c r="M4" s="840"/>
      <c r="N4" s="840"/>
      <c r="O4" s="840"/>
      <c r="P4" s="840"/>
    </row>
    <row r="5" spans="1:16" ht="12" customHeight="1">
      <c r="B5" s="840"/>
      <c r="C5" s="840"/>
      <c r="D5" s="1567">
        <v>3</v>
      </c>
      <c r="E5" s="1567">
        <v>4</v>
      </c>
      <c r="F5" s="1567">
        <v>5</v>
      </c>
      <c r="G5" s="1567">
        <v>6</v>
      </c>
      <c r="H5" s="1567">
        <v>7</v>
      </c>
      <c r="I5" s="1567">
        <v>8</v>
      </c>
      <c r="J5" s="1567">
        <v>9</v>
      </c>
      <c r="K5" s="1567">
        <v>10</v>
      </c>
      <c r="L5" s="1567">
        <v>11</v>
      </c>
      <c r="M5" s="1567">
        <v>12</v>
      </c>
      <c r="N5" s="1567">
        <v>13</v>
      </c>
      <c r="O5" s="1567">
        <v>14</v>
      </c>
      <c r="P5" s="840"/>
    </row>
    <row r="6" spans="1:16" s="539" customFormat="1" ht="24.75" customHeight="1">
      <c r="A6" s="560"/>
      <c r="B6" s="540" t="s">
        <v>1200</v>
      </c>
      <c r="C6" s="540" t="s">
        <v>961</v>
      </c>
      <c r="D6" s="596" t="s">
        <v>1321</v>
      </c>
      <c r="E6" s="596" t="s">
        <v>1322</v>
      </c>
      <c r="F6" s="596" t="s">
        <v>39</v>
      </c>
      <c r="G6" s="596" t="s">
        <v>40</v>
      </c>
      <c r="H6" s="596" t="s">
        <v>1066</v>
      </c>
      <c r="I6" s="596" t="s">
        <v>41</v>
      </c>
      <c r="J6" s="596" t="s">
        <v>42</v>
      </c>
      <c r="K6" s="596" t="s">
        <v>43</v>
      </c>
      <c r="L6" s="596" t="s">
        <v>276</v>
      </c>
      <c r="M6" s="596" t="s">
        <v>44</v>
      </c>
      <c r="N6" s="596" t="s">
        <v>277</v>
      </c>
      <c r="O6" s="597" t="s">
        <v>1319</v>
      </c>
      <c r="P6" s="541">
        <v>41639</v>
      </c>
    </row>
    <row r="7" spans="1:16" s="538" customFormat="1">
      <c r="A7" s="561"/>
      <c r="C7" s="544"/>
      <c r="D7" s="598"/>
      <c r="E7" s="598"/>
      <c r="F7" s="598"/>
      <c r="G7" s="598"/>
      <c r="H7" s="598"/>
      <c r="I7" s="598"/>
      <c r="J7" s="598"/>
      <c r="K7" s="598"/>
      <c r="L7" s="598"/>
      <c r="M7" s="598"/>
      <c r="N7" s="598"/>
      <c r="O7" s="599"/>
      <c r="P7" s="565"/>
    </row>
    <row r="8" spans="1:16" s="538" customFormat="1">
      <c r="A8" s="561">
        <v>6445</v>
      </c>
      <c r="B8" s="538" t="s">
        <v>1201</v>
      </c>
      <c r="C8" s="546" t="s">
        <v>945</v>
      </c>
      <c r="D8" s="627"/>
      <c r="E8" s="627"/>
      <c r="F8" s="627"/>
      <c r="G8" s="627"/>
      <c r="H8" s="627"/>
      <c r="I8" s="627"/>
      <c r="J8" s="627"/>
      <c r="K8" s="627"/>
      <c r="L8" s="627"/>
      <c r="M8" s="627"/>
      <c r="N8" s="627"/>
      <c r="O8" s="627"/>
      <c r="P8" s="599">
        <f>SUM(D8:O8)</f>
        <v>0</v>
      </c>
    </row>
    <row r="9" spans="1:16" s="538" customFormat="1">
      <c r="A9" s="561">
        <v>6450</v>
      </c>
      <c r="B9" s="538" t="s">
        <v>1202</v>
      </c>
      <c r="C9" s="547"/>
      <c r="D9" s="627"/>
      <c r="E9" s="627"/>
      <c r="F9" s="627"/>
      <c r="G9" s="627"/>
      <c r="H9" s="627"/>
      <c r="I9" s="627"/>
      <c r="J9" s="627"/>
      <c r="K9" s="627"/>
      <c r="L9" s="627"/>
      <c r="M9" s="627"/>
      <c r="N9" s="627"/>
      <c r="O9" s="627"/>
      <c r="P9" s="599">
        <f>SUM(D9:O9)</f>
        <v>0</v>
      </c>
    </row>
    <row r="10" spans="1:16" s="538" customFormat="1">
      <c r="A10" s="561"/>
      <c r="C10" s="547"/>
      <c r="D10" s="601"/>
      <c r="E10" s="601"/>
      <c r="F10" s="601"/>
      <c r="G10" s="601"/>
      <c r="H10" s="601"/>
      <c r="I10" s="601"/>
      <c r="J10" s="601"/>
      <c r="K10" s="601"/>
      <c r="L10" s="601"/>
      <c r="M10" s="601"/>
      <c r="N10" s="601"/>
      <c r="O10" s="599"/>
      <c r="P10" s="599"/>
    </row>
    <row r="11" spans="1:16" s="538" customFormat="1">
      <c r="A11" s="561">
        <v>6455</v>
      </c>
      <c r="B11" s="538" t="s">
        <v>298</v>
      </c>
      <c r="C11" s="547"/>
      <c r="D11" s="627"/>
      <c r="E11" s="627"/>
      <c r="F11" s="627"/>
      <c r="G11" s="627"/>
      <c r="H11" s="627"/>
      <c r="I11" s="627"/>
      <c r="J11" s="627"/>
      <c r="K11" s="627"/>
      <c r="L11" s="627"/>
      <c r="M11" s="627"/>
      <c r="N11" s="627"/>
      <c r="O11" s="627"/>
      <c r="P11" s="599">
        <f>SUM(D11:O11)</f>
        <v>0</v>
      </c>
    </row>
    <row r="12" spans="1:16" s="538" customFormat="1">
      <c r="A12" s="561"/>
      <c r="C12" s="547"/>
      <c r="D12" s="601"/>
      <c r="E12" s="601"/>
      <c r="F12" s="601"/>
      <c r="G12" s="601"/>
      <c r="H12" s="601"/>
      <c r="I12" s="601"/>
      <c r="J12" s="601"/>
      <c r="K12" s="601"/>
      <c r="L12" s="601"/>
      <c r="M12" s="601"/>
      <c r="N12" s="601"/>
      <c r="O12" s="599"/>
      <c r="P12" s="599"/>
    </row>
    <row r="13" spans="1:16" s="538" customFormat="1">
      <c r="A13" s="561">
        <v>6485</v>
      </c>
      <c r="B13" s="538" t="s">
        <v>774</v>
      </c>
      <c r="C13" s="546" t="s">
        <v>946</v>
      </c>
      <c r="D13" s="627"/>
      <c r="E13" s="627"/>
      <c r="F13" s="627"/>
      <c r="G13" s="627"/>
      <c r="H13" s="627"/>
      <c r="I13" s="627"/>
      <c r="J13" s="627"/>
      <c r="K13" s="627"/>
      <c r="L13" s="627"/>
      <c r="M13" s="627"/>
      <c r="N13" s="627"/>
      <c r="O13" s="627"/>
      <c r="P13" s="599">
        <f>SUM(D13:O13)</f>
        <v>0</v>
      </c>
    </row>
    <row r="14" spans="1:16" s="538" customFormat="1">
      <c r="A14" s="561"/>
      <c r="C14" s="547"/>
      <c r="D14" s="601"/>
      <c r="E14" s="601"/>
      <c r="F14" s="601"/>
      <c r="G14" s="601"/>
      <c r="H14" s="601"/>
      <c r="I14" s="601"/>
      <c r="J14" s="601"/>
      <c r="K14" s="601"/>
      <c r="L14" s="601"/>
      <c r="M14" s="601"/>
      <c r="N14" s="601"/>
      <c r="O14" s="599"/>
      <c r="P14" s="599"/>
    </row>
    <row r="15" spans="1:16" s="538" customFormat="1">
      <c r="A15" s="561">
        <v>6490</v>
      </c>
      <c r="B15" s="538" t="s">
        <v>301</v>
      </c>
      <c r="C15" s="547">
        <v>0</v>
      </c>
      <c r="D15" s="627"/>
      <c r="E15" s="627"/>
      <c r="F15" s="627"/>
      <c r="G15" s="627"/>
      <c r="H15" s="627"/>
      <c r="I15" s="627"/>
      <c r="J15" s="627"/>
      <c r="K15" s="627"/>
      <c r="L15" s="627"/>
      <c r="M15" s="627"/>
      <c r="N15" s="627"/>
      <c r="O15" s="627"/>
      <c r="P15" s="599">
        <f>SUM(D15:O15)</f>
        <v>0</v>
      </c>
    </row>
    <row r="16" spans="1:16" s="538" customFormat="1">
      <c r="A16" s="561"/>
      <c r="C16" s="547"/>
      <c r="D16" s="601"/>
      <c r="E16" s="601"/>
      <c r="F16" s="601"/>
      <c r="G16" s="601"/>
      <c r="H16" s="601"/>
      <c r="I16" s="601"/>
      <c r="J16" s="601"/>
      <c r="K16" s="601"/>
      <c r="L16" s="601"/>
      <c r="M16" s="601"/>
      <c r="N16" s="601"/>
      <c r="O16" s="601"/>
      <c r="P16" s="599"/>
    </row>
    <row r="17" spans="1:16" s="538" customFormat="1">
      <c r="A17" s="561">
        <v>6495</v>
      </c>
      <c r="B17" s="538" t="s">
        <v>1652</v>
      </c>
      <c r="C17" s="547"/>
      <c r="D17" s="627"/>
      <c r="E17" s="627"/>
      <c r="F17" s="627"/>
      <c r="G17" s="627"/>
      <c r="H17" s="627"/>
      <c r="I17" s="627"/>
      <c r="J17" s="627"/>
      <c r="K17" s="627"/>
      <c r="L17" s="627"/>
      <c r="M17" s="627"/>
      <c r="N17" s="627"/>
      <c r="O17" s="627"/>
      <c r="P17" s="599">
        <f>SUM(D17:O17)</f>
        <v>0</v>
      </c>
    </row>
    <row r="18" spans="1:16" s="538" customFormat="1">
      <c r="A18" s="561"/>
      <c r="C18" s="547"/>
      <c r="D18" s="601"/>
      <c r="E18" s="601"/>
      <c r="F18" s="601"/>
      <c r="G18" s="601"/>
      <c r="H18" s="601"/>
      <c r="I18" s="601"/>
      <c r="J18" s="601"/>
      <c r="K18" s="601"/>
      <c r="L18" s="601"/>
      <c r="M18" s="601"/>
      <c r="N18" s="601"/>
      <c r="O18" s="601"/>
      <c r="P18" s="599"/>
    </row>
    <row r="19" spans="1:16" s="538" customFormat="1">
      <c r="A19" s="561">
        <v>6500</v>
      </c>
      <c r="B19" s="538" t="s">
        <v>302</v>
      </c>
      <c r="C19" s="547"/>
      <c r="D19" s="627"/>
      <c r="E19" s="627"/>
      <c r="F19" s="627"/>
      <c r="G19" s="627"/>
      <c r="H19" s="627"/>
      <c r="I19" s="627"/>
      <c r="J19" s="627"/>
      <c r="K19" s="627"/>
      <c r="L19" s="627"/>
      <c r="M19" s="627"/>
      <c r="N19" s="627"/>
      <c r="O19" s="627"/>
      <c r="P19" s="599">
        <f>SUM(D19:O19)</f>
        <v>0</v>
      </c>
    </row>
    <row r="20" spans="1:16" s="538" customFormat="1">
      <c r="A20" s="561"/>
      <c r="C20" s="547"/>
      <c r="D20" s="601"/>
      <c r="E20" s="601"/>
      <c r="F20" s="601"/>
      <c r="G20" s="601"/>
      <c r="H20" s="601"/>
      <c r="I20" s="601"/>
      <c r="J20" s="601"/>
      <c r="K20" s="601"/>
      <c r="L20" s="601"/>
      <c r="M20" s="601"/>
      <c r="N20" s="601"/>
      <c r="O20" s="599"/>
      <c r="P20" s="599"/>
    </row>
    <row r="21" spans="1:16" s="538" customFormat="1">
      <c r="A21" s="561">
        <v>6505</v>
      </c>
      <c r="B21" s="538" t="s">
        <v>299</v>
      </c>
      <c r="C21" s="546" t="s">
        <v>947</v>
      </c>
      <c r="D21" s="627"/>
      <c r="E21" s="627"/>
      <c r="F21" s="627"/>
      <c r="G21" s="627"/>
      <c r="H21" s="627"/>
      <c r="I21" s="627"/>
      <c r="J21" s="627"/>
      <c r="K21" s="627"/>
      <c r="L21" s="627"/>
      <c r="M21" s="627"/>
      <c r="N21" s="627"/>
      <c r="O21" s="627"/>
      <c r="P21" s="599">
        <f>SUM(D21:O21)</f>
        <v>0</v>
      </c>
    </row>
    <row r="22" spans="1:16" s="538" customFormat="1">
      <c r="A22" s="561">
        <v>6510</v>
      </c>
      <c r="B22" s="538" t="s">
        <v>303</v>
      </c>
      <c r="C22" s="546"/>
      <c r="D22" s="627"/>
      <c r="E22" s="627"/>
      <c r="F22" s="627"/>
      <c r="G22" s="627"/>
      <c r="H22" s="627"/>
      <c r="I22" s="627"/>
      <c r="J22" s="627"/>
      <c r="K22" s="627"/>
      <c r="L22" s="627"/>
      <c r="M22" s="627"/>
      <c r="N22" s="627"/>
      <c r="O22" s="627"/>
      <c r="P22" s="599">
        <f>SUM(D22:O22)</f>
        <v>0</v>
      </c>
    </row>
    <row r="23" spans="1:16" s="538" customFormat="1">
      <c r="A23" s="561">
        <v>6570</v>
      </c>
      <c r="B23" s="538" t="s">
        <v>345</v>
      </c>
      <c r="C23" s="546"/>
      <c r="D23" s="627"/>
      <c r="E23" s="627"/>
      <c r="F23" s="627"/>
      <c r="G23" s="627"/>
      <c r="H23" s="627"/>
      <c r="I23" s="627"/>
      <c r="J23" s="627"/>
      <c r="K23" s="627"/>
      <c r="L23" s="627"/>
      <c r="M23" s="627"/>
      <c r="N23" s="627"/>
      <c r="O23" s="627"/>
      <c r="P23" s="599">
        <f>SUM(D23:O23)</f>
        <v>0</v>
      </c>
    </row>
    <row r="24" spans="1:16" s="538" customFormat="1">
      <c r="A24" s="561">
        <v>6515</v>
      </c>
      <c r="B24" s="538" t="s">
        <v>304</v>
      </c>
      <c r="C24" s="546"/>
      <c r="D24" s="627"/>
      <c r="E24" s="627"/>
      <c r="F24" s="627"/>
      <c r="G24" s="627"/>
      <c r="H24" s="627"/>
      <c r="I24" s="627"/>
      <c r="J24" s="627"/>
      <c r="K24" s="627"/>
      <c r="L24" s="627"/>
      <c r="M24" s="627"/>
      <c r="N24" s="627"/>
      <c r="O24" s="627"/>
      <c r="P24" s="599">
        <f>SUM(D24:O24)</f>
        <v>0</v>
      </c>
    </row>
    <row r="25" spans="1:16" s="538" customFormat="1">
      <c r="A25" s="561"/>
      <c r="C25" s="547"/>
      <c r="D25" s="601"/>
      <c r="E25" s="601"/>
      <c r="F25" s="601"/>
      <c r="G25" s="601"/>
      <c r="H25" s="601"/>
      <c r="I25" s="601"/>
      <c r="J25" s="601"/>
      <c r="K25" s="601"/>
      <c r="L25" s="601"/>
      <c r="M25" s="601"/>
      <c r="N25" s="601"/>
      <c r="O25" s="599"/>
      <c r="P25" s="599"/>
    </row>
    <row r="26" spans="1:16" s="538" customFormat="1">
      <c r="A26" s="561">
        <v>6460</v>
      </c>
      <c r="B26" s="538" t="s">
        <v>1024</v>
      </c>
      <c r="C26" s="546" t="s">
        <v>948</v>
      </c>
      <c r="D26" s="627"/>
      <c r="E26" s="627"/>
      <c r="F26" s="627"/>
      <c r="G26" s="627"/>
      <c r="H26" s="627"/>
      <c r="I26" s="627"/>
      <c r="J26" s="627"/>
      <c r="K26" s="627"/>
      <c r="L26" s="627"/>
      <c r="M26" s="627"/>
      <c r="N26" s="627"/>
      <c r="O26" s="627"/>
      <c r="P26" s="599">
        <f>SUM(D26:O26)</f>
        <v>0</v>
      </c>
    </row>
    <row r="27" spans="1:16" s="538" customFormat="1">
      <c r="A27" s="561">
        <v>6520</v>
      </c>
      <c r="B27" s="538" t="s">
        <v>1025</v>
      </c>
      <c r="C27" s="546" t="s">
        <v>949</v>
      </c>
      <c r="D27" s="627"/>
      <c r="E27" s="627"/>
      <c r="F27" s="627"/>
      <c r="G27" s="627"/>
      <c r="H27" s="627"/>
      <c r="I27" s="627"/>
      <c r="J27" s="627"/>
      <c r="K27" s="627"/>
      <c r="L27" s="627"/>
      <c r="M27" s="627"/>
      <c r="N27" s="627"/>
      <c r="O27" s="627"/>
      <c r="P27" s="599">
        <f>SUM(D27:O27)</f>
        <v>0</v>
      </c>
    </row>
    <row r="28" spans="1:16" s="538" customFormat="1">
      <c r="A28" s="561"/>
      <c r="C28" s="547"/>
      <c r="D28" s="601"/>
      <c r="E28" s="601"/>
      <c r="F28" s="601"/>
      <c r="G28" s="601"/>
      <c r="H28" s="601"/>
      <c r="I28" s="601"/>
      <c r="J28" s="601"/>
      <c r="K28" s="601"/>
      <c r="L28" s="601"/>
      <c r="M28" s="601"/>
      <c r="N28" s="601"/>
      <c r="O28" s="599"/>
      <c r="P28" s="599"/>
    </row>
    <row r="29" spans="1:16" s="538" customFormat="1">
      <c r="A29" s="561">
        <v>6525</v>
      </c>
      <c r="B29" s="538" t="s">
        <v>1027</v>
      </c>
      <c r="C29" s="546" t="s">
        <v>950</v>
      </c>
      <c r="D29" s="627"/>
      <c r="E29" s="627"/>
      <c r="F29" s="627"/>
      <c r="G29" s="627"/>
      <c r="H29" s="627"/>
      <c r="I29" s="627"/>
      <c r="J29" s="627"/>
      <c r="K29" s="627"/>
      <c r="L29" s="627"/>
      <c r="M29" s="627"/>
      <c r="N29" s="627"/>
      <c r="O29" s="627"/>
      <c r="P29" s="599">
        <f>SUM(D29:O29)</f>
        <v>0</v>
      </c>
    </row>
    <row r="30" spans="1:16" s="538" customFormat="1">
      <c r="A30" s="561">
        <v>6530</v>
      </c>
      <c r="B30" s="538" t="s">
        <v>1029</v>
      </c>
      <c r="C30" s="546" t="s">
        <v>951</v>
      </c>
      <c r="D30" s="627"/>
      <c r="E30" s="627"/>
      <c r="F30" s="627"/>
      <c r="G30" s="627"/>
      <c r="H30" s="627"/>
      <c r="I30" s="627"/>
      <c r="J30" s="627"/>
      <c r="K30" s="627"/>
      <c r="L30" s="627"/>
      <c r="M30" s="627"/>
      <c r="N30" s="627"/>
      <c r="O30" s="627"/>
      <c r="P30" s="599">
        <f>SUM(D30:O30)</f>
        <v>0</v>
      </c>
    </row>
    <row r="31" spans="1:16" s="538" customFormat="1">
      <c r="A31" s="561"/>
      <c r="C31" s="547"/>
      <c r="D31" s="601"/>
      <c r="E31" s="601"/>
      <c r="F31" s="601"/>
      <c r="G31" s="601"/>
      <c r="H31" s="601"/>
      <c r="I31" s="601"/>
      <c r="J31" s="601"/>
      <c r="K31" s="601"/>
      <c r="L31" s="601"/>
      <c r="M31" s="601"/>
      <c r="N31" s="601"/>
      <c r="O31" s="599"/>
      <c r="P31" s="599"/>
    </row>
    <row r="32" spans="1:16" s="538" customFormat="1">
      <c r="A32" s="561">
        <v>6535</v>
      </c>
      <c r="B32" s="538" t="s">
        <v>1030</v>
      </c>
      <c r="C32" s="546" t="s">
        <v>952</v>
      </c>
      <c r="D32" s="627"/>
      <c r="E32" s="627"/>
      <c r="F32" s="627"/>
      <c r="G32" s="627"/>
      <c r="H32" s="627"/>
      <c r="I32" s="627"/>
      <c r="J32" s="627"/>
      <c r="K32" s="627"/>
      <c r="L32" s="627"/>
      <c r="M32" s="627"/>
      <c r="N32" s="627"/>
      <c r="O32" s="627"/>
      <c r="P32" s="599">
        <f>SUM(D32:O32)</f>
        <v>0</v>
      </c>
    </row>
    <row r="33" spans="1:18" s="538" customFormat="1">
      <c r="A33" s="561"/>
      <c r="C33" s="546"/>
      <c r="D33" s="600"/>
      <c r="E33" s="600"/>
      <c r="F33" s="600"/>
      <c r="G33" s="600"/>
      <c r="H33" s="600"/>
      <c r="I33" s="600"/>
      <c r="J33" s="600"/>
      <c r="K33" s="600"/>
      <c r="L33" s="600"/>
      <c r="M33" s="600"/>
      <c r="N33" s="600"/>
      <c r="O33" s="599"/>
      <c r="P33" s="599"/>
    </row>
    <row r="34" spans="1:18" s="538" customFormat="1">
      <c r="A34" s="561">
        <v>6540</v>
      </c>
      <c r="B34" s="538" t="s">
        <v>1031</v>
      </c>
      <c r="C34" s="546" t="s">
        <v>953</v>
      </c>
      <c r="D34" s="627"/>
      <c r="E34" s="627"/>
      <c r="F34" s="627"/>
      <c r="G34" s="627"/>
      <c r="H34" s="627"/>
      <c r="I34" s="627"/>
      <c r="J34" s="627"/>
      <c r="K34" s="627"/>
      <c r="L34" s="627"/>
      <c r="M34" s="627"/>
      <c r="N34" s="627"/>
      <c r="O34" s="627"/>
      <c r="P34" s="599">
        <f>SUM(D34:O34)</f>
        <v>0</v>
      </c>
    </row>
    <row r="35" spans="1:18" s="538" customFormat="1">
      <c r="A35" s="561">
        <v>6545</v>
      </c>
      <c r="B35" s="538" t="s">
        <v>1032</v>
      </c>
      <c r="C35" s="546" t="s">
        <v>954</v>
      </c>
      <c r="D35" s="627"/>
      <c r="E35" s="627"/>
      <c r="F35" s="627"/>
      <c r="G35" s="627"/>
      <c r="H35" s="627"/>
      <c r="I35" s="627"/>
      <c r="J35" s="627"/>
      <c r="K35" s="627"/>
      <c r="L35" s="627"/>
      <c r="M35" s="627"/>
      <c r="N35" s="627"/>
      <c r="O35" s="627"/>
      <c r="P35" s="599">
        <f>SUM(D35:O35)</f>
        <v>0</v>
      </c>
    </row>
    <row r="36" spans="1:18" s="538" customFormat="1">
      <c r="A36" s="561"/>
      <c r="B36" s="548" t="s">
        <v>763</v>
      </c>
      <c r="C36" s="544" t="s">
        <v>763</v>
      </c>
      <c r="D36" s="602">
        <f>SUM(D34:D35)</f>
        <v>0</v>
      </c>
      <c r="E36" s="602">
        <f t="shared" ref="E36:P36" si="0">SUM(E34:E35)</f>
        <v>0</v>
      </c>
      <c r="F36" s="602">
        <f t="shared" si="0"/>
        <v>0</v>
      </c>
      <c r="G36" s="602">
        <f t="shared" si="0"/>
        <v>0</v>
      </c>
      <c r="H36" s="602">
        <f t="shared" si="0"/>
        <v>0</v>
      </c>
      <c r="I36" s="602">
        <f t="shared" si="0"/>
        <v>0</v>
      </c>
      <c r="J36" s="602">
        <f t="shared" si="0"/>
        <v>0</v>
      </c>
      <c r="K36" s="602">
        <f t="shared" si="0"/>
        <v>0</v>
      </c>
      <c r="L36" s="602">
        <f t="shared" si="0"/>
        <v>0</v>
      </c>
      <c r="M36" s="602">
        <f t="shared" si="0"/>
        <v>0</v>
      </c>
      <c r="N36" s="602">
        <f t="shared" si="0"/>
        <v>0</v>
      </c>
      <c r="O36" s="602">
        <f t="shared" si="0"/>
        <v>0</v>
      </c>
      <c r="P36" s="1284">
        <f t="shared" si="0"/>
        <v>0</v>
      </c>
    </row>
    <row r="37" spans="1:18" s="538" customFormat="1">
      <c r="A37" s="561">
        <v>6550</v>
      </c>
      <c r="B37" s="538" t="s">
        <v>1033</v>
      </c>
      <c r="C37" s="546" t="s">
        <v>955</v>
      </c>
      <c r="D37" s="627"/>
      <c r="E37" s="627"/>
      <c r="F37" s="627"/>
      <c r="G37" s="627"/>
      <c r="H37" s="627"/>
      <c r="I37" s="627"/>
      <c r="J37" s="627"/>
      <c r="K37" s="627"/>
      <c r="L37" s="627"/>
      <c r="M37" s="627"/>
      <c r="N37" s="627"/>
      <c r="O37" s="627"/>
      <c r="P37" s="599">
        <f>SUM(D37:O37)</f>
        <v>0</v>
      </c>
    </row>
    <row r="38" spans="1:18" s="538" customFormat="1">
      <c r="A38" s="561">
        <v>6555</v>
      </c>
      <c r="B38" s="538" t="s">
        <v>305</v>
      </c>
      <c r="C38" s="546"/>
      <c r="D38" s="627"/>
      <c r="E38" s="627"/>
      <c r="F38" s="627"/>
      <c r="G38" s="627"/>
      <c r="H38" s="627"/>
      <c r="I38" s="627"/>
      <c r="J38" s="627"/>
      <c r="K38" s="627"/>
      <c r="L38" s="627"/>
      <c r="M38" s="627"/>
      <c r="N38" s="627"/>
      <c r="O38" s="627"/>
      <c r="P38" s="599">
        <f>SUM(D38:O38)</f>
        <v>0</v>
      </c>
    </row>
    <row r="39" spans="1:18" s="538" customFormat="1">
      <c r="A39" s="561">
        <v>6575</v>
      </c>
      <c r="B39" s="538" t="s">
        <v>306</v>
      </c>
      <c r="C39" s="546"/>
      <c r="D39" s="627"/>
      <c r="E39" s="627"/>
      <c r="F39" s="627"/>
      <c r="G39" s="627"/>
      <c r="H39" s="627"/>
      <c r="I39" s="627"/>
      <c r="J39" s="627"/>
      <c r="K39" s="627"/>
      <c r="L39" s="627"/>
      <c r="M39" s="627"/>
      <c r="N39" s="627"/>
      <c r="O39" s="627"/>
      <c r="P39" s="599">
        <f>SUM(D39:O39)</f>
        <v>0</v>
      </c>
    </row>
    <row r="40" spans="1:18" s="538" customFormat="1">
      <c r="A40" s="561"/>
      <c r="C40" s="547"/>
      <c r="D40" s="601"/>
      <c r="E40" s="601"/>
      <c r="F40" s="601"/>
      <c r="G40" s="601"/>
      <c r="H40" s="601"/>
      <c r="I40" s="601"/>
      <c r="J40" s="601"/>
      <c r="K40" s="601"/>
      <c r="L40" s="601"/>
      <c r="M40" s="601"/>
      <c r="N40" s="601"/>
      <c r="O40" s="599"/>
      <c r="P40" s="599"/>
    </row>
    <row r="41" spans="1:18" s="538" customFormat="1">
      <c r="A41" s="561">
        <v>6470</v>
      </c>
      <c r="B41" s="538" t="s">
        <v>300</v>
      </c>
      <c r="C41" s="547"/>
      <c r="D41" s="627"/>
      <c r="E41" s="627"/>
      <c r="F41" s="627"/>
      <c r="G41" s="627"/>
      <c r="H41" s="627"/>
      <c r="I41" s="627"/>
      <c r="J41" s="627"/>
      <c r="K41" s="627"/>
      <c r="L41" s="627"/>
      <c r="M41" s="627"/>
      <c r="N41" s="627"/>
      <c r="O41" s="627"/>
      <c r="P41" s="599">
        <f>SUM(D41:O41)</f>
        <v>0</v>
      </c>
    </row>
    <row r="42" spans="1:18" s="538" customFormat="1">
      <c r="A42" s="561">
        <v>6580</v>
      </c>
      <c r="B42" s="549" t="s">
        <v>1289</v>
      </c>
      <c r="C42" s="546" t="s">
        <v>956</v>
      </c>
      <c r="D42" s="627"/>
      <c r="E42" s="627"/>
      <c r="F42" s="627"/>
      <c r="G42" s="627"/>
      <c r="H42" s="627"/>
      <c r="I42" s="627"/>
      <c r="J42" s="627"/>
      <c r="K42" s="627"/>
      <c r="L42" s="627"/>
      <c r="M42" s="627"/>
      <c r="N42" s="627"/>
      <c r="O42" s="627"/>
      <c r="P42" s="599">
        <f>SUM(D42:O42)</f>
        <v>0</v>
      </c>
    </row>
    <row r="43" spans="1:18" s="538" customFormat="1">
      <c r="A43" s="561"/>
      <c r="B43" s="538" t="s">
        <v>1705</v>
      </c>
      <c r="C43" s="546"/>
      <c r="D43" s="600"/>
      <c r="E43" s="600"/>
      <c r="F43" s="600"/>
      <c r="G43" s="600"/>
      <c r="H43" s="600"/>
      <c r="I43" s="600"/>
      <c r="J43" s="600"/>
      <c r="K43" s="600"/>
      <c r="L43" s="600"/>
      <c r="M43" s="600"/>
      <c r="N43" s="600"/>
      <c r="O43" s="600"/>
      <c r="P43" s="599">
        <f>SUM(D43:O43)</f>
        <v>0</v>
      </c>
    </row>
    <row r="44" spans="1:18" s="538" customFormat="1">
      <c r="A44" s="561"/>
      <c r="B44" s="549"/>
      <c r="C44" s="546"/>
      <c r="D44" s="600"/>
      <c r="E44" s="600"/>
      <c r="F44" s="600"/>
      <c r="G44" s="600"/>
      <c r="H44" s="600"/>
      <c r="I44" s="600"/>
      <c r="J44" s="600"/>
      <c r="K44" s="600"/>
      <c r="L44" s="600"/>
      <c r="M44" s="600"/>
      <c r="N44" s="600"/>
      <c r="O44" s="599"/>
      <c r="P44" s="599"/>
    </row>
    <row r="45" spans="1:18" s="538" customFormat="1">
      <c r="A45" s="561"/>
      <c r="B45" s="548" t="s">
        <v>427</v>
      </c>
      <c r="C45" s="546"/>
      <c r="D45" s="703">
        <f>SUM(D41:D44)</f>
        <v>0</v>
      </c>
      <c r="E45" s="703">
        <f t="shared" ref="E45:P45" si="1">SUM(E41:E44)</f>
        <v>0</v>
      </c>
      <c r="F45" s="703">
        <f t="shared" si="1"/>
        <v>0</v>
      </c>
      <c r="G45" s="703">
        <f t="shared" si="1"/>
        <v>0</v>
      </c>
      <c r="H45" s="703">
        <f t="shared" si="1"/>
        <v>0</v>
      </c>
      <c r="I45" s="703">
        <f t="shared" si="1"/>
        <v>0</v>
      </c>
      <c r="J45" s="703">
        <f t="shared" si="1"/>
        <v>0</v>
      </c>
      <c r="K45" s="703">
        <f t="shared" si="1"/>
        <v>0</v>
      </c>
      <c r="L45" s="703">
        <f t="shared" si="1"/>
        <v>0</v>
      </c>
      <c r="M45" s="703">
        <f t="shared" si="1"/>
        <v>0</v>
      </c>
      <c r="N45" s="703">
        <f t="shared" si="1"/>
        <v>0</v>
      </c>
      <c r="O45" s="703">
        <f t="shared" si="1"/>
        <v>0</v>
      </c>
      <c r="P45" s="1287">
        <f t="shared" si="1"/>
        <v>0</v>
      </c>
    </row>
    <row r="46" spans="1:18" s="538" customFormat="1">
      <c r="A46" s="561"/>
      <c r="B46" s="548"/>
      <c r="C46" s="546"/>
      <c r="D46" s="600"/>
      <c r="E46" s="600"/>
      <c r="F46" s="600"/>
      <c r="G46" s="600"/>
      <c r="H46" s="600"/>
      <c r="I46" s="600"/>
      <c r="J46" s="600"/>
      <c r="K46" s="600"/>
      <c r="L46" s="600"/>
      <c r="M46" s="600"/>
      <c r="N46" s="600"/>
      <c r="O46" s="599"/>
      <c r="P46" s="599"/>
    </row>
    <row r="47" spans="1:18" s="538" customFormat="1">
      <c r="A47" s="561">
        <v>6585</v>
      </c>
      <c r="B47" s="538" t="s">
        <v>1035</v>
      </c>
      <c r="C47" s="546" t="s">
        <v>957</v>
      </c>
      <c r="D47" s="627"/>
      <c r="E47" s="627"/>
      <c r="F47" s="627"/>
      <c r="G47" s="627"/>
      <c r="H47" s="627"/>
      <c r="I47" s="627"/>
      <c r="J47" s="627"/>
      <c r="K47" s="627"/>
      <c r="L47" s="627"/>
      <c r="M47" s="627"/>
      <c r="N47" s="627"/>
      <c r="O47" s="627"/>
      <c r="P47" s="599">
        <f>SUM(D47:O47)</f>
        <v>0</v>
      </c>
    </row>
    <row r="48" spans="1:18" s="538" customFormat="1">
      <c r="A48" s="1626"/>
      <c r="B48" s="545" t="s">
        <v>2284</v>
      </c>
      <c r="C48" s="546"/>
      <c r="D48" s="627"/>
      <c r="E48" s="627"/>
      <c r="F48" s="627"/>
      <c r="G48" s="627"/>
      <c r="H48" s="627"/>
      <c r="I48" s="627"/>
      <c r="J48" s="627"/>
      <c r="K48" s="627"/>
      <c r="L48" s="627"/>
      <c r="M48" s="627"/>
      <c r="N48" s="627"/>
      <c r="O48" s="627"/>
      <c r="P48" s="599">
        <f>SUM(D48:O48)</f>
        <v>0</v>
      </c>
      <c r="Q48" s="1311"/>
      <c r="R48" s="565"/>
    </row>
    <row r="49" spans="1:18" s="538" customFormat="1" ht="12.75">
      <c r="A49" s="561"/>
      <c r="B49" s="1627"/>
      <c r="C49" s="546"/>
      <c r="D49" s="600"/>
      <c r="E49" s="600"/>
      <c r="F49" s="600"/>
      <c r="G49" s="600"/>
      <c r="H49" s="600"/>
      <c r="I49" s="600"/>
      <c r="J49" s="600"/>
      <c r="K49" s="600"/>
      <c r="L49" s="600"/>
      <c r="M49" s="600"/>
      <c r="N49" s="600"/>
      <c r="O49" s="599"/>
      <c r="P49" s="545"/>
      <c r="Q49"/>
      <c r="R49" s="565"/>
    </row>
    <row r="50" spans="1:18" s="538" customFormat="1">
      <c r="A50" s="561"/>
      <c r="B50" s="545"/>
      <c r="C50" s="546"/>
      <c r="D50" s="600"/>
      <c r="E50" s="600"/>
      <c r="F50" s="600"/>
      <c r="G50" s="600"/>
      <c r="H50" s="600"/>
      <c r="I50" s="600"/>
      <c r="J50" s="600"/>
      <c r="K50" s="600"/>
      <c r="L50" s="600"/>
      <c r="M50" s="600"/>
      <c r="N50" s="600"/>
      <c r="O50" s="600"/>
      <c r="P50" s="599"/>
      <c r="Q50" s="566"/>
      <c r="R50" s="565"/>
    </row>
    <row r="51" spans="1:18" s="538" customFormat="1">
      <c r="A51" s="561"/>
      <c r="B51" s="590" t="s">
        <v>428</v>
      </c>
      <c r="C51" s="544"/>
      <c r="D51" s="704">
        <f>SUM(D47:D50)</f>
        <v>0</v>
      </c>
      <c r="E51" s="704">
        <f t="shared" ref="E51:P51" si="2">SUM(E47:E50)</f>
        <v>0</v>
      </c>
      <c r="F51" s="704">
        <f t="shared" si="2"/>
        <v>0</v>
      </c>
      <c r="G51" s="704">
        <f t="shared" si="2"/>
        <v>0</v>
      </c>
      <c r="H51" s="704">
        <f t="shared" si="2"/>
        <v>0</v>
      </c>
      <c r="I51" s="704">
        <f t="shared" si="2"/>
        <v>0</v>
      </c>
      <c r="J51" s="704">
        <f t="shared" si="2"/>
        <v>0</v>
      </c>
      <c r="K51" s="704">
        <f t="shared" si="2"/>
        <v>0</v>
      </c>
      <c r="L51" s="704">
        <f t="shared" si="2"/>
        <v>0</v>
      </c>
      <c r="M51" s="704">
        <f t="shared" si="2"/>
        <v>0</v>
      </c>
      <c r="N51" s="704">
        <f t="shared" si="2"/>
        <v>0</v>
      </c>
      <c r="O51" s="704">
        <f t="shared" si="2"/>
        <v>0</v>
      </c>
      <c r="P51" s="1300">
        <f t="shared" si="2"/>
        <v>0</v>
      </c>
    </row>
    <row r="52" spans="1:18" s="538" customFormat="1">
      <c r="A52" s="561"/>
      <c r="B52" s="1627"/>
      <c r="C52" s="544"/>
      <c r="D52" s="601"/>
      <c r="E52" s="601"/>
      <c r="F52" s="601"/>
      <c r="G52" s="601"/>
      <c r="H52" s="601"/>
      <c r="I52" s="601"/>
      <c r="J52" s="601"/>
      <c r="K52" s="601"/>
      <c r="L52" s="601"/>
      <c r="M52" s="601"/>
      <c r="N52" s="601"/>
      <c r="O52" s="601"/>
      <c r="P52" s="607"/>
    </row>
    <row r="53" spans="1:18" s="538" customFormat="1">
      <c r="A53" s="1626"/>
      <c r="B53" s="545" t="s">
        <v>2283</v>
      </c>
      <c r="C53" s="546"/>
      <c r="D53" s="627"/>
      <c r="E53" s="627"/>
      <c r="F53" s="627"/>
      <c r="G53" s="627"/>
      <c r="H53" s="627"/>
      <c r="I53" s="627"/>
      <c r="J53" s="627"/>
      <c r="K53" s="627"/>
      <c r="L53" s="627"/>
      <c r="M53" s="627"/>
      <c r="N53" s="627"/>
      <c r="O53" s="627"/>
      <c r="P53" s="599">
        <f>SUM(D53:O53)</f>
        <v>0</v>
      </c>
    </row>
    <row r="54" spans="1:18" s="538" customFormat="1">
      <c r="A54" s="561"/>
      <c r="B54" s="545" t="s">
        <v>1715</v>
      </c>
      <c r="C54" s="546"/>
      <c r="D54" s="600"/>
      <c r="E54" s="600"/>
      <c r="F54" s="600"/>
      <c r="G54" s="600"/>
      <c r="H54" s="600"/>
      <c r="I54" s="600"/>
      <c r="J54" s="600"/>
      <c r="K54" s="600"/>
      <c r="L54" s="600"/>
      <c r="M54" s="600"/>
      <c r="N54" s="600"/>
      <c r="O54" s="599"/>
      <c r="P54" s="599"/>
    </row>
    <row r="55" spans="1:18" s="538" customFormat="1">
      <c r="A55" s="561"/>
      <c r="B55" s="548" t="s">
        <v>763</v>
      </c>
      <c r="C55" s="544" t="s">
        <v>763</v>
      </c>
      <c r="D55" s="602">
        <f>SUM(D53:D54)</f>
        <v>0</v>
      </c>
      <c r="E55" s="602">
        <f t="shared" ref="E55:P55" si="3">SUM(E53:E54)</f>
        <v>0</v>
      </c>
      <c r="F55" s="602">
        <f t="shared" si="3"/>
        <v>0</v>
      </c>
      <c r="G55" s="602">
        <f t="shared" si="3"/>
        <v>0</v>
      </c>
      <c r="H55" s="602">
        <f t="shared" si="3"/>
        <v>0</v>
      </c>
      <c r="I55" s="602">
        <f t="shared" si="3"/>
        <v>0</v>
      </c>
      <c r="J55" s="602">
        <f t="shared" si="3"/>
        <v>0</v>
      </c>
      <c r="K55" s="602">
        <f t="shared" si="3"/>
        <v>0</v>
      </c>
      <c r="L55" s="602">
        <f t="shared" si="3"/>
        <v>0</v>
      </c>
      <c r="M55" s="602">
        <f t="shared" si="3"/>
        <v>0</v>
      </c>
      <c r="N55" s="602">
        <f t="shared" si="3"/>
        <v>0</v>
      </c>
      <c r="O55" s="602">
        <f t="shared" si="3"/>
        <v>0</v>
      </c>
      <c r="P55" s="1284">
        <f t="shared" si="3"/>
        <v>0</v>
      </c>
    </row>
    <row r="56" spans="1:18" s="538" customFormat="1">
      <c r="A56" s="561"/>
      <c r="C56" s="547"/>
      <c r="D56" s="601"/>
      <c r="E56" s="601"/>
      <c r="F56" s="601"/>
      <c r="G56" s="601"/>
      <c r="H56" s="601"/>
      <c r="I56" s="601"/>
      <c r="J56" s="601"/>
      <c r="K56" s="601"/>
      <c r="L56" s="601"/>
      <c r="M56" s="601"/>
      <c r="N56" s="601"/>
      <c r="O56" s="599"/>
      <c r="P56" s="599"/>
    </row>
    <row r="57" spans="1:18" s="538" customFormat="1">
      <c r="A57" s="561">
        <v>6595</v>
      </c>
      <c r="B57" s="538" t="s">
        <v>528</v>
      </c>
      <c r="C57" s="546" t="s">
        <v>958</v>
      </c>
      <c r="D57" s="627"/>
      <c r="E57" s="627"/>
      <c r="F57" s="627"/>
      <c r="G57" s="627"/>
      <c r="H57" s="627"/>
      <c r="I57" s="627"/>
      <c r="J57" s="627"/>
      <c r="K57" s="627"/>
      <c r="L57" s="627"/>
      <c r="M57" s="627"/>
      <c r="N57" s="627"/>
      <c r="O57" s="627"/>
      <c r="P57" s="599">
        <f>SUM(D57:O57)</f>
        <v>0</v>
      </c>
    </row>
    <row r="58" spans="1:18" s="538" customFormat="1">
      <c r="A58" s="561"/>
      <c r="B58" s="538" t="s">
        <v>1707</v>
      </c>
      <c r="C58" s="546"/>
      <c r="D58" s="600"/>
      <c r="E58" s="600"/>
      <c r="F58" s="600"/>
      <c r="G58" s="600"/>
      <c r="H58" s="600"/>
      <c r="I58" s="600"/>
      <c r="J58" s="600"/>
      <c r="K58" s="600"/>
      <c r="L58" s="600"/>
      <c r="M58" s="600"/>
      <c r="N58" s="600"/>
      <c r="O58" s="600"/>
      <c r="P58" s="599">
        <f>SUM(D58:O58)</f>
        <v>0</v>
      </c>
    </row>
    <row r="59" spans="1:18" s="538" customFormat="1">
      <c r="A59" s="561"/>
      <c r="B59" s="548" t="s">
        <v>763</v>
      </c>
      <c r="C59" s="544" t="s">
        <v>763</v>
      </c>
      <c r="D59" s="602">
        <f>SUM(D57:D58)</f>
        <v>0</v>
      </c>
      <c r="E59" s="602">
        <f t="shared" ref="E59:P59" si="4">SUM(E57:E58)</f>
        <v>0</v>
      </c>
      <c r="F59" s="602">
        <f t="shared" si="4"/>
        <v>0</v>
      </c>
      <c r="G59" s="602">
        <f t="shared" si="4"/>
        <v>0</v>
      </c>
      <c r="H59" s="602">
        <f t="shared" si="4"/>
        <v>0</v>
      </c>
      <c r="I59" s="602">
        <f t="shared" si="4"/>
        <v>0</v>
      </c>
      <c r="J59" s="602">
        <f t="shared" si="4"/>
        <v>0</v>
      </c>
      <c r="K59" s="602">
        <f t="shared" si="4"/>
        <v>0</v>
      </c>
      <c r="L59" s="602">
        <f t="shared" si="4"/>
        <v>0</v>
      </c>
      <c r="M59" s="602">
        <f t="shared" si="4"/>
        <v>0</v>
      </c>
      <c r="N59" s="602">
        <f t="shared" si="4"/>
        <v>0</v>
      </c>
      <c r="O59" s="602">
        <f t="shared" si="4"/>
        <v>0</v>
      </c>
      <c r="P59" s="1284">
        <f t="shared" si="4"/>
        <v>0</v>
      </c>
    </row>
    <row r="60" spans="1:18" s="538" customFormat="1">
      <c r="A60" s="561"/>
      <c r="C60" s="546"/>
      <c r="D60" s="600"/>
      <c r="E60" s="600"/>
      <c r="F60" s="600"/>
      <c r="G60" s="600"/>
      <c r="H60" s="600"/>
      <c r="I60" s="600"/>
      <c r="J60" s="600"/>
      <c r="K60" s="600"/>
      <c r="L60" s="600"/>
      <c r="M60" s="600"/>
      <c r="N60" s="600"/>
      <c r="O60" s="599"/>
      <c r="P60" s="599"/>
    </row>
    <row r="61" spans="1:18" s="538" customFormat="1">
      <c r="A61" s="561">
        <v>6600</v>
      </c>
      <c r="B61" s="538" t="s">
        <v>529</v>
      </c>
      <c r="C61" s="546" t="s">
        <v>959</v>
      </c>
      <c r="D61" s="627"/>
      <c r="E61" s="627"/>
      <c r="F61" s="627"/>
      <c r="G61" s="627"/>
      <c r="H61" s="627"/>
      <c r="I61" s="627"/>
      <c r="J61" s="627"/>
      <c r="K61" s="627"/>
      <c r="L61" s="627"/>
      <c r="M61" s="627"/>
      <c r="N61" s="627"/>
      <c r="O61" s="627"/>
      <c r="P61" s="599">
        <f>SUM(D61:O61)</f>
        <v>0</v>
      </c>
    </row>
    <row r="62" spans="1:18" s="538" customFormat="1">
      <c r="A62" s="561"/>
      <c r="B62" s="538" t="s">
        <v>1709</v>
      </c>
      <c r="C62" s="546"/>
      <c r="D62" s="600"/>
      <c r="E62" s="600"/>
      <c r="F62" s="600"/>
      <c r="G62" s="600"/>
      <c r="H62" s="600"/>
      <c r="I62" s="600"/>
      <c r="J62" s="600"/>
      <c r="K62" s="600"/>
      <c r="L62" s="600"/>
      <c r="M62" s="600"/>
      <c r="N62" s="600"/>
      <c r="O62" s="600"/>
      <c r="P62" s="599">
        <f>SUM(D62:O62)</f>
        <v>0</v>
      </c>
    </row>
    <row r="63" spans="1:18" s="538" customFormat="1">
      <c r="A63" s="561"/>
      <c r="B63" s="548" t="s">
        <v>763</v>
      </c>
      <c r="C63" s="544" t="s">
        <v>763</v>
      </c>
      <c r="D63" s="602">
        <f>SUM(D61:D62)</f>
        <v>0</v>
      </c>
      <c r="E63" s="602">
        <f t="shared" ref="E63:P63" si="5">SUM(E61:E62)</f>
        <v>0</v>
      </c>
      <c r="F63" s="602">
        <f t="shared" si="5"/>
        <v>0</v>
      </c>
      <c r="G63" s="602">
        <f t="shared" si="5"/>
        <v>0</v>
      </c>
      <c r="H63" s="602">
        <f t="shared" si="5"/>
        <v>0</v>
      </c>
      <c r="I63" s="602">
        <f t="shared" si="5"/>
        <v>0</v>
      </c>
      <c r="J63" s="602">
        <f t="shared" si="5"/>
        <v>0</v>
      </c>
      <c r="K63" s="602">
        <f t="shared" si="5"/>
        <v>0</v>
      </c>
      <c r="L63" s="602">
        <f t="shared" si="5"/>
        <v>0</v>
      </c>
      <c r="M63" s="602">
        <f t="shared" si="5"/>
        <v>0</v>
      </c>
      <c r="N63" s="602">
        <f t="shared" si="5"/>
        <v>0</v>
      </c>
      <c r="O63" s="602">
        <f t="shared" si="5"/>
        <v>0</v>
      </c>
      <c r="P63" s="1284">
        <f t="shared" si="5"/>
        <v>0</v>
      </c>
    </row>
    <row r="64" spans="1:18" s="538" customFormat="1">
      <c r="A64" s="561"/>
      <c r="C64" s="547"/>
      <c r="D64" s="601"/>
      <c r="E64" s="601"/>
      <c r="F64" s="601"/>
      <c r="G64" s="601"/>
      <c r="H64" s="601"/>
      <c r="I64" s="601"/>
      <c r="J64" s="601"/>
      <c r="K64" s="601"/>
      <c r="L64" s="601"/>
      <c r="M64" s="601"/>
      <c r="N64" s="601"/>
      <c r="O64" s="599"/>
      <c r="P64" s="599"/>
    </row>
    <row r="65" spans="1:16" s="538" customFormat="1">
      <c r="A65" s="561">
        <v>6605</v>
      </c>
      <c r="B65" s="538" t="s">
        <v>1802</v>
      </c>
      <c r="C65" s="546"/>
      <c r="D65" s="627"/>
      <c r="E65" s="627"/>
      <c r="F65" s="627"/>
      <c r="G65" s="627"/>
      <c r="H65" s="627"/>
      <c r="I65" s="627"/>
      <c r="J65" s="627"/>
      <c r="K65" s="627"/>
      <c r="L65" s="627"/>
      <c r="M65" s="627"/>
      <c r="N65" s="627"/>
      <c r="O65" s="627"/>
      <c r="P65" s="599">
        <f>SUM(D65:O65)</f>
        <v>0</v>
      </c>
    </row>
    <row r="66" spans="1:16" s="538" customFormat="1">
      <c r="A66" s="561"/>
      <c r="B66" s="538" t="s">
        <v>1803</v>
      </c>
      <c r="C66" s="546"/>
      <c r="D66" s="600"/>
      <c r="E66" s="600"/>
      <c r="F66" s="600"/>
      <c r="G66" s="600"/>
      <c r="H66" s="600"/>
      <c r="I66" s="600"/>
      <c r="J66" s="600"/>
      <c r="K66" s="600"/>
      <c r="L66" s="600"/>
      <c r="M66" s="600"/>
      <c r="N66" s="600"/>
      <c r="O66" s="600"/>
      <c r="P66" s="599">
        <f>SUM(D66:O66)</f>
        <v>0</v>
      </c>
    </row>
    <row r="67" spans="1:16" s="538" customFormat="1">
      <c r="A67" s="561"/>
      <c r="B67" s="548" t="s">
        <v>763</v>
      </c>
      <c r="C67" s="544" t="s">
        <v>763</v>
      </c>
      <c r="D67" s="602">
        <f>SUM(D65:D66)</f>
        <v>0</v>
      </c>
      <c r="E67" s="602">
        <f t="shared" ref="E67:P67" si="6">SUM(E65:E66)</f>
        <v>0</v>
      </c>
      <c r="F67" s="602">
        <f t="shared" si="6"/>
        <v>0</v>
      </c>
      <c r="G67" s="602">
        <f t="shared" si="6"/>
        <v>0</v>
      </c>
      <c r="H67" s="602">
        <f t="shared" si="6"/>
        <v>0</v>
      </c>
      <c r="I67" s="602">
        <f t="shared" si="6"/>
        <v>0</v>
      </c>
      <c r="J67" s="602">
        <f t="shared" si="6"/>
        <v>0</v>
      </c>
      <c r="K67" s="602">
        <f t="shared" si="6"/>
        <v>0</v>
      </c>
      <c r="L67" s="602">
        <f t="shared" si="6"/>
        <v>0</v>
      </c>
      <c r="M67" s="602">
        <f t="shared" si="6"/>
        <v>0</v>
      </c>
      <c r="N67" s="602">
        <f t="shared" si="6"/>
        <v>0</v>
      </c>
      <c r="O67" s="602">
        <f t="shared" si="6"/>
        <v>0</v>
      </c>
      <c r="P67" s="1284">
        <f t="shared" si="6"/>
        <v>0</v>
      </c>
    </row>
    <row r="68" spans="1:16" s="538" customFormat="1">
      <c r="A68" s="561"/>
      <c r="C68" s="547"/>
      <c r="D68" s="601"/>
      <c r="E68" s="601"/>
      <c r="F68" s="601"/>
      <c r="G68" s="601"/>
      <c r="H68" s="601"/>
      <c r="I68" s="601"/>
      <c r="J68" s="601"/>
      <c r="K68" s="601"/>
      <c r="L68" s="601"/>
      <c r="M68" s="601"/>
      <c r="N68" s="601"/>
      <c r="O68" s="599"/>
      <c r="P68" s="599"/>
    </row>
    <row r="69" spans="1:16" s="538" customFormat="1">
      <c r="A69" s="561">
        <v>6610</v>
      </c>
      <c r="B69" s="538" t="s">
        <v>1290</v>
      </c>
      <c r="C69" s="546" t="s">
        <v>960</v>
      </c>
      <c r="D69" s="627"/>
      <c r="E69" s="627"/>
      <c r="F69" s="627"/>
      <c r="G69" s="627"/>
      <c r="H69" s="627"/>
      <c r="I69" s="627"/>
      <c r="J69" s="627"/>
      <c r="K69" s="627"/>
      <c r="L69" s="627"/>
      <c r="M69" s="627"/>
      <c r="N69" s="627"/>
      <c r="O69" s="627"/>
      <c r="P69" s="599">
        <f>SUM(D69:O69)</f>
        <v>0</v>
      </c>
    </row>
    <row r="70" spans="1:16" s="538" customFormat="1">
      <c r="A70" s="561"/>
      <c r="B70" s="538" t="s">
        <v>1711</v>
      </c>
      <c r="C70" s="546"/>
      <c r="D70" s="600"/>
      <c r="E70" s="600"/>
      <c r="F70" s="600"/>
      <c r="G70" s="600"/>
      <c r="H70" s="600"/>
      <c r="I70" s="600"/>
      <c r="J70" s="600"/>
      <c r="K70" s="600"/>
      <c r="L70" s="600"/>
      <c r="M70" s="600"/>
      <c r="N70" s="600"/>
      <c r="O70" s="600"/>
      <c r="P70" s="599">
        <f>SUM(D70:O70)</f>
        <v>0</v>
      </c>
    </row>
    <row r="71" spans="1:16" s="538" customFormat="1">
      <c r="A71" s="561"/>
      <c r="B71" s="548" t="s">
        <v>763</v>
      </c>
      <c r="C71" s="544" t="s">
        <v>763</v>
      </c>
      <c r="D71" s="602">
        <f>SUM(D69:D70)</f>
        <v>0</v>
      </c>
      <c r="E71" s="602">
        <f t="shared" ref="E71:P71" si="7">SUM(E69:E70)</f>
        <v>0</v>
      </c>
      <c r="F71" s="602">
        <f t="shared" si="7"/>
        <v>0</v>
      </c>
      <c r="G71" s="602">
        <f t="shared" si="7"/>
        <v>0</v>
      </c>
      <c r="H71" s="602">
        <f t="shared" si="7"/>
        <v>0</v>
      </c>
      <c r="I71" s="602">
        <f t="shared" si="7"/>
        <v>0</v>
      </c>
      <c r="J71" s="602">
        <f t="shared" si="7"/>
        <v>0</v>
      </c>
      <c r="K71" s="602">
        <f t="shared" si="7"/>
        <v>0</v>
      </c>
      <c r="L71" s="602">
        <f t="shared" si="7"/>
        <v>0</v>
      </c>
      <c r="M71" s="602">
        <f t="shared" si="7"/>
        <v>0</v>
      </c>
      <c r="N71" s="602">
        <f t="shared" si="7"/>
        <v>0</v>
      </c>
      <c r="O71" s="602">
        <f t="shared" si="7"/>
        <v>0</v>
      </c>
      <c r="P71" s="1284">
        <f t="shared" si="7"/>
        <v>0</v>
      </c>
    </row>
    <row r="72" spans="1:16" s="538" customFormat="1">
      <c r="A72" s="561"/>
      <c r="C72" s="546"/>
      <c r="D72" s="600"/>
      <c r="E72" s="600"/>
      <c r="F72" s="600"/>
      <c r="G72" s="600"/>
      <c r="H72" s="600"/>
      <c r="I72" s="600"/>
      <c r="J72" s="600"/>
      <c r="K72" s="600"/>
      <c r="L72" s="600"/>
      <c r="M72" s="600"/>
      <c r="N72" s="600"/>
      <c r="O72" s="600"/>
      <c r="P72" s="599"/>
    </row>
    <row r="73" spans="1:16" s="538" customFormat="1">
      <c r="A73" s="561">
        <v>6615</v>
      </c>
      <c r="B73" s="538" t="s">
        <v>307</v>
      </c>
      <c r="C73" s="546"/>
      <c r="D73" s="627"/>
      <c r="E73" s="627"/>
      <c r="F73" s="627"/>
      <c r="G73" s="627"/>
      <c r="H73" s="627"/>
      <c r="I73" s="627"/>
      <c r="J73" s="627"/>
      <c r="K73" s="627"/>
      <c r="L73" s="627"/>
      <c r="M73" s="627"/>
      <c r="N73" s="627"/>
      <c r="O73" s="627"/>
      <c r="P73" s="599">
        <f>SUM(D73:O73)</f>
        <v>0</v>
      </c>
    </row>
    <row r="74" spans="1:16" s="538" customFormat="1">
      <c r="A74" s="561"/>
      <c r="B74" s="538" t="s">
        <v>1713</v>
      </c>
      <c r="C74" s="546"/>
      <c r="D74" s="600"/>
      <c r="E74" s="600"/>
      <c r="F74" s="600"/>
      <c r="G74" s="600"/>
      <c r="H74" s="600"/>
      <c r="I74" s="600"/>
      <c r="J74" s="600"/>
      <c r="K74" s="600"/>
      <c r="L74" s="600"/>
      <c r="M74" s="600"/>
      <c r="N74" s="600"/>
      <c r="O74" s="600"/>
      <c r="P74" s="599">
        <f>SUM(D74:O74)</f>
        <v>0</v>
      </c>
    </row>
    <row r="75" spans="1:16" s="538" customFormat="1">
      <c r="A75" s="561"/>
      <c r="B75" s="548" t="s">
        <v>763</v>
      </c>
      <c r="C75" s="544" t="s">
        <v>763</v>
      </c>
      <c r="D75" s="602">
        <f>SUM(D73:D74)</f>
        <v>0</v>
      </c>
      <c r="E75" s="602">
        <f t="shared" ref="E75:P75" si="8">SUM(E73:E74)</f>
        <v>0</v>
      </c>
      <c r="F75" s="602">
        <f t="shared" si="8"/>
        <v>0</v>
      </c>
      <c r="G75" s="602">
        <f t="shared" si="8"/>
        <v>0</v>
      </c>
      <c r="H75" s="602">
        <f t="shared" si="8"/>
        <v>0</v>
      </c>
      <c r="I75" s="602">
        <f t="shared" si="8"/>
        <v>0</v>
      </c>
      <c r="J75" s="602">
        <f t="shared" si="8"/>
        <v>0</v>
      </c>
      <c r="K75" s="602">
        <f t="shared" si="8"/>
        <v>0</v>
      </c>
      <c r="L75" s="602">
        <f t="shared" si="8"/>
        <v>0</v>
      </c>
      <c r="M75" s="602">
        <f t="shared" si="8"/>
        <v>0</v>
      </c>
      <c r="N75" s="602">
        <f t="shared" si="8"/>
        <v>0</v>
      </c>
      <c r="O75" s="602">
        <f t="shared" si="8"/>
        <v>0</v>
      </c>
      <c r="P75" s="1284">
        <f t="shared" si="8"/>
        <v>0</v>
      </c>
    </row>
    <row r="76" spans="1:16" s="538" customFormat="1">
      <c r="A76" s="561"/>
      <c r="C76" s="546"/>
      <c r="D76" s="600"/>
      <c r="E76" s="600"/>
      <c r="F76" s="600"/>
      <c r="G76" s="600"/>
      <c r="H76" s="600"/>
      <c r="I76" s="600"/>
      <c r="J76" s="600"/>
      <c r="K76" s="600"/>
      <c r="L76" s="600"/>
      <c r="M76" s="600"/>
      <c r="N76" s="600"/>
      <c r="O76" s="600"/>
      <c r="P76" s="599"/>
    </row>
    <row r="77" spans="1:16" s="538" customFormat="1">
      <c r="A77" s="561">
        <v>6620</v>
      </c>
      <c r="B77" s="545" t="s">
        <v>308</v>
      </c>
      <c r="C77" s="547"/>
      <c r="D77" s="627"/>
      <c r="E77" s="627"/>
      <c r="F77" s="627"/>
      <c r="G77" s="627"/>
      <c r="H77" s="627"/>
      <c r="I77" s="627"/>
      <c r="J77" s="627"/>
      <c r="K77" s="627"/>
      <c r="L77" s="627"/>
      <c r="M77" s="627"/>
      <c r="N77" s="627"/>
      <c r="O77" s="627"/>
      <c r="P77" s="599">
        <f>SUM(D77:O77)</f>
        <v>0</v>
      </c>
    </row>
    <row r="78" spans="1:16" s="538" customFormat="1">
      <c r="A78" s="561"/>
      <c r="B78" s="545"/>
      <c r="C78" s="547"/>
      <c r="D78" s="600"/>
      <c r="E78" s="600"/>
      <c r="F78" s="600"/>
      <c r="G78" s="600"/>
      <c r="H78" s="600"/>
      <c r="I78" s="600"/>
      <c r="J78" s="600"/>
      <c r="K78" s="600"/>
      <c r="L78" s="600"/>
      <c r="M78" s="600"/>
      <c r="N78" s="600"/>
      <c r="O78" s="600"/>
      <c r="P78" s="599">
        <f>SUM(D78:O78)</f>
        <v>0</v>
      </c>
    </row>
    <row r="79" spans="1:16" s="538" customFormat="1">
      <c r="A79" s="561"/>
      <c r="B79" s="548" t="s">
        <v>763</v>
      </c>
      <c r="C79" s="544" t="s">
        <v>763</v>
      </c>
      <c r="D79" s="602">
        <f>SUM(D77:D78)</f>
        <v>0</v>
      </c>
      <c r="E79" s="602">
        <f t="shared" ref="E79:P79" si="9">SUM(E77:E78)</f>
        <v>0</v>
      </c>
      <c r="F79" s="602">
        <f t="shared" si="9"/>
        <v>0</v>
      </c>
      <c r="G79" s="602">
        <f t="shared" si="9"/>
        <v>0</v>
      </c>
      <c r="H79" s="602">
        <f t="shared" si="9"/>
        <v>0</v>
      </c>
      <c r="I79" s="602">
        <f t="shared" si="9"/>
        <v>0</v>
      </c>
      <c r="J79" s="602">
        <f t="shared" si="9"/>
        <v>0</v>
      </c>
      <c r="K79" s="602">
        <f t="shared" si="9"/>
        <v>0</v>
      </c>
      <c r="L79" s="602">
        <f t="shared" si="9"/>
        <v>0</v>
      </c>
      <c r="M79" s="602">
        <f t="shared" si="9"/>
        <v>0</v>
      </c>
      <c r="N79" s="602">
        <f t="shared" si="9"/>
        <v>0</v>
      </c>
      <c r="O79" s="602">
        <f t="shared" si="9"/>
        <v>0</v>
      </c>
      <c r="P79" s="1284">
        <f t="shared" si="9"/>
        <v>0</v>
      </c>
    </row>
    <row r="80" spans="1:16" s="538" customFormat="1">
      <c r="A80" s="561"/>
      <c r="B80" s="545"/>
      <c r="C80" s="547"/>
      <c r="D80" s="601"/>
      <c r="E80" s="601"/>
      <c r="F80" s="601"/>
      <c r="G80" s="601"/>
      <c r="H80" s="601"/>
      <c r="I80" s="601"/>
      <c r="J80" s="601"/>
      <c r="K80" s="601"/>
      <c r="L80" s="601"/>
      <c r="M80" s="601"/>
      <c r="N80" s="601"/>
      <c r="O80" s="599"/>
      <c r="P80" s="599"/>
    </row>
    <row r="81" spans="1:17" s="538" customFormat="1">
      <c r="A81" s="561"/>
      <c r="B81" s="545" t="s">
        <v>909</v>
      </c>
      <c r="C81" s="547"/>
      <c r="D81" s="601"/>
      <c r="E81" s="601"/>
      <c r="F81" s="601"/>
      <c r="G81" s="601"/>
      <c r="H81" s="601"/>
      <c r="I81" s="601"/>
      <c r="J81" s="601"/>
      <c r="K81" s="601"/>
      <c r="L81" s="601"/>
      <c r="M81" s="601"/>
      <c r="N81" s="601"/>
      <c r="O81" s="599"/>
      <c r="P81" s="599">
        <f>SUM(D81:O81)</f>
        <v>0</v>
      </c>
    </row>
    <row r="82" spans="1:17" s="538" customFormat="1">
      <c r="A82" s="561"/>
      <c r="C82" s="547"/>
      <c r="D82" s="601"/>
      <c r="E82" s="601"/>
      <c r="F82" s="601"/>
      <c r="G82" s="601"/>
      <c r="H82" s="601"/>
      <c r="I82" s="601"/>
      <c r="J82" s="601"/>
      <c r="K82" s="601"/>
      <c r="L82" s="601"/>
      <c r="M82" s="601"/>
      <c r="N82" s="601"/>
      <c r="O82" s="599"/>
      <c r="P82" s="599"/>
    </row>
    <row r="83" spans="1:17" s="538" customFormat="1" ht="12" customHeight="1" thickBot="1">
      <c r="A83" s="561"/>
      <c r="B83" s="544" t="s">
        <v>962</v>
      </c>
      <c r="C83" s="550"/>
      <c r="D83" s="603">
        <f>SUM(D7:D81)-D36-D45-D51-D55-D59-D67-D71-D75-D79-D63</f>
        <v>0</v>
      </c>
      <c r="E83" s="603">
        <f t="shared" ref="E83:P83" si="10">SUM(E7:E81)-E36-E45-E51-E55-E59-E67-E71-E75-E79-E63</f>
        <v>0</v>
      </c>
      <c r="F83" s="603">
        <f t="shared" si="10"/>
        <v>0</v>
      </c>
      <c r="G83" s="603">
        <f t="shared" si="10"/>
        <v>0</v>
      </c>
      <c r="H83" s="603">
        <f t="shared" si="10"/>
        <v>0</v>
      </c>
      <c r="I83" s="603">
        <f t="shared" si="10"/>
        <v>0</v>
      </c>
      <c r="J83" s="603">
        <f t="shared" si="10"/>
        <v>0</v>
      </c>
      <c r="K83" s="603">
        <f t="shared" si="10"/>
        <v>0</v>
      </c>
      <c r="L83" s="603">
        <f t="shared" si="10"/>
        <v>0</v>
      </c>
      <c r="M83" s="603">
        <f t="shared" si="10"/>
        <v>0</v>
      </c>
      <c r="N83" s="603">
        <f t="shared" si="10"/>
        <v>0</v>
      </c>
      <c r="O83" s="603">
        <f t="shared" si="10"/>
        <v>0</v>
      </c>
      <c r="P83" s="603">
        <f t="shared" si="10"/>
        <v>0</v>
      </c>
    </row>
    <row r="84" spans="1:17" s="538" customFormat="1" ht="12" customHeight="1" thickTop="1" thickBot="1">
      <c r="A84" s="561"/>
      <c r="B84" s="544"/>
      <c r="C84" s="550"/>
      <c r="D84" s="599"/>
      <c r="E84" s="599"/>
      <c r="F84" s="599"/>
      <c r="G84" s="599"/>
      <c r="H84" s="599"/>
      <c r="I84" s="599"/>
      <c r="J84" s="599"/>
      <c r="K84" s="599"/>
      <c r="L84" s="599"/>
      <c r="M84" s="599"/>
      <c r="N84" s="599"/>
      <c r="O84" s="599"/>
      <c r="P84" s="599"/>
    </row>
    <row r="85" spans="1:17" s="635" customFormat="1" ht="12" customHeight="1" thickBot="1">
      <c r="B85" s="598" t="s">
        <v>323</v>
      </c>
      <c r="C85" s="606"/>
      <c r="D85" s="599">
        <f>+'12-31-15 CIAC Amort Exp_PerAR'!D27</f>
        <v>0</v>
      </c>
      <c r="E85" s="599">
        <f>+'12-31-15 CIAC Amort Exp_PerAR'!E27</f>
        <v>0</v>
      </c>
      <c r="F85" s="599">
        <f>+'12-31-15 CIAC Amort Exp_PerAR'!F27</f>
        <v>0</v>
      </c>
      <c r="G85" s="599">
        <f>+'12-31-15 CIAC Amort Exp_PerAR'!G27</f>
        <v>0</v>
      </c>
      <c r="H85" s="599">
        <f>+'12-31-15 CIAC Amort Exp_PerAR'!H27</f>
        <v>0</v>
      </c>
      <c r="I85" s="599">
        <f>+'12-31-15 CIAC Amort Exp_PerAR'!I27</f>
        <v>0</v>
      </c>
      <c r="J85" s="599">
        <f>+'12-31-15 CIAC Amort Exp_PerAR'!J27</f>
        <v>0</v>
      </c>
      <c r="K85" s="599">
        <f>+'12-31-15 CIAC Amort Exp_PerAR'!K27</f>
        <v>0</v>
      </c>
      <c r="L85" s="599">
        <f>+'12-31-15 CIAC Amort Exp_PerAR'!L27</f>
        <v>0</v>
      </c>
      <c r="M85" s="599">
        <f>+'12-31-15 CIAC Amort Exp_PerAR'!M27</f>
        <v>0</v>
      </c>
      <c r="N85" s="599">
        <f>+'12-31-15 CIAC Amort Exp_PerAR'!N27</f>
        <v>0</v>
      </c>
      <c r="O85" s="599">
        <f>+'12-31-15 CIAC Amort Exp_PerAR'!O27</f>
        <v>0</v>
      </c>
      <c r="P85" s="599">
        <f>SUM(D85:O85)</f>
        <v>0</v>
      </c>
      <c r="Q85" s="705"/>
    </row>
    <row r="86" spans="1:17" s="556" customFormat="1" ht="13.5" customHeight="1">
      <c r="A86" s="564"/>
      <c r="C86" s="544"/>
      <c r="D86" s="598"/>
      <c r="E86" s="598"/>
      <c r="F86" s="598"/>
      <c r="G86" s="598"/>
      <c r="H86" s="598"/>
      <c r="I86" s="598"/>
      <c r="J86" s="598"/>
      <c r="K86" s="598"/>
      <c r="L86" s="598"/>
      <c r="M86" s="598"/>
      <c r="N86" s="598"/>
      <c r="O86" s="598"/>
      <c r="P86" s="1285"/>
    </row>
    <row r="87" spans="1:17" s="556" customFormat="1">
      <c r="A87" s="564" t="s">
        <v>911</v>
      </c>
      <c r="B87" s="556" t="s">
        <v>325</v>
      </c>
      <c r="C87" s="544"/>
      <c r="D87" s="598">
        <f>+D83+D85</f>
        <v>0</v>
      </c>
      <c r="E87" s="598">
        <f t="shared" ref="E87:P87" si="11">+E83+E85</f>
        <v>0</v>
      </c>
      <c r="F87" s="598">
        <f t="shared" si="11"/>
        <v>0</v>
      </c>
      <c r="G87" s="598">
        <f t="shared" si="11"/>
        <v>0</v>
      </c>
      <c r="H87" s="598">
        <f t="shared" si="11"/>
        <v>0</v>
      </c>
      <c r="I87" s="598">
        <f t="shared" si="11"/>
        <v>0</v>
      </c>
      <c r="J87" s="598">
        <f t="shared" si="11"/>
        <v>0</v>
      </c>
      <c r="K87" s="598">
        <f t="shared" si="11"/>
        <v>0</v>
      </c>
      <c r="L87" s="598">
        <f t="shared" si="11"/>
        <v>0</v>
      </c>
      <c r="M87" s="598">
        <f t="shared" si="11"/>
        <v>0</v>
      </c>
      <c r="N87" s="598">
        <f t="shared" si="11"/>
        <v>0</v>
      </c>
      <c r="O87" s="598">
        <f t="shared" si="11"/>
        <v>0</v>
      </c>
      <c r="P87" s="1285">
        <f t="shared" si="11"/>
        <v>0</v>
      </c>
    </row>
    <row r="88" spans="1:17" s="545" customFormat="1" ht="13.5" customHeight="1">
      <c r="A88" s="562"/>
      <c r="B88" s="551"/>
      <c r="C88" s="552"/>
      <c r="D88" s="604"/>
      <c r="E88" s="604"/>
      <c r="F88" s="604"/>
      <c r="G88" s="604"/>
      <c r="H88" s="599"/>
      <c r="I88" s="599"/>
      <c r="J88" s="599"/>
      <c r="K88" s="599"/>
      <c r="L88" s="599"/>
      <c r="M88" s="599"/>
      <c r="N88" s="599"/>
      <c r="O88" s="599"/>
      <c r="P88" s="599"/>
    </row>
    <row r="89" spans="1:17" s="548" customFormat="1" ht="24">
      <c r="A89" s="563"/>
      <c r="B89" s="540" t="s">
        <v>706</v>
      </c>
      <c r="C89" s="540" t="s">
        <v>961</v>
      </c>
      <c r="D89" s="596" t="s">
        <v>1321</v>
      </c>
      <c r="E89" s="596" t="s">
        <v>1322</v>
      </c>
      <c r="F89" s="596" t="s">
        <v>39</v>
      </c>
      <c r="G89" s="596" t="s">
        <v>40</v>
      </c>
      <c r="H89" s="596" t="s">
        <v>1066</v>
      </c>
      <c r="I89" s="596" t="s">
        <v>41</v>
      </c>
      <c r="J89" s="596" t="s">
        <v>42</v>
      </c>
      <c r="K89" s="596" t="s">
        <v>43</v>
      </c>
      <c r="L89" s="596" t="s">
        <v>276</v>
      </c>
      <c r="M89" s="596" t="s">
        <v>44</v>
      </c>
      <c r="N89" s="596" t="s">
        <v>277</v>
      </c>
      <c r="O89" s="597" t="s">
        <v>1319</v>
      </c>
      <c r="P89" s="1301">
        <v>42369</v>
      </c>
    </row>
    <row r="90" spans="1:17" s="538" customFormat="1">
      <c r="A90" s="561"/>
      <c r="C90" s="553"/>
      <c r="D90" s="605"/>
      <c r="E90" s="605"/>
      <c r="F90" s="605"/>
      <c r="G90" s="605"/>
      <c r="H90" s="605"/>
      <c r="I90" s="605"/>
      <c r="J90" s="605"/>
      <c r="K90" s="605"/>
      <c r="L90" s="605"/>
      <c r="M90" s="605"/>
      <c r="N90" s="605"/>
      <c r="O90" s="599"/>
      <c r="P90" s="599"/>
    </row>
    <row r="91" spans="1:17" s="538" customFormat="1">
      <c r="A91" s="561">
        <v>6640</v>
      </c>
      <c r="B91" s="538" t="s">
        <v>707</v>
      </c>
      <c r="C91" s="546" t="s">
        <v>934</v>
      </c>
      <c r="D91" s="627">
        <f>VLOOKUP($A91,'O&amp;M per TB'!$B$4:R$375,D$5,FALSE)</f>
        <v>0</v>
      </c>
      <c r="E91" s="627">
        <f>VLOOKUP($A91,'O&amp;M per TB'!$B$4:S$375,E$5,FALSE)</f>
        <v>0</v>
      </c>
      <c r="F91" s="627">
        <f>VLOOKUP($A91,'O&amp;M per TB'!$B$4:T$375,F$5,FALSE)</f>
        <v>0</v>
      </c>
      <c r="G91" s="627">
        <f>VLOOKUP($A91,'O&amp;M per TB'!$B$4:U$375,G$5,FALSE)</f>
        <v>3.92</v>
      </c>
      <c r="H91" s="627">
        <f>VLOOKUP($A91,'O&amp;M per TB'!$B$4:V$375,H$5,FALSE)</f>
        <v>3.92</v>
      </c>
      <c r="I91" s="627">
        <f>VLOOKUP($A91,'O&amp;M per TB'!$B$4:W$375,I$5,FALSE)</f>
        <v>3.92</v>
      </c>
      <c r="J91" s="627">
        <f>VLOOKUP($A91,'O&amp;M per TB'!$B$4:X$375,J$5,FALSE)</f>
        <v>3.92</v>
      </c>
      <c r="K91" s="627">
        <f>VLOOKUP($A91,'O&amp;M per TB'!$B$4:Y$375,K$5,FALSE)</f>
        <v>3.9200000000000017</v>
      </c>
      <c r="L91" s="627">
        <f>VLOOKUP($A91,'O&amp;M per TB'!$B$4:Z$375,L$5,FALSE)</f>
        <v>3.9199999999999982</v>
      </c>
      <c r="M91" s="627">
        <f>VLOOKUP($A91,'O&amp;M per TB'!$B$4:AA$375,M$5,FALSE)</f>
        <v>3.9200000000000017</v>
      </c>
      <c r="N91" s="627">
        <f>VLOOKUP($A91,'O&amp;M per TB'!$B$4:AB$375,N$5,FALSE)</f>
        <v>3.9199999999999982</v>
      </c>
      <c r="O91" s="627">
        <f>VLOOKUP($A91,'O&amp;M per TB'!$B$4:AC$375,O$5,FALSE)</f>
        <v>3.9200000000000017</v>
      </c>
      <c r="P91" s="1685">
        <f>SUM(D91:O91)</f>
        <v>35.28</v>
      </c>
    </row>
    <row r="92" spans="1:17" s="538" customFormat="1">
      <c r="A92" s="561">
        <v>6645</v>
      </c>
      <c r="B92" s="538" t="s">
        <v>309</v>
      </c>
      <c r="C92" s="546"/>
      <c r="D92" s="627"/>
      <c r="E92" s="627"/>
      <c r="F92" s="627"/>
      <c r="G92" s="627"/>
      <c r="H92" s="627"/>
      <c r="I92" s="627"/>
      <c r="J92" s="627"/>
      <c r="K92" s="627"/>
      <c r="L92" s="627"/>
      <c r="M92" s="627"/>
      <c r="N92" s="627"/>
      <c r="O92" s="627"/>
      <c r="P92" s="599">
        <f>SUM(D92:O92)</f>
        <v>0</v>
      </c>
    </row>
    <row r="93" spans="1:17" s="538" customFormat="1">
      <c r="A93" s="561"/>
      <c r="C93" s="550"/>
      <c r="D93" s="606"/>
      <c r="E93" s="606"/>
      <c r="F93" s="606"/>
      <c r="G93" s="606"/>
      <c r="H93" s="606"/>
      <c r="I93" s="606"/>
      <c r="J93" s="606"/>
      <c r="K93" s="606"/>
      <c r="L93" s="606"/>
      <c r="M93" s="606"/>
      <c r="N93" s="606"/>
      <c r="O93" s="599"/>
      <c r="P93" s="599"/>
    </row>
    <row r="94" spans="1:17" s="538" customFormat="1">
      <c r="A94" s="561">
        <v>6710</v>
      </c>
      <c r="B94" s="538" t="s">
        <v>1438</v>
      </c>
      <c r="C94" s="546" t="s">
        <v>935</v>
      </c>
      <c r="D94" s="627">
        <f>VLOOKUP($A94,'O&amp;M per TB'!$B$4:R$375,D$5,FALSE)</f>
        <v>678.54</v>
      </c>
      <c r="E94" s="627">
        <f>VLOOKUP($A94,'O&amp;M per TB'!$B$4:S$375,E$5,FALSE)</f>
        <v>678.54</v>
      </c>
      <c r="F94" s="627">
        <f>VLOOKUP($A94,'O&amp;M per TB'!$B$4:T$375,F$5,FALSE)</f>
        <v>678.76</v>
      </c>
      <c r="G94" s="627">
        <f>VLOOKUP($A94,'O&amp;M per TB'!$B$4:U$375,G$5,FALSE)</f>
        <v>678.76</v>
      </c>
      <c r="H94" s="627">
        <f>VLOOKUP($A94,'O&amp;M per TB'!$B$4:V$375,H$5,FALSE)</f>
        <v>678.97000000000025</v>
      </c>
      <c r="I94" s="627">
        <f>VLOOKUP($A94,'O&amp;M per TB'!$B$4:W$375,I$5,FALSE)</f>
        <v>678.9699999999998</v>
      </c>
      <c r="J94" s="627">
        <f>VLOOKUP($A94,'O&amp;M per TB'!$B$4:X$375,J$5,FALSE)</f>
        <v>678.97000000000025</v>
      </c>
      <c r="K94" s="627">
        <f>VLOOKUP($A94,'O&amp;M per TB'!$B$4:Y$375,K$5,FALSE)</f>
        <v>680.21999999999935</v>
      </c>
      <c r="L94" s="627">
        <f>VLOOKUP($A94,'O&amp;M per TB'!$B$4:Z$375,L$5,FALSE)</f>
        <v>680.22000000000025</v>
      </c>
      <c r="M94" s="627">
        <f>VLOOKUP($A94,'O&amp;M per TB'!$B$4:AA$375,M$5,FALSE)</f>
        <v>680.47000000000025</v>
      </c>
      <c r="N94" s="627">
        <f>VLOOKUP($A94,'O&amp;M per TB'!$B$4:AB$375,N$5,FALSE)</f>
        <v>691.57999999999993</v>
      </c>
      <c r="O94" s="627">
        <f>VLOOKUP($A94,'O&amp;M per TB'!$B$4:AC$375,O$5,FALSE)</f>
        <v>691.57999999999993</v>
      </c>
      <c r="P94" s="1685">
        <f>SUM(D94:O94)</f>
        <v>8175.58</v>
      </c>
    </row>
    <row r="95" spans="1:17" s="538" customFormat="1">
      <c r="A95" s="561"/>
      <c r="C95" s="546"/>
      <c r="D95" s="600"/>
      <c r="E95" s="600"/>
      <c r="F95" s="600"/>
      <c r="G95" s="600"/>
      <c r="H95" s="600"/>
      <c r="I95" s="600"/>
      <c r="J95" s="600"/>
      <c r="K95" s="600"/>
      <c r="L95" s="600"/>
      <c r="M95" s="600"/>
      <c r="N95" s="600"/>
      <c r="O95" s="599"/>
      <c r="P95" s="599"/>
    </row>
    <row r="96" spans="1:17" s="538" customFormat="1">
      <c r="A96" s="561">
        <v>6715</v>
      </c>
      <c r="B96" s="538" t="s">
        <v>1439</v>
      </c>
      <c r="C96" s="546" t="s">
        <v>936</v>
      </c>
      <c r="D96" s="627">
        <f>VLOOKUP($A96,'O&amp;M per TB'!$B$4:R$375,D$5,FALSE)</f>
        <v>4389.97</v>
      </c>
      <c r="E96" s="627">
        <f>VLOOKUP($A96,'O&amp;M per TB'!$B$4:S$375,E$5,FALSE)</f>
        <v>4389.97</v>
      </c>
      <c r="F96" s="627">
        <f>VLOOKUP($A96,'O&amp;M per TB'!$B$4:T$375,F$5,FALSE)</f>
        <v>4390.2699999999986</v>
      </c>
      <c r="G96" s="627">
        <f>VLOOKUP($A96,'O&amp;M per TB'!$B$4:U$375,G$5,FALSE)</f>
        <v>4390.2700000000004</v>
      </c>
      <c r="H96" s="627">
        <f>VLOOKUP($A96,'O&amp;M per TB'!$B$4:V$375,H$5,FALSE)</f>
        <v>4390.510000000002</v>
      </c>
      <c r="I96" s="627">
        <f>VLOOKUP($A96,'O&amp;M per TB'!$B$4:W$375,I$5,FALSE)</f>
        <v>4390.6699999999983</v>
      </c>
      <c r="J96" s="627">
        <f>VLOOKUP($A96,'O&amp;M per TB'!$B$4:X$375,J$5,FALSE)</f>
        <v>4391.119999999999</v>
      </c>
      <c r="K96" s="627">
        <f>VLOOKUP($A96,'O&amp;M per TB'!$B$4:Y$375,K$5,FALSE)</f>
        <v>4392.57</v>
      </c>
      <c r="L96" s="627">
        <f>VLOOKUP($A96,'O&amp;M per TB'!$B$4:Z$375,L$5,FALSE)</f>
        <v>4402.4800000000032</v>
      </c>
      <c r="M96" s="627">
        <f>VLOOKUP($A96,'O&amp;M per TB'!$B$4:AA$375,M$5,FALSE)</f>
        <v>4411.7200000000012</v>
      </c>
      <c r="N96" s="627">
        <f>VLOOKUP($A96,'O&amp;M per TB'!$B$4:AB$375,N$5,FALSE)</f>
        <v>4407.7999999999956</v>
      </c>
      <c r="O96" s="627">
        <f>VLOOKUP($A96,'O&amp;M per TB'!$B$4:AC$375,O$5,FALSE)</f>
        <v>4415.4400000000023</v>
      </c>
      <c r="P96" s="599">
        <f>SUM(D96:O96)</f>
        <v>52762.79</v>
      </c>
    </row>
    <row r="97" spans="1:16" s="538" customFormat="1">
      <c r="A97" s="561">
        <v>6717</v>
      </c>
      <c r="B97" s="538" t="s">
        <v>1440</v>
      </c>
      <c r="C97" s="546" t="s">
        <v>937</v>
      </c>
      <c r="D97" s="627">
        <f>VLOOKUP($A97,'O&amp;M per TB'!$B$4:R$375,D$5,FALSE)</f>
        <v>345.13</v>
      </c>
      <c r="E97" s="627">
        <f>VLOOKUP($A97,'O&amp;M per TB'!$B$4:S$375,E$5,FALSE)</f>
        <v>358.67999999999995</v>
      </c>
      <c r="F97" s="627">
        <f>VLOOKUP($A97,'O&amp;M per TB'!$B$4:T$375,F$5,FALSE)</f>
        <v>359.36000000000013</v>
      </c>
      <c r="G97" s="627">
        <f>VLOOKUP($A97,'O&amp;M per TB'!$B$4:U$375,G$5,FALSE)</f>
        <v>357.57999999999993</v>
      </c>
      <c r="H97" s="627">
        <f>VLOOKUP($A97,'O&amp;M per TB'!$B$4:V$375,H$5,FALSE)</f>
        <v>357.57999999999993</v>
      </c>
      <c r="I97" s="627">
        <f>VLOOKUP($A97,'O&amp;M per TB'!$B$4:W$375,I$5,FALSE)</f>
        <v>357.57999999999993</v>
      </c>
      <c r="J97" s="627">
        <f>VLOOKUP($A97,'O&amp;M per TB'!$B$4:X$375,J$5,FALSE)</f>
        <v>357.57999999999993</v>
      </c>
      <c r="K97" s="627">
        <f>VLOOKUP($A97,'O&amp;M per TB'!$B$4:Y$375,K$5,FALSE)</f>
        <v>357.58000000000038</v>
      </c>
      <c r="L97" s="627">
        <f>VLOOKUP($A97,'O&amp;M per TB'!$B$4:Z$375,L$5,FALSE)</f>
        <v>357.57999999999993</v>
      </c>
      <c r="M97" s="627">
        <f>VLOOKUP($A97,'O&amp;M per TB'!$B$4:AA$375,M$5,FALSE)</f>
        <v>357.57999999999993</v>
      </c>
      <c r="N97" s="627">
        <f>VLOOKUP($A97,'O&amp;M per TB'!$B$4:AB$375,N$5,FALSE)</f>
        <v>357.57999999999993</v>
      </c>
      <c r="O97" s="627">
        <f>VLOOKUP($A97,'O&amp;M per TB'!$B$4:AC$375,O$5,FALSE)</f>
        <v>357.58000000000038</v>
      </c>
      <c r="P97" s="599">
        <f>SUM(D97:O97)</f>
        <v>4281.3900000000003</v>
      </c>
    </row>
    <row r="98" spans="1:16" s="538" customFormat="1">
      <c r="A98" s="561"/>
      <c r="B98" s="548" t="s">
        <v>763</v>
      </c>
      <c r="C98" s="544" t="s">
        <v>763</v>
      </c>
      <c r="D98" s="602">
        <f>SUM(D96:D97)</f>
        <v>4735.1000000000004</v>
      </c>
      <c r="E98" s="602">
        <f t="shared" ref="E98:O98" si="12">SUM(E96:E97)</f>
        <v>4748.6500000000005</v>
      </c>
      <c r="F98" s="602">
        <f t="shared" si="12"/>
        <v>4749.6299999999992</v>
      </c>
      <c r="G98" s="602">
        <f t="shared" si="12"/>
        <v>4747.8500000000004</v>
      </c>
      <c r="H98" s="602">
        <f>SUM(H96:H97)</f>
        <v>4748.090000000002</v>
      </c>
      <c r="I98" s="602">
        <f t="shared" si="12"/>
        <v>4748.2499999999982</v>
      </c>
      <c r="J98" s="602">
        <f t="shared" si="12"/>
        <v>4748.6999999999989</v>
      </c>
      <c r="K98" s="602">
        <f t="shared" si="12"/>
        <v>4750.1499999999996</v>
      </c>
      <c r="L98" s="602">
        <f t="shared" si="12"/>
        <v>4760.0600000000031</v>
      </c>
      <c r="M98" s="602">
        <f t="shared" si="12"/>
        <v>4769.3000000000011</v>
      </c>
      <c r="N98" s="602">
        <f t="shared" si="12"/>
        <v>4765.3799999999956</v>
      </c>
      <c r="O98" s="602">
        <f t="shared" si="12"/>
        <v>4773.0200000000023</v>
      </c>
      <c r="P98" s="1686">
        <f>SUM(P96:P97)</f>
        <v>57044.18</v>
      </c>
    </row>
    <row r="99" spans="1:16" s="538" customFormat="1">
      <c r="A99" s="561"/>
      <c r="C99" s="547"/>
      <c r="D99" s="601"/>
      <c r="E99" s="601"/>
      <c r="F99" s="601"/>
      <c r="G99" s="601"/>
      <c r="H99" s="601"/>
      <c r="I99" s="601"/>
      <c r="J99" s="601"/>
      <c r="K99" s="601"/>
      <c r="L99" s="601"/>
      <c r="M99" s="601"/>
      <c r="N99" s="601"/>
      <c r="O99" s="599"/>
      <c r="P99" s="599"/>
    </row>
    <row r="100" spans="1:16" s="538" customFormat="1">
      <c r="A100" s="561">
        <v>6725</v>
      </c>
      <c r="B100" s="538" t="s">
        <v>1441</v>
      </c>
      <c r="C100" s="546" t="s">
        <v>938</v>
      </c>
      <c r="D100" s="627">
        <f>VLOOKUP($A100,'O&amp;M per TB'!$B$4:R$375,D$5,FALSE)</f>
        <v>164.49</v>
      </c>
      <c r="E100" s="627">
        <f>VLOOKUP($A100,'O&amp;M per TB'!$B$4:S$375,E$5,FALSE)</f>
        <v>164.49</v>
      </c>
      <c r="F100" s="627">
        <f>VLOOKUP($A100,'O&amp;M per TB'!$B$4:T$375,F$5,FALSE)</f>
        <v>164.49</v>
      </c>
      <c r="G100" s="627">
        <f>VLOOKUP($A100,'O&amp;M per TB'!$B$4:U$375,G$5,FALSE)</f>
        <v>164.49</v>
      </c>
      <c r="H100" s="627">
        <f>VLOOKUP($A100,'O&amp;M per TB'!$B$4:V$375,H$5,FALSE)</f>
        <v>164.49</v>
      </c>
      <c r="I100" s="627">
        <f>VLOOKUP($A100,'O&amp;M per TB'!$B$4:W$375,I$5,FALSE)</f>
        <v>164.49</v>
      </c>
      <c r="J100" s="627">
        <f>VLOOKUP($A100,'O&amp;M per TB'!$B$4:X$375,J$5,FALSE)</f>
        <v>164.49</v>
      </c>
      <c r="K100" s="627">
        <f>VLOOKUP($A100,'O&amp;M per TB'!$B$4:Y$375,K$5,FALSE)</f>
        <v>164.49</v>
      </c>
      <c r="L100" s="627">
        <f>VLOOKUP($A100,'O&amp;M per TB'!$B$4:Z$375,L$5,FALSE)</f>
        <v>164.49</v>
      </c>
      <c r="M100" s="627">
        <f>VLOOKUP($A100,'O&amp;M per TB'!$B$4:AA$375,M$5,FALSE)</f>
        <v>164.49</v>
      </c>
      <c r="N100" s="627">
        <f>VLOOKUP($A100,'O&amp;M per TB'!$B$4:AB$375,N$5,FALSE)</f>
        <v>164.49</v>
      </c>
      <c r="O100" s="627">
        <f>VLOOKUP($A100,'O&amp;M per TB'!$B$4:AC$375,O$5,FALSE)</f>
        <v>168.9699999999998</v>
      </c>
      <c r="P100" s="1685">
        <f>SUM(D100:O100)</f>
        <v>1978.36</v>
      </c>
    </row>
    <row r="101" spans="1:16" s="538" customFormat="1">
      <c r="A101" s="561"/>
      <c r="C101" s="547"/>
      <c r="D101" s="601"/>
      <c r="E101" s="601"/>
      <c r="F101" s="601"/>
      <c r="G101" s="601"/>
      <c r="H101" s="601"/>
      <c r="I101" s="601"/>
      <c r="J101" s="601"/>
      <c r="K101" s="601"/>
      <c r="L101" s="601"/>
      <c r="M101" s="601"/>
      <c r="N101" s="601"/>
      <c r="O101" s="599"/>
      <c r="P101" s="599"/>
    </row>
    <row r="102" spans="1:16" s="538" customFormat="1">
      <c r="A102" s="561">
        <v>6660</v>
      </c>
      <c r="B102" s="538" t="s">
        <v>310</v>
      </c>
      <c r="C102" s="546" t="s">
        <v>939</v>
      </c>
      <c r="D102" s="627">
        <f>VLOOKUP($A102,'O&amp;M per TB'!$B$4:R$375,D$5,FALSE)</f>
        <v>983.7</v>
      </c>
      <c r="E102" s="627">
        <f>VLOOKUP($A102,'O&amp;M per TB'!$B$4:S$375,E$5,FALSE)</f>
        <v>989.54</v>
      </c>
      <c r="F102" s="627">
        <f>VLOOKUP($A102,'O&amp;M per TB'!$B$4:T$375,F$5,FALSE)</f>
        <v>989.54000000000019</v>
      </c>
      <c r="G102" s="627">
        <f>VLOOKUP($A102,'O&amp;M per TB'!$B$4:U$375,G$5,FALSE)</f>
        <v>1033.1499999999996</v>
      </c>
      <c r="H102" s="627">
        <f>VLOOKUP($A102,'O&amp;M per TB'!$B$4:V$375,H$5,FALSE)</f>
        <v>1033.4200000000005</v>
      </c>
      <c r="I102" s="627">
        <f>VLOOKUP($A102,'O&amp;M per TB'!$B$4:W$375,I$5,FALSE)</f>
        <v>1017.4299999999994</v>
      </c>
      <c r="J102" s="627">
        <f>VLOOKUP($A102,'O&amp;M per TB'!$B$4:X$375,J$5,FALSE)</f>
        <v>2849.3</v>
      </c>
      <c r="K102" s="627">
        <f>VLOOKUP($A102,'O&amp;M per TB'!$B$4:Y$375,K$5,FALSE)</f>
        <v>2849.2999999999993</v>
      </c>
      <c r="L102" s="627">
        <f>VLOOKUP($A102,'O&amp;M per TB'!$B$4:Z$375,L$5,FALSE)</f>
        <v>1996.3000000000011</v>
      </c>
      <c r="M102" s="627">
        <f>VLOOKUP($A102,'O&amp;M per TB'!$B$4:AA$375,M$5,FALSE)</f>
        <v>1996.2999999999993</v>
      </c>
      <c r="N102" s="627">
        <f>VLOOKUP($A102,'O&amp;M per TB'!$B$4:AB$375,N$5,FALSE)</f>
        <v>1996.2999999999993</v>
      </c>
      <c r="O102" s="627">
        <f>VLOOKUP($A102,'O&amp;M per TB'!$B$4:AC$375,O$5,FALSE)</f>
        <v>1996.3000000000029</v>
      </c>
      <c r="P102" s="1685">
        <f>SUM(D102:O102)</f>
        <v>19730.580000000002</v>
      </c>
    </row>
    <row r="103" spans="1:16" s="538" customFormat="1">
      <c r="A103" s="561"/>
      <c r="C103" s="547"/>
      <c r="D103" s="601"/>
      <c r="E103" s="601"/>
      <c r="F103" s="601"/>
      <c r="G103" s="601"/>
      <c r="H103" s="601"/>
      <c r="I103" s="601"/>
      <c r="J103" s="601"/>
      <c r="K103" s="601"/>
      <c r="L103" s="601"/>
      <c r="M103" s="601"/>
      <c r="N103" s="601"/>
      <c r="O103" s="599"/>
      <c r="P103" s="599"/>
    </row>
    <row r="104" spans="1:16" s="538" customFormat="1">
      <c r="A104" s="561">
        <v>6655</v>
      </c>
      <c r="B104" s="538" t="s">
        <v>1653</v>
      </c>
      <c r="C104" s="547"/>
      <c r="D104" s="627"/>
      <c r="E104" s="627"/>
      <c r="F104" s="627"/>
      <c r="G104" s="627"/>
      <c r="H104" s="627"/>
      <c r="I104" s="627"/>
      <c r="J104" s="627"/>
      <c r="K104" s="627"/>
      <c r="L104" s="627"/>
      <c r="M104" s="627"/>
      <c r="N104" s="627"/>
      <c r="O104" s="627"/>
      <c r="P104" s="599">
        <f>SUM(D104:O104)</f>
        <v>0</v>
      </c>
    </row>
    <row r="105" spans="1:16" s="538" customFormat="1">
      <c r="A105" s="561"/>
      <c r="C105" s="547"/>
      <c r="D105" s="601"/>
      <c r="E105" s="601"/>
      <c r="F105" s="601"/>
      <c r="G105" s="601"/>
      <c r="H105" s="601"/>
      <c r="I105" s="601"/>
      <c r="J105" s="601"/>
      <c r="K105" s="601"/>
      <c r="L105" s="601"/>
      <c r="M105" s="601"/>
      <c r="N105" s="601"/>
      <c r="O105" s="599"/>
      <c r="P105" s="599"/>
    </row>
    <row r="106" spans="1:16" s="538" customFormat="1">
      <c r="A106" s="561">
        <v>6680</v>
      </c>
      <c r="B106" s="538" t="s">
        <v>381</v>
      </c>
      <c r="C106" s="546" t="s">
        <v>940</v>
      </c>
      <c r="D106" s="627">
        <f>VLOOKUP($A106,'O&amp;M per TB'!$B$4:R$375,D$5,FALSE)</f>
        <v>6245.65</v>
      </c>
      <c r="E106" s="627">
        <f>VLOOKUP($A106,'O&amp;M per TB'!$B$4:S$375,E$5,FALSE)</f>
        <v>6246.07</v>
      </c>
      <c r="F106" s="627">
        <f>VLOOKUP($A106,'O&amp;M per TB'!$B$4:T$375,F$5,FALSE)</f>
        <v>6246.0700000000015</v>
      </c>
      <c r="G106" s="627">
        <f>VLOOKUP($A106,'O&amp;M per TB'!$B$4:U$375,G$5,FALSE)</f>
        <v>6246.07</v>
      </c>
      <c r="H106" s="627">
        <f>VLOOKUP($A106,'O&amp;M per TB'!$B$4:V$375,H$5,FALSE)</f>
        <v>6246.5999999999985</v>
      </c>
      <c r="I106" s="627">
        <f>VLOOKUP($A106,'O&amp;M per TB'!$B$4:W$375,I$5,FALSE)</f>
        <v>6246.5999999999985</v>
      </c>
      <c r="J106" s="627">
        <f>VLOOKUP($A106,'O&amp;M per TB'!$B$4:X$375,J$5,FALSE)</f>
        <v>6246.6000000000058</v>
      </c>
      <c r="K106" s="627">
        <f>VLOOKUP($A106,'O&amp;M per TB'!$B$4:Y$375,K$5,FALSE)</f>
        <v>6246.5999999999985</v>
      </c>
      <c r="L106" s="627">
        <f>VLOOKUP($A106,'O&amp;M per TB'!$B$4:Z$375,L$5,FALSE)</f>
        <v>6246.5999999999985</v>
      </c>
      <c r="M106" s="627">
        <f>VLOOKUP($A106,'O&amp;M per TB'!$B$4:AA$375,M$5,FALSE)</f>
        <v>6246.5999999999985</v>
      </c>
      <c r="N106" s="627">
        <f>VLOOKUP($A106,'O&amp;M per TB'!$B$4:AB$375,N$5,FALSE)</f>
        <v>6248.2300000000032</v>
      </c>
      <c r="O106" s="627">
        <f>VLOOKUP($A106,'O&amp;M per TB'!$B$4:AC$375,O$5,FALSE)</f>
        <v>6249.9400000000023</v>
      </c>
      <c r="P106" s="599">
        <f>SUM(D106:O106)</f>
        <v>74961.63</v>
      </c>
    </row>
    <row r="107" spans="1:16" s="538" customFormat="1">
      <c r="A107" s="561"/>
      <c r="B107" s="538" t="s">
        <v>1706</v>
      </c>
      <c r="C107" s="546"/>
      <c r="D107" s="600"/>
      <c r="E107" s="600"/>
      <c r="F107" s="600"/>
      <c r="G107" s="600"/>
      <c r="H107" s="600"/>
      <c r="I107" s="600"/>
      <c r="J107" s="600"/>
      <c r="K107" s="600"/>
      <c r="L107" s="600"/>
      <c r="M107" s="600">
        <f t="shared" ref="M107:O107" si="13">-M43</f>
        <v>0</v>
      </c>
      <c r="N107" s="600">
        <f t="shared" si="13"/>
        <v>0</v>
      </c>
      <c r="O107" s="600">
        <f t="shared" si="13"/>
        <v>0</v>
      </c>
      <c r="P107" s="599">
        <f>SUM(D107:O107)</f>
        <v>0</v>
      </c>
    </row>
    <row r="108" spans="1:16" s="538" customFormat="1">
      <c r="A108" s="561"/>
      <c r="B108" s="548" t="s">
        <v>763</v>
      </c>
      <c r="C108" s="544" t="s">
        <v>763</v>
      </c>
      <c r="D108" s="602">
        <f>SUM(D106:D107)</f>
        <v>6245.65</v>
      </c>
      <c r="E108" s="602">
        <f t="shared" ref="E108:P108" si="14">SUM(E106:E107)</f>
        <v>6246.07</v>
      </c>
      <c r="F108" s="602">
        <f t="shared" si="14"/>
        <v>6246.0700000000015</v>
      </c>
      <c r="G108" s="602">
        <f t="shared" si="14"/>
        <v>6246.07</v>
      </c>
      <c r="H108" s="602">
        <f t="shared" si="14"/>
        <v>6246.5999999999985</v>
      </c>
      <c r="I108" s="602">
        <f t="shared" si="14"/>
        <v>6246.5999999999985</v>
      </c>
      <c r="J108" s="602">
        <f t="shared" si="14"/>
        <v>6246.6000000000058</v>
      </c>
      <c r="K108" s="602">
        <f t="shared" si="14"/>
        <v>6246.5999999999985</v>
      </c>
      <c r="L108" s="602">
        <f t="shared" si="14"/>
        <v>6246.5999999999985</v>
      </c>
      <c r="M108" s="602">
        <f t="shared" si="14"/>
        <v>6246.5999999999985</v>
      </c>
      <c r="N108" s="602">
        <f t="shared" si="14"/>
        <v>6248.2300000000032</v>
      </c>
      <c r="O108" s="602">
        <f t="shared" si="14"/>
        <v>6249.9400000000023</v>
      </c>
      <c r="P108" s="1686">
        <f t="shared" si="14"/>
        <v>74961.63</v>
      </c>
    </row>
    <row r="109" spans="1:16" s="538" customFormat="1">
      <c r="A109" s="561"/>
      <c r="C109" s="546"/>
      <c r="D109" s="600"/>
      <c r="E109" s="600"/>
      <c r="F109" s="600"/>
      <c r="G109" s="600"/>
      <c r="H109" s="600"/>
      <c r="I109" s="600"/>
      <c r="J109" s="600"/>
      <c r="K109" s="600"/>
      <c r="L109" s="600"/>
      <c r="M109" s="600"/>
      <c r="N109" s="600"/>
      <c r="O109" s="599"/>
      <c r="P109" s="599"/>
    </row>
    <row r="110" spans="1:16" s="538" customFormat="1">
      <c r="A110" s="561">
        <v>6685</v>
      </c>
      <c r="B110" s="538" t="s">
        <v>160</v>
      </c>
      <c r="C110" s="547"/>
      <c r="D110" s="627"/>
      <c r="E110" s="627"/>
      <c r="F110" s="627"/>
      <c r="G110" s="627"/>
      <c r="H110" s="627"/>
      <c r="I110" s="627"/>
      <c r="J110" s="627"/>
      <c r="K110" s="627"/>
      <c r="L110" s="627"/>
      <c r="M110" s="627"/>
      <c r="N110" s="627"/>
      <c r="O110" s="627"/>
      <c r="P110" s="599">
        <f>SUM(D110:O110)</f>
        <v>0</v>
      </c>
    </row>
    <row r="111" spans="1:16" s="538" customFormat="1">
      <c r="A111" s="561"/>
      <c r="C111" s="547"/>
      <c r="D111" s="601"/>
      <c r="E111" s="601"/>
      <c r="F111" s="601"/>
      <c r="G111" s="601"/>
      <c r="H111" s="601"/>
      <c r="I111" s="601"/>
      <c r="J111" s="601"/>
      <c r="K111" s="601"/>
      <c r="L111" s="601"/>
      <c r="M111" s="601"/>
      <c r="N111" s="601"/>
      <c r="O111" s="599"/>
      <c r="P111" s="599"/>
    </row>
    <row r="112" spans="1:16" s="538" customFormat="1">
      <c r="A112" s="561">
        <v>6730</v>
      </c>
      <c r="B112" s="538" t="s">
        <v>311</v>
      </c>
      <c r="C112" s="547"/>
      <c r="D112" s="627">
        <f>VLOOKUP($A112,'O&amp;M per TB'!$B$4:R$375,D$5,FALSE)</f>
        <v>137.55000000000001</v>
      </c>
      <c r="E112" s="627">
        <f>VLOOKUP($A112,'O&amp;M per TB'!$B$4:S$375,E$5,FALSE)</f>
        <v>62.989999999999981</v>
      </c>
      <c r="F112" s="627">
        <f>VLOOKUP($A112,'O&amp;M per TB'!$B$4:T$375,F$5,FALSE)</f>
        <v>62.989999999999981</v>
      </c>
      <c r="G112" s="627">
        <f>VLOOKUP($A112,'O&amp;M per TB'!$B$4:U$375,G$5,FALSE)</f>
        <v>62.990000000000009</v>
      </c>
      <c r="H112" s="627">
        <f>VLOOKUP($A112,'O&amp;M per TB'!$B$4:V$375,H$5,FALSE)</f>
        <v>62.990000000000009</v>
      </c>
      <c r="I112" s="627">
        <f>VLOOKUP($A112,'O&amp;M per TB'!$B$4:W$375,I$5,FALSE)</f>
        <v>62.990000000000009</v>
      </c>
      <c r="J112" s="627">
        <f>VLOOKUP($A112,'O&amp;M per TB'!$B$4:X$375,J$5,FALSE)</f>
        <v>62.990000000000009</v>
      </c>
      <c r="K112" s="627">
        <f>VLOOKUP($A112,'O&amp;M per TB'!$B$4:Y$375,K$5,FALSE)</f>
        <v>62.990000000000009</v>
      </c>
      <c r="L112" s="627">
        <f>VLOOKUP($A112,'O&amp;M per TB'!$B$4:Z$375,L$5,FALSE)</f>
        <v>62.990000000000009</v>
      </c>
      <c r="M112" s="627">
        <f>VLOOKUP($A112,'O&amp;M per TB'!$B$4:AA$375,M$5,FALSE)</f>
        <v>117.64999999999998</v>
      </c>
      <c r="N112" s="627">
        <f>VLOOKUP($A112,'O&amp;M per TB'!$B$4:AB$375,N$5,FALSE)</f>
        <v>95.259999999999991</v>
      </c>
      <c r="O112" s="627">
        <f>VLOOKUP($A112,'O&amp;M per TB'!$B$4:AC$375,O$5,FALSE)</f>
        <v>95.259999999999991</v>
      </c>
      <c r="P112" s="1685">
        <f>SUM(D112:O112)</f>
        <v>949.64</v>
      </c>
    </row>
    <row r="113" spans="1:16" s="538" customFormat="1">
      <c r="A113" s="561">
        <v>6795</v>
      </c>
      <c r="B113" s="538" t="s">
        <v>315</v>
      </c>
      <c r="C113" s="547"/>
      <c r="D113" s="627">
        <f>VLOOKUP($A113,'O&amp;M per TB'!$B$4:R$375,D$5,FALSE)</f>
        <v>6.62</v>
      </c>
      <c r="E113" s="627">
        <f>VLOOKUP($A113,'O&amp;M per TB'!$B$4:S$375,E$5,FALSE)</f>
        <v>6.62</v>
      </c>
      <c r="F113" s="627">
        <f>VLOOKUP($A113,'O&amp;M per TB'!$B$4:T$375,F$5,FALSE)</f>
        <v>6.6199999999999992</v>
      </c>
      <c r="G113" s="627">
        <f>VLOOKUP($A113,'O&amp;M per TB'!$B$4:U$375,G$5,FALSE)</f>
        <v>6.620000000000001</v>
      </c>
      <c r="H113" s="627">
        <f>VLOOKUP($A113,'O&amp;M per TB'!$B$4:V$375,H$5,FALSE)</f>
        <v>6.620000000000001</v>
      </c>
      <c r="I113" s="627">
        <f>VLOOKUP($A113,'O&amp;M per TB'!$B$4:W$375,I$5,FALSE)</f>
        <v>6.6199999999999974</v>
      </c>
      <c r="J113" s="627">
        <f>VLOOKUP($A113,'O&amp;M per TB'!$B$4:X$375,J$5,FALSE)</f>
        <v>6.6200000000000045</v>
      </c>
      <c r="K113" s="627">
        <f>VLOOKUP($A113,'O&amp;M per TB'!$B$4:Y$375,K$5,FALSE)</f>
        <v>6.6199999999999974</v>
      </c>
      <c r="L113" s="627">
        <f>VLOOKUP($A113,'O&amp;M per TB'!$B$4:Z$375,L$5,FALSE)</f>
        <v>6.6199999999999974</v>
      </c>
      <c r="M113" s="627">
        <f>VLOOKUP($A113,'O&amp;M per TB'!$B$4:AA$375,M$5,FALSE)</f>
        <v>6.6200000000000045</v>
      </c>
      <c r="N113" s="627">
        <f>VLOOKUP($A113,'O&amp;M per TB'!$B$4:AB$375,N$5,FALSE)</f>
        <v>6.6199999999999903</v>
      </c>
      <c r="O113" s="627">
        <f>VLOOKUP($A113,'O&amp;M per TB'!$B$4:AC$375,O$5,FALSE)</f>
        <v>6.6200000000000045</v>
      </c>
      <c r="P113" s="1685">
        <f>SUM(D113:O113)</f>
        <v>79.44</v>
      </c>
    </row>
    <row r="114" spans="1:16" s="538" customFormat="1">
      <c r="A114" s="561"/>
      <c r="C114" s="547"/>
      <c r="D114" s="601"/>
      <c r="E114" s="601"/>
      <c r="F114" s="601"/>
      <c r="G114" s="601"/>
      <c r="H114" s="601"/>
      <c r="I114" s="601"/>
      <c r="J114" s="601"/>
      <c r="K114" s="601"/>
      <c r="L114" s="601"/>
      <c r="M114" s="601"/>
      <c r="N114" s="601"/>
      <c r="O114" s="599"/>
      <c r="P114" s="599"/>
    </row>
    <row r="115" spans="1:16" s="538" customFormat="1">
      <c r="A115" s="561">
        <v>6745</v>
      </c>
      <c r="B115" s="538" t="s">
        <v>312</v>
      </c>
      <c r="C115" s="547"/>
      <c r="D115" s="627">
        <f>VLOOKUP($A115,'O&amp;M per TB'!$B$4:R$375,D$5,FALSE)</f>
        <v>1125.1400000000001</v>
      </c>
      <c r="E115" s="627">
        <f>VLOOKUP($A115,'O&amp;M per TB'!$B$4:S$375,E$5,FALSE)</f>
        <v>1136.01</v>
      </c>
      <c r="F115" s="627">
        <f>VLOOKUP($A115,'O&amp;M per TB'!$B$4:T$375,F$5,FALSE)</f>
        <v>1136.42</v>
      </c>
      <c r="G115" s="627">
        <f>VLOOKUP($A115,'O&amp;M per TB'!$B$4:U$375,G$5,FALSE)</f>
        <v>1186.9699999999998</v>
      </c>
      <c r="H115" s="627">
        <f>VLOOKUP($A115,'O&amp;M per TB'!$B$4:V$375,H$5,FALSE)</f>
        <v>1187.3500000000004</v>
      </c>
      <c r="I115" s="627">
        <f>VLOOKUP($A115,'O&amp;M per TB'!$B$4:W$375,I$5,FALSE)</f>
        <v>1145.46</v>
      </c>
      <c r="J115" s="627">
        <f>VLOOKUP($A115,'O&amp;M per TB'!$B$4:X$375,J$5,FALSE)</f>
        <v>1145.46</v>
      </c>
      <c r="K115" s="627">
        <f>VLOOKUP($A115,'O&amp;M per TB'!$B$4:Y$375,K$5,FALSE)</f>
        <v>1145.46</v>
      </c>
      <c r="L115" s="627">
        <f>VLOOKUP($A115,'O&amp;M per TB'!$B$4:Z$375,L$5,FALSE)</f>
        <v>1145.4599999999991</v>
      </c>
      <c r="M115" s="627">
        <f>VLOOKUP($A115,'O&amp;M per TB'!$B$4:AA$375,M$5,FALSE)</f>
        <v>1145.4600000000009</v>
      </c>
      <c r="N115" s="627">
        <f>VLOOKUP($A115,'O&amp;M per TB'!$B$4:AB$375,N$5,FALSE)</f>
        <v>1145.4599999999991</v>
      </c>
      <c r="O115" s="627">
        <f>VLOOKUP($A115,'O&amp;M per TB'!$B$4:AC$375,O$5,FALSE)</f>
        <v>1146.7100000000009</v>
      </c>
      <c r="P115" s="1685">
        <f>SUM(D115:O115)</f>
        <v>13791.36</v>
      </c>
    </row>
    <row r="116" spans="1:16" s="538" customFormat="1">
      <c r="A116" s="561">
        <v>6800</v>
      </c>
      <c r="B116" s="538" t="s">
        <v>316</v>
      </c>
      <c r="C116" s="547"/>
      <c r="D116" s="627">
        <f>VLOOKUP($A116,'O&amp;M per TB'!$B$4:R$375,D$5,FALSE)</f>
        <v>40.35</v>
      </c>
      <c r="E116" s="627">
        <f>VLOOKUP($A116,'O&amp;M per TB'!$B$4:S$375,E$5,FALSE)</f>
        <v>40.35</v>
      </c>
      <c r="F116" s="627">
        <f>VLOOKUP($A116,'O&amp;M per TB'!$B$4:T$375,F$5,FALSE)</f>
        <v>40.349999999999994</v>
      </c>
      <c r="G116" s="627">
        <f>VLOOKUP($A116,'O&amp;M per TB'!$B$4:U$375,G$5,FALSE)</f>
        <v>40.350000000000009</v>
      </c>
      <c r="H116" s="627">
        <f>VLOOKUP($A116,'O&amp;M per TB'!$B$4:V$375,H$5,FALSE)</f>
        <v>40.349999999999994</v>
      </c>
      <c r="I116" s="627">
        <f>VLOOKUP($A116,'O&amp;M per TB'!$B$4:W$375,I$5,FALSE)</f>
        <v>40.349999999999994</v>
      </c>
      <c r="J116" s="627">
        <f>VLOOKUP($A116,'O&amp;M per TB'!$B$4:X$375,J$5,FALSE)</f>
        <v>40.349999999999994</v>
      </c>
      <c r="K116" s="627">
        <f>VLOOKUP($A116,'O&amp;M per TB'!$B$4:Y$375,K$5,FALSE)</f>
        <v>40.350000000000023</v>
      </c>
      <c r="L116" s="627">
        <f>VLOOKUP($A116,'O&amp;M per TB'!$B$4:Z$375,L$5,FALSE)</f>
        <v>40.349999999999966</v>
      </c>
      <c r="M116" s="627">
        <f>VLOOKUP($A116,'O&amp;M per TB'!$B$4:AA$375,M$5,FALSE)</f>
        <v>40.350000000000023</v>
      </c>
      <c r="N116" s="627">
        <f>VLOOKUP($A116,'O&amp;M per TB'!$B$4:AB$375,N$5,FALSE)</f>
        <v>40.350000000000023</v>
      </c>
      <c r="O116" s="627">
        <f>VLOOKUP($A116,'O&amp;M per TB'!$B$4:AC$375,O$5,FALSE)</f>
        <v>40.349999999999966</v>
      </c>
      <c r="P116" s="1685">
        <f>SUM(D116:O116)</f>
        <v>484.2</v>
      </c>
    </row>
    <row r="117" spans="1:16" s="538" customFormat="1">
      <c r="A117" s="561"/>
      <c r="C117" s="547"/>
      <c r="D117" s="601"/>
      <c r="E117" s="601"/>
      <c r="F117" s="601"/>
      <c r="G117" s="601"/>
      <c r="H117" s="601"/>
      <c r="I117" s="601"/>
      <c r="J117" s="601"/>
      <c r="K117" s="601"/>
      <c r="L117" s="601"/>
      <c r="M117" s="601"/>
      <c r="N117" s="601"/>
      <c r="O117" s="607"/>
      <c r="P117" s="599"/>
    </row>
    <row r="118" spans="1:16" s="538" customFormat="1">
      <c r="A118" s="561">
        <v>6665</v>
      </c>
      <c r="B118" s="538" t="s">
        <v>1542</v>
      </c>
      <c r="C118" s="547"/>
      <c r="D118" s="627">
        <f>VLOOKUP($A118,'O&amp;M per TB'!$B$4:R$375,D$5,FALSE)</f>
        <v>360.2</v>
      </c>
      <c r="E118" s="627">
        <f>VLOOKUP($A118,'O&amp;M per TB'!$B$4:S$375,E$5,FALSE)</f>
        <v>360.2</v>
      </c>
      <c r="F118" s="627">
        <f>VLOOKUP($A118,'O&amp;M per TB'!$B$4:T$375,F$5,FALSE)</f>
        <v>360.19999999999993</v>
      </c>
      <c r="G118" s="627">
        <f>VLOOKUP($A118,'O&amp;M per TB'!$B$4:U$375,G$5,FALSE)</f>
        <v>361.1400000000001</v>
      </c>
      <c r="H118" s="627">
        <f>VLOOKUP($A118,'O&amp;M per TB'!$B$4:V$375,H$5,FALSE)</f>
        <v>361.1400000000001</v>
      </c>
      <c r="I118" s="627">
        <f>VLOOKUP($A118,'O&amp;M per TB'!$B$4:W$375,I$5,FALSE)</f>
        <v>362.46000000000004</v>
      </c>
      <c r="J118" s="627">
        <f>VLOOKUP($A118,'O&amp;M per TB'!$B$4:X$375,J$5,FALSE)</f>
        <v>411.80999999999995</v>
      </c>
      <c r="K118" s="627">
        <f>VLOOKUP($A118,'O&amp;M per TB'!$B$4:Y$375,K$5,FALSE)</f>
        <v>414.44999999999982</v>
      </c>
      <c r="L118" s="627">
        <f>VLOOKUP($A118,'O&amp;M per TB'!$B$4:Z$375,L$5,FALSE)</f>
        <v>431.82000000000016</v>
      </c>
      <c r="M118" s="627">
        <f>VLOOKUP($A118,'O&amp;M per TB'!$B$4:AA$375,M$5,FALSE)</f>
        <v>435.84000000000015</v>
      </c>
      <c r="N118" s="627">
        <f>VLOOKUP($A118,'O&amp;M per TB'!$B$4:AB$375,N$5,FALSE)</f>
        <v>438.01000000000022</v>
      </c>
      <c r="O118" s="627">
        <f>VLOOKUP($A118,'O&amp;M per TB'!$B$4:AC$375,O$5,FALSE)</f>
        <v>438.00999999999931</v>
      </c>
      <c r="P118" s="1685">
        <f>SUM(D118:O118)</f>
        <v>4735.28</v>
      </c>
    </row>
    <row r="119" spans="1:16" s="538" customFormat="1">
      <c r="A119" s="561"/>
      <c r="C119" s="547"/>
      <c r="D119" s="601"/>
      <c r="E119" s="601"/>
      <c r="F119" s="601"/>
      <c r="G119" s="601"/>
      <c r="H119" s="601"/>
      <c r="I119" s="601"/>
      <c r="J119" s="601"/>
      <c r="K119" s="601"/>
      <c r="L119" s="601"/>
      <c r="M119" s="601"/>
      <c r="N119" s="601"/>
      <c r="O119" s="607"/>
      <c r="P119" s="599"/>
    </row>
    <row r="120" spans="1:16" s="538" customFormat="1">
      <c r="A120" s="561">
        <v>6695</v>
      </c>
      <c r="B120" s="538" t="s">
        <v>1654</v>
      </c>
      <c r="C120" s="547"/>
      <c r="D120" s="627">
        <f>VLOOKUP($A120,'O&amp;M per TB'!$B$4:R$375,D$5,FALSE)</f>
        <v>1.45</v>
      </c>
      <c r="E120" s="627">
        <f>VLOOKUP($A120,'O&amp;M per TB'!$B$4:S$375,E$5,FALSE)</f>
        <v>1.45</v>
      </c>
      <c r="F120" s="627">
        <f>VLOOKUP($A120,'O&amp;M per TB'!$B$4:T$375,F$5,FALSE)</f>
        <v>1.4499999999999997</v>
      </c>
      <c r="G120" s="627">
        <f>VLOOKUP($A120,'O&amp;M per TB'!$B$4:U$375,G$5,FALSE)</f>
        <v>1.4500000000000002</v>
      </c>
      <c r="H120" s="627">
        <f>VLOOKUP($A120,'O&amp;M per TB'!$B$4:V$375,H$5,FALSE)</f>
        <v>1.4500000000000002</v>
      </c>
      <c r="I120" s="627">
        <f>VLOOKUP($A120,'O&amp;M per TB'!$B$4:W$375,I$5,FALSE)</f>
        <v>1.4499999999999993</v>
      </c>
      <c r="J120" s="627">
        <f>VLOOKUP($A120,'O&amp;M per TB'!$B$4:X$375,J$5,FALSE)</f>
        <v>1.4500000000000011</v>
      </c>
      <c r="K120" s="627">
        <f>VLOOKUP($A120,'O&amp;M per TB'!$B$4:Y$375,K$5,FALSE)</f>
        <v>1.9599999999999991</v>
      </c>
      <c r="L120" s="627">
        <f>VLOOKUP($A120,'O&amp;M per TB'!$B$4:Z$375,L$5,FALSE)</f>
        <v>1.9600000000000009</v>
      </c>
      <c r="M120" s="627">
        <f>VLOOKUP($A120,'O&amp;M per TB'!$B$4:AA$375,M$5,FALSE)</f>
        <v>2.2899999999999991</v>
      </c>
      <c r="N120" s="627">
        <f>VLOOKUP($A120,'O&amp;M per TB'!$B$4:AB$375,N$5,FALSE)</f>
        <v>3.9699999999999989</v>
      </c>
      <c r="O120" s="627">
        <f>VLOOKUP($A120,'O&amp;M per TB'!$B$4:AC$375,O$5,FALSE)</f>
        <v>3.9700000000000024</v>
      </c>
      <c r="P120" s="1685">
        <f>SUM(D120:O120)</f>
        <v>24.3</v>
      </c>
    </row>
    <row r="121" spans="1:16" s="538" customFormat="1">
      <c r="A121" s="561"/>
      <c r="C121" s="547"/>
      <c r="D121" s="601"/>
      <c r="E121" s="601"/>
      <c r="F121" s="601"/>
      <c r="G121" s="601"/>
      <c r="H121" s="601"/>
      <c r="I121" s="601"/>
      <c r="J121" s="601"/>
      <c r="K121" s="601"/>
      <c r="L121" s="601"/>
      <c r="M121" s="601"/>
      <c r="N121" s="601"/>
      <c r="O121" s="599"/>
      <c r="P121" s="599"/>
    </row>
    <row r="122" spans="1:16" s="538" customFormat="1">
      <c r="A122" s="561">
        <v>6765</v>
      </c>
      <c r="B122" s="538" t="s">
        <v>314</v>
      </c>
      <c r="C122" s="546"/>
      <c r="D122" s="627">
        <f>VLOOKUP($A122,'O&amp;M per TB'!$B$4:R$375,D$5,FALSE)</f>
        <v>4414.12</v>
      </c>
      <c r="E122" s="627">
        <f>VLOOKUP($A122,'O&amp;M per TB'!$B$4:S$375,E$5,FALSE)</f>
        <v>4415.2500000000009</v>
      </c>
      <c r="F122" s="627">
        <f>VLOOKUP($A122,'O&amp;M per TB'!$B$4:T$375,F$5,FALSE)</f>
        <v>4448.5099999999984</v>
      </c>
      <c r="G122" s="627">
        <f>VLOOKUP($A122,'O&amp;M per TB'!$B$4:U$375,G$5,FALSE)</f>
        <v>4460.2500000000018</v>
      </c>
      <c r="H122" s="627">
        <f>VLOOKUP($A122,'O&amp;M per TB'!$B$4:V$375,H$5,FALSE)</f>
        <v>4463.4500000000007</v>
      </c>
      <c r="I122" s="627">
        <f>VLOOKUP($A122,'O&amp;M per TB'!$B$4:W$375,I$5,FALSE)</f>
        <v>4462.5499999999993</v>
      </c>
      <c r="J122" s="627">
        <f>VLOOKUP($A122,'O&amp;M per TB'!$B$4:X$375,J$5,FALSE)</f>
        <v>4495.3299999999981</v>
      </c>
      <c r="K122" s="627">
        <f>VLOOKUP($A122,'O&amp;M per TB'!$B$4:Y$375,K$5,FALSE)</f>
        <v>4491.8499999999985</v>
      </c>
      <c r="L122" s="627">
        <f>VLOOKUP($A122,'O&amp;M per TB'!$B$4:Z$375,L$5,FALSE)</f>
        <v>4519.4800000000032</v>
      </c>
      <c r="M122" s="627">
        <f>VLOOKUP($A122,'O&amp;M per TB'!$B$4:AA$375,M$5,FALSE)</f>
        <v>4508.0400000000009</v>
      </c>
      <c r="N122" s="627">
        <f>VLOOKUP($A122,'O&amp;M per TB'!$B$4:AB$375,N$5,FALSE)</f>
        <v>4513.8399999999965</v>
      </c>
      <c r="O122" s="627">
        <f>VLOOKUP($A122,'O&amp;M per TB'!$B$4:AC$375,O$5,FALSE)</f>
        <v>4524.9000000000015</v>
      </c>
      <c r="P122" s="599">
        <f>SUM(D122:O122)</f>
        <v>53717.57</v>
      </c>
    </row>
    <row r="123" spans="1:16" s="545" customFormat="1">
      <c r="A123" s="562">
        <v>6760</v>
      </c>
      <c r="B123" s="554" t="s">
        <v>1442</v>
      </c>
      <c r="C123" s="555" t="s">
        <v>941</v>
      </c>
      <c r="D123" s="627">
        <f>VLOOKUP($A123,'O&amp;M per TB'!$B$4:R$375,D$5,FALSE)</f>
        <v>4.7699999999999996</v>
      </c>
      <c r="E123" s="627">
        <f>VLOOKUP($A123,'O&amp;M per TB'!$B$4:S$375,E$5,FALSE)</f>
        <v>4.7699999999999996</v>
      </c>
      <c r="F123" s="627">
        <f>VLOOKUP($A123,'O&amp;M per TB'!$B$4:T$375,F$5,FALSE)</f>
        <v>4.7700000000000014</v>
      </c>
      <c r="G123" s="627">
        <f>VLOOKUP($A123,'O&amp;M per TB'!$B$4:U$375,G$5,FALSE)</f>
        <v>195.27</v>
      </c>
      <c r="H123" s="627">
        <f>VLOOKUP($A123,'O&amp;M per TB'!$B$4:V$375,H$5,FALSE)</f>
        <v>195.27</v>
      </c>
      <c r="I123" s="627">
        <f>VLOOKUP($A123,'O&amp;M per TB'!$B$4:W$375,I$5,FALSE)</f>
        <v>195.26999999999998</v>
      </c>
      <c r="J123" s="627">
        <f>VLOOKUP($A123,'O&amp;M per TB'!$B$4:X$375,J$5,FALSE)</f>
        <v>195.26999999999998</v>
      </c>
      <c r="K123" s="627">
        <f>VLOOKUP($A123,'O&amp;M per TB'!$B$4:Y$375,K$5,FALSE)</f>
        <v>195.26999999999998</v>
      </c>
      <c r="L123" s="627">
        <f>VLOOKUP($A123,'O&amp;M per TB'!$B$4:Z$375,L$5,FALSE)</f>
        <v>195.2700000000001</v>
      </c>
      <c r="M123" s="627">
        <f>VLOOKUP($A123,'O&amp;M per TB'!$B$4:AA$375,M$5,FALSE)</f>
        <v>195.26999999999998</v>
      </c>
      <c r="N123" s="627">
        <f>VLOOKUP($A123,'O&amp;M per TB'!$B$4:AB$375,N$5,FALSE)</f>
        <v>195.26999999999998</v>
      </c>
      <c r="O123" s="627">
        <f>VLOOKUP($A123,'O&amp;M per TB'!$B$4:AC$375,O$5,FALSE)</f>
        <v>195.26999999999998</v>
      </c>
      <c r="P123" s="599">
        <f>SUM(D123:O123)</f>
        <v>1771.74</v>
      </c>
    </row>
    <row r="124" spans="1:16" s="538" customFormat="1">
      <c r="A124" s="561"/>
      <c r="B124" s="548" t="s">
        <v>763</v>
      </c>
      <c r="C124" s="544" t="s">
        <v>763</v>
      </c>
      <c r="D124" s="602">
        <f>SUM(D122:D123)</f>
        <v>4418.8900000000003</v>
      </c>
      <c r="E124" s="602">
        <f t="shared" ref="E124:P124" si="15">SUM(E122:E123)</f>
        <v>4420.0200000000013</v>
      </c>
      <c r="F124" s="602">
        <f t="shared" si="15"/>
        <v>4453.2799999999988</v>
      </c>
      <c r="G124" s="602">
        <f t="shared" si="15"/>
        <v>4655.5200000000023</v>
      </c>
      <c r="H124" s="602">
        <f t="shared" si="15"/>
        <v>4658.7200000000012</v>
      </c>
      <c r="I124" s="602">
        <f t="shared" si="15"/>
        <v>4657.82</v>
      </c>
      <c r="J124" s="602">
        <f t="shared" si="15"/>
        <v>4690.5999999999985</v>
      </c>
      <c r="K124" s="602">
        <f t="shared" si="15"/>
        <v>4687.119999999999</v>
      </c>
      <c r="L124" s="602">
        <f t="shared" si="15"/>
        <v>4714.7500000000036</v>
      </c>
      <c r="M124" s="602">
        <f t="shared" si="15"/>
        <v>4703.3100000000013</v>
      </c>
      <c r="N124" s="602">
        <f t="shared" si="15"/>
        <v>4709.1099999999969</v>
      </c>
      <c r="O124" s="602">
        <f t="shared" si="15"/>
        <v>4720.1700000000019</v>
      </c>
      <c r="P124" s="1686">
        <f t="shared" si="15"/>
        <v>55489.31</v>
      </c>
    </row>
    <row r="125" spans="1:16" s="538" customFormat="1">
      <c r="A125" s="561"/>
      <c r="C125" s="547"/>
      <c r="D125" s="601"/>
      <c r="E125" s="601"/>
      <c r="F125" s="601"/>
      <c r="G125" s="601"/>
      <c r="H125" s="601"/>
      <c r="I125" s="601"/>
      <c r="J125" s="601"/>
      <c r="K125" s="601"/>
      <c r="L125" s="601"/>
      <c r="M125" s="601"/>
      <c r="N125" s="601"/>
      <c r="O125" s="599"/>
      <c r="P125" s="599"/>
    </row>
    <row r="126" spans="1:16" s="538" customFormat="1">
      <c r="A126" s="561">
        <v>6775</v>
      </c>
      <c r="B126" s="538" t="s">
        <v>1806</v>
      </c>
      <c r="C126" s="547"/>
      <c r="D126" s="627">
        <f>VLOOKUP($A126,'O&amp;M per TB'!$B$4:R$375,D$5,FALSE)</f>
        <v>161.49</v>
      </c>
      <c r="E126" s="627">
        <f>VLOOKUP($A126,'O&amp;M per TB'!$B$4:S$375,E$5,FALSE)</f>
        <v>156.51</v>
      </c>
      <c r="F126" s="627">
        <f>VLOOKUP($A126,'O&amp;M per TB'!$B$4:T$375,F$5,FALSE)</f>
        <v>172.64</v>
      </c>
      <c r="G126" s="627">
        <f>VLOOKUP($A126,'O&amp;M per TB'!$B$4:U$375,G$5,FALSE)</f>
        <v>164.02999999999997</v>
      </c>
      <c r="H126" s="627">
        <f>VLOOKUP($A126,'O&amp;M per TB'!$B$4:V$375,H$5,FALSE)</f>
        <v>164.03000000000009</v>
      </c>
      <c r="I126" s="627">
        <f>VLOOKUP($A126,'O&amp;M per TB'!$B$4:W$375,I$5,FALSE)</f>
        <v>164.02999999999997</v>
      </c>
      <c r="J126" s="627">
        <f>VLOOKUP($A126,'O&amp;M per TB'!$B$4:X$375,J$5,FALSE)</f>
        <v>164.04999999999995</v>
      </c>
      <c r="K126" s="627">
        <f>VLOOKUP($A126,'O&amp;M per TB'!$B$4:Y$375,K$5,FALSE)</f>
        <v>164.04999999999995</v>
      </c>
      <c r="L126" s="627">
        <f>VLOOKUP($A126,'O&amp;M per TB'!$B$4:Z$375,L$5,FALSE)</f>
        <v>159.03999999999996</v>
      </c>
      <c r="M126" s="627">
        <f>VLOOKUP($A126,'O&amp;M per TB'!$B$4:AA$375,M$5,FALSE)</f>
        <v>159.85000000000014</v>
      </c>
      <c r="N126" s="627">
        <f>VLOOKUP($A126,'O&amp;M per TB'!$B$4:AB$375,N$5,FALSE)</f>
        <v>160</v>
      </c>
      <c r="O126" s="627">
        <f>VLOOKUP($A126,'O&amp;M per TB'!$B$4:AC$375,O$5,FALSE)</f>
        <v>160</v>
      </c>
      <c r="P126" s="1685">
        <f>SUM(D126:O126)</f>
        <v>1949.72</v>
      </c>
    </row>
    <row r="127" spans="1:16" s="538" customFormat="1">
      <c r="A127" s="561"/>
      <c r="C127" s="547"/>
      <c r="D127" s="601"/>
      <c r="E127" s="601"/>
      <c r="F127" s="601"/>
      <c r="G127" s="601"/>
      <c r="H127" s="601"/>
      <c r="I127" s="601"/>
      <c r="J127" s="601"/>
      <c r="K127" s="601"/>
      <c r="L127" s="601"/>
      <c r="M127" s="601"/>
      <c r="N127" s="601"/>
      <c r="O127" s="599"/>
      <c r="P127" s="599"/>
    </row>
    <row r="128" spans="1:16" s="538" customFormat="1">
      <c r="A128" s="561">
        <v>6805</v>
      </c>
      <c r="B128" s="538" t="s">
        <v>317</v>
      </c>
      <c r="C128" s="547"/>
      <c r="D128" s="627">
        <f>VLOOKUP($A128,'O&amp;M per TB'!$B$4:R$375,D$5,FALSE)</f>
        <v>29.3</v>
      </c>
      <c r="E128" s="627">
        <f>VLOOKUP($A128,'O&amp;M per TB'!$B$4:S$375,E$5,FALSE)</f>
        <v>29.3</v>
      </c>
      <c r="F128" s="627">
        <f>VLOOKUP($A128,'O&amp;M per TB'!$B$4:T$375,F$5,FALSE)</f>
        <v>29.300000000000004</v>
      </c>
      <c r="G128" s="627">
        <f>VLOOKUP($A128,'O&amp;M per TB'!$B$4:U$375,G$5,FALSE)</f>
        <v>29.299999999999997</v>
      </c>
      <c r="H128" s="627">
        <f>VLOOKUP($A128,'O&amp;M per TB'!$B$4:V$375,H$5,FALSE)</f>
        <v>29.299999999999997</v>
      </c>
      <c r="I128" s="627">
        <f>VLOOKUP($A128,'O&amp;M per TB'!$B$4:W$375,I$5,FALSE)</f>
        <v>29.300000000000011</v>
      </c>
      <c r="J128" s="627">
        <f>VLOOKUP($A128,'O&amp;M per TB'!$B$4:X$375,J$5,FALSE)</f>
        <v>29.489999999999981</v>
      </c>
      <c r="K128" s="627">
        <f>VLOOKUP($A128,'O&amp;M per TB'!$B$4:Y$375,K$5,FALSE)</f>
        <v>29.490000000000009</v>
      </c>
      <c r="L128" s="627">
        <f>VLOOKUP($A128,'O&amp;M per TB'!$B$4:Z$375,L$5,FALSE)</f>
        <v>29.489999999999981</v>
      </c>
      <c r="M128" s="627">
        <f>VLOOKUP($A128,'O&amp;M per TB'!$B$4:AA$375,M$5,FALSE)</f>
        <v>29.490000000000009</v>
      </c>
      <c r="N128" s="627">
        <f>VLOOKUP($A128,'O&amp;M per TB'!$B$4:AB$375,N$5,FALSE)</f>
        <v>29.490000000000009</v>
      </c>
      <c r="O128" s="627">
        <f>VLOOKUP($A128,'O&amp;M per TB'!$B$4:AC$375,O$5,FALSE)</f>
        <v>29.490000000000009</v>
      </c>
      <c r="P128" s="1685">
        <f>SUM(D128:O128)</f>
        <v>352.74</v>
      </c>
    </row>
    <row r="129" spans="1:16" s="538" customFormat="1">
      <c r="A129" s="561"/>
      <c r="C129" s="547"/>
      <c r="D129" s="601"/>
      <c r="E129" s="601"/>
      <c r="F129" s="601"/>
      <c r="G129" s="601"/>
      <c r="H129" s="601"/>
      <c r="I129" s="601"/>
      <c r="J129" s="601"/>
      <c r="K129" s="601"/>
      <c r="L129" s="601"/>
      <c r="M129" s="601"/>
      <c r="N129" s="601"/>
      <c r="O129" s="599"/>
      <c r="P129" s="599"/>
    </row>
    <row r="130" spans="1:16" s="538" customFormat="1">
      <c r="A130" s="561">
        <v>6785</v>
      </c>
      <c r="B130" s="538" t="s">
        <v>708</v>
      </c>
      <c r="C130" s="546" t="s">
        <v>942</v>
      </c>
      <c r="D130" s="627">
        <f>VLOOKUP($A130,'O&amp;M per TB'!$B$4:R$375,D$5,FALSE)</f>
        <v>0.62</v>
      </c>
      <c r="E130" s="627">
        <f>VLOOKUP($A130,'O&amp;M per TB'!$B$4:S$375,E$5,FALSE)</f>
        <v>0.62</v>
      </c>
      <c r="F130" s="627">
        <f>VLOOKUP($A130,'O&amp;M per TB'!$B$4:T$375,F$5,FALSE)</f>
        <v>0.62000000000000011</v>
      </c>
      <c r="G130" s="627">
        <f>VLOOKUP($A130,'O&amp;M per TB'!$B$4:U$375,G$5,FALSE)</f>
        <v>0.61999999999999988</v>
      </c>
      <c r="H130" s="627">
        <f>VLOOKUP($A130,'O&amp;M per TB'!$B$4:V$375,H$5,FALSE)</f>
        <v>0.62000000000000011</v>
      </c>
      <c r="I130" s="627">
        <f>VLOOKUP($A130,'O&amp;M per TB'!$B$4:W$375,I$5,FALSE)</f>
        <v>0.62000000000000011</v>
      </c>
      <c r="J130" s="627">
        <f>VLOOKUP($A130,'O&amp;M per TB'!$B$4:X$375,J$5,FALSE)</f>
        <v>0.61999999999999966</v>
      </c>
      <c r="K130" s="627">
        <f>VLOOKUP($A130,'O&amp;M per TB'!$B$4:Y$375,K$5,FALSE)</f>
        <v>0.62000000000000011</v>
      </c>
      <c r="L130" s="627">
        <f>VLOOKUP($A130,'O&amp;M per TB'!$B$4:Z$375,L$5,FALSE)</f>
        <v>0.62000000000000011</v>
      </c>
      <c r="M130" s="627">
        <f>VLOOKUP($A130,'O&amp;M per TB'!$B$4:AA$375,M$5,FALSE)</f>
        <v>0.62000000000000011</v>
      </c>
      <c r="N130" s="627">
        <f>VLOOKUP($A130,'O&amp;M per TB'!$B$4:AB$375,N$5,FALSE)</f>
        <v>0.62000000000000011</v>
      </c>
      <c r="O130" s="627">
        <f>VLOOKUP($A130,'O&amp;M per TB'!$B$4:AC$375,O$5,FALSE)</f>
        <v>0.62000000000000011</v>
      </c>
      <c r="P130" s="1685">
        <f>SUM(D130:O130)</f>
        <v>7.44</v>
      </c>
    </row>
    <row r="131" spans="1:16" s="538" customFormat="1">
      <c r="A131" s="561"/>
      <c r="C131" s="547"/>
      <c r="D131" s="601"/>
      <c r="E131" s="601"/>
      <c r="F131" s="601"/>
      <c r="G131" s="601"/>
      <c r="H131" s="601"/>
      <c r="I131" s="601"/>
      <c r="J131" s="601"/>
      <c r="K131" s="601"/>
      <c r="L131" s="601"/>
      <c r="M131" s="601"/>
      <c r="N131" s="601"/>
      <c r="O131" s="599"/>
      <c r="P131" s="599"/>
    </row>
    <row r="132" spans="1:16" s="538" customFormat="1">
      <c r="A132" s="561">
        <v>6675</v>
      </c>
      <c r="B132" s="538" t="s">
        <v>1807</v>
      </c>
      <c r="C132" s="547"/>
      <c r="D132" s="627">
        <f>VLOOKUP($A132,'O&amp;M per TB'!$B$4:R$375,D$5,FALSE)</f>
        <v>0.5</v>
      </c>
      <c r="E132" s="627">
        <f>VLOOKUP($A132,'O&amp;M per TB'!$B$4:S$375,E$5,FALSE)</f>
        <v>0.5</v>
      </c>
      <c r="F132" s="627">
        <f>VLOOKUP($A132,'O&amp;M per TB'!$B$4:T$375,F$5,FALSE)</f>
        <v>0.5</v>
      </c>
      <c r="G132" s="627">
        <f>VLOOKUP($A132,'O&amp;M per TB'!$B$4:U$375,G$5,FALSE)</f>
        <v>0.5</v>
      </c>
      <c r="H132" s="627">
        <f>VLOOKUP($A132,'O&amp;M per TB'!$B$4:V$375,H$5,FALSE)</f>
        <v>0.5</v>
      </c>
      <c r="I132" s="627">
        <f>VLOOKUP($A132,'O&amp;M per TB'!$B$4:W$375,I$5,FALSE)</f>
        <v>0.5</v>
      </c>
      <c r="J132" s="627">
        <f>VLOOKUP($A132,'O&amp;M per TB'!$B$4:X$375,J$5,FALSE)</f>
        <v>0.5</v>
      </c>
      <c r="K132" s="627">
        <f>VLOOKUP($A132,'O&amp;M per TB'!$B$4:Y$375,K$5,FALSE)</f>
        <v>0.5</v>
      </c>
      <c r="L132" s="627">
        <f>VLOOKUP($A132,'O&amp;M per TB'!$B$4:Z$375,L$5,FALSE)</f>
        <v>0.5</v>
      </c>
      <c r="M132" s="627">
        <f>VLOOKUP($A132,'O&amp;M per TB'!$B$4:AA$375,M$5,FALSE)</f>
        <v>0.5</v>
      </c>
      <c r="N132" s="627">
        <f>VLOOKUP($A132,'O&amp;M per TB'!$B$4:AB$375,N$5,FALSE)</f>
        <v>0.5</v>
      </c>
      <c r="O132" s="627">
        <f>VLOOKUP($A132,'O&amp;M per TB'!$B$4:AC$375,O$5,FALSE)</f>
        <v>0.5</v>
      </c>
      <c r="P132" s="1687">
        <f>SUM(D132:O132)</f>
        <v>6</v>
      </c>
    </row>
    <row r="133" spans="1:16" s="538" customFormat="1">
      <c r="A133" s="561">
        <v>6890</v>
      </c>
      <c r="B133" s="538" t="s">
        <v>346</v>
      </c>
      <c r="C133" s="546" t="s">
        <v>943</v>
      </c>
      <c r="D133" s="627">
        <f>VLOOKUP($A133,'O&amp;M per TB'!$B$4:R$375,D$5,FALSE)</f>
        <v>18.41</v>
      </c>
      <c r="E133" s="627">
        <f>VLOOKUP($A133,'O&amp;M per TB'!$B$4:S$375,E$5,FALSE)</f>
        <v>18.41</v>
      </c>
      <c r="F133" s="627">
        <f>VLOOKUP($A133,'O&amp;M per TB'!$B$4:T$375,F$5,FALSE)</f>
        <v>18.409999999999997</v>
      </c>
      <c r="G133" s="627">
        <f>VLOOKUP($A133,'O&amp;M per TB'!$B$4:U$375,G$5,FALSE)</f>
        <v>18.759999999999998</v>
      </c>
      <c r="H133" s="627">
        <f>VLOOKUP($A133,'O&amp;M per TB'!$B$4:V$375,H$5,FALSE)</f>
        <v>18.760000000000005</v>
      </c>
      <c r="I133" s="627">
        <f>VLOOKUP($A133,'O&amp;M per TB'!$B$4:W$375,I$5,FALSE)</f>
        <v>19.150000000000006</v>
      </c>
      <c r="J133" s="627">
        <f>VLOOKUP($A133,'O&amp;M per TB'!$B$4:X$375,J$5,FALSE)</f>
        <v>19.150000000000006</v>
      </c>
      <c r="K133" s="627">
        <f>VLOOKUP($A133,'O&amp;M per TB'!$B$4:Y$375,K$5,FALSE)</f>
        <v>19.149999999999977</v>
      </c>
      <c r="L133" s="627">
        <f>VLOOKUP($A133,'O&amp;M per TB'!$B$4:Z$375,L$5,FALSE)</f>
        <v>19.150000000000006</v>
      </c>
      <c r="M133" s="627">
        <f>VLOOKUP($A133,'O&amp;M per TB'!$B$4:AA$375,M$5,FALSE)</f>
        <v>19.150000000000006</v>
      </c>
      <c r="N133" s="627">
        <f>VLOOKUP($A133,'O&amp;M per TB'!$B$4:AB$375,N$5,FALSE)</f>
        <v>19.150000000000006</v>
      </c>
      <c r="O133" s="627">
        <f>VLOOKUP($A133,'O&amp;M per TB'!$B$4:AC$375,O$5,FALSE)</f>
        <v>19.150000000000006</v>
      </c>
      <c r="P133" s="1685">
        <f t="shared" ref="P133:P140" si="16">SUM(D133:O133)</f>
        <v>226.8</v>
      </c>
    </row>
    <row r="134" spans="1:16" s="538" customFormat="1">
      <c r="A134" s="561">
        <v>6750</v>
      </c>
      <c r="B134" s="538" t="s">
        <v>313</v>
      </c>
      <c r="C134" s="550"/>
      <c r="D134" s="627"/>
      <c r="E134" s="627"/>
      <c r="F134" s="627"/>
      <c r="G134" s="627"/>
      <c r="H134" s="627"/>
      <c r="I134" s="627"/>
      <c r="J134" s="627"/>
      <c r="K134" s="627"/>
      <c r="L134" s="627"/>
      <c r="M134" s="627"/>
      <c r="N134" s="627"/>
      <c r="O134" s="627"/>
      <c r="P134" s="599">
        <f t="shared" si="16"/>
        <v>0</v>
      </c>
    </row>
    <row r="135" spans="1:16" s="538" customFormat="1">
      <c r="A135" s="561">
        <v>6755</v>
      </c>
      <c r="B135" s="538" t="s">
        <v>1795</v>
      </c>
      <c r="C135" s="550"/>
      <c r="D135" s="627"/>
      <c r="E135" s="627"/>
      <c r="F135" s="627"/>
      <c r="G135" s="627"/>
      <c r="H135" s="627"/>
      <c r="I135" s="627"/>
      <c r="J135" s="627"/>
      <c r="K135" s="627"/>
      <c r="L135" s="627"/>
      <c r="M135" s="627"/>
      <c r="N135" s="627"/>
      <c r="O135" s="627"/>
      <c r="P135" s="599">
        <f t="shared" si="16"/>
        <v>0</v>
      </c>
    </row>
    <row r="136" spans="1:16" s="538" customFormat="1">
      <c r="A136" s="561">
        <v>6770</v>
      </c>
      <c r="B136" s="538" t="s">
        <v>2099</v>
      </c>
      <c r="C136" s="550"/>
      <c r="D136" s="627">
        <f>VLOOKUP($A136,'O&amp;M per TB'!$B$4:R$375,D$5,FALSE)</f>
        <v>10.87</v>
      </c>
      <c r="E136" s="627">
        <f>VLOOKUP($A136,'O&amp;M per TB'!$B$4:S$375,E$5,FALSE)</f>
        <v>10.87</v>
      </c>
      <c r="F136" s="627">
        <f>VLOOKUP($A136,'O&amp;M per TB'!$B$4:T$375,F$5,FALSE)</f>
        <v>10.870000000000001</v>
      </c>
      <c r="G136" s="627">
        <f>VLOOKUP($A136,'O&amp;M per TB'!$B$4:U$375,G$5,FALSE)</f>
        <v>10.869999999999997</v>
      </c>
      <c r="H136" s="627">
        <f>VLOOKUP($A136,'O&amp;M per TB'!$B$4:V$375,H$5,FALSE)</f>
        <v>10.870000000000005</v>
      </c>
      <c r="I136" s="627">
        <f>VLOOKUP($A136,'O&amp;M per TB'!$B$4:W$375,I$5,FALSE)</f>
        <v>10.869999999999997</v>
      </c>
      <c r="J136" s="627">
        <f>VLOOKUP($A136,'O&amp;M per TB'!$B$4:X$375,J$5,FALSE)</f>
        <v>10.870000000000005</v>
      </c>
      <c r="K136" s="627">
        <f>VLOOKUP($A136,'O&amp;M per TB'!$B$4:Y$375,K$5,FALSE)</f>
        <v>10.86999999999999</v>
      </c>
      <c r="L136" s="627">
        <f>VLOOKUP($A136,'O&amp;M per TB'!$B$4:Z$375,L$5,FALSE)</f>
        <v>10.870000000000005</v>
      </c>
      <c r="M136" s="627">
        <f>VLOOKUP($A136,'O&amp;M per TB'!$B$4:AA$375,M$5,FALSE)</f>
        <v>10.870000000000005</v>
      </c>
      <c r="N136" s="627">
        <f>VLOOKUP($A136,'O&amp;M per TB'!$B$4:AB$375,N$5,FALSE)</f>
        <v>10.86999999999999</v>
      </c>
      <c r="O136" s="627">
        <f>VLOOKUP($A136,'O&amp;M per TB'!$B$4:AC$375,O$5,FALSE)</f>
        <v>10.870000000000005</v>
      </c>
      <c r="P136" s="1687">
        <f t="shared" ref="P136" si="17">SUM(D136:O136)</f>
        <v>130.44</v>
      </c>
    </row>
    <row r="137" spans="1:16" s="538" customFormat="1">
      <c r="A137" s="561">
        <v>6810</v>
      </c>
      <c r="B137" s="538" t="s">
        <v>318</v>
      </c>
      <c r="C137" s="550"/>
      <c r="D137" s="627"/>
      <c r="E137" s="627"/>
      <c r="F137" s="627"/>
      <c r="G137" s="627"/>
      <c r="H137" s="627"/>
      <c r="I137" s="627"/>
      <c r="J137" s="627"/>
      <c r="K137" s="627"/>
      <c r="L137" s="627"/>
      <c r="M137" s="627"/>
      <c r="N137" s="627"/>
      <c r="O137" s="627"/>
      <c r="P137" s="599">
        <f t="shared" si="16"/>
        <v>0</v>
      </c>
    </row>
    <row r="138" spans="1:16" s="538" customFormat="1">
      <c r="A138" s="561">
        <v>6875</v>
      </c>
      <c r="B138" s="538" t="s">
        <v>150</v>
      </c>
      <c r="C138" s="550"/>
      <c r="D138" s="627"/>
      <c r="E138" s="627"/>
      <c r="F138" s="627"/>
      <c r="G138" s="627"/>
      <c r="H138" s="627"/>
      <c r="I138" s="627"/>
      <c r="J138" s="627"/>
      <c r="K138" s="627"/>
      <c r="L138" s="627"/>
      <c r="M138" s="627"/>
      <c r="N138" s="627"/>
      <c r="O138" s="627"/>
      <c r="P138" s="599">
        <f t="shared" si="16"/>
        <v>0</v>
      </c>
    </row>
    <row r="139" spans="1:16" s="538" customFormat="1">
      <c r="A139" s="561">
        <v>6880</v>
      </c>
      <c r="B139" s="538" t="s">
        <v>322</v>
      </c>
      <c r="C139" s="550"/>
      <c r="D139" s="627"/>
      <c r="E139" s="627"/>
      <c r="F139" s="627"/>
      <c r="G139" s="627"/>
      <c r="H139" s="627"/>
      <c r="I139" s="627"/>
      <c r="J139" s="627"/>
      <c r="K139" s="627"/>
      <c r="L139" s="627"/>
      <c r="M139" s="627"/>
      <c r="N139" s="627"/>
      <c r="O139" s="627"/>
      <c r="P139" s="599">
        <f t="shared" si="16"/>
        <v>0</v>
      </c>
    </row>
    <row r="140" spans="1:16" s="538" customFormat="1">
      <c r="A140" s="561">
        <v>6885</v>
      </c>
      <c r="B140" s="538" t="s">
        <v>149</v>
      </c>
      <c r="C140" s="550"/>
      <c r="D140" s="627"/>
      <c r="E140" s="627"/>
      <c r="F140" s="627"/>
      <c r="G140" s="627"/>
      <c r="H140" s="627"/>
      <c r="I140" s="627"/>
      <c r="J140" s="627"/>
      <c r="K140" s="627"/>
      <c r="L140" s="627"/>
      <c r="M140" s="627"/>
      <c r="N140" s="627"/>
      <c r="O140" s="627"/>
      <c r="P140" s="599">
        <f t="shared" si="16"/>
        <v>0</v>
      </c>
    </row>
    <row r="141" spans="1:16" s="538" customFormat="1">
      <c r="A141" s="561"/>
      <c r="C141" s="547"/>
      <c r="D141" s="601"/>
      <c r="E141" s="601"/>
      <c r="F141" s="601"/>
      <c r="G141" s="601"/>
      <c r="H141" s="601"/>
      <c r="I141" s="601"/>
      <c r="J141" s="601"/>
      <c r="K141" s="601"/>
      <c r="L141" s="601"/>
      <c r="M141" s="601"/>
      <c r="N141" s="601"/>
      <c r="O141" s="599"/>
      <c r="P141" s="599"/>
    </row>
    <row r="142" spans="1:16" s="538" customFormat="1">
      <c r="A142" s="561">
        <v>6825</v>
      </c>
      <c r="B142" s="538" t="s">
        <v>681</v>
      </c>
      <c r="C142" s="546" t="s">
        <v>944</v>
      </c>
      <c r="D142" s="627">
        <f>VLOOKUP($A142,'O&amp;M per TB'!$B$4:R$375,D$5,FALSE)</f>
        <v>15.95</v>
      </c>
      <c r="E142" s="627">
        <f>VLOOKUP($A142,'O&amp;M per TB'!$B$4:S$375,E$5,FALSE)</f>
        <v>15.95</v>
      </c>
      <c r="F142" s="627">
        <f>VLOOKUP($A142,'O&amp;M per TB'!$B$4:T$375,F$5,FALSE)</f>
        <v>15.950000000000003</v>
      </c>
      <c r="G142" s="627">
        <f>VLOOKUP($A142,'O&amp;M per TB'!$B$4:U$375,G$5,FALSE)</f>
        <v>15.949999999999996</v>
      </c>
      <c r="H142" s="627">
        <f>VLOOKUP($A142,'O&amp;M per TB'!$B$4:V$375,H$5,FALSE)</f>
        <v>15.950000000000003</v>
      </c>
      <c r="I142" s="627">
        <f>VLOOKUP($A142,'O&amp;M per TB'!$B$4:W$375,I$5,FALSE)</f>
        <v>15.950000000000003</v>
      </c>
      <c r="J142" s="627">
        <f>VLOOKUP($A142,'O&amp;M per TB'!$B$4:X$375,J$5,FALSE)</f>
        <v>15.950000000000003</v>
      </c>
      <c r="K142" s="627">
        <f>VLOOKUP($A142,'O&amp;M per TB'!$B$4:Y$375,K$5,FALSE)</f>
        <v>15.949999999999989</v>
      </c>
      <c r="L142" s="627">
        <f>VLOOKUP($A142,'O&amp;M per TB'!$B$4:Z$375,L$5,FALSE)</f>
        <v>15.950000000000017</v>
      </c>
      <c r="M142" s="627">
        <f>VLOOKUP($A142,'O&amp;M per TB'!$B$4:AA$375,M$5,FALSE)</f>
        <v>15.949999999999989</v>
      </c>
      <c r="N142" s="627">
        <f>VLOOKUP($A142,'O&amp;M per TB'!$B$4:AB$375,N$5,FALSE)</f>
        <v>15.949999999999989</v>
      </c>
      <c r="O142" s="627">
        <f>VLOOKUP($A142,'O&amp;M per TB'!$B$4:AC$375,O$5,FALSE)</f>
        <v>15.950000000000017</v>
      </c>
      <c r="P142" s="599">
        <f>SUM(D142:O142)</f>
        <v>191.4</v>
      </c>
    </row>
    <row r="143" spans="1:16" s="538" customFormat="1">
      <c r="A143" s="561">
        <v>6820</v>
      </c>
      <c r="B143" s="538" t="s">
        <v>1796</v>
      </c>
      <c r="C143" s="546"/>
      <c r="D143" s="627">
        <f>VLOOKUP($A143,'O&amp;M per TB'!$B$4:R$375,D$5,FALSE)</f>
        <v>50.71</v>
      </c>
      <c r="E143" s="627">
        <f>VLOOKUP($A143,'O&amp;M per TB'!$B$4:S$375,E$5,FALSE)</f>
        <v>50.71</v>
      </c>
      <c r="F143" s="627">
        <f>VLOOKUP($A143,'O&amp;M per TB'!$B$4:T$375,F$5,FALSE)</f>
        <v>50.709999999999994</v>
      </c>
      <c r="G143" s="627">
        <f>VLOOKUP($A143,'O&amp;M per TB'!$B$4:U$375,G$5,FALSE)</f>
        <v>50.710000000000008</v>
      </c>
      <c r="H143" s="627">
        <f>VLOOKUP($A143,'O&amp;M per TB'!$B$4:V$375,H$5,FALSE)</f>
        <v>50.710000000000008</v>
      </c>
      <c r="I143" s="627">
        <f>VLOOKUP($A143,'O&amp;M per TB'!$B$4:W$375,I$5,FALSE)</f>
        <v>50.70999999999998</v>
      </c>
      <c r="J143" s="627">
        <f>VLOOKUP($A143,'O&amp;M per TB'!$B$4:X$375,J$5,FALSE)</f>
        <v>50.710000000000036</v>
      </c>
      <c r="K143" s="627">
        <f>VLOOKUP($A143,'O&amp;M per TB'!$B$4:Y$375,K$5,FALSE)</f>
        <v>50.70999999999998</v>
      </c>
      <c r="L143" s="627">
        <f>VLOOKUP($A143,'O&amp;M per TB'!$B$4:Z$375,L$5,FALSE)</f>
        <v>50.70999999999998</v>
      </c>
      <c r="M143" s="627">
        <f>VLOOKUP($A143,'O&amp;M per TB'!$B$4:AA$375,M$5,FALSE)</f>
        <v>50.710000000000036</v>
      </c>
      <c r="N143" s="627">
        <f>VLOOKUP($A143,'O&amp;M per TB'!$B$4:AB$375,N$5,FALSE)</f>
        <v>143.51999999999998</v>
      </c>
      <c r="O143" s="627">
        <f>VLOOKUP($A143,'O&amp;M per TB'!$B$4:AC$375,O$5,FALSE)</f>
        <v>143.51999999999998</v>
      </c>
      <c r="P143" s="599">
        <f>SUM(D143:O143)</f>
        <v>794.14</v>
      </c>
    </row>
    <row r="144" spans="1:16" s="538" customFormat="1">
      <c r="A144" s="561">
        <v>6920</v>
      </c>
      <c r="B144" s="545" t="s">
        <v>1878</v>
      </c>
      <c r="C144" s="546"/>
      <c r="D144" s="627">
        <f>VLOOKUP($A144,'O&amp;M per TB'!$B$4:R$375,D$5,FALSE)</f>
        <v>3747.66</v>
      </c>
      <c r="E144" s="627">
        <f>VLOOKUP($A144,'O&amp;M per TB'!$B$4:S$375,E$5,FALSE)</f>
        <v>3750.79</v>
      </c>
      <c r="F144" s="627">
        <f>VLOOKUP($A144,'O&amp;M per TB'!$B$4:T$375,F$5,FALSE)</f>
        <v>3767.0900000000011</v>
      </c>
      <c r="G144" s="627">
        <f>VLOOKUP($A144,'O&amp;M per TB'!$B$4:U$375,G$5,FALSE)</f>
        <v>4189.5899999999983</v>
      </c>
      <c r="H144" s="627">
        <f>VLOOKUP($A144,'O&amp;M per TB'!$B$4:V$375,H$5,FALSE)</f>
        <v>3809.9800000000014</v>
      </c>
      <c r="I144" s="627">
        <f>VLOOKUP($A144,'O&amp;M per TB'!$B$4:W$375,I$5,FALSE)</f>
        <v>3572.0999999999985</v>
      </c>
      <c r="J144" s="627">
        <f>VLOOKUP($A144,'O&amp;M per TB'!$B$4:X$375,J$5,FALSE)</f>
        <v>3898.09</v>
      </c>
      <c r="K144" s="627">
        <f>VLOOKUP($A144,'O&amp;M per TB'!$B$4:Y$375,K$5,FALSE)</f>
        <v>3999.2299999999996</v>
      </c>
      <c r="L144" s="627">
        <f>VLOOKUP($A144,'O&amp;M per TB'!$B$4:Z$375,L$5,FALSE)</f>
        <v>3920.8800000000047</v>
      </c>
      <c r="M144" s="627">
        <f>VLOOKUP($A144,'O&amp;M per TB'!$B$4:AA$375,M$5,FALSE)</f>
        <v>3922.4099999999962</v>
      </c>
      <c r="N144" s="627">
        <f>VLOOKUP($A144,'O&amp;M per TB'!$B$4:AB$375,N$5,FALSE)</f>
        <v>3919.1600000000035</v>
      </c>
      <c r="O144" s="627">
        <f>VLOOKUP($A144,'O&amp;M per TB'!$B$4:AC$375,O$5,FALSE)</f>
        <v>3753.8799999999974</v>
      </c>
      <c r="P144" s="599">
        <f>SUM(D144:O144)</f>
        <v>46250.86</v>
      </c>
    </row>
    <row r="145" spans="1:16" s="538" customFormat="1">
      <c r="A145" s="561"/>
      <c r="B145" s="545"/>
      <c r="C145" s="546"/>
      <c r="D145" s="600"/>
      <c r="E145" s="600"/>
      <c r="F145" s="600"/>
      <c r="G145" s="600"/>
      <c r="H145" s="600"/>
      <c r="I145" s="600"/>
      <c r="J145" s="600"/>
      <c r="K145" s="600"/>
      <c r="L145" s="600"/>
      <c r="M145" s="600"/>
      <c r="N145" s="600"/>
      <c r="O145" s="600"/>
      <c r="P145" s="599"/>
    </row>
    <row r="146" spans="1:16" s="538" customFormat="1">
      <c r="A146" s="561"/>
      <c r="B146" s="548" t="s">
        <v>763</v>
      </c>
      <c r="C146" s="544" t="s">
        <v>763</v>
      </c>
      <c r="D146" s="602">
        <f>SUM(D142:D145)</f>
        <v>3814.3199999999997</v>
      </c>
      <c r="E146" s="602">
        <f t="shared" ref="E146:P146" si="18">SUM(E142:E145)</f>
        <v>3817.45</v>
      </c>
      <c r="F146" s="602">
        <f t="shared" si="18"/>
        <v>3833.7500000000009</v>
      </c>
      <c r="G146" s="602">
        <f t="shared" si="18"/>
        <v>4256.2499999999982</v>
      </c>
      <c r="H146" s="602">
        <f>SUM(H142:H145)</f>
        <v>3876.6400000000012</v>
      </c>
      <c r="I146" s="602">
        <f t="shared" si="18"/>
        <v>3638.7599999999984</v>
      </c>
      <c r="J146" s="602">
        <f t="shared" si="18"/>
        <v>3964.75</v>
      </c>
      <c r="K146" s="602">
        <f t="shared" si="18"/>
        <v>4065.8899999999994</v>
      </c>
      <c r="L146" s="602">
        <f t="shared" si="18"/>
        <v>3987.5400000000045</v>
      </c>
      <c r="M146" s="602">
        <f t="shared" si="18"/>
        <v>3989.0699999999961</v>
      </c>
      <c r="N146" s="602">
        <f t="shared" si="18"/>
        <v>4078.6300000000033</v>
      </c>
      <c r="O146" s="602">
        <f t="shared" si="18"/>
        <v>3913.3499999999972</v>
      </c>
      <c r="P146" s="1686">
        <f t="shared" si="18"/>
        <v>47236.4</v>
      </c>
    </row>
    <row r="147" spans="1:16" s="538" customFormat="1">
      <c r="A147" s="561"/>
      <c r="B147" s="548"/>
      <c r="C147" s="544"/>
      <c r="D147" s="598"/>
      <c r="E147" s="598"/>
      <c r="F147" s="598"/>
      <c r="G147" s="598"/>
      <c r="H147" s="598"/>
      <c r="I147" s="598"/>
      <c r="J147" s="598"/>
      <c r="K147" s="598"/>
      <c r="L147" s="598"/>
      <c r="M147" s="598"/>
      <c r="N147" s="598"/>
      <c r="O147" s="598"/>
      <c r="P147" s="1285"/>
    </row>
    <row r="148" spans="1:16" s="538" customFormat="1">
      <c r="A148" s="561">
        <v>6905</v>
      </c>
      <c r="B148" s="841" t="s">
        <v>1879</v>
      </c>
      <c r="C148" s="547"/>
      <c r="D148" s="627">
        <f>VLOOKUP($A148,'O&amp;M per TB'!$B$4:R$375,D$5,FALSE)</f>
        <v>1672.97</v>
      </c>
      <c r="E148" s="627">
        <f>VLOOKUP($A148,'O&amp;M per TB'!$B$4:S$375,E$5,FALSE)</f>
        <v>852.8900000000001</v>
      </c>
      <c r="F148" s="627">
        <f>VLOOKUP($A148,'O&amp;M per TB'!$B$4:T$375,F$5,FALSE)</f>
        <v>5781.8599999999988</v>
      </c>
      <c r="G148" s="627">
        <f>VLOOKUP($A148,'O&amp;M per TB'!$B$4:U$375,G$5,FALSE)</f>
        <v>1046.4600000000009</v>
      </c>
      <c r="H148" s="627">
        <f>VLOOKUP($A148,'O&amp;M per TB'!$B$4:V$375,H$5,FALSE)</f>
        <v>1050.3799999999992</v>
      </c>
      <c r="I148" s="627">
        <f>VLOOKUP($A148,'O&amp;M per TB'!$B$4:W$375,I$5,FALSE)</f>
        <v>1045.7100000000009</v>
      </c>
      <c r="J148" s="627">
        <f>VLOOKUP($A148,'O&amp;M per TB'!$B$4:X$375,J$5,FALSE)</f>
        <v>1135.4300000000003</v>
      </c>
      <c r="K148" s="627">
        <f>VLOOKUP($A148,'O&amp;M per TB'!$B$4:Y$375,K$5,FALSE)</f>
        <v>1057.5699999999997</v>
      </c>
      <c r="L148" s="627">
        <f>VLOOKUP($A148,'O&amp;M per TB'!$B$4:Z$375,L$5,FALSE)</f>
        <v>1155.869999999999</v>
      </c>
      <c r="M148" s="627">
        <f>VLOOKUP($A148,'O&amp;M per TB'!$B$4:AA$375,M$5,FALSE)</f>
        <v>1227.4300000000003</v>
      </c>
      <c r="N148" s="627">
        <f>VLOOKUP($A148,'O&amp;M per TB'!$B$4:AB$375,N$5,FALSE)</f>
        <v>1116.2200000000012</v>
      </c>
      <c r="O148" s="627">
        <f>VLOOKUP($A148,'O&amp;M per TB'!$B$4:AC$375,O$5,FALSE)</f>
        <v>1290.5099999999984</v>
      </c>
      <c r="P148" s="1685">
        <f>SUM(D148:O148)</f>
        <v>18433.3</v>
      </c>
    </row>
    <row r="149" spans="1:16" s="538" customFormat="1">
      <c r="A149" s="561"/>
      <c r="C149" s="546"/>
      <c r="D149" s="600"/>
      <c r="E149" s="600"/>
      <c r="F149" s="600"/>
      <c r="G149" s="600"/>
      <c r="H149" s="600"/>
      <c r="I149" s="600"/>
      <c r="J149" s="600"/>
      <c r="K149" s="600"/>
      <c r="L149" s="600"/>
      <c r="M149" s="600"/>
      <c r="N149" s="600"/>
      <c r="O149" s="600"/>
      <c r="P149" s="599"/>
    </row>
    <row r="150" spans="1:16" s="538" customFormat="1">
      <c r="A150" s="561">
        <v>6835</v>
      </c>
      <c r="B150" s="538" t="s">
        <v>319</v>
      </c>
      <c r="C150" s="546"/>
      <c r="D150" s="627">
        <f>VLOOKUP($A150,'O&amp;M per TB'!$B$4:R$375,D$5,FALSE)</f>
        <v>190.19</v>
      </c>
      <c r="E150" s="627">
        <f>VLOOKUP($A150,'O&amp;M per TB'!$B$4:S$375,E$5,FALSE)</f>
        <v>190.19</v>
      </c>
      <c r="F150" s="627">
        <f>VLOOKUP($A150,'O&amp;M per TB'!$B$4:T$375,F$5,FALSE)</f>
        <v>191.37</v>
      </c>
      <c r="G150" s="627">
        <f>VLOOKUP($A150,'O&amp;M per TB'!$B$4:U$375,G$5,FALSE)</f>
        <v>191.37</v>
      </c>
      <c r="H150" s="627">
        <f>VLOOKUP($A150,'O&amp;M per TB'!$B$4:V$375,H$5,FALSE)</f>
        <v>191.37</v>
      </c>
      <c r="I150" s="627">
        <f>VLOOKUP($A150,'O&amp;M per TB'!$B$4:W$375,I$5,FALSE)</f>
        <v>191.36999999999989</v>
      </c>
      <c r="J150" s="627">
        <f>VLOOKUP($A150,'O&amp;M per TB'!$B$4:X$375,J$5,FALSE)</f>
        <v>191.37000000000012</v>
      </c>
      <c r="K150" s="627">
        <f>VLOOKUP($A150,'O&amp;M per TB'!$B$4:Y$375,K$5,FALSE)</f>
        <v>191.36999999999989</v>
      </c>
      <c r="L150" s="627">
        <f>VLOOKUP($A150,'O&amp;M per TB'!$B$4:Z$375,L$5,FALSE)</f>
        <v>191.37000000000012</v>
      </c>
      <c r="M150" s="627">
        <f>VLOOKUP($A150,'O&amp;M per TB'!$B$4:AA$375,M$5,FALSE)</f>
        <v>191.36999999999989</v>
      </c>
      <c r="N150" s="627">
        <f>VLOOKUP($A150,'O&amp;M per TB'!$B$4:AB$375,N$5,FALSE)</f>
        <v>191.37000000000012</v>
      </c>
      <c r="O150" s="627">
        <f>VLOOKUP($A150,'O&amp;M per TB'!$B$4:AC$375,O$5,FALSE)</f>
        <v>191.36999999999989</v>
      </c>
      <c r="P150" s="599">
        <f>SUM(D150:O150)</f>
        <v>2294.08</v>
      </c>
    </row>
    <row r="151" spans="1:16" s="538" customFormat="1">
      <c r="A151" s="561"/>
      <c r="B151" s="538" t="s">
        <v>1708</v>
      </c>
      <c r="C151" s="546"/>
      <c r="D151" s="600"/>
      <c r="E151" s="600">
        <f t="shared" ref="E151:O151" si="19">-E58</f>
        <v>0</v>
      </c>
      <c r="F151" s="600">
        <f t="shared" si="19"/>
        <v>0</v>
      </c>
      <c r="G151" s="600">
        <f t="shared" si="19"/>
        <v>0</v>
      </c>
      <c r="H151" s="600">
        <f t="shared" si="19"/>
        <v>0</v>
      </c>
      <c r="I151" s="600">
        <f t="shared" si="19"/>
        <v>0</v>
      </c>
      <c r="J151" s="600">
        <f t="shared" si="19"/>
        <v>0</v>
      </c>
      <c r="K151" s="600">
        <f t="shared" si="19"/>
        <v>0</v>
      </c>
      <c r="L151" s="600">
        <f t="shared" si="19"/>
        <v>0</v>
      </c>
      <c r="M151" s="600">
        <f t="shared" si="19"/>
        <v>0</v>
      </c>
      <c r="N151" s="600">
        <f t="shared" si="19"/>
        <v>0</v>
      </c>
      <c r="O151" s="600">
        <f t="shared" si="19"/>
        <v>0</v>
      </c>
      <c r="P151" s="599">
        <f t="shared" ref="P151:P165" si="20">SUM(D151:O151)</f>
        <v>0</v>
      </c>
    </row>
    <row r="152" spans="1:16" s="538" customFormat="1">
      <c r="A152" s="561"/>
      <c r="B152" s="548" t="s">
        <v>763</v>
      </c>
      <c r="C152" s="544" t="s">
        <v>763</v>
      </c>
      <c r="D152" s="602">
        <f>SUM(D150:D151)</f>
        <v>190.19</v>
      </c>
      <c r="E152" s="602">
        <f t="shared" ref="E152:P152" si="21">SUM(E150:E151)</f>
        <v>190.19</v>
      </c>
      <c r="F152" s="602">
        <f t="shared" si="21"/>
        <v>191.37</v>
      </c>
      <c r="G152" s="602">
        <f t="shared" si="21"/>
        <v>191.37</v>
      </c>
      <c r="H152" s="602">
        <f t="shared" si="21"/>
        <v>191.37</v>
      </c>
      <c r="I152" s="602">
        <f t="shared" si="21"/>
        <v>191.36999999999989</v>
      </c>
      <c r="J152" s="602">
        <f t="shared" si="21"/>
        <v>191.37000000000012</v>
      </c>
      <c r="K152" s="602">
        <f t="shared" si="21"/>
        <v>191.36999999999989</v>
      </c>
      <c r="L152" s="602">
        <f t="shared" si="21"/>
        <v>191.37000000000012</v>
      </c>
      <c r="M152" s="602">
        <f t="shared" si="21"/>
        <v>191.36999999999989</v>
      </c>
      <c r="N152" s="602">
        <f t="shared" si="21"/>
        <v>191.37000000000012</v>
      </c>
      <c r="O152" s="602">
        <f t="shared" si="21"/>
        <v>191.36999999999989</v>
      </c>
      <c r="P152" s="1686">
        <f t="shared" si="21"/>
        <v>2294.08</v>
      </c>
    </row>
    <row r="153" spans="1:16" s="538" customFormat="1">
      <c r="A153" s="561"/>
      <c r="B153" s="548"/>
      <c r="C153" s="544"/>
      <c r="D153" s="598"/>
      <c r="E153" s="598"/>
      <c r="F153" s="598"/>
      <c r="G153" s="598"/>
      <c r="H153" s="598"/>
      <c r="I153" s="598"/>
      <c r="J153" s="598"/>
      <c r="K153" s="598"/>
      <c r="L153" s="598"/>
      <c r="M153" s="598"/>
      <c r="N153" s="598"/>
      <c r="O153" s="598"/>
      <c r="P153" s="1285"/>
    </row>
    <row r="154" spans="1:16" s="538" customFormat="1">
      <c r="A154" s="561">
        <v>6840</v>
      </c>
      <c r="B154" s="538" t="s">
        <v>1656</v>
      </c>
      <c r="C154" s="546"/>
      <c r="D154" s="627">
        <f>VLOOKUP($A154,'O&amp;M per TB'!$B$4:R$375,D$5,FALSE)</f>
        <v>129.49</v>
      </c>
      <c r="E154" s="627">
        <f>VLOOKUP($A154,'O&amp;M per TB'!$B$4:S$375,E$5,FALSE)</f>
        <v>129.49</v>
      </c>
      <c r="F154" s="627">
        <f>VLOOKUP($A154,'O&amp;M per TB'!$B$4:T$375,F$5,FALSE)</f>
        <v>129.49</v>
      </c>
      <c r="G154" s="627">
        <f>VLOOKUP($A154,'O&amp;M per TB'!$B$4:U$375,G$5,FALSE)</f>
        <v>129.49</v>
      </c>
      <c r="H154" s="627">
        <f>VLOOKUP($A154,'O&amp;M per TB'!$B$4:V$375,H$5,FALSE)</f>
        <v>129.49</v>
      </c>
      <c r="I154" s="627">
        <f>VLOOKUP($A154,'O&amp;M per TB'!$B$4:W$375,I$5,FALSE)</f>
        <v>129.49</v>
      </c>
      <c r="J154" s="627">
        <f>VLOOKUP($A154,'O&amp;M per TB'!$B$4:X$375,J$5,FALSE)</f>
        <v>129.4899999999999</v>
      </c>
      <c r="K154" s="627">
        <f>VLOOKUP($A154,'O&amp;M per TB'!$B$4:Y$375,K$5,FALSE)</f>
        <v>129.49000000000012</v>
      </c>
      <c r="L154" s="627">
        <f>VLOOKUP($A154,'O&amp;M per TB'!$B$4:Z$375,L$5,FALSE)</f>
        <v>130.59999999999991</v>
      </c>
      <c r="M154" s="627">
        <f>VLOOKUP($A154,'O&amp;M per TB'!$B$4:AA$375,M$5,FALSE)</f>
        <v>130.59999999999991</v>
      </c>
      <c r="N154" s="627">
        <f>VLOOKUP($A154,'O&amp;M per TB'!$B$4:AB$375,N$5,FALSE)</f>
        <v>130.60000000000014</v>
      </c>
      <c r="O154" s="627">
        <f>VLOOKUP($A154,'O&amp;M per TB'!$B$4:AC$375,O$5,FALSE)</f>
        <v>130.59999999999991</v>
      </c>
      <c r="P154" s="599">
        <f>SUM(D154:O154)</f>
        <v>1558.32</v>
      </c>
    </row>
    <row r="155" spans="1:16" s="538" customFormat="1">
      <c r="A155" s="561"/>
      <c r="B155" s="538" t="s">
        <v>1710</v>
      </c>
      <c r="C155" s="546"/>
      <c r="D155" s="600">
        <f>-D66</f>
        <v>0</v>
      </c>
      <c r="E155" s="600">
        <f t="shared" ref="E155:O155" si="22">-E66</f>
        <v>0</v>
      </c>
      <c r="F155" s="600">
        <f t="shared" si="22"/>
        <v>0</v>
      </c>
      <c r="G155" s="600">
        <f t="shared" si="22"/>
        <v>0</v>
      </c>
      <c r="H155" s="600">
        <f t="shared" si="22"/>
        <v>0</v>
      </c>
      <c r="I155" s="600">
        <f t="shared" si="22"/>
        <v>0</v>
      </c>
      <c r="J155" s="600">
        <f t="shared" si="22"/>
        <v>0</v>
      </c>
      <c r="K155" s="600">
        <f t="shared" si="22"/>
        <v>0</v>
      </c>
      <c r="L155" s="600">
        <f t="shared" si="22"/>
        <v>0</v>
      </c>
      <c r="M155" s="600">
        <f t="shared" si="22"/>
        <v>0</v>
      </c>
      <c r="N155" s="600">
        <f t="shared" si="22"/>
        <v>0</v>
      </c>
      <c r="O155" s="600">
        <f t="shared" si="22"/>
        <v>0</v>
      </c>
      <c r="P155" s="599">
        <f t="shared" si="20"/>
        <v>0</v>
      </c>
    </row>
    <row r="156" spans="1:16" s="538" customFormat="1">
      <c r="A156" s="561"/>
      <c r="B156" s="548" t="s">
        <v>763</v>
      </c>
      <c r="C156" s="544" t="s">
        <v>763</v>
      </c>
      <c r="D156" s="602">
        <f>SUM(D154:D155)</f>
        <v>129.49</v>
      </c>
      <c r="E156" s="602">
        <f t="shared" ref="E156" si="23">SUM(E154:E155)</f>
        <v>129.49</v>
      </c>
      <c r="F156" s="602">
        <f t="shared" ref="F156" si="24">SUM(F154:F155)</f>
        <v>129.49</v>
      </c>
      <c r="G156" s="602">
        <f t="shared" ref="G156" si="25">SUM(G154:G155)</f>
        <v>129.49</v>
      </c>
      <c r="H156" s="602">
        <f t="shared" ref="H156" si="26">SUM(H154:H155)</f>
        <v>129.49</v>
      </c>
      <c r="I156" s="602">
        <f t="shared" ref="I156" si="27">SUM(I154:I155)</f>
        <v>129.49</v>
      </c>
      <c r="J156" s="602">
        <f t="shared" ref="J156" si="28">SUM(J154:J155)</f>
        <v>129.4899999999999</v>
      </c>
      <c r="K156" s="602">
        <f t="shared" ref="K156" si="29">SUM(K154:K155)</f>
        <v>129.49000000000012</v>
      </c>
      <c r="L156" s="602">
        <f t="shared" ref="L156" si="30">SUM(L154:L155)</f>
        <v>130.59999999999991</v>
      </c>
      <c r="M156" s="602">
        <f t="shared" ref="M156" si="31">SUM(M154:M155)</f>
        <v>130.59999999999991</v>
      </c>
      <c r="N156" s="602">
        <f t="shared" ref="N156" si="32">SUM(N154:N155)</f>
        <v>130.60000000000014</v>
      </c>
      <c r="O156" s="602">
        <f t="shared" ref="O156" si="33">SUM(O154:O155)</f>
        <v>130.59999999999991</v>
      </c>
      <c r="P156" s="1686">
        <f t="shared" ref="P156" si="34">SUM(P154:P155)</f>
        <v>1558.32</v>
      </c>
    </row>
    <row r="157" spans="1:16" s="538" customFormat="1">
      <c r="A157" s="561"/>
      <c r="C157" s="546"/>
      <c r="D157" s="600"/>
      <c r="E157" s="600"/>
      <c r="F157" s="600"/>
      <c r="G157" s="600"/>
      <c r="H157" s="600"/>
      <c r="I157" s="600"/>
      <c r="J157" s="600"/>
      <c r="K157" s="600"/>
      <c r="L157" s="600"/>
      <c r="M157" s="600"/>
      <c r="N157" s="600"/>
      <c r="O157" s="600"/>
      <c r="P157" s="599"/>
    </row>
    <row r="158" spans="1:16" s="538" customFormat="1">
      <c r="A158" s="561">
        <v>6845</v>
      </c>
      <c r="B158" s="538" t="s">
        <v>1657</v>
      </c>
      <c r="C158" s="546"/>
      <c r="D158" s="627">
        <f>VLOOKUP($A158,'O&amp;M per TB'!$B$4:R$375,D$5,FALSE)</f>
        <v>11.92</v>
      </c>
      <c r="E158" s="627">
        <f>VLOOKUP($A158,'O&amp;M per TB'!$B$4:S$375,E$5,FALSE)</f>
        <v>40.21</v>
      </c>
      <c r="F158" s="627">
        <f>VLOOKUP($A158,'O&amp;M per TB'!$B$4:T$375,F$5,FALSE)</f>
        <v>21.65</v>
      </c>
      <c r="G158" s="627">
        <f>VLOOKUP($A158,'O&amp;M per TB'!$B$4:U$375,G$5,FALSE)</f>
        <v>19.929999999999993</v>
      </c>
      <c r="H158" s="627">
        <f>VLOOKUP($A158,'O&amp;M per TB'!$B$4:V$375,H$5,FALSE)</f>
        <v>19.930000000000007</v>
      </c>
      <c r="I158" s="627">
        <f>VLOOKUP($A158,'O&amp;M per TB'!$B$4:W$375,I$5,FALSE)</f>
        <v>19.929999999999993</v>
      </c>
      <c r="J158" s="627">
        <f>VLOOKUP($A158,'O&amp;M per TB'!$B$4:X$375,J$5,FALSE)</f>
        <v>19.930000000000007</v>
      </c>
      <c r="K158" s="627">
        <f>VLOOKUP($A158,'O&amp;M per TB'!$B$4:Y$375,K$5,FALSE)</f>
        <v>19.930000000000007</v>
      </c>
      <c r="L158" s="627">
        <f>VLOOKUP($A158,'O&amp;M per TB'!$B$4:Z$375,L$5,FALSE)</f>
        <v>19.930000000000007</v>
      </c>
      <c r="M158" s="627">
        <f>VLOOKUP($A158,'O&amp;M per TB'!$B$4:AA$375,M$5,FALSE)</f>
        <v>19.929999999999978</v>
      </c>
      <c r="N158" s="627">
        <f>VLOOKUP($A158,'O&amp;M per TB'!$B$4:AB$375,N$5,FALSE)</f>
        <v>19.930000000000007</v>
      </c>
      <c r="O158" s="627">
        <f>VLOOKUP($A158,'O&amp;M per TB'!$B$4:AC$375,O$5,FALSE)</f>
        <v>19.930000000000007</v>
      </c>
      <c r="P158" s="1685">
        <f>SUM(D158:O158)</f>
        <v>253.15</v>
      </c>
    </row>
    <row r="159" spans="1:16" s="538" customFormat="1">
      <c r="A159" s="561"/>
      <c r="C159" s="546"/>
      <c r="D159" s="600"/>
      <c r="E159" s="600"/>
      <c r="F159" s="600"/>
      <c r="G159" s="600"/>
      <c r="H159" s="600"/>
      <c r="I159" s="600"/>
      <c r="J159" s="600"/>
      <c r="K159" s="600"/>
      <c r="L159" s="600"/>
      <c r="M159" s="600"/>
      <c r="N159" s="600"/>
      <c r="O159" s="600"/>
      <c r="P159" s="599"/>
    </row>
    <row r="160" spans="1:16" s="538" customFormat="1">
      <c r="A160" s="561">
        <v>6850</v>
      </c>
      <c r="B160" s="538" t="s">
        <v>320</v>
      </c>
      <c r="C160" s="547"/>
      <c r="D160" s="627">
        <f>VLOOKUP($A160,'O&amp;M per TB'!$B$4:R$375,D$5,FALSE)</f>
        <v>0</v>
      </c>
      <c r="E160" s="627">
        <f>VLOOKUP($A160,'O&amp;M per TB'!$B$4:S$375,E$5,FALSE)</f>
        <v>0</v>
      </c>
      <c r="F160" s="627">
        <f>VLOOKUP($A160,'O&amp;M per TB'!$B$4:T$375,F$5,FALSE)</f>
        <v>0</v>
      </c>
      <c r="G160" s="627">
        <f>VLOOKUP($A160,'O&amp;M per TB'!$B$4:U$375,G$5,FALSE)</f>
        <v>4.58</v>
      </c>
      <c r="H160" s="627">
        <f>VLOOKUP($A160,'O&amp;M per TB'!$B$4:V$375,H$5,FALSE)</f>
        <v>4.58</v>
      </c>
      <c r="I160" s="627">
        <f>VLOOKUP($A160,'O&amp;M per TB'!$B$4:W$375,I$5,FALSE)</f>
        <v>4.58</v>
      </c>
      <c r="J160" s="627">
        <f>VLOOKUP($A160,'O&amp;M per TB'!$B$4:X$375,J$5,FALSE)</f>
        <v>4.58</v>
      </c>
      <c r="K160" s="627">
        <f>VLOOKUP($A160,'O&amp;M per TB'!$B$4:Y$375,K$5,FALSE)</f>
        <v>4.5799999999999983</v>
      </c>
      <c r="L160" s="627">
        <f>VLOOKUP($A160,'O&amp;M per TB'!$B$4:Z$375,L$5,FALSE)</f>
        <v>4.5800000000000018</v>
      </c>
      <c r="M160" s="627">
        <f>VLOOKUP($A160,'O&amp;M per TB'!$B$4:AA$375,M$5,FALSE)</f>
        <v>4.5800000000000018</v>
      </c>
      <c r="N160" s="627">
        <f>VLOOKUP($A160,'O&amp;M per TB'!$B$4:AB$375,N$5,FALSE)</f>
        <v>4.5799999999999983</v>
      </c>
      <c r="O160" s="627">
        <f>VLOOKUP($A160,'O&amp;M per TB'!$B$4:AC$375,O$5,FALSE)</f>
        <v>4.5799999999999983</v>
      </c>
      <c r="P160" s="599">
        <f>SUM(D160:O160)</f>
        <v>41.22</v>
      </c>
    </row>
    <row r="161" spans="1:17" s="538" customFormat="1">
      <c r="A161" s="561"/>
      <c r="B161" s="538" t="s">
        <v>1712</v>
      </c>
      <c r="C161" s="547"/>
      <c r="D161" s="601"/>
      <c r="E161" s="601"/>
      <c r="F161" s="601"/>
      <c r="G161" s="601"/>
      <c r="H161" s="601"/>
      <c r="I161" s="601"/>
      <c r="J161" s="601"/>
      <c r="K161" s="601"/>
      <c r="L161" s="601"/>
      <c r="M161" s="601"/>
      <c r="N161" s="601"/>
      <c r="O161" s="601"/>
      <c r="P161" s="599">
        <f t="shared" si="20"/>
        <v>0</v>
      </c>
    </row>
    <row r="162" spans="1:17" s="538" customFormat="1">
      <c r="A162" s="561"/>
      <c r="B162" s="548" t="s">
        <v>763</v>
      </c>
      <c r="C162" s="544" t="s">
        <v>763</v>
      </c>
      <c r="D162" s="602">
        <f>SUM(D160:D161)</f>
        <v>0</v>
      </c>
      <c r="E162" s="602">
        <f t="shared" ref="E162" si="35">SUM(E160:E161)</f>
        <v>0</v>
      </c>
      <c r="F162" s="602">
        <f t="shared" ref="F162" si="36">SUM(F160:F161)</f>
        <v>0</v>
      </c>
      <c r="G162" s="602">
        <f t="shared" ref="G162" si="37">SUM(G160:G161)</f>
        <v>4.58</v>
      </c>
      <c r="H162" s="602">
        <f t="shared" ref="H162" si="38">SUM(H160:H161)</f>
        <v>4.58</v>
      </c>
      <c r="I162" s="602">
        <f t="shared" ref="I162" si="39">SUM(I160:I161)</f>
        <v>4.58</v>
      </c>
      <c r="J162" s="602">
        <f t="shared" ref="J162" si="40">SUM(J160:J161)</f>
        <v>4.58</v>
      </c>
      <c r="K162" s="602">
        <f t="shared" ref="K162" si="41">SUM(K160:K161)</f>
        <v>4.5799999999999983</v>
      </c>
      <c r="L162" s="602">
        <f t="shared" ref="L162" si="42">SUM(L160:L161)</f>
        <v>4.5800000000000018</v>
      </c>
      <c r="M162" s="602">
        <f t="shared" ref="M162" si="43">SUM(M160:M161)</f>
        <v>4.5800000000000018</v>
      </c>
      <c r="N162" s="602">
        <f t="shared" ref="N162" si="44">SUM(N160:N161)</f>
        <v>4.5799999999999983</v>
      </c>
      <c r="O162" s="602">
        <f t="shared" ref="O162" si="45">SUM(O160:O161)</f>
        <v>4.5799999999999983</v>
      </c>
      <c r="P162" s="1686">
        <f t="shared" ref="P162" si="46">SUM(P160:P161)</f>
        <v>41.22</v>
      </c>
    </row>
    <row r="163" spans="1:17" s="538" customFormat="1">
      <c r="A163" s="561"/>
      <c r="C163" s="547"/>
      <c r="D163" s="601"/>
      <c r="E163" s="601"/>
      <c r="F163" s="601"/>
      <c r="G163" s="601"/>
      <c r="H163" s="601"/>
      <c r="I163" s="601"/>
      <c r="J163" s="601"/>
      <c r="K163" s="601"/>
      <c r="L163" s="601"/>
      <c r="M163" s="601"/>
      <c r="N163" s="601"/>
      <c r="O163" s="601"/>
      <c r="P163" s="599"/>
    </row>
    <row r="164" spans="1:17" s="538" customFormat="1">
      <c r="A164" s="561">
        <v>6855</v>
      </c>
      <c r="B164" s="538" t="s">
        <v>321</v>
      </c>
      <c r="C164" s="547"/>
      <c r="D164" s="627">
        <f>VLOOKUP($A164,'O&amp;M per TB'!$B$4:R$375,D$5,FALSE)</f>
        <v>7.61</v>
      </c>
      <c r="E164" s="627">
        <f>VLOOKUP($A164,'O&amp;M per TB'!$B$4:S$375,E$5,FALSE)</f>
        <v>7.61</v>
      </c>
      <c r="F164" s="627">
        <f>VLOOKUP($A164,'O&amp;M per TB'!$B$4:T$375,F$5,FALSE)</f>
        <v>7.6099999999999977</v>
      </c>
      <c r="G164" s="627">
        <f>VLOOKUP($A164,'O&amp;M per TB'!$B$4:U$375,G$5,FALSE)</f>
        <v>7.610000000000003</v>
      </c>
      <c r="H164" s="627">
        <f>VLOOKUP($A164,'O&amp;M per TB'!$B$4:V$375,H$5,FALSE)</f>
        <v>7.6099999999999959</v>
      </c>
      <c r="I164" s="627">
        <f>VLOOKUP($A164,'O&amp;M per TB'!$B$4:W$375,I$5,FALSE)</f>
        <v>7.6099999999999994</v>
      </c>
      <c r="J164" s="627">
        <f>VLOOKUP($A164,'O&amp;M per TB'!$B$4:X$375,J$5,FALSE)</f>
        <v>7.6100000000000065</v>
      </c>
      <c r="K164" s="627">
        <f>VLOOKUP($A164,'O&amp;M per TB'!$B$4:Y$375,K$5,FALSE)</f>
        <v>7.6099999999999994</v>
      </c>
      <c r="L164" s="627">
        <f>VLOOKUP($A164,'O&amp;M per TB'!$B$4:Z$375,L$5,FALSE)</f>
        <v>7.6099999999999923</v>
      </c>
      <c r="M164" s="627">
        <f>VLOOKUP($A164,'O&amp;M per TB'!$B$4:AA$375,M$5,FALSE)</f>
        <v>7.6099999999999994</v>
      </c>
      <c r="N164" s="627">
        <f>VLOOKUP($A164,'O&amp;M per TB'!$B$4:AB$375,N$5,FALSE)</f>
        <v>7.6099999999999994</v>
      </c>
      <c r="O164" s="627">
        <f>VLOOKUP($A164,'O&amp;M per TB'!$B$4:AC$375,O$5,FALSE)</f>
        <v>7.6099999999999994</v>
      </c>
      <c r="P164" s="599">
        <f>SUM(D164:O164)</f>
        <v>91.32</v>
      </c>
    </row>
    <row r="165" spans="1:17" s="538" customFormat="1">
      <c r="A165" s="561"/>
      <c r="B165" s="538" t="s">
        <v>1714</v>
      </c>
      <c r="C165" s="547"/>
      <c r="D165" s="601">
        <f>-D74</f>
        <v>0</v>
      </c>
      <c r="E165" s="601">
        <f t="shared" ref="E165:O165" si="47">-E74</f>
        <v>0</v>
      </c>
      <c r="F165" s="601">
        <f t="shared" si="47"/>
        <v>0</v>
      </c>
      <c r="G165" s="601">
        <f t="shared" si="47"/>
        <v>0</v>
      </c>
      <c r="H165" s="601">
        <f t="shared" si="47"/>
        <v>0</v>
      </c>
      <c r="I165" s="601">
        <f t="shared" si="47"/>
        <v>0</v>
      </c>
      <c r="J165" s="601">
        <f t="shared" si="47"/>
        <v>0</v>
      </c>
      <c r="K165" s="601">
        <f t="shared" si="47"/>
        <v>0</v>
      </c>
      <c r="L165" s="601">
        <f t="shared" si="47"/>
        <v>0</v>
      </c>
      <c r="M165" s="601">
        <f t="shared" si="47"/>
        <v>0</v>
      </c>
      <c r="N165" s="601">
        <f t="shared" si="47"/>
        <v>0</v>
      </c>
      <c r="O165" s="601">
        <f t="shared" si="47"/>
        <v>0</v>
      </c>
      <c r="P165" s="599">
        <f t="shared" si="20"/>
        <v>0</v>
      </c>
    </row>
    <row r="166" spans="1:17" s="538" customFormat="1">
      <c r="A166" s="561"/>
      <c r="B166" s="548" t="s">
        <v>763</v>
      </c>
      <c r="C166" s="544" t="s">
        <v>763</v>
      </c>
      <c r="D166" s="602">
        <f>SUM(D164:D165)</f>
        <v>7.61</v>
      </c>
      <c r="E166" s="602">
        <f t="shared" ref="E166" si="48">SUM(E164:E165)</f>
        <v>7.61</v>
      </c>
      <c r="F166" s="602">
        <f t="shared" ref="F166" si="49">SUM(F164:F165)</f>
        <v>7.6099999999999977</v>
      </c>
      <c r="G166" s="602">
        <f t="shared" ref="G166" si="50">SUM(G164:G165)</f>
        <v>7.610000000000003</v>
      </c>
      <c r="H166" s="602">
        <f t="shared" ref="H166" si="51">SUM(H164:H165)</f>
        <v>7.6099999999999959</v>
      </c>
      <c r="I166" s="602">
        <f t="shared" ref="I166" si="52">SUM(I164:I165)</f>
        <v>7.6099999999999994</v>
      </c>
      <c r="J166" s="602">
        <f t="shared" ref="J166" si="53">SUM(J164:J165)</f>
        <v>7.6100000000000065</v>
      </c>
      <c r="K166" s="602">
        <f t="shared" ref="K166" si="54">SUM(K164:K165)</f>
        <v>7.6099999999999994</v>
      </c>
      <c r="L166" s="602">
        <f t="shared" ref="L166" si="55">SUM(L164:L165)</f>
        <v>7.6099999999999923</v>
      </c>
      <c r="M166" s="602">
        <f t="shared" ref="M166" si="56">SUM(M164:M165)</f>
        <v>7.6099999999999994</v>
      </c>
      <c r="N166" s="602">
        <f t="shared" ref="N166" si="57">SUM(N164:N165)</f>
        <v>7.6099999999999994</v>
      </c>
      <c r="O166" s="602">
        <f t="shared" ref="O166" si="58">SUM(O164:O165)</f>
        <v>7.6099999999999994</v>
      </c>
      <c r="P166" s="1686">
        <f t="shared" ref="P166" si="59">SUM(P164:P165)</f>
        <v>91.32</v>
      </c>
    </row>
    <row r="167" spans="1:17" s="538" customFormat="1">
      <c r="A167" s="561"/>
      <c r="C167" s="547"/>
      <c r="D167" s="601"/>
      <c r="E167" s="601"/>
      <c r="F167" s="601"/>
      <c r="G167" s="601"/>
      <c r="H167" s="601"/>
      <c r="I167" s="601"/>
      <c r="J167" s="601"/>
      <c r="K167" s="601"/>
      <c r="L167" s="601"/>
      <c r="M167" s="601"/>
      <c r="N167" s="601"/>
      <c r="O167" s="601"/>
      <c r="P167" s="599"/>
    </row>
    <row r="168" spans="1:17" s="538" customFormat="1">
      <c r="A168" s="561">
        <v>6860</v>
      </c>
      <c r="B168" s="538" t="s">
        <v>1658</v>
      </c>
      <c r="C168" s="547"/>
      <c r="D168" s="627"/>
      <c r="E168" s="627"/>
      <c r="F168" s="627"/>
      <c r="G168" s="627"/>
      <c r="H168" s="627"/>
      <c r="I168" s="627"/>
      <c r="J168" s="627"/>
      <c r="K168" s="627"/>
      <c r="L168" s="627"/>
      <c r="M168" s="627"/>
      <c r="N168" s="627"/>
      <c r="O168" s="627"/>
      <c r="P168" s="599">
        <f>SUM(D168:O168)</f>
        <v>0</v>
      </c>
    </row>
    <row r="169" spans="1:17" s="538" customFormat="1" ht="19.5" customHeight="1" thickBot="1">
      <c r="A169" s="561"/>
      <c r="B169" s="544" t="s">
        <v>963</v>
      </c>
      <c r="D169" s="603">
        <f>SUM(D91:D168)-D98-D124-D108-D146-D152-D156-D162-D166</f>
        <v>24945.370000000003</v>
      </c>
      <c r="E169" s="603">
        <f t="shared" ref="E169:P169" si="60">SUM(E91:E168)-E98-E124-E108-E146-E152-E156-E162-E166</f>
        <v>24108.98</v>
      </c>
      <c r="F169" s="603">
        <f t="shared" si="60"/>
        <v>29087.870000000017</v>
      </c>
      <c r="G169" s="603">
        <f t="shared" si="60"/>
        <v>25069.050000000003</v>
      </c>
      <c r="H169" s="603">
        <f t="shared" si="60"/>
        <v>24698.19000000001</v>
      </c>
      <c r="I169" s="603">
        <f t="shared" si="60"/>
        <v>24398.729999999992</v>
      </c>
      <c r="J169" s="603">
        <f t="shared" si="60"/>
        <v>26729.100000000013</v>
      </c>
      <c r="K169" s="603">
        <f t="shared" si="60"/>
        <v>26754.749999999993</v>
      </c>
      <c r="L169" s="603">
        <f t="shared" si="60"/>
        <v>25972.710000000021</v>
      </c>
      <c r="M169" s="603">
        <f t="shared" si="60"/>
        <v>26103.670000000006</v>
      </c>
      <c r="N169" s="603">
        <f>SUM(N91:N168)-N98-N124-N108-N146-N152-N156-N162-N166</f>
        <v>26078.249999999996</v>
      </c>
      <c r="O169" s="603">
        <f t="shared" si="60"/>
        <v>26113.400000000005</v>
      </c>
      <c r="P169" s="603">
        <f t="shared" si="60"/>
        <v>310060.06999999977</v>
      </c>
    </row>
    <row r="170" spans="1:17" s="538" customFormat="1" ht="13.5" thickTop="1" thickBot="1">
      <c r="A170" s="561"/>
      <c r="C170" s="547"/>
      <c r="D170" s="601"/>
      <c r="E170" s="601"/>
      <c r="F170" s="601"/>
      <c r="G170" s="601"/>
      <c r="H170" s="601"/>
      <c r="I170" s="601"/>
      <c r="J170" s="601"/>
      <c r="K170" s="601"/>
      <c r="L170" s="601"/>
      <c r="M170" s="601"/>
      <c r="N170" s="601"/>
      <c r="O170" s="599"/>
      <c r="P170" s="599"/>
    </row>
    <row r="171" spans="1:17" s="635" customFormat="1" ht="12.75" thickBot="1">
      <c r="B171" s="598" t="s">
        <v>324</v>
      </c>
      <c r="C171" s="601"/>
      <c r="D171" s="627">
        <f>+'12-31-15 CIAC Amort Exp_PerAR'!D50</f>
        <v>-7979.59</v>
      </c>
      <c r="E171" s="627">
        <f>+'12-31-15 CIAC Amort Exp_PerAR'!E50</f>
        <v>-8112.41</v>
      </c>
      <c r="F171" s="627">
        <f>+'12-31-15 CIAC Amort Exp_PerAR'!F50</f>
        <v>-8112.4100000000008</v>
      </c>
      <c r="G171" s="627">
        <f>+'12-31-15 CIAC Amort Exp_PerAR'!G50</f>
        <v>-8112.409999999998</v>
      </c>
      <c r="H171" s="627">
        <f>+'12-31-15 CIAC Amort Exp_PerAR'!H50</f>
        <v>-8112.4900000000025</v>
      </c>
      <c r="I171" s="627">
        <f>+'12-31-15 CIAC Amort Exp_PerAR'!I50</f>
        <v>-8112.4899999999989</v>
      </c>
      <c r="J171" s="627">
        <f>+'12-31-15 CIAC Amort Exp_PerAR'!J50</f>
        <v>-8112.4900000000025</v>
      </c>
      <c r="K171" s="627">
        <f>+'12-31-15 CIAC Amort Exp_PerAR'!K50</f>
        <v>-8112.4899999999943</v>
      </c>
      <c r="L171" s="627">
        <f>+'12-31-15 CIAC Amort Exp_PerAR'!L50</f>
        <v>-8112.4900000000025</v>
      </c>
      <c r="M171" s="627">
        <f>+'12-31-15 CIAC Amort Exp_PerAR'!M50</f>
        <v>-8112.4900000000043</v>
      </c>
      <c r="N171" s="627">
        <f>+'12-31-15 CIAC Amort Exp_PerAR'!N50</f>
        <v>-8112.4499999999944</v>
      </c>
      <c r="O171" s="627">
        <f>+'12-31-15 CIAC Amort Exp_PerAR'!O50</f>
        <v>-8112.4500000000025</v>
      </c>
      <c r="P171" s="599">
        <f>SUM(D171:O171)</f>
        <v>-97216.66</v>
      </c>
      <c r="Q171" s="705"/>
    </row>
    <row r="172" spans="1:17" s="538" customFormat="1">
      <c r="A172" s="561"/>
      <c r="C172" s="547"/>
      <c r="D172" s="601"/>
      <c r="E172" s="601"/>
      <c r="F172" s="601"/>
      <c r="G172" s="601"/>
      <c r="H172" s="601"/>
      <c r="I172" s="601"/>
      <c r="J172" s="601"/>
      <c r="K172" s="601"/>
      <c r="L172" s="601"/>
      <c r="M172" s="601"/>
      <c r="N172" s="601"/>
      <c r="O172" s="601"/>
      <c r="P172" s="599"/>
    </row>
    <row r="173" spans="1:17" s="556" customFormat="1">
      <c r="A173" s="564" t="s">
        <v>911</v>
      </c>
      <c r="B173" s="556" t="s">
        <v>325</v>
      </c>
      <c r="C173" s="544"/>
      <c r="D173" s="598">
        <f>+D169+D171</f>
        <v>16965.780000000002</v>
      </c>
      <c r="E173" s="598">
        <f t="shared" ref="E173:O173" si="61">+E169+E171</f>
        <v>15996.57</v>
      </c>
      <c r="F173" s="598">
        <f t="shared" si="61"/>
        <v>20975.460000000017</v>
      </c>
      <c r="G173" s="598">
        <f t="shared" si="61"/>
        <v>16956.640000000007</v>
      </c>
      <c r="H173" s="598">
        <f t="shared" si="61"/>
        <v>16585.700000000008</v>
      </c>
      <c r="I173" s="598">
        <f t="shared" si="61"/>
        <v>16286.239999999994</v>
      </c>
      <c r="J173" s="598">
        <f t="shared" si="61"/>
        <v>18616.610000000011</v>
      </c>
      <c r="K173" s="598">
        <f t="shared" si="61"/>
        <v>18642.259999999998</v>
      </c>
      <c r="L173" s="598">
        <f t="shared" si="61"/>
        <v>17860.220000000019</v>
      </c>
      <c r="M173" s="598">
        <f t="shared" si="61"/>
        <v>17991.18</v>
      </c>
      <c r="N173" s="598">
        <f t="shared" si="61"/>
        <v>17965.800000000003</v>
      </c>
      <c r="O173" s="598">
        <f t="shared" si="61"/>
        <v>18000.950000000004</v>
      </c>
      <c r="P173" s="1285">
        <f>+P169+P171</f>
        <v>212843.40999999977</v>
      </c>
    </row>
    <row r="174" spans="1:17" s="538" customFormat="1">
      <c r="A174" s="561"/>
      <c r="C174" s="547"/>
      <c r="D174" s="601"/>
      <c r="E174" s="601"/>
      <c r="F174" s="601"/>
      <c r="G174" s="601"/>
      <c r="H174" s="601"/>
      <c r="I174" s="601"/>
      <c r="J174" s="601"/>
      <c r="K174" s="601"/>
      <c r="L174" s="601"/>
      <c r="M174" s="601"/>
      <c r="N174" s="601"/>
      <c r="O174" s="599"/>
      <c r="P174" s="599"/>
    </row>
    <row r="175" spans="1:17" s="545" customFormat="1">
      <c r="A175" s="562"/>
      <c r="B175" s="545" t="s">
        <v>2287</v>
      </c>
      <c r="C175" s="551"/>
      <c r="D175" s="607">
        <f>SUM('O&amp;M per TB'!D118:D147)</f>
        <v>24945.369999999992</v>
      </c>
      <c r="E175" s="607">
        <f>SUM('O&amp;M per TB'!E118:E147)</f>
        <v>24108.979999999996</v>
      </c>
      <c r="F175" s="607">
        <f>SUM('O&amp;M per TB'!F118:F147)</f>
        <v>29087.869999999992</v>
      </c>
      <c r="G175" s="607">
        <f>SUM('O&amp;M per TB'!G118:G147)</f>
        <v>25069.049999999996</v>
      </c>
      <c r="H175" s="607">
        <f>SUM('O&amp;M per TB'!H118:H147)</f>
        <v>24698.190000000002</v>
      </c>
      <c r="I175" s="607">
        <f>SUM('O&amp;M per TB'!I118:I147)</f>
        <v>24398.729999999996</v>
      </c>
      <c r="J175" s="607">
        <f>SUM('O&amp;M per TB'!J118:J147)</f>
        <v>26729.100000000006</v>
      </c>
      <c r="K175" s="607">
        <f>SUM('O&amp;M per TB'!K118:K147)</f>
        <v>26754.749999999993</v>
      </c>
      <c r="L175" s="607">
        <f>SUM('O&amp;M per TB'!L118:L147)</f>
        <v>25972.71000000001</v>
      </c>
      <c r="M175" s="607">
        <f>SUM('O&amp;M per TB'!M118:M147)</f>
        <v>26103.669999999995</v>
      </c>
      <c r="N175" s="607">
        <f>SUM('O&amp;M per TB'!N118:N147)</f>
        <v>26078.249999999996</v>
      </c>
      <c r="O175" s="607">
        <f>SUM('O&amp;M per TB'!O118:O147)</f>
        <v>26113.400000000005</v>
      </c>
      <c r="P175" s="607">
        <f>SUM('O&amp;M per TB'!P118:P147)</f>
        <v>310060.07</v>
      </c>
    </row>
    <row r="176" spans="1:17" s="538" customFormat="1">
      <c r="A176" s="561"/>
      <c r="C176" s="547"/>
      <c r="D176" s="601"/>
      <c r="E176" s="601"/>
      <c r="F176" s="601"/>
      <c r="G176" s="601"/>
      <c r="H176" s="601"/>
      <c r="I176" s="601"/>
      <c r="J176" s="601"/>
      <c r="K176" s="601"/>
      <c r="L176" s="601"/>
      <c r="M176" s="601"/>
      <c r="N176" s="601"/>
      <c r="O176" s="599"/>
      <c r="P176" s="599"/>
    </row>
    <row r="177" spans="1:16" s="538" customFormat="1">
      <c r="A177" s="561"/>
      <c r="C177" s="547"/>
      <c r="D177" s="601"/>
      <c r="E177" s="601"/>
      <c r="F177" s="601"/>
      <c r="G177" s="601"/>
      <c r="H177" s="601"/>
      <c r="I177" s="601"/>
      <c r="J177" s="601"/>
      <c r="K177" s="601"/>
      <c r="L177" s="601"/>
      <c r="M177" s="601"/>
      <c r="N177" s="601"/>
      <c r="O177" s="599"/>
      <c r="P177" s="599"/>
    </row>
    <row r="178" spans="1:16" s="538" customFormat="1">
      <c r="A178" s="561"/>
      <c r="C178" s="547"/>
      <c r="D178" s="601"/>
      <c r="E178" s="601"/>
      <c r="F178" s="601"/>
      <c r="G178" s="601"/>
      <c r="H178" s="601"/>
      <c r="I178" s="601"/>
      <c r="J178" s="601"/>
      <c r="K178" s="601"/>
      <c r="L178" s="601"/>
      <c r="M178" s="601"/>
      <c r="N178" s="601"/>
      <c r="O178" s="599"/>
      <c r="P178" s="599"/>
    </row>
    <row r="179" spans="1:16" s="538" customFormat="1">
      <c r="A179" s="561"/>
      <c r="C179" s="547"/>
      <c r="D179" s="601"/>
      <c r="E179" s="601"/>
      <c r="F179" s="601"/>
      <c r="G179" s="601"/>
      <c r="H179" s="601"/>
      <c r="I179" s="601"/>
      <c r="J179" s="601"/>
      <c r="K179" s="601"/>
      <c r="L179" s="601"/>
      <c r="M179" s="601"/>
      <c r="N179" s="601"/>
      <c r="O179" s="599"/>
      <c r="P179" s="599"/>
    </row>
    <row r="180" spans="1:16" s="538" customFormat="1">
      <c r="A180" s="561"/>
      <c r="C180" s="547"/>
      <c r="D180" s="601"/>
      <c r="E180" s="601"/>
      <c r="F180" s="601"/>
      <c r="G180" s="601"/>
      <c r="H180" s="601"/>
      <c r="I180" s="601"/>
      <c r="J180" s="601"/>
      <c r="K180" s="601"/>
      <c r="L180" s="601"/>
      <c r="M180" s="601"/>
      <c r="N180" s="601"/>
      <c r="O180" s="599"/>
      <c r="P180" s="599"/>
    </row>
    <row r="181" spans="1:16" s="538" customFormat="1">
      <c r="A181" s="561"/>
      <c r="C181" s="547"/>
      <c r="D181" s="601"/>
      <c r="E181" s="601"/>
      <c r="F181" s="601"/>
      <c r="G181" s="601"/>
      <c r="H181" s="601"/>
      <c r="I181" s="601"/>
      <c r="J181" s="601"/>
      <c r="K181" s="601"/>
      <c r="L181" s="601"/>
      <c r="M181" s="601"/>
      <c r="N181" s="601"/>
      <c r="O181" s="599"/>
      <c r="P181" s="599"/>
    </row>
    <row r="182" spans="1:16" s="538" customFormat="1">
      <c r="A182" s="561"/>
      <c r="C182" s="547"/>
      <c r="D182" s="601"/>
      <c r="E182" s="601"/>
      <c r="F182" s="601"/>
      <c r="G182" s="601"/>
      <c r="H182" s="601"/>
      <c r="I182" s="601"/>
      <c r="J182" s="601"/>
      <c r="K182" s="601"/>
      <c r="L182" s="601"/>
      <c r="M182" s="601"/>
      <c r="N182" s="601"/>
      <c r="O182" s="599"/>
      <c r="P182" s="599"/>
    </row>
    <row r="183" spans="1:16" s="538" customFormat="1">
      <c r="A183" s="561"/>
      <c r="C183" s="547"/>
      <c r="D183" s="601"/>
      <c r="E183" s="601"/>
      <c r="F183" s="601"/>
      <c r="G183" s="601"/>
      <c r="H183" s="601"/>
      <c r="I183" s="601"/>
      <c r="J183" s="601"/>
      <c r="K183" s="601"/>
      <c r="L183" s="601"/>
      <c r="M183" s="601"/>
      <c r="N183" s="601"/>
      <c r="O183" s="599"/>
      <c r="P183" s="565"/>
    </row>
    <row r="184" spans="1:16" s="538" customFormat="1">
      <c r="A184" s="561"/>
      <c r="C184" s="547"/>
      <c r="D184" s="601"/>
      <c r="E184" s="601"/>
      <c r="F184" s="601"/>
      <c r="G184" s="601"/>
      <c r="H184" s="601"/>
      <c r="I184" s="601"/>
      <c r="J184" s="601"/>
      <c r="K184" s="601"/>
      <c r="L184" s="601"/>
      <c r="M184" s="601"/>
      <c r="N184" s="601"/>
      <c r="O184" s="599"/>
      <c r="P184" s="565"/>
    </row>
    <row r="185" spans="1:16" s="538" customFormat="1">
      <c r="A185" s="561"/>
      <c r="C185" s="547"/>
      <c r="D185" s="601"/>
      <c r="E185" s="601"/>
      <c r="F185" s="601"/>
      <c r="G185" s="601"/>
      <c r="H185" s="601"/>
      <c r="I185" s="601"/>
      <c r="J185" s="601"/>
      <c r="K185" s="601"/>
      <c r="L185" s="601"/>
      <c r="M185" s="601"/>
      <c r="N185" s="601"/>
      <c r="O185" s="599"/>
      <c r="P185" s="565"/>
    </row>
    <row r="186" spans="1:16" s="538" customFormat="1">
      <c r="A186" s="561"/>
      <c r="C186" s="547"/>
      <c r="D186" s="601"/>
      <c r="E186" s="601"/>
      <c r="F186" s="601"/>
      <c r="G186" s="601"/>
      <c r="H186" s="601"/>
      <c r="I186" s="601"/>
      <c r="J186" s="601"/>
      <c r="K186" s="601"/>
      <c r="L186" s="601"/>
      <c r="M186" s="601"/>
      <c r="N186" s="601"/>
      <c r="O186" s="599"/>
      <c r="P186" s="565"/>
    </row>
    <row r="187" spans="1:16" s="538" customFormat="1">
      <c r="A187" s="561"/>
      <c r="C187" s="547"/>
      <c r="D187" s="601"/>
      <c r="E187" s="601"/>
      <c r="F187" s="601"/>
      <c r="G187" s="601"/>
      <c r="H187" s="601"/>
      <c r="I187" s="601"/>
      <c r="J187" s="601"/>
      <c r="K187" s="601"/>
      <c r="L187" s="601"/>
      <c r="M187" s="601"/>
      <c r="N187" s="601"/>
      <c r="O187" s="599"/>
      <c r="P187" s="565"/>
    </row>
    <row r="188" spans="1:16" s="538" customFormat="1">
      <c r="A188" s="561"/>
      <c r="C188" s="547"/>
      <c r="D188" s="601"/>
      <c r="E188" s="601"/>
      <c r="F188" s="601"/>
      <c r="G188" s="601"/>
      <c r="H188" s="601"/>
      <c r="I188" s="601"/>
      <c r="J188" s="601"/>
      <c r="K188" s="601"/>
      <c r="L188" s="601"/>
      <c r="M188" s="601"/>
      <c r="N188" s="601"/>
      <c r="O188" s="599"/>
      <c r="P188" s="565"/>
    </row>
    <row r="189" spans="1:16" s="538" customFormat="1">
      <c r="A189" s="561"/>
      <c r="C189" s="547"/>
      <c r="D189" s="601"/>
      <c r="E189" s="601"/>
      <c r="F189" s="601"/>
      <c r="G189" s="601"/>
      <c r="H189" s="601"/>
      <c r="I189" s="601"/>
      <c r="J189" s="601"/>
      <c r="K189" s="601"/>
      <c r="L189" s="601"/>
      <c r="M189" s="601"/>
      <c r="N189" s="601"/>
      <c r="O189" s="599"/>
      <c r="P189" s="565"/>
    </row>
    <row r="190" spans="1:16" s="538" customFormat="1">
      <c r="A190" s="561"/>
      <c r="C190" s="547"/>
      <c r="D190" s="601"/>
      <c r="E190" s="601"/>
      <c r="F190" s="601"/>
      <c r="G190" s="601"/>
      <c r="H190" s="601"/>
      <c r="I190" s="601"/>
      <c r="J190" s="601"/>
      <c r="K190" s="601"/>
      <c r="L190" s="601"/>
      <c r="M190" s="601"/>
      <c r="N190" s="601"/>
      <c r="O190" s="599"/>
      <c r="P190" s="565"/>
    </row>
    <row r="191" spans="1:16" s="538" customFormat="1">
      <c r="A191" s="561"/>
      <c r="C191" s="547"/>
      <c r="D191" s="601"/>
      <c r="E191" s="601"/>
      <c r="F191" s="601"/>
      <c r="G191" s="601"/>
      <c r="H191" s="601"/>
      <c r="I191" s="601"/>
      <c r="J191" s="601"/>
      <c r="K191" s="601"/>
      <c r="L191" s="601"/>
      <c r="M191" s="601"/>
      <c r="N191" s="601"/>
      <c r="O191" s="599"/>
      <c r="P191" s="565"/>
    </row>
    <row r="192" spans="1:16" s="538" customFormat="1">
      <c r="A192" s="561"/>
      <c r="C192" s="547"/>
      <c r="D192" s="601"/>
      <c r="E192" s="601"/>
      <c r="F192" s="601"/>
      <c r="G192" s="601"/>
      <c r="H192" s="601"/>
      <c r="I192" s="601"/>
      <c r="J192" s="601"/>
      <c r="K192" s="601"/>
      <c r="L192" s="601"/>
      <c r="M192" s="601"/>
      <c r="N192" s="601"/>
      <c r="O192" s="599"/>
      <c r="P192" s="565"/>
    </row>
    <row r="193" spans="1:16" s="538" customFormat="1">
      <c r="A193" s="561"/>
      <c r="C193" s="547"/>
      <c r="D193" s="601"/>
      <c r="E193" s="601"/>
      <c r="F193" s="601"/>
      <c r="G193" s="601"/>
      <c r="H193" s="601"/>
      <c r="I193" s="601"/>
      <c r="J193" s="601"/>
      <c r="K193" s="601"/>
      <c r="L193" s="601"/>
      <c r="M193" s="601"/>
      <c r="N193" s="601"/>
      <c r="O193" s="599"/>
      <c r="P193" s="565"/>
    </row>
    <row r="194" spans="1:16" s="538" customFormat="1">
      <c r="A194" s="561"/>
      <c r="C194" s="547"/>
      <c r="D194" s="601"/>
      <c r="E194" s="601"/>
      <c r="F194" s="601"/>
      <c r="G194" s="601"/>
      <c r="H194" s="601"/>
      <c r="I194" s="601"/>
      <c r="J194" s="601"/>
      <c r="K194" s="601"/>
      <c r="L194" s="601"/>
      <c r="M194" s="601"/>
      <c r="N194" s="601"/>
      <c r="O194" s="599"/>
      <c r="P194" s="565"/>
    </row>
    <row r="195" spans="1:16" s="538" customFormat="1">
      <c r="A195" s="561"/>
      <c r="C195" s="547"/>
      <c r="D195" s="601"/>
      <c r="E195" s="601"/>
      <c r="F195" s="601"/>
      <c r="G195" s="601"/>
      <c r="H195" s="601"/>
      <c r="I195" s="601"/>
      <c r="J195" s="601"/>
      <c r="K195" s="601"/>
      <c r="L195" s="601"/>
      <c r="M195" s="601"/>
      <c r="N195" s="601"/>
      <c r="O195" s="599"/>
      <c r="P195" s="565"/>
    </row>
    <row r="196" spans="1:16">
      <c r="P196" s="535"/>
    </row>
    <row r="197" spans="1:16">
      <c r="P197" s="535"/>
    </row>
    <row r="198" spans="1:16">
      <c r="P198" s="535"/>
    </row>
    <row r="199" spans="1:16">
      <c r="P199" s="535"/>
    </row>
    <row r="200" spans="1:16">
      <c r="P200" s="535"/>
    </row>
    <row r="201" spans="1:16">
      <c r="P201" s="535"/>
    </row>
    <row r="202" spans="1:16">
      <c r="P202" s="535"/>
    </row>
    <row r="203" spans="1:16">
      <c r="P203" s="535"/>
    </row>
    <row r="204" spans="1:16">
      <c r="P204" s="535"/>
    </row>
    <row r="205" spans="1:16">
      <c r="P205" s="535"/>
    </row>
    <row r="206" spans="1:16">
      <c r="P206" s="535"/>
    </row>
    <row r="207" spans="1:16">
      <c r="P207" s="535"/>
    </row>
    <row r="208" spans="1:16">
      <c r="P208" s="535"/>
    </row>
    <row r="209" spans="16:16">
      <c r="P209" s="535"/>
    </row>
    <row r="210" spans="16:16">
      <c r="P210" s="535"/>
    </row>
    <row r="211" spans="16:16">
      <c r="P211" s="535"/>
    </row>
    <row r="212" spans="16:16">
      <c r="P212" s="535"/>
    </row>
    <row r="213" spans="16:16">
      <c r="P213" s="535"/>
    </row>
    <row r="214" spans="16:16">
      <c r="P214" s="535"/>
    </row>
    <row r="215" spans="16:16">
      <c r="P215" s="535"/>
    </row>
    <row r="216" spans="16:16">
      <c r="P216" s="535"/>
    </row>
    <row r="217" spans="16:16">
      <c r="P217" s="535"/>
    </row>
    <row r="218" spans="16:16">
      <c r="P218" s="535"/>
    </row>
    <row r="219" spans="16:16">
      <c r="P219" s="535"/>
    </row>
    <row r="220" spans="16:16">
      <c r="P220" s="535"/>
    </row>
    <row r="221" spans="16:16">
      <c r="P221" s="535"/>
    </row>
    <row r="222" spans="16:16">
      <c r="P222" s="535"/>
    </row>
    <row r="223" spans="16:16">
      <c r="P223" s="535"/>
    </row>
    <row r="224" spans="16:16">
      <c r="P224" s="535"/>
    </row>
    <row r="225" spans="16:16">
      <c r="P225" s="535"/>
    </row>
    <row r="226" spans="16:16">
      <c r="P226" s="535"/>
    </row>
  </sheetData>
  <phoneticPr fontId="41" type="noConversion"/>
  <printOptions horizontalCentered="1"/>
  <pageMargins left="0.5" right="0" top="0.75" bottom="0.5" header="0.25" footer="0.25"/>
  <pageSetup scale="70" fitToHeight="0" orientation="landscape" r:id="rId1"/>
  <headerFooter alignWithMargins="0">
    <oddHeader xml:space="preserve">&amp;C&amp;"Arial,Bold"&amp;12
Sanlando Utilities Corp
&amp;"Arial,Regular"&amp;10
</oddHeader>
    <oddFooter>&amp;C&amp;A&amp;RPage &amp;P of &amp;N</oddFooter>
  </headerFooter>
  <rowBreaks count="1" manualBreakCount="1">
    <brk id="88" max="16383"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dimension ref="A1:R103"/>
  <sheetViews>
    <sheetView workbookViewId="0"/>
  </sheetViews>
  <sheetFormatPr defaultColWidth="9.140625" defaultRowHeight="12"/>
  <cols>
    <col min="1" max="1" width="8.85546875" style="559" customWidth="1"/>
    <col min="2" max="2" width="39.5703125" style="520" customWidth="1"/>
    <col min="3" max="3" width="8.7109375" style="557" customWidth="1"/>
    <col min="4" max="7" width="9.7109375" style="608" customWidth="1"/>
    <col min="8" max="8" width="11.28515625" style="608" customWidth="1"/>
    <col min="9" max="13" width="9.7109375" style="608" customWidth="1"/>
    <col min="14" max="14" width="10.140625" style="608" customWidth="1"/>
    <col min="15" max="15" width="11.5703125" style="609" customWidth="1"/>
    <col min="16" max="16" width="13.7109375" style="558" customWidth="1"/>
    <col min="17" max="17" width="9.28515625" style="520" bestFit="1" customWidth="1"/>
    <col min="18" max="18" width="9.85546875" style="520" bestFit="1" customWidth="1"/>
    <col min="19" max="19" width="10.5703125" style="520" bestFit="1" customWidth="1"/>
    <col min="20" max="16384" width="9.140625" style="520"/>
  </cols>
  <sheetData>
    <row r="1" spans="1:18" ht="9" customHeight="1">
      <c r="B1" s="2344"/>
      <c r="C1" s="2344"/>
      <c r="D1" s="2344"/>
      <c r="E1" s="2344"/>
      <c r="F1" s="2344"/>
      <c r="G1" s="2344"/>
      <c r="H1" s="2344"/>
      <c r="I1" s="2344"/>
      <c r="J1" s="2344"/>
      <c r="K1" s="2344"/>
      <c r="L1" s="2344"/>
      <c r="M1" s="2344"/>
      <c r="N1" s="2344"/>
      <c r="O1" s="2344"/>
      <c r="P1" s="2344"/>
      <c r="Q1" s="538"/>
      <c r="R1" s="538"/>
    </row>
    <row r="2" spans="1:18" s="539" customFormat="1" ht="24.75" customHeight="1">
      <c r="A2" s="560"/>
      <c r="B2" s="540" t="s">
        <v>1200</v>
      </c>
      <c r="C2" s="540" t="s">
        <v>1659</v>
      </c>
      <c r="D2" s="596" t="s">
        <v>1321</v>
      </c>
      <c r="E2" s="596" t="s">
        <v>1322</v>
      </c>
      <c r="F2" s="596" t="s">
        <v>39</v>
      </c>
      <c r="G2" s="596" t="s">
        <v>40</v>
      </c>
      <c r="H2" s="596" t="s">
        <v>1066</v>
      </c>
      <c r="I2" s="596" t="s">
        <v>41</v>
      </c>
      <c r="J2" s="596" t="s">
        <v>42</v>
      </c>
      <c r="K2" s="596" t="s">
        <v>43</v>
      </c>
      <c r="L2" s="596" t="s">
        <v>276</v>
      </c>
      <c r="M2" s="596" t="s">
        <v>44</v>
      </c>
      <c r="N2" s="596" t="s">
        <v>277</v>
      </c>
      <c r="O2" s="597" t="s">
        <v>1319</v>
      </c>
      <c r="P2" s="541">
        <v>42369</v>
      </c>
      <c r="Q2" s="542"/>
      <c r="R2" s="543"/>
    </row>
    <row r="3" spans="1:18" s="538" customFormat="1">
      <c r="A3" s="561"/>
      <c r="C3" s="544"/>
      <c r="D3" s="1569">
        <v>3</v>
      </c>
      <c r="E3" s="1569">
        <v>4</v>
      </c>
      <c r="F3" s="1569">
        <v>5</v>
      </c>
      <c r="G3" s="1569">
        <v>6</v>
      </c>
      <c r="H3" s="1569">
        <v>7</v>
      </c>
      <c r="I3" s="1569">
        <v>8</v>
      </c>
      <c r="J3" s="1569">
        <v>9</v>
      </c>
      <c r="K3" s="1569">
        <v>10</v>
      </c>
      <c r="L3" s="1569">
        <v>11</v>
      </c>
      <c r="M3" s="1569">
        <v>12</v>
      </c>
      <c r="N3" s="1569">
        <v>13</v>
      </c>
      <c r="O3" s="1568">
        <v>14</v>
      </c>
      <c r="P3" s="565"/>
    </row>
    <row r="4" spans="1:18" s="538" customFormat="1">
      <c r="A4" s="561"/>
      <c r="C4" s="546"/>
      <c r="D4" s="600"/>
      <c r="E4" s="600"/>
      <c r="F4" s="600"/>
      <c r="G4" s="600"/>
      <c r="H4" s="600"/>
      <c r="I4" s="600"/>
      <c r="J4" s="600"/>
      <c r="K4" s="600"/>
      <c r="L4" s="600"/>
      <c r="M4" s="600"/>
      <c r="N4" s="600"/>
      <c r="O4" s="600"/>
      <c r="P4" s="599"/>
    </row>
    <row r="5" spans="1:18" s="538" customFormat="1">
      <c r="A5" s="561">
        <v>6985</v>
      </c>
      <c r="B5" s="538" t="s">
        <v>1693</v>
      </c>
      <c r="C5" s="547"/>
      <c r="D5" s="600"/>
      <c r="E5" s="600"/>
      <c r="F5" s="600"/>
      <c r="G5" s="600"/>
      <c r="H5" s="600"/>
      <c r="I5" s="600"/>
      <c r="J5" s="600"/>
      <c r="K5" s="600"/>
      <c r="L5" s="600"/>
      <c r="M5" s="600"/>
      <c r="N5" s="600"/>
      <c r="O5" s="600"/>
      <c r="P5" s="599">
        <f t="shared" ref="P5:P24" si="0">SUM(D5:O5)</f>
        <v>0</v>
      </c>
    </row>
    <row r="6" spans="1:18" s="538" customFormat="1">
      <c r="A6" s="561">
        <v>6995</v>
      </c>
      <c r="B6" s="538" t="s">
        <v>1662</v>
      </c>
      <c r="C6" s="547"/>
      <c r="D6" s="601"/>
      <c r="E6" s="601"/>
      <c r="F6" s="601"/>
      <c r="G6" s="601"/>
      <c r="H6" s="601"/>
      <c r="I6" s="601"/>
      <c r="J6" s="601"/>
      <c r="K6" s="601"/>
      <c r="L6" s="601"/>
      <c r="M6" s="601"/>
      <c r="N6" s="601"/>
      <c r="O6" s="601"/>
      <c r="P6" s="599">
        <f t="shared" si="0"/>
        <v>0</v>
      </c>
    </row>
    <row r="7" spans="1:18" s="538" customFormat="1">
      <c r="A7" s="561">
        <v>7000</v>
      </c>
      <c r="B7" s="538" t="s">
        <v>1663</v>
      </c>
      <c r="C7" s="547"/>
      <c r="D7" s="601"/>
      <c r="E7" s="601"/>
      <c r="F7" s="601"/>
      <c r="G7" s="601"/>
      <c r="H7" s="601"/>
      <c r="I7" s="601"/>
      <c r="J7" s="601"/>
      <c r="K7" s="601"/>
      <c r="L7" s="601"/>
      <c r="M7" s="601"/>
      <c r="N7" s="601"/>
      <c r="O7" s="601"/>
      <c r="P7" s="599">
        <f t="shared" si="0"/>
        <v>0</v>
      </c>
    </row>
    <row r="8" spans="1:18" s="538" customFormat="1">
      <c r="A8" s="561">
        <v>7025</v>
      </c>
      <c r="B8" s="538" t="s">
        <v>1664</v>
      </c>
      <c r="C8" s="547"/>
      <c r="D8" s="601"/>
      <c r="E8" s="601"/>
      <c r="F8" s="601"/>
      <c r="G8" s="601"/>
      <c r="H8" s="601"/>
      <c r="I8" s="601"/>
      <c r="J8" s="601"/>
      <c r="K8" s="601"/>
      <c r="L8" s="601"/>
      <c r="M8" s="601"/>
      <c r="N8" s="601"/>
      <c r="O8" s="601"/>
      <c r="P8" s="599">
        <f t="shared" si="0"/>
        <v>0</v>
      </c>
    </row>
    <row r="9" spans="1:18" s="538" customFormat="1">
      <c r="A9" s="561">
        <v>7035</v>
      </c>
      <c r="B9" s="538" t="s">
        <v>1798</v>
      </c>
      <c r="C9" s="547"/>
      <c r="D9" s="601"/>
      <c r="E9" s="601"/>
      <c r="F9" s="601"/>
      <c r="G9" s="601"/>
      <c r="H9" s="601"/>
      <c r="I9" s="601"/>
      <c r="J9" s="601"/>
      <c r="K9" s="601"/>
      <c r="L9" s="601"/>
      <c r="M9" s="601"/>
      <c r="N9" s="601"/>
      <c r="O9" s="601"/>
      <c r="P9" s="599">
        <f t="shared" si="0"/>
        <v>0</v>
      </c>
    </row>
    <row r="10" spans="1:18" s="538" customFormat="1">
      <c r="A10" s="561">
        <v>7045</v>
      </c>
      <c r="B10" s="538" t="s">
        <v>1665</v>
      </c>
      <c r="C10" s="546"/>
      <c r="D10" s="600"/>
      <c r="E10" s="600"/>
      <c r="F10" s="600"/>
      <c r="G10" s="600"/>
      <c r="H10" s="600"/>
      <c r="I10" s="600"/>
      <c r="J10" s="600"/>
      <c r="K10" s="600"/>
      <c r="L10" s="600"/>
      <c r="M10" s="600"/>
      <c r="N10" s="600"/>
      <c r="O10" s="600"/>
      <c r="P10" s="599">
        <f t="shared" si="0"/>
        <v>0</v>
      </c>
    </row>
    <row r="11" spans="1:18" s="538" customFormat="1">
      <c r="A11" s="561">
        <v>7050</v>
      </c>
      <c r="B11" s="538" t="s">
        <v>1666</v>
      </c>
      <c r="C11" s="547"/>
      <c r="D11" s="601"/>
      <c r="E11" s="601"/>
      <c r="F11" s="601"/>
      <c r="G11" s="601"/>
      <c r="H11" s="601"/>
      <c r="I11" s="601"/>
      <c r="J11" s="601"/>
      <c r="K11" s="601"/>
      <c r="L11" s="601"/>
      <c r="M11" s="601"/>
      <c r="N11" s="601"/>
      <c r="O11" s="601"/>
      <c r="P11" s="599">
        <f t="shared" si="0"/>
        <v>0</v>
      </c>
    </row>
    <row r="12" spans="1:18" s="538" customFormat="1">
      <c r="A12" s="561">
        <v>7055</v>
      </c>
      <c r="B12" s="538" t="s">
        <v>1799</v>
      </c>
      <c r="C12" s="547"/>
      <c r="D12" s="601"/>
      <c r="E12" s="601"/>
      <c r="F12" s="601"/>
      <c r="G12" s="601"/>
      <c r="H12" s="601"/>
      <c r="I12" s="601"/>
      <c r="J12" s="601"/>
      <c r="K12" s="601"/>
      <c r="L12" s="601"/>
      <c r="M12" s="601"/>
      <c r="N12" s="601"/>
      <c r="O12" s="601"/>
      <c r="P12" s="599">
        <f t="shared" si="0"/>
        <v>0</v>
      </c>
    </row>
    <row r="13" spans="1:18" s="538" customFormat="1">
      <c r="A13" s="561">
        <v>7060</v>
      </c>
      <c r="B13" s="538" t="s">
        <v>1667</v>
      </c>
      <c r="C13" s="547"/>
      <c r="D13" s="601"/>
      <c r="E13" s="601"/>
      <c r="F13" s="601"/>
      <c r="G13" s="601"/>
      <c r="H13" s="601"/>
      <c r="I13" s="601"/>
      <c r="J13" s="601"/>
      <c r="K13" s="601"/>
      <c r="L13" s="601"/>
      <c r="M13" s="601"/>
      <c r="N13" s="601"/>
      <c r="O13" s="601"/>
      <c r="P13" s="599">
        <f t="shared" si="0"/>
        <v>0</v>
      </c>
    </row>
    <row r="14" spans="1:18" s="538" customFormat="1">
      <c r="A14" s="561">
        <v>7065</v>
      </c>
      <c r="B14" s="538" t="s">
        <v>1668</v>
      </c>
      <c r="C14" s="547"/>
      <c r="D14" s="601"/>
      <c r="E14" s="601"/>
      <c r="F14" s="601"/>
      <c r="G14" s="601"/>
      <c r="H14" s="601"/>
      <c r="I14" s="601"/>
      <c r="J14" s="601"/>
      <c r="K14" s="601"/>
      <c r="L14" s="601"/>
      <c r="M14" s="601"/>
      <c r="N14" s="601"/>
      <c r="O14" s="601"/>
      <c r="P14" s="599">
        <f t="shared" si="0"/>
        <v>0</v>
      </c>
    </row>
    <row r="15" spans="1:18" s="538" customFormat="1">
      <c r="A15" s="561">
        <v>7070</v>
      </c>
      <c r="B15" s="538" t="s">
        <v>1669</v>
      </c>
      <c r="C15" s="547"/>
      <c r="D15" s="601"/>
      <c r="E15" s="601"/>
      <c r="F15" s="601"/>
      <c r="G15" s="601"/>
      <c r="H15" s="601"/>
      <c r="I15" s="601"/>
      <c r="J15" s="601"/>
      <c r="K15" s="601"/>
      <c r="L15" s="601"/>
      <c r="M15" s="601"/>
      <c r="N15" s="601"/>
      <c r="O15" s="601"/>
      <c r="P15" s="599">
        <f t="shared" si="0"/>
        <v>0</v>
      </c>
    </row>
    <row r="16" spans="1:18" s="538" customFormat="1">
      <c r="A16" s="561">
        <v>7075</v>
      </c>
      <c r="B16" s="538" t="s">
        <v>1670</v>
      </c>
      <c r="C16" s="547"/>
      <c r="D16" s="601"/>
      <c r="E16" s="601"/>
      <c r="F16" s="601"/>
      <c r="G16" s="601"/>
      <c r="H16" s="601"/>
      <c r="I16" s="601"/>
      <c r="J16" s="601"/>
      <c r="K16" s="601"/>
      <c r="L16" s="601"/>
      <c r="M16" s="601"/>
      <c r="N16" s="601"/>
      <c r="O16" s="601"/>
      <c r="P16" s="599">
        <f t="shared" si="0"/>
        <v>0</v>
      </c>
    </row>
    <row r="17" spans="1:16" s="538" customFormat="1">
      <c r="A17" s="561">
        <v>7080</v>
      </c>
      <c r="B17" s="538" t="s">
        <v>1671</v>
      </c>
      <c r="C17" s="547"/>
      <c r="D17" s="601"/>
      <c r="E17" s="601"/>
      <c r="F17" s="601"/>
      <c r="G17" s="601"/>
      <c r="H17" s="601"/>
      <c r="I17" s="601"/>
      <c r="J17" s="601"/>
      <c r="K17" s="601"/>
      <c r="L17" s="601"/>
      <c r="M17" s="601"/>
      <c r="N17" s="601"/>
      <c r="O17" s="601"/>
      <c r="P17" s="599">
        <f t="shared" si="0"/>
        <v>0</v>
      </c>
    </row>
    <row r="18" spans="1:16" s="538" customFormat="1">
      <c r="A18" s="561">
        <v>7085</v>
      </c>
      <c r="B18" s="538" t="s">
        <v>1672</v>
      </c>
      <c r="C18" s="547"/>
      <c r="D18" s="601"/>
      <c r="E18" s="601"/>
      <c r="F18" s="601"/>
      <c r="G18" s="601"/>
      <c r="H18" s="601"/>
      <c r="I18" s="601"/>
      <c r="J18" s="601"/>
      <c r="K18" s="601"/>
      <c r="L18" s="601"/>
      <c r="M18" s="601"/>
      <c r="N18" s="601"/>
      <c r="O18" s="601"/>
      <c r="P18" s="599">
        <f t="shared" si="0"/>
        <v>0</v>
      </c>
    </row>
    <row r="19" spans="1:16" s="538" customFormat="1">
      <c r="A19" s="561">
        <v>7090</v>
      </c>
      <c r="B19" s="538" t="s">
        <v>1673</v>
      </c>
      <c r="C19" s="546"/>
      <c r="D19" s="600"/>
      <c r="E19" s="600"/>
      <c r="F19" s="600"/>
      <c r="G19" s="600"/>
      <c r="H19" s="600"/>
      <c r="I19" s="600"/>
      <c r="J19" s="600"/>
      <c r="K19" s="600"/>
      <c r="L19" s="600"/>
      <c r="M19" s="600"/>
      <c r="N19" s="600"/>
      <c r="O19" s="600"/>
      <c r="P19" s="599">
        <f t="shared" si="0"/>
        <v>0</v>
      </c>
    </row>
    <row r="20" spans="1:16" s="538" customFormat="1">
      <c r="A20" s="561">
        <v>7160</v>
      </c>
      <c r="B20" s="538" t="s">
        <v>1674</v>
      </c>
      <c r="C20" s="546"/>
      <c r="D20" s="600"/>
      <c r="E20" s="600"/>
      <c r="F20" s="600"/>
      <c r="G20" s="600"/>
      <c r="H20" s="600"/>
      <c r="I20" s="600"/>
      <c r="J20" s="600"/>
      <c r="K20" s="600"/>
      <c r="L20" s="600"/>
      <c r="M20" s="600"/>
      <c r="N20" s="600"/>
      <c r="O20" s="600"/>
      <c r="P20" s="599">
        <f t="shared" si="0"/>
        <v>0</v>
      </c>
    </row>
    <row r="21" spans="1:16" s="538" customFormat="1">
      <c r="A21" s="561">
        <v>7165</v>
      </c>
      <c r="B21" s="538" t="s">
        <v>1678</v>
      </c>
      <c r="C21" s="546"/>
      <c r="D21" s="600"/>
      <c r="E21" s="600"/>
      <c r="F21" s="600"/>
      <c r="G21" s="600"/>
      <c r="H21" s="600"/>
      <c r="I21" s="600"/>
      <c r="J21" s="600"/>
      <c r="K21" s="600"/>
      <c r="L21" s="600"/>
      <c r="M21" s="600"/>
      <c r="N21" s="600"/>
      <c r="O21" s="599"/>
      <c r="P21" s="599">
        <f t="shared" si="0"/>
        <v>0</v>
      </c>
    </row>
    <row r="22" spans="1:16" s="538" customFormat="1">
      <c r="A22" s="561">
        <v>7175</v>
      </c>
      <c r="B22" s="538" t="s">
        <v>1675</v>
      </c>
      <c r="C22" s="546"/>
      <c r="D22" s="600"/>
      <c r="E22" s="600"/>
      <c r="F22" s="600"/>
      <c r="G22" s="600"/>
      <c r="H22" s="600"/>
      <c r="I22" s="600"/>
      <c r="J22" s="600"/>
      <c r="K22" s="600"/>
      <c r="L22" s="600"/>
      <c r="M22" s="600"/>
      <c r="N22" s="600"/>
      <c r="O22" s="600"/>
      <c r="P22" s="599">
        <f t="shared" si="0"/>
        <v>0</v>
      </c>
    </row>
    <row r="23" spans="1:16" s="538" customFormat="1">
      <c r="A23" s="561">
        <v>7180</v>
      </c>
      <c r="B23" s="538" t="s">
        <v>1677</v>
      </c>
      <c r="C23" s="547"/>
      <c r="D23" s="601"/>
      <c r="E23" s="601"/>
      <c r="F23" s="601"/>
      <c r="G23" s="601"/>
      <c r="H23" s="601"/>
      <c r="I23" s="601"/>
      <c r="J23" s="601"/>
      <c r="K23" s="601"/>
      <c r="L23" s="601"/>
      <c r="M23" s="601"/>
      <c r="N23" s="601"/>
      <c r="O23" s="601"/>
      <c r="P23" s="599">
        <f t="shared" si="0"/>
        <v>0</v>
      </c>
    </row>
    <row r="24" spans="1:16" s="538" customFormat="1">
      <c r="A24" s="561">
        <v>7185</v>
      </c>
      <c r="B24" s="538" t="s">
        <v>1676</v>
      </c>
      <c r="C24" s="546"/>
      <c r="D24" s="600"/>
      <c r="E24" s="600"/>
      <c r="F24" s="600"/>
      <c r="G24" s="600"/>
      <c r="H24" s="600"/>
      <c r="I24" s="600"/>
      <c r="J24" s="600"/>
      <c r="K24" s="600"/>
      <c r="L24" s="600"/>
      <c r="M24" s="600"/>
      <c r="N24" s="600"/>
      <c r="O24" s="600"/>
      <c r="P24" s="599">
        <f t="shared" si="0"/>
        <v>0</v>
      </c>
    </row>
    <row r="25" spans="1:16" s="538" customFormat="1">
      <c r="A25" s="561"/>
      <c r="B25" s="545"/>
      <c r="C25" s="547"/>
      <c r="D25" s="601"/>
      <c r="E25" s="601"/>
      <c r="F25" s="601"/>
      <c r="G25" s="601"/>
      <c r="H25" s="601"/>
      <c r="I25" s="601"/>
      <c r="J25" s="601"/>
      <c r="K25" s="601"/>
      <c r="L25" s="601"/>
      <c r="M25" s="601"/>
      <c r="N25" s="601"/>
      <c r="O25" s="599"/>
      <c r="P25" s="599"/>
    </row>
    <row r="26" spans="1:16" s="538" customFormat="1">
      <c r="A26" s="561"/>
      <c r="C26" s="547"/>
      <c r="D26" s="601"/>
      <c r="E26" s="601"/>
      <c r="F26" s="601"/>
      <c r="G26" s="601"/>
      <c r="H26" s="601"/>
      <c r="I26" s="601"/>
      <c r="J26" s="601"/>
      <c r="K26" s="601"/>
      <c r="L26" s="601"/>
      <c r="M26" s="601"/>
      <c r="N26" s="601"/>
      <c r="O26" s="599"/>
      <c r="P26" s="599"/>
    </row>
    <row r="27" spans="1:16" s="538" customFormat="1" ht="12" customHeight="1" thickBot="1">
      <c r="A27" s="561"/>
      <c r="B27" s="544" t="s">
        <v>1660</v>
      </c>
      <c r="C27" s="550"/>
      <c r="D27" s="603">
        <f t="shared" ref="D27:H27" si="1">SUM(D4:D26)</f>
        <v>0</v>
      </c>
      <c r="E27" s="603">
        <f t="shared" si="1"/>
        <v>0</v>
      </c>
      <c r="F27" s="603">
        <f t="shared" si="1"/>
        <v>0</v>
      </c>
      <c r="G27" s="603">
        <f t="shared" si="1"/>
        <v>0</v>
      </c>
      <c r="H27" s="603">
        <f t="shared" si="1"/>
        <v>0</v>
      </c>
      <c r="I27" s="603">
        <f>SUM(I4:I26)</f>
        <v>0</v>
      </c>
      <c r="J27" s="603">
        <f t="shared" ref="J27:O27" si="2">SUM(J4:J26)</f>
        <v>0</v>
      </c>
      <c r="K27" s="603">
        <f t="shared" si="2"/>
        <v>0</v>
      </c>
      <c r="L27" s="603">
        <f t="shared" si="2"/>
        <v>0</v>
      </c>
      <c r="M27" s="603">
        <f t="shared" si="2"/>
        <v>0</v>
      </c>
      <c r="N27" s="603">
        <f t="shared" si="2"/>
        <v>0</v>
      </c>
      <c r="O27" s="603">
        <f t="shared" si="2"/>
        <v>0</v>
      </c>
      <c r="P27" s="603">
        <f>SUM(P4:P26)</f>
        <v>0</v>
      </c>
    </row>
    <row r="28" spans="1:16" s="538" customFormat="1" ht="12" customHeight="1" thickTop="1">
      <c r="A28" s="561"/>
      <c r="B28" s="544"/>
      <c r="C28" s="550"/>
      <c r="D28" s="599"/>
      <c r="E28" s="599"/>
      <c r="F28" s="599"/>
      <c r="G28" s="599"/>
      <c r="H28" s="599"/>
      <c r="I28" s="599"/>
      <c r="J28" s="599"/>
      <c r="K28" s="599"/>
      <c r="L28" s="599"/>
      <c r="M28" s="599"/>
      <c r="N28" s="599"/>
      <c r="O28" s="599"/>
      <c r="P28" s="599"/>
    </row>
    <row r="29" spans="1:16" s="545" customFormat="1" ht="13.5" customHeight="1">
      <c r="A29" s="562"/>
      <c r="B29" s="551"/>
      <c r="C29" s="552"/>
      <c r="D29" s="604"/>
      <c r="E29" s="604"/>
      <c r="F29" s="604"/>
      <c r="G29" s="604"/>
      <c r="H29" s="599"/>
      <c r="I29" s="599"/>
      <c r="J29" s="599"/>
      <c r="K29" s="599"/>
      <c r="L29" s="599"/>
      <c r="M29" s="599"/>
      <c r="N29" s="599"/>
      <c r="O29" s="599"/>
      <c r="P29" s="599"/>
    </row>
    <row r="30" spans="1:16" s="548" customFormat="1">
      <c r="A30" s="563"/>
      <c r="B30" s="540" t="s">
        <v>706</v>
      </c>
      <c r="C30" s="540"/>
      <c r="D30" s="596"/>
      <c r="E30" s="596"/>
      <c r="F30" s="596"/>
      <c r="G30" s="596"/>
      <c r="H30" s="596"/>
      <c r="I30" s="596"/>
      <c r="J30" s="596"/>
      <c r="K30" s="596"/>
      <c r="L30" s="596"/>
      <c r="M30" s="596"/>
      <c r="N30" s="596"/>
      <c r="O30" s="597"/>
      <c r="P30" s="541"/>
    </row>
    <row r="31" spans="1:16" s="538" customFormat="1">
      <c r="A31" s="561"/>
      <c r="C31" s="553"/>
      <c r="D31" s="605"/>
      <c r="E31" s="605"/>
      <c r="F31" s="605"/>
      <c r="G31" s="605"/>
      <c r="H31" s="605"/>
      <c r="I31" s="605"/>
      <c r="J31" s="605"/>
      <c r="K31" s="605"/>
      <c r="L31" s="605"/>
      <c r="M31" s="605"/>
      <c r="N31" s="605"/>
      <c r="O31" s="599"/>
      <c r="P31" s="599"/>
    </row>
    <row r="32" spans="1:16" s="538" customFormat="1">
      <c r="A32" s="561">
        <v>7205</v>
      </c>
      <c r="B32" s="538" t="s">
        <v>1693</v>
      </c>
      <c r="C32" s="547"/>
      <c r="D32" s="627"/>
      <c r="E32" s="627"/>
      <c r="F32" s="627"/>
      <c r="G32" s="627"/>
      <c r="H32" s="627"/>
      <c r="I32" s="627"/>
      <c r="J32" s="627"/>
      <c r="K32" s="627"/>
      <c r="L32" s="627"/>
      <c r="M32" s="627"/>
      <c r="N32" s="627"/>
      <c r="O32" s="627"/>
      <c r="P32" s="599">
        <f>SUM(D32:O32)</f>
        <v>0</v>
      </c>
    </row>
    <row r="33" spans="1:16" s="538" customFormat="1">
      <c r="A33" s="561">
        <v>7225</v>
      </c>
      <c r="B33" s="538" t="s">
        <v>1679</v>
      </c>
      <c r="C33" s="546"/>
      <c r="D33" s="627">
        <f>VLOOKUP($A33,'O&amp;M per TB'!$B$4:R$375,D$3,FALSE)</f>
        <v>-184.8</v>
      </c>
      <c r="E33" s="627">
        <f>VLOOKUP($A33,'O&amp;M per TB'!$B$4:S$375,E$3,FALSE)</f>
        <v>-184.8</v>
      </c>
      <c r="F33" s="627">
        <f>VLOOKUP($A33,'O&amp;M per TB'!$B$4:T$375,F$3,FALSE)</f>
        <v>-184.79999999999995</v>
      </c>
      <c r="G33" s="627">
        <f>VLOOKUP($A33,'O&amp;M per TB'!$B$4:U$375,G$3,FALSE)</f>
        <v>-184.80000000000007</v>
      </c>
      <c r="H33" s="627">
        <f>VLOOKUP($A33,'O&amp;M per TB'!$B$4:V$375,H$3,FALSE)</f>
        <v>-184.79999999999995</v>
      </c>
      <c r="I33" s="627">
        <f>VLOOKUP($A33,'O&amp;M per TB'!$B$4:W$375,I$3,FALSE)</f>
        <v>-184.79999999999995</v>
      </c>
      <c r="J33" s="627">
        <f>VLOOKUP($A33,'O&amp;M per TB'!$B$4:X$375,J$3,FALSE)</f>
        <v>-184.79999999999995</v>
      </c>
      <c r="K33" s="627">
        <f>VLOOKUP($A33,'O&amp;M per TB'!$B$4:Y$375,K$3,FALSE)</f>
        <v>-184.80000000000018</v>
      </c>
      <c r="L33" s="627">
        <f>VLOOKUP($A33,'O&amp;M per TB'!$B$4:Z$375,L$3,FALSE)</f>
        <v>-184.79999999999995</v>
      </c>
      <c r="M33" s="627">
        <f>VLOOKUP($A33,'O&amp;M per TB'!$B$4:AA$375,M$3,FALSE)</f>
        <v>-184.79999999999995</v>
      </c>
      <c r="N33" s="627">
        <f>VLOOKUP($A33,'O&amp;M per TB'!$B$4:AB$375,N$3,FALSE)</f>
        <v>-184.79999999999995</v>
      </c>
      <c r="O33" s="627">
        <f>VLOOKUP($A33,'O&amp;M per TB'!$B$4:AC$375,O$3,FALSE)</f>
        <v>-184.79999999999995</v>
      </c>
      <c r="P33" s="599">
        <f>SUM(D33:O33)</f>
        <v>-2217.6</v>
      </c>
    </row>
    <row r="34" spans="1:16" s="538" customFormat="1">
      <c r="A34" s="561">
        <v>7230</v>
      </c>
      <c r="B34" s="538" t="s">
        <v>1680</v>
      </c>
      <c r="C34" s="546"/>
      <c r="D34" s="627"/>
      <c r="E34" s="627"/>
      <c r="F34" s="627"/>
      <c r="G34" s="627"/>
      <c r="H34" s="627"/>
      <c r="I34" s="627"/>
      <c r="J34" s="627"/>
      <c r="K34" s="627"/>
      <c r="L34" s="627"/>
      <c r="M34" s="627"/>
      <c r="N34" s="627"/>
      <c r="O34" s="627"/>
      <c r="P34" s="599">
        <f>SUM(D34:O34)</f>
        <v>0</v>
      </c>
    </row>
    <row r="35" spans="1:16" s="538" customFormat="1">
      <c r="A35" s="561">
        <v>7245</v>
      </c>
      <c r="B35" s="538" t="s">
        <v>1681</v>
      </c>
      <c r="C35" s="550"/>
      <c r="D35" s="627">
        <f>VLOOKUP($A35,'O&amp;M per TB'!$B$4:R$375,D$3,FALSE)</f>
        <v>-4165.1899999999996</v>
      </c>
      <c r="E35" s="627">
        <f>VLOOKUP($A35,'O&amp;M per TB'!$B$4:S$375,E$3,FALSE)</f>
        <v>-4165.1899999999996</v>
      </c>
      <c r="F35" s="627">
        <f>VLOOKUP($A35,'O&amp;M per TB'!$B$4:T$375,F$3,FALSE)</f>
        <v>-4165.1900000000005</v>
      </c>
      <c r="G35" s="627">
        <f>VLOOKUP($A35,'O&amp;M per TB'!$B$4:U$375,G$3,FALSE)</f>
        <v>-4165.1899999999987</v>
      </c>
      <c r="H35" s="627">
        <f>VLOOKUP($A35,'O&amp;M per TB'!$B$4:V$375,H$3,FALSE)</f>
        <v>-4165.1900000000023</v>
      </c>
      <c r="I35" s="627">
        <f>VLOOKUP($A35,'O&amp;M per TB'!$B$4:W$375,I$3,FALSE)</f>
        <v>-4165.1899999999987</v>
      </c>
      <c r="J35" s="627">
        <f>VLOOKUP($A35,'O&amp;M per TB'!$B$4:X$375,J$3,FALSE)</f>
        <v>-4165.1900000000023</v>
      </c>
      <c r="K35" s="627">
        <f>VLOOKUP($A35,'O&amp;M per TB'!$B$4:Y$375,K$3,FALSE)</f>
        <v>-4165.1899999999951</v>
      </c>
      <c r="L35" s="627">
        <f>VLOOKUP($A35,'O&amp;M per TB'!$B$4:Z$375,L$3,FALSE)</f>
        <v>-4165.1900000000023</v>
      </c>
      <c r="M35" s="627">
        <f>VLOOKUP($A35,'O&amp;M per TB'!$B$4:AA$375,M$3,FALSE)</f>
        <v>-4165.1900000000023</v>
      </c>
      <c r="N35" s="627">
        <f>VLOOKUP($A35,'O&amp;M per TB'!$B$4:AB$375,N$3,FALSE)</f>
        <v>-4165.1899999999951</v>
      </c>
      <c r="O35" s="627">
        <f>VLOOKUP($A35,'O&amp;M per TB'!$B$4:AC$375,O$3,FALSE)</f>
        <v>-4165.1900000000023</v>
      </c>
      <c r="P35" s="599">
        <f t="shared" ref="P35:P48" si="3">SUM(D35:O35)</f>
        <v>-49982.28</v>
      </c>
    </row>
    <row r="36" spans="1:16" s="538" customFormat="1">
      <c r="A36" s="561">
        <v>7275</v>
      </c>
      <c r="B36" s="538" t="s">
        <v>1682</v>
      </c>
      <c r="C36" s="546"/>
      <c r="D36" s="627">
        <f>VLOOKUP($A36,'O&amp;M per TB'!$B$4:R$375,D$3,FALSE)</f>
        <v>-260</v>
      </c>
      <c r="E36" s="627">
        <f>VLOOKUP($A36,'O&amp;M per TB'!$B$4:S$375,E$3,FALSE)</f>
        <v>-260</v>
      </c>
      <c r="F36" s="627">
        <f>VLOOKUP($A36,'O&amp;M per TB'!$B$4:T$375,F$3,FALSE)</f>
        <v>-260</v>
      </c>
      <c r="G36" s="627">
        <f>VLOOKUP($A36,'O&amp;M per TB'!$B$4:U$375,G$3,FALSE)</f>
        <v>-260</v>
      </c>
      <c r="H36" s="627">
        <f>VLOOKUP($A36,'O&amp;M per TB'!$B$4:V$375,H$3,FALSE)</f>
        <v>-260</v>
      </c>
      <c r="I36" s="627">
        <f>VLOOKUP($A36,'O&amp;M per TB'!$B$4:W$375,I$3,FALSE)</f>
        <v>-260</v>
      </c>
      <c r="J36" s="627">
        <f>VLOOKUP($A36,'O&amp;M per TB'!$B$4:X$375,J$3,FALSE)</f>
        <v>-260</v>
      </c>
      <c r="K36" s="627">
        <f>VLOOKUP($A36,'O&amp;M per TB'!$B$4:Y$375,K$3,FALSE)</f>
        <v>-260</v>
      </c>
      <c r="L36" s="627">
        <f>VLOOKUP($A36,'O&amp;M per TB'!$B$4:Z$375,L$3,FALSE)</f>
        <v>-260</v>
      </c>
      <c r="M36" s="627">
        <f>VLOOKUP($A36,'O&amp;M per TB'!$B$4:AA$375,M$3,FALSE)</f>
        <v>-260</v>
      </c>
      <c r="N36" s="627">
        <f>VLOOKUP($A36,'O&amp;M per TB'!$B$4:AB$375,N$3,FALSE)</f>
        <v>-260</v>
      </c>
      <c r="O36" s="627">
        <f>VLOOKUP($A36,'O&amp;M per TB'!$B$4:AC$375,O$3,FALSE)</f>
        <v>-260</v>
      </c>
      <c r="P36" s="599">
        <f t="shared" si="3"/>
        <v>-3120</v>
      </c>
    </row>
    <row r="37" spans="1:16" s="538" customFormat="1">
      <c r="A37" s="561">
        <v>7280</v>
      </c>
      <c r="B37" s="538" t="s">
        <v>1683</v>
      </c>
      <c r="C37" s="546"/>
      <c r="D37" s="627">
        <f>VLOOKUP($A37,'O&amp;M per TB'!$B$4:R$375,D$3,FALSE)</f>
        <v>-989.62</v>
      </c>
      <c r="E37" s="627">
        <f>VLOOKUP($A37,'O&amp;M per TB'!$B$4:S$375,E$3,FALSE)</f>
        <v>-989.62</v>
      </c>
      <c r="F37" s="627">
        <f>VLOOKUP($A37,'O&amp;M per TB'!$B$4:T$375,F$3,FALSE)</f>
        <v>-989.62000000000012</v>
      </c>
      <c r="G37" s="627">
        <f>VLOOKUP($A37,'O&amp;M per TB'!$B$4:U$375,G$3,FALSE)</f>
        <v>-989.61999999999989</v>
      </c>
      <c r="H37" s="627">
        <f>VLOOKUP($A37,'O&amp;M per TB'!$B$4:V$375,H$3,FALSE)</f>
        <v>-989.62000000000035</v>
      </c>
      <c r="I37" s="627">
        <f>VLOOKUP($A37,'O&amp;M per TB'!$B$4:W$375,I$3,FALSE)</f>
        <v>-989.61999999999989</v>
      </c>
      <c r="J37" s="627">
        <f>VLOOKUP($A37,'O&amp;M per TB'!$B$4:X$375,J$3,FALSE)</f>
        <v>-989.61999999999989</v>
      </c>
      <c r="K37" s="627">
        <f>VLOOKUP($A37,'O&amp;M per TB'!$B$4:Y$375,K$3,FALSE)</f>
        <v>-989.61999999999989</v>
      </c>
      <c r="L37" s="627">
        <f>VLOOKUP($A37,'O&amp;M per TB'!$B$4:Z$375,L$3,FALSE)</f>
        <v>-989.61999999999989</v>
      </c>
      <c r="M37" s="627">
        <f>VLOOKUP($A37,'O&amp;M per TB'!$B$4:AA$375,M$3,FALSE)</f>
        <v>-989.6200000000008</v>
      </c>
      <c r="N37" s="627">
        <f>VLOOKUP($A37,'O&amp;M per TB'!$B$4:AB$375,N$3,FALSE)</f>
        <v>-989.61999999999898</v>
      </c>
      <c r="O37" s="627">
        <f>VLOOKUP($A37,'O&amp;M per TB'!$B$4:AC$375,O$3,FALSE)</f>
        <v>-989.6200000000008</v>
      </c>
      <c r="P37" s="599">
        <f t="shared" si="3"/>
        <v>-11875.44</v>
      </c>
    </row>
    <row r="38" spans="1:16" s="538" customFormat="1">
      <c r="A38" s="561">
        <v>7283</v>
      </c>
      <c r="B38" s="538" t="s">
        <v>1684</v>
      </c>
      <c r="C38" s="546"/>
      <c r="D38" s="627">
        <f>VLOOKUP($A38,'O&amp;M per TB'!$B$4:R$375,D$3,FALSE)</f>
        <v>-43.36</v>
      </c>
      <c r="E38" s="627">
        <f>VLOOKUP($A38,'O&amp;M per TB'!$B$4:S$375,E$3,FALSE)</f>
        <v>-43.36</v>
      </c>
      <c r="F38" s="627">
        <f>VLOOKUP($A38,'O&amp;M per TB'!$B$4:T$375,F$3,FALSE)</f>
        <v>-43.360000000000014</v>
      </c>
      <c r="G38" s="627">
        <f>VLOOKUP($A38,'O&amp;M per TB'!$B$4:U$375,G$3,FALSE)</f>
        <v>-43.359999999999985</v>
      </c>
      <c r="H38" s="627">
        <f>VLOOKUP($A38,'O&amp;M per TB'!$B$4:V$375,H$3,FALSE)</f>
        <v>-43.360000000000014</v>
      </c>
      <c r="I38" s="627">
        <f>VLOOKUP($A38,'O&amp;M per TB'!$B$4:W$375,I$3,FALSE)</f>
        <v>-43.360000000000014</v>
      </c>
      <c r="J38" s="627">
        <f>VLOOKUP($A38,'O&amp;M per TB'!$B$4:X$375,J$3,FALSE)</f>
        <v>-43.359999999999957</v>
      </c>
      <c r="K38" s="627">
        <f>VLOOKUP($A38,'O&amp;M per TB'!$B$4:Y$375,K$3,FALSE)</f>
        <v>-43.360000000000014</v>
      </c>
      <c r="L38" s="627">
        <f>VLOOKUP($A38,'O&amp;M per TB'!$B$4:Z$375,L$3,FALSE)</f>
        <v>-43.360000000000014</v>
      </c>
      <c r="M38" s="627">
        <f>VLOOKUP($A38,'O&amp;M per TB'!$B$4:AA$375,M$3,FALSE)</f>
        <v>-43.360000000000014</v>
      </c>
      <c r="N38" s="627">
        <f>VLOOKUP($A38,'O&amp;M per TB'!$B$4:AB$375,N$3,FALSE)</f>
        <v>-43.359999999999957</v>
      </c>
      <c r="O38" s="627">
        <f>VLOOKUP($A38,'O&amp;M per TB'!$B$4:AC$375,O$3,FALSE)</f>
        <v>-43.36000000000007</v>
      </c>
      <c r="P38" s="599">
        <f t="shared" si="3"/>
        <v>-520.32000000000005</v>
      </c>
    </row>
    <row r="39" spans="1:16" s="538" customFormat="1">
      <c r="A39" s="561">
        <v>7290</v>
      </c>
      <c r="B39" s="538" t="s">
        <v>1685</v>
      </c>
      <c r="C39" s="546"/>
      <c r="D39" s="627">
        <f>VLOOKUP($A39,'O&amp;M per TB'!$B$4:R$375,D$3,FALSE)</f>
        <v>-114.21</v>
      </c>
      <c r="E39" s="627">
        <f>VLOOKUP($A39,'O&amp;M per TB'!$B$4:S$375,E$3,FALSE)</f>
        <v>-114.21</v>
      </c>
      <c r="F39" s="627">
        <f>VLOOKUP($A39,'O&amp;M per TB'!$B$4:T$375,F$3,FALSE)</f>
        <v>-114.21000000000001</v>
      </c>
      <c r="G39" s="627">
        <f>VLOOKUP($A39,'O&amp;M per TB'!$B$4:U$375,G$3,FALSE)</f>
        <v>-114.20999999999998</v>
      </c>
      <c r="H39" s="627">
        <f>VLOOKUP($A39,'O&amp;M per TB'!$B$4:V$375,H$3,FALSE)</f>
        <v>-114.20999999999998</v>
      </c>
      <c r="I39" s="627">
        <f>VLOOKUP($A39,'O&amp;M per TB'!$B$4:W$375,I$3,FALSE)</f>
        <v>-114.21000000000004</v>
      </c>
      <c r="J39" s="627">
        <f>VLOOKUP($A39,'O&amp;M per TB'!$B$4:X$375,J$3,FALSE)</f>
        <v>-114.21000000000004</v>
      </c>
      <c r="K39" s="627">
        <f>VLOOKUP($A39,'O&amp;M per TB'!$B$4:Y$375,K$3,FALSE)</f>
        <v>-114.20999999999992</v>
      </c>
      <c r="L39" s="627">
        <f>VLOOKUP($A39,'O&amp;M per TB'!$B$4:Z$375,L$3,FALSE)</f>
        <v>-114.21000000000015</v>
      </c>
      <c r="M39" s="627">
        <f>VLOOKUP($A39,'O&amp;M per TB'!$B$4:AA$375,M$3,FALSE)</f>
        <v>-114.20999999999981</v>
      </c>
      <c r="N39" s="627">
        <f>VLOOKUP($A39,'O&amp;M per TB'!$B$4:AB$375,N$3,FALSE)</f>
        <v>-114.21000000000004</v>
      </c>
      <c r="O39" s="627">
        <f>VLOOKUP($A39,'O&amp;M per TB'!$B$4:AC$375,O$3,FALSE)</f>
        <v>-114.21000000000004</v>
      </c>
      <c r="P39" s="599">
        <f t="shared" si="3"/>
        <v>-1370.52</v>
      </c>
    </row>
    <row r="40" spans="1:16" s="538" customFormat="1">
      <c r="A40" s="561">
        <v>7325</v>
      </c>
      <c r="B40" s="538" t="s">
        <v>2100</v>
      </c>
      <c r="C40" s="546"/>
      <c r="D40" s="627">
        <f>VLOOKUP($A40,'O&amp;M per TB'!$B$4:R$375,D$3,FALSE)</f>
        <v>-63.95</v>
      </c>
      <c r="E40" s="627">
        <f>VLOOKUP($A40,'O&amp;M per TB'!$B$4:S$375,E$3,FALSE)</f>
        <v>-63.95</v>
      </c>
      <c r="F40" s="627">
        <f>VLOOKUP($A40,'O&amp;M per TB'!$B$4:T$375,F$3,FALSE)</f>
        <v>-63.949999999999989</v>
      </c>
      <c r="G40" s="627">
        <f>VLOOKUP($A40,'O&amp;M per TB'!$B$4:U$375,G$3,FALSE)</f>
        <v>-63.950000000000017</v>
      </c>
      <c r="H40" s="627">
        <f>VLOOKUP($A40,'O&amp;M per TB'!$B$4:V$375,H$3,FALSE)</f>
        <v>-63.949999999999989</v>
      </c>
      <c r="I40" s="627">
        <f>VLOOKUP($A40,'O&amp;M per TB'!$B$4:W$375,I$3,FALSE)</f>
        <v>-63.949999999999989</v>
      </c>
      <c r="J40" s="627">
        <f>VLOOKUP($A40,'O&amp;M per TB'!$B$4:X$375,J$3,FALSE)</f>
        <v>-63.949999999999989</v>
      </c>
      <c r="K40" s="627">
        <f>VLOOKUP($A40,'O&amp;M per TB'!$B$4:Y$375,K$3,FALSE)</f>
        <v>-63.950000000000045</v>
      </c>
      <c r="L40" s="627">
        <f>VLOOKUP($A40,'O&amp;M per TB'!$B$4:Z$375,L$3,FALSE)</f>
        <v>-63.949999999999932</v>
      </c>
      <c r="M40" s="627">
        <f>VLOOKUP($A40,'O&amp;M per TB'!$B$4:AA$375,M$3,FALSE)</f>
        <v>-63.950000000000045</v>
      </c>
      <c r="N40" s="627">
        <f>VLOOKUP($A40,'O&amp;M per TB'!$B$4:AB$375,N$3,FALSE)</f>
        <v>-63.950000000000045</v>
      </c>
      <c r="O40" s="627">
        <f>VLOOKUP($A40,'O&amp;M per TB'!$B$4:AC$375,O$3,FALSE)</f>
        <v>-63.949999999999932</v>
      </c>
      <c r="P40" s="599">
        <f t="shared" ref="P40" si="4">SUM(D40:O40)</f>
        <v>-767.4</v>
      </c>
    </row>
    <row r="41" spans="1:16" s="538" customFormat="1">
      <c r="A41" s="561">
        <v>7330</v>
      </c>
      <c r="B41" s="538" t="s">
        <v>1686</v>
      </c>
      <c r="C41" s="547"/>
      <c r="D41" s="627">
        <f>VLOOKUP($A41,'O&amp;M per TB'!$B$4:R$375,D$3,FALSE)</f>
        <v>-1149.3399999999999</v>
      </c>
      <c r="E41" s="627">
        <f>VLOOKUP($A41,'O&amp;M per TB'!$B$4:S$375,E$3,FALSE)</f>
        <v>-1149.3399999999999</v>
      </c>
      <c r="F41" s="627">
        <f>VLOOKUP($A41,'O&amp;M per TB'!$B$4:T$375,F$3,FALSE)</f>
        <v>-1149.3400000000001</v>
      </c>
      <c r="G41" s="627">
        <f>VLOOKUP($A41,'O&amp;M per TB'!$B$4:U$375,G$3,FALSE)</f>
        <v>-1149.3399999999997</v>
      </c>
      <c r="H41" s="627">
        <f>VLOOKUP($A41,'O&amp;M per TB'!$B$4:V$375,H$3,FALSE)</f>
        <v>-1149.3400000000001</v>
      </c>
      <c r="I41" s="627">
        <f>VLOOKUP($A41,'O&amp;M per TB'!$B$4:W$375,I$3,FALSE)</f>
        <v>-1149.3400000000001</v>
      </c>
      <c r="J41" s="627">
        <f>VLOOKUP($A41,'O&amp;M per TB'!$B$4:X$375,J$3,FALSE)</f>
        <v>-1149.3400000000001</v>
      </c>
      <c r="K41" s="627">
        <f>VLOOKUP($A41,'O&amp;M per TB'!$B$4:Y$375,K$3,FALSE)</f>
        <v>-1149.3399999999992</v>
      </c>
      <c r="L41" s="627">
        <f>VLOOKUP($A41,'O&amp;M per TB'!$B$4:Z$375,L$3,FALSE)</f>
        <v>-1149.3400000000001</v>
      </c>
      <c r="M41" s="627">
        <f>VLOOKUP($A41,'O&amp;M per TB'!$B$4:AA$375,M$3,FALSE)</f>
        <v>-1149.3400000000001</v>
      </c>
      <c r="N41" s="627">
        <f>VLOOKUP($A41,'O&amp;M per TB'!$B$4:AB$375,N$3,FALSE)</f>
        <v>-1149.3400000000001</v>
      </c>
      <c r="O41" s="627">
        <f>VLOOKUP($A41,'O&amp;M per TB'!$B$4:AC$375,O$3,FALSE)</f>
        <v>-1149.3400000000001</v>
      </c>
      <c r="P41" s="599">
        <f t="shared" si="3"/>
        <v>-13792.08</v>
      </c>
    </row>
    <row r="42" spans="1:16" s="538" customFormat="1">
      <c r="A42" s="561">
        <v>7350</v>
      </c>
      <c r="B42" s="538" t="s">
        <v>1687</v>
      </c>
      <c r="C42" s="546"/>
      <c r="D42" s="627"/>
      <c r="E42" s="627"/>
      <c r="F42" s="627"/>
      <c r="G42" s="627"/>
      <c r="H42" s="627"/>
      <c r="I42" s="627"/>
      <c r="J42" s="627"/>
      <c r="K42" s="627"/>
      <c r="L42" s="627"/>
      <c r="M42" s="627"/>
      <c r="N42" s="627"/>
      <c r="O42" s="627"/>
      <c r="P42" s="599">
        <f t="shared" si="3"/>
        <v>0</v>
      </c>
    </row>
    <row r="43" spans="1:16" s="538" customFormat="1">
      <c r="A43" s="561">
        <v>7425</v>
      </c>
      <c r="B43" s="538" t="s">
        <v>1688</v>
      </c>
      <c r="C43" s="547"/>
      <c r="D43" s="627"/>
      <c r="E43" s="627"/>
      <c r="F43" s="627"/>
      <c r="G43" s="627"/>
      <c r="H43" s="627"/>
      <c r="I43" s="627"/>
      <c r="J43" s="627"/>
      <c r="K43" s="627"/>
      <c r="L43" s="627"/>
      <c r="M43" s="627"/>
      <c r="N43" s="627"/>
      <c r="O43" s="627"/>
      <c r="P43" s="599">
        <f t="shared" si="3"/>
        <v>0</v>
      </c>
    </row>
    <row r="44" spans="1:16" s="538" customFormat="1">
      <c r="A44" s="561">
        <v>7430</v>
      </c>
      <c r="B44" s="538" t="s">
        <v>1689</v>
      </c>
      <c r="C44" s="547"/>
      <c r="D44" s="627">
        <f>VLOOKUP($A44,'O&amp;M per TB'!$B$4:R$375,D$3,FALSE)</f>
        <v>-874.88</v>
      </c>
      <c r="E44" s="627">
        <f>VLOOKUP($A44,'O&amp;M per TB'!$B$4:S$375,E$3,FALSE)</f>
        <v>-874.88</v>
      </c>
      <c r="F44" s="627">
        <f>VLOOKUP($A44,'O&amp;M per TB'!$B$4:T$375,F$3,FALSE)</f>
        <v>-874.87999999999988</v>
      </c>
      <c r="G44" s="627">
        <f>VLOOKUP($A44,'O&amp;M per TB'!$B$4:U$375,G$3,FALSE)</f>
        <v>-874.88000000000011</v>
      </c>
      <c r="H44" s="627">
        <f>VLOOKUP($A44,'O&amp;M per TB'!$B$4:V$375,H$3,FALSE)</f>
        <v>-874.95999999999958</v>
      </c>
      <c r="I44" s="627">
        <f>VLOOKUP($A44,'O&amp;M per TB'!$B$4:W$375,I$3,FALSE)</f>
        <v>-874.96</v>
      </c>
      <c r="J44" s="627">
        <f>VLOOKUP($A44,'O&amp;M per TB'!$B$4:X$375,J$3,FALSE)</f>
        <v>-874.96</v>
      </c>
      <c r="K44" s="627">
        <f>VLOOKUP($A44,'O&amp;M per TB'!$B$4:Y$375,K$3,FALSE)</f>
        <v>-874.96</v>
      </c>
      <c r="L44" s="627">
        <f>VLOOKUP($A44,'O&amp;M per TB'!$B$4:Z$375,L$3,FALSE)</f>
        <v>-874.96</v>
      </c>
      <c r="M44" s="627">
        <f>VLOOKUP($A44,'O&amp;M per TB'!$B$4:AA$375,M$3,FALSE)</f>
        <v>-874.96000000000095</v>
      </c>
      <c r="N44" s="627">
        <f>VLOOKUP($A44,'O&amp;M per TB'!$B$4:AB$375,N$3,FALSE)</f>
        <v>-874.92000000000007</v>
      </c>
      <c r="O44" s="627">
        <f>VLOOKUP($A44,'O&amp;M per TB'!$B$4:AC$375,O$3,FALSE)</f>
        <v>-874.92000000000007</v>
      </c>
      <c r="P44" s="599">
        <f t="shared" si="3"/>
        <v>-10499.12</v>
      </c>
    </row>
    <row r="45" spans="1:16" s="538" customFormat="1">
      <c r="A45" s="561">
        <v>7440</v>
      </c>
      <c r="B45" s="538" t="s">
        <v>1690</v>
      </c>
      <c r="C45" s="547"/>
      <c r="D45" s="627">
        <f>VLOOKUP($A45,'O&amp;M per TB'!$B$4:R$375,D$3,FALSE)</f>
        <v>-130.81</v>
      </c>
      <c r="E45" s="627">
        <f>VLOOKUP($A45,'O&amp;M per TB'!$B$4:S$375,E$3,FALSE)</f>
        <v>-263.63</v>
      </c>
      <c r="F45" s="627">
        <f>VLOOKUP($A45,'O&amp;M per TB'!$B$4:T$375,F$3,FALSE)</f>
        <v>-263.63000000000005</v>
      </c>
      <c r="G45" s="627">
        <f>VLOOKUP($A45,'O&amp;M per TB'!$B$4:U$375,G$3,FALSE)</f>
        <v>-263.63</v>
      </c>
      <c r="H45" s="627">
        <f>VLOOKUP($A45,'O&amp;M per TB'!$B$4:V$375,H$3,FALSE)</f>
        <v>-263.62999999999988</v>
      </c>
      <c r="I45" s="627">
        <f>VLOOKUP($A45,'O&amp;M per TB'!$B$4:W$375,I$3,FALSE)</f>
        <v>-263.63000000000011</v>
      </c>
      <c r="J45" s="627">
        <f>VLOOKUP($A45,'O&amp;M per TB'!$B$4:X$375,J$3,FALSE)</f>
        <v>-263.62999999999988</v>
      </c>
      <c r="K45" s="627">
        <f>VLOOKUP($A45,'O&amp;M per TB'!$B$4:Y$375,K$3,FALSE)</f>
        <v>-263.63000000000011</v>
      </c>
      <c r="L45" s="627">
        <f>VLOOKUP($A45,'O&amp;M per TB'!$B$4:Z$375,L$3,FALSE)</f>
        <v>-263.62999999999988</v>
      </c>
      <c r="M45" s="627">
        <f>VLOOKUP($A45,'O&amp;M per TB'!$B$4:AA$375,M$3,FALSE)</f>
        <v>-263.63000000000011</v>
      </c>
      <c r="N45" s="627">
        <f>VLOOKUP($A45,'O&amp;M per TB'!$B$4:AB$375,N$3,FALSE)</f>
        <v>-263.63000000000011</v>
      </c>
      <c r="O45" s="627">
        <f>VLOOKUP($A45,'O&amp;M per TB'!$B$4:AC$375,O$3,FALSE)</f>
        <v>-263.62999999999965</v>
      </c>
      <c r="P45" s="599">
        <f t="shared" si="3"/>
        <v>-3030.74</v>
      </c>
    </row>
    <row r="46" spans="1:16" s="538" customFormat="1">
      <c r="A46" s="561">
        <v>7445</v>
      </c>
      <c r="B46" s="538" t="s">
        <v>1691</v>
      </c>
      <c r="C46" s="546"/>
      <c r="D46" s="627">
        <f>VLOOKUP($A46,'O&amp;M per TB'!$B$4:R$375,D$3,FALSE)</f>
        <v>-3.43</v>
      </c>
      <c r="E46" s="627">
        <f>VLOOKUP($A46,'O&amp;M per TB'!$B$4:S$375,E$3,FALSE)</f>
        <v>-3.43</v>
      </c>
      <c r="F46" s="627">
        <f>VLOOKUP($A46,'O&amp;M per TB'!$B$4:T$375,F$3,FALSE)</f>
        <v>-3.4299999999999988</v>
      </c>
      <c r="G46" s="627">
        <f>VLOOKUP($A46,'O&amp;M per TB'!$B$4:U$375,G$3,FALSE)</f>
        <v>-3.4300000000000015</v>
      </c>
      <c r="H46" s="627">
        <f>VLOOKUP($A46,'O&amp;M per TB'!$B$4:V$375,H$3,FALSE)</f>
        <v>-3.4299999999999979</v>
      </c>
      <c r="I46" s="627">
        <f>VLOOKUP($A46,'O&amp;M per TB'!$B$4:W$375,I$3,FALSE)</f>
        <v>-3.4299999999999997</v>
      </c>
      <c r="J46" s="627">
        <f>VLOOKUP($A46,'O&amp;M per TB'!$B$4:X$375,J$3,FALSE)</f>
        <v>-3.4300000000000033</v>
      </c>
      <c r="K46" s="627">
        <f>VLOOKUP($A46,'O&amp;M per TB'!$B$4:Y$375,K$3,FALSE)</f>
        <v>-3.4299999999999997</v>
      </c>
      <c r="L46" s="627">
        <f>VLOOKUP($A46,'O&amp;M per TB'!$B$4:Z$375,L$3,FALSE)</f>
        <v>-3.4299999999999997</v>
      </c>
      <c r="M46" s="627">
        <f>VLOOKUP($A46,'O&amp;M per TB'!$B$4:AA$375,M$3,FALSE)</f>
        <v>-3.4299999999999962</v>
      </c>
      <c r="N46" s="627">
        <f>VLOOKUP($A46,'O&amp;M per TB'!$B$4:AB$375,N$3,FALSE)</f>
        <v>-3.4299999999999997</v>
      </c>
      <c r="O46" s="627">
        <f>VLOOKUP($A46,'O&amp;M per TB'!$B$4:AC$375,O$3,FALSE)</f>
        <v>-3.4299999999999997</v>
      </c>
      <c r="P46" s="599">
        <f t="shared" si="3"/>
        <v>-41.16</v>
      </c>
    </row>
    <row r="47" spans="1:16" s="538" customFormat="1">
      <c r="A47" s="561">
        <v>7470</v>
      </c>
      <c r="B47" s="538" t="s">
        <v>1692</v>
      </c>
      <c r="C47" s="546"/>
      <c r="D47" s="627"/>
      <c r="E47" s="627"/>
      <c r="F47" s="627"/>
      <c r="G47" s="627"/>
      <c r="H47" s="627"/>
      <c r="I47" s="627"/>
      <c r="J47" s="627"/>
      <c r="K47" s="627"/>
      <c r="L47" s="627"/>
      <c r="M47" s="627"/>
      <c r="N47" s="627"/>
      <c r="O47" s="627"/>
      <c r="P47" s="599">
        <f t="shared" si="3"/>
        <v>0</v>
      </c>
    </row>
    <row r="48" spans="1:16" s="538" customFormat="1">
      <c r="A48" s="561">
        <v>7475</v>
      </c>
      <c r="B48" s="538" t="s">
        <v>1800</v>
      </c>
      <c r="C48" s="547"/>
      <c r="D48" s="627"/>
      <c r="E48" s="627"/>
      <c r="F48" s="627"/>
      <c r="G48" s="627"/>
      <c r="H48" s="627"/>
      <c r="I48" s="627"/>
      <c r="J48" s="627"/>
      <c r="K48" s="627"/>
      <c r="L48" s="627"/>
      <c r="M48" s="627"/>
      <c r="N48" s="627"/>
      <c r="O48" s="627"/>
      <c r="P48" s="599">
        <f t="shared" si="3"/>
        <v>0</v>
      </c>
    </row>
    <row r="49" spans="1:16" s="538" customFormat="1">
      <c r="A49" s="561"/>
      <c r="C49" s="547"/>
      <c r="D49" s="601"/>
      <c r="E49" s="601"/>
      <c r="F49" s="601"/>
      <c r="G49" s="601"/>
      <c r="H49" s="601"/>
      <c r="I49" s="601"/>
      <c r="J49" s="601"/>
      <c r="K49" s="601"/>
      <c r="L49" s="601"/>
      <c r="M49" s="601"/>
      <c r="N49" s="601"/>
      <c r="O49" s="599"/>
      <c r="P49" s="599"/>
    </row>
    <row r="50" spans="1:16" s="538" customFormat="1" ht="19.5" customHeight="1" thickBot="1">
      <c r="A50" s="561"/>
      <c r="B50" s="544" t="s">
        <v>1661</v>
      </c>
      <c r="D50" s="603">
        <f>SUM(D31:D49)</f>
        <v>-7979.59</v>
      </c>
      <c r="E50" s="603">
        <f t="shared" ref="E50:N50" si="5">SUM(E31:E49)</f>
        <v>-8112.41</v>
      </c>
      <c r="F50" s="603">
        <f t="shared" si="5"/>
        <v>-8112.4100000000008</v>
      </c>
      <c r="G50" s="603">
        <f t="shared" si="5"/>
        <v>-8112.409999999998</v>
      </c>
      <c r="H50" s="603">
        <f t="shared" si="5"/>
        <v>-8112.4900000000025</v>
      </c>
      <c r="I50" s="603">
        <f t="shared" si="5"/>
        <v>-8112.4899999999989</v>
      </c>
      <c r="J50" s="603">
        <f t="shared" si="5"/>
        <v>-8112.4900000000025</v>
      </c>
      <c r="K50" s="603">
        <f t="shared" si="5"/>
        <v>-8112.4899999999943</v>
      </c>
      <c r="L50" s="603">
        <f t="shared" si="5"/>
        <v>-8112.4900000000025</v>
      </c>
      <c r="M50" s="603">
        <f t="shared" si="5"/>
        <v>-8112.4900000000043</v>
      </c>
      <c r="N50" s="603">
        <f t="shared" si="5"/>
        <v>-8112.4499999999944</v>
      </c>
      <c r="O50" s="603">
        <f>SUM(O31:O49)</f>
        <v>-8112.4500000000025</v>
      </c>
      <c r="P50" s="603">
        <f>SUM(P31:P49)</f>
        <v>-97216.66</v>
      </c>
    </row>
    <row r="51" spans="1:16" s="538" customFormat="1" ht="12.75" thickTop="1">
      <c r="A51" s="561"/>
      <c r="C51" s="547"/>
      <c r="D51" s="601"/>
      <c r="E51" s="601"/>
      <c r="F51" s="601"/>
      <c r="G51" s="601"/>
      <c r="H51" s="601"/>
      <c r="I51" s="601"/>
      <c r="J51" s="601"/>
      <c r="K51" s="601"/>
      <c r="L51" s="601"/>
      <c r="M51" s="601"/>
      <c r="N51" s="601"/>
      <c r="O51" s="599"/>
      <c r="P51" s="599"/>
    </row>
    <row r="52" spans="1:16" s="545" customFormat="1">
      <c r="A52" s="562"/>
      <c r="C52" s="551"/>
      <c r="D52" s="607"/>
      <c r="E52" s="607"/>
      <c r="F52" s="607"/>
      <c r="G52" s="607"/>
      <c r="H52" s="607"/>
      <c r="I52" s="607"/>
      <c r="J52" s="607"/>
      <c r="K52" s="607"/>
      <c r="L52" s="607"/>
      <c r="M52" s="607"/>
      <c r="N52" s="607"/>
      <c r="O52" s="599"/>
      <c r="P52" s="599"/>
    </row>
    <row r="53" spans="1:16" s="538" customFormat="1">
      <c r="A53" s="561"/>
      <c r="C53" s="547"/>
      <c r="D53" s="601"/>
      <c r="E53" s="601"/>
      <c r="F53" s="601"/>
      <c r="G53" s="601"/>
      <c r="H53" s="601"/>
      <c r="I53" s="601"/>
      <c r="J53" s="601"/>
      <c r="K53" s="601"/>
      <c r="L53" s="601"/>
      <c r="M53" s="601"/>
      <c r="N53" s="601"/>
      <c r="O53" s="599"/>
      <c r="P53" s="599"/>
    </row>
    <row r="54" spans="1:16" s="538" customFormat="1">
      <c r="A54" s="561"/>
      <c r="C54" s="547"/>
      <c r="D54" s="601"/>
      <c r="E54" s="601"/>
      <c r="F54" s="601"/>
      <c r="G54" s="601"/>
      <c r="H54" s="601"/>
      <c r="I54" s="601"/>
      <c r="J54" s="601"/>
      <c r="K54" s="601"/>
      <c r="L54" s="601"/>
      <c r="M54" s="601"/>
      <c r="N54" s="601"/>
      <c r="O54" s="599"/>
      <c r="P54" s="599"/>
    </row>
    <row r="55" spans="1:16" s="538" customFormat="1">
      <c r="A55" s="561"/>
      <c r="C55" s="547"/>
      <c r="D55" s="601"/>
      <c r="E55" s="601"/>
      <c r="F55" s="601"/>
      <c r="G55" s="601"/>
      <c r="H55" s="601"/>
      <c r="I55" s="601"/>
      <c r="J55" s="601"/>
      <c r="K55" s="601"/>
      <c r="L55" s="601"/>
      <c r="M55" s="601"/>
      <c r="N55" s="601"/>
      <c r="O55" s="599"/>
      <c r="P55" s="599"/>
    </row>
    <row r="56" spans="1:16" s="538" customFormat="1">
      <c r="A56" s="561"/>
      <c r="C56" s="547"/>
      <c r="D56" s="601"/>
      <c r="E56" s="601"/>
      <c r="F56" s="601"/>
      <c r="G56" s="601"/>
      <c r="H56" s="601"/>
      <c r="I56" s="601"/>
      <c r="J56" s="601"/>
      <c r="K56" s="601"/>
      <c r="L56" s="601"/>
      <c r="M56" s="601"/>
      <c r="N56" s="601"/>
      <c r="O56" s="599"/>
      <c r="P56" s="599"/>
    </row>
    <row r="57" spans="1:16" s="538" customFormat="1">
      <c r="A57" s="561"/>
      <c r="C57" s="547"/>
      <c r="D57" s="601"/>
      <c r="E57" s="601"/>
      <c r="F57" s="601"/>
      <c r="G57" s="601"/>
      <c r="H57" s="601"/>
      <c r="I57" s="601"/>
      <c r="J57" s="601"/>
      <c r="K57" s="601"/>
      <c r="L57" s="601"/>
      <c r="M57" s="601"/>
      <c r="N57" s="601"/>
      <c r="O57" s="599"/>
      <c r="P57" s="599"/>
    </row>
    <row r="58" spans="1:16" s="538" customFormat="1">
      <c r="A58" s="561"/>
      <c r="C58" s="547"/>
      <c r="D58" s="601"/>
      <c r="E58" s="601"/>
      <c r="F58" s="601"/>
      <c r="G58" s="601"/>
      <c r="H58" s="601"/>
      <c r="I58" s="601"/>
      <c r="J58" s="601"/>
      <c r="K58" s="601"/>
      <c r="L58" s="601"/>
      <c r="M58" s="601"/>
      <c r="N58" s="601"/>
      <c r="O58" s="599"/>
      <c r="P58" s="599"/>
    </row>
    <row r="59" spans="1:16" s="538" customFormat="1">
      <c r="A59" s="561"/>
      <c r="C59" s="547"/>
      <c r="D59" s="601"/>
      <c r="E59" s="601"/>
      <c r="F59" s="601"/>
      <c r="G59" s="601"/>
      <c r="H59" s="601"/>
      <c r="I59" s="601"/>
      <c r="J59" s="601"/>
      <c r="K59" s="601"/>
      <c r="L59" s="601"/>
      <c r="M59" s="601"/>
      <c r="N59" s="601"/>
      <c r="O59" s="599"/>
      <c r="P59" s="599"/>
    </row>
    <row r="60" spans="1:16" s="538" customFormat="1">
      <c r="A60" s="561"/>
      <c r="C60" s="547"/>
      <c r="D60" s="601"/>
      <c r="E60" s="601"/>
      <c r="F60" s="601"/>
      <c r="G60" s="601"/>
      <c r="H60" s="601"/>
      <c r="I60" s="601"/>
      <c r="J60" s="601"/>
      <c r="K60" s="601"/>
      <c r="L60" s="601"/>
      <c r="M60" s="601"/>
      <c r="N60" s="601"/>
      <c r="O60" s="599"/>
      <c r="P60" s="565"/>
    </row>
    <row r="61" spans="1:16" s="538" customFormat="1">
      <c r="A61" s="561"/>
      <c r="C61" s="547"/>
      <c r="D61" s="601"/>
      <c r="E61" s="601"/>
      <c r="F61" s="601"/>
      <c r="G61" s="601"/>
      <c r="H61" s="601"/>
      <c r="I61" s="601"/>
      <c r="J61" s="601"/>
      <c r="K61" s="601"/>
      <c r="L61" s="601"/>
      <c r="M61" s="601"/>
      <c r="N61" s="601"/>
      <c r="O61" s="599"/>
      <c r="P61" s="565"/>
    </row>
    <row r="62" spans="1:16" s="538" customFormat="1">
      <c r="A62" s="561"/>
      <c r="C62" s="547"/>
      <c r="D62" s="601"/>
      <c r="E62" s="601"/>
      <c r="F62" s="601"/>
      <c r="G62" s="601"/>
      <c r="H62" s="601"/>
      <c r="I62" s="601"/>
      <c r="J62" s="601"/>
      <c r="K62" s="601"/>
      <c r="L62" s="601"/>
      <c r="M62" s="601"/>
      <c r="N62" s="601"/>
      <c r="O62" s="599"/>
      <c r="P62" s="565"/>
    </row>
    <row r="63" spans="1:16" s="538" customFormat="1">
      <c r="A63" s="561"/>
      <c r="C63" s="547"/>
      <c r="D63" s="601"/>
      <c r="E63" s="601"/>
      <c r="F63" s="601"/>
      <c r="G63" s="601"/>
      <c r="H63" s="601"/>
      <c r="I63" s="601"/>
      <c r="J63" s="601"/>
      <c r="K63" s="601"/>
      <c r="L63" s="601"/>
      <c r="M63" s="601"/>
      <c r="N63" s="601"/>
      <c r="O63" s="599"/>
      <c r="P63" s="565"/>
    </row>
    <row r="64" spans="1:16" s="538" customFormat="1">
      <c r="A64" s="561"/>
      <c r="C64" s="547"/>
      <c r="D64" s="601"/>
      <c r="E64" s="601"/>
      <c r="F64" s="601"/>
      <c r="G64" s="601"/>
      <c r="H64" s="601"/>
      <c r="I64" s="601"/>
      <c r="J64" s="601"/>
      <c r="K64" s="601"/>
      <c r="L64" s="601"/>
      <c r="M64" s="601"/>
      <c r="N64" s="601"/>
      <c r="O64" s="599"/>
      <c r="P64" s="565"/>
    </row>
    <row r="65" spans="1:16" s="538" customFormat="1">
      <c r="A65" s="561"/>
      <c r="C65" s="547"/>
      <c r="D65" s="601"/>
      <c r="E65" s="601"/>
      <c r="F65" s="601"/>
      <c r="G65" s="601"/>
      <c r="H65" s="601"/>
      <c r="I65" s="601"/>
      <c r="J65" s="601"/>
      <c r="K65" s="601"/>
      <c r="L65" s="601"/>
      <c r="M65" s="601"/>
      <c r="N65" s="601"/>
      <c r="O65" s="599"/>
      <c r="P65" s="565"/>
    </row>
    <row r="66" spans="1:16" s="538" customFormat="1">
      <c r="A66" s="561"/>
      <c r="C66" s="547"/>
      <c r="D66" s="601"/>
      <c r="E66" s="601"/>
      <c r="F66" s="601"/>
      <c r="G66" s="601"/>
      <c r="H66" s="601"/>
      <c r="I66" s="601"/>
      <c r="J66" s="601"/>
      <c r="K66" s="601"/>
      <c r="L66" s="601"/>
      <c r="M66" s="601"/>
      <c r="N66" s="601"/>
      <c r="O66" s="599"/>
      <c r="P66" s="565"/>
    </row>
    <row r="67" spans="1:16" s="538" customFormat="1">
      <c r="A67" s="561"/>
      <c r="C67" s="547"/>
      <c r="D67" s="601"/>
      <c r="E67" s="601"/>
      <c r="F67" s="601"/>
      <c r="G67" s="601"/>
      <c r="H67" s="601"/>
      <c r="I67" s="601"/>
      <c r="J67" s="601"/>
      <c r="K67" s="601"/>
      <c r="L67" s="601"/>
      <c r="M67" s="601"/>
      <c r="N67" s="601"/>
      <c r="O67" s="599"/>
      <c r="P67" s="565"/>
    </row>
    <row r="68" spans="1:16" s="538" customFormat="1">
      <c r="A68" s="561"/>
      <c r="C68" s="547"/>
      <c r="D68" s="601"/>
      <c r="E68" s="601"/>
      <c r="F68" s="601"/>
      <c r="G68" s="601"/>
      <c r="H68" s="601"/>
      <c r="I68" s="601"/>
      <c r="J68" s="601"/>
      <c r="K68" s="601"/>
      <c r="L68" s="601"/>
      <c r="M68" s="601"/>
      <c r="N68" s="601"/>
      <c r="O68" s="599"/>
      <c r="P68" s="565"/>
    </row>
    <row r="69" spans="1:16" s="538" customFormat="1">
      <c r="A69" s="561"/>
      <c r="C69" s="547"/>
      <c r="D69" s="601"/>
      <c r="E69" s="601"/>
      <c r="F69" s="601"/>
      <c r="G69" s="601"/>
      <c r="H69" s="601"/>
      <c r="I69" s="601"/>
      <c r="J69" s="601"/>
      <c r="K69" s="601"/>
      <c r="L69" s="601"/>
      <c r="M69" s="601"/>
      <c r="N69" s="601"/>
      <c r="O69" s="599"/>
      <c r="P69" s="565"/>
    </row>
    <row r="70" spans="1:16" s="538" customFormat="1">
      <c r="A70" s="561"/>
      <c r="C70" s="547"/>
      <c r="D70" s="601"/>
      <c r="E70" s="601"/>
      <c r="F70" s="601"/>
      <c r="G70" s="601"/>
      <c r="H70" s="601"/>
      <c r="I70" s="601"/>
      <c r="J70" s="601"/>
      <c r="K70" s="601"/>
      <c r="L70" s="601"/>
      <c r="M70" s="601"/>
      <c r="N70" s="601"/>
      <c r="O70" s="599"/>
      <c r="P70" s="565"/>
    </row>
    <row r="71" spans="1:16" s="538" customFormat="1">
      <c r="A71" s="561"/>
      <c r="C71" s="547"/>
      <c r="D71" s="601"/>
      <c r="E71" s="601"/>
      <c r="F71" s="601"/>
      <c r="G71" s="601"/>
      <c r="H71" s="601"/>
      <c r="I71" s="601"/>
      <c r="J71" s="601"/>
      <c r="K71" s="601"/>
      <c r="L71" s="601"/>
      <c r="M71" s="601"/>
      <c r="N71" s="601"/>
      <c r="O71" s="599"/>
      <c r="P71" s="565"/>
    </row>
    <row r="72" spans="1:16" s="538" customFormat="1">
      <c r="A72" s="561"/>
      <c r="C72" s="547"/>
      <c r="D72" s="601"/>
      <c r="E72" s="601"/>
      <c r="F72" s="601"/>
      <c r="G72" s="601"/>
      <c r="H72" s="601"/>
      <c r="I72" s="601"/>
      <c r="J72" s="601"/>
      <c r="K72" s="601"/>
      <c r="L72" s="601"/>
      <c r="M72" s="601"/>
      <c r="N72" s="601"/>
      <c r="O72" s="599"/>
      <c r="P72" s="565"/>
    </row>
    <row r="73" spans="1:16">
      <c r="P73" s="535"/>
    </row>
    <row r="74" spans="1:16">
      <c r="P74" s="535"/>
    </row>
    <row r="75" spans="1:16">
      <c r="P75" s="535"/>
    </row>
    <row r="76" spans="1:16">
      <c r="P76" s="535"/>
    </row>
    <row r="77" spans="1:16">
      <c r="P77" s="535"/>
    </row>
    <row r="78" spans="1:16">
      <c r="P78" s="535"/>
    </row>
    <row r="79" spans="1:16">
      <c r="P79" s="535"/>
    </row>
    <row r="80" spans="1:16">
      <c r="P80" s="535"/>
    </row>
    <row r="81" spans="16:16">
      <c r="P81" s="535"/>
    </row>
    <row r="82" spans="16:16">
      <c r="P82" s="535"/>
    </row>
    <row r="83" spans="16:16">
      <c r="P83" s="535"/>
    </row>
    <row r="84" spans="16:16">
      <c r="P84" s="535"/>
    </row>
    <row r="85" spans="16:16">
      <c r="P85" s="535"/>
    </row>
    <row r="86" spans="16:16">
      <c r="P86" s="535"/>
    </row>
    <row r="87" spans="16:16">
      <c r="P87" s="535"/>
    </row>
    <row r="88" spans="16:16">
      <c r="P88" s="535"/>
    </row>
    <row r="89" spans="16:16">
      <c r="P89" s="535"/>
    </row>
    <row r="90" spans="16:16">
      <c r="P90" s="535"/>
    </row>
    <row r="91" spans="16:16">
      <c r="P91" s="535"/>
    </row>
    <row r="92" spans="16:16">
      <c r="P92" s="535"/>
    </row>
    <row r="93" spans="16:16">
      <c r="P93" s="535"/>
    </row>
    <row r="94" spans="16:16">
      <c r="P94" s="535"/>
    </row>
    <row r="95" spans="16:16">
      <c r="P95" s="535"/>
    </row>
    <row r="96" spans="16:16">
      <c r="P96" s="535"/>
    </row>
    <row r="97" spans="16:16">
      <c r="P97" s="535"/>
    </row>
    <row r="98" spans="16:16">
      <c r="P98" s="535"/>
    </row>
    <row r="99" spans="16:16">
      <c r="P99" s="535"/>
    </row>
    <row r="100" spans="16:16">
      <c r="P100" s="535"/>
    </row>
    <row r="101" spans="16:16">
      <c r="P101" s="535"/>
    </row>
    <row r="102" spans="16:16">
      <c r="P102" s="535"/>
    </row>
    <row r="103" spans="16:16">
      <c r="P103" s="535"/>
    </row>
  </sheetData>
  <mergeCells count="1">
    <mergeCell ref="B1:P1"/>
  </mergeCells>
  <printOptions horizontalCentered="1"/>
  <pageMargins left="0.5" right="0" top="0.75" bottom="0.5" header="0.25" footer="0.25"/>
  <pageSetup scale="70" fitToHeight="0" orientation="landscape" r:id="rId1"/>
  <headerFooter alignWithMargins="0">
    <oddHeader xml:space="preserve">&amp;C&amp;"Arial,Bold"&amp;12
Sanlando Utilities Corp
&amp;"Arial,Regular"&amp;10
</oddHeader>
    <oddFooter>&amp;C&amp;A&amp;RPage &amp;P of &amp;N</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dimension ref="A1:T255"/>
  <sheetViews>
    <sheetView workbookViewId="0">
      <selection activeCell="I34" sqref="I34"/>
    </sheetView>
  </sheetViews>
  <sheetFormatPr defaultColWidth="9.140625" defaultRowHeight="12"/>
  <cols>
    <col min="1" max="1" width="4.5703125" style="528" customWidth="1"/>
    <col min="2" max="2" width="7.140625" style="518" customWidth="1"/>
    <col min="3" max="3" width="25.7109375" style="518" customWidth="1"/>
    <col min="4" max="4" width="8.7109375" style="523" customWidth="1"/>
    <col min="5" max="5" width="12.5703125" style="634" customWidth="1"/>
    <col min="6" max="6" width="10.85546875" style="634" customWidth="1"/>
    <col min="7" max="7" width="11.140625" style="634" customWidth="1"/>
    <col min="8" max="16" width="10.28515625" style="634" customWidth="1"/>
    <col min="17" max="17" width="11.42578125" style="1288" customWidth="1"/>
    <col min="18" max="18" width="9.5703125" style="530" customWidth="1"/>
    <col min="19" max="19" width="6.85546875" style="518" customWidth="1"/>
    <col min="20" max="20" width="10.42578125" style="150" customWidth="1"/>
    <col min="21" max="16384" width="9.140625" style="518"/>
  </cols>
  <sheetData>
    <row r="1" spans="1:7">
      <c r="B1" s="517" t="s">
        <v>1797</v>
      </c>
      <c r="D1" s="528"/>
    </row>
    <row r="2" spans="1:7">
      <c r="B2" s="519" t="s">
        <v>1233</v>
      </c>
      <c r="C2" s="517"/>
      <c r="D2" s="528"/>
      <c r="E2" s="940" t="s">
        <v>498</v>
      </c>
      <c r="F2" s="940" t="s">
        <v>670</v>
      </c>
      <c r="G2" s="940" t="s">
        <v>81</v>
      </c>
    </row>
    <row r="3" spans="1:7">
      <c r="A3" s="528">
        <v>5025</v>
      </c>
      <c r="B3" s="536" t="s">
        <v>280</v>
      </c>
      <c r="C3" s="518" t="s">
        <v>284</v>
      </c>
      <c r="D3" s="528"/>
      <c r="E3" s="1577">
        <f>-Q107</f>
        <v>0</v>
      </c>
      <c r="F3" s="1577"/>
      <c r="G3" s="1577">
        <f>SUM(E3:F3)</f>
        <v>0</v>
      </c>
    </row>
    <row r="4" spans="1:7">
      <c r="A4" s="528">
        <v>5030</v>
      </c>
      <c r="B4" s="536">
        <v>461</v>
      </c>
      <c r="C4" s="518" t="s">
        <v>294</v>
      </c>
      <c r="D4" s="528"/>
      <c r="E4" s="1577">
        <f>-Q108</f>
        <v>0</v>
      </c>
      <c r="F4" s="1577"/>
      <c r="G4" s="1577">
        <f t="shared" ref="G4:G16" si="0">SUM(E4:F4)</f>
        <v>0</v>
      </c>
    </row>
    <row r="5" spans="1:7">
      <c r="A5" s="528">
        <v>5035</v>
      </c>
      <c r="B5" s="519">
        <v>461.2</v>
      </c>
      <c r="C5" s="518" t="s">
        <v>283</v>
      </c>
      <c r="D5" s="528"/>
      <c r="E5" s="1577">
        <f>-Q109</f>
        <v>0</v>
      </c>
      <c r="F5" s="1577"/>
      <c r="G5" s="1577">
        <f t="shared" si="0"/>
        <v>0</v>
      </c>
    </row>
    <row r="6" spans="1:7">
      <c r="A6" s="528">
        <v>5050</v>
      </c>
      <c r="B6" s="519"/>
      <c r="C6" s="518" t="s">
        <v>295</v>
      </c>
      <c r="D6" s="528"/>
      <c r="E6" s="1577">
        <f>-Q110</f>
        <v>0</v>
      </c>
      <c r="F6" s="1577"/>
      <c r="G6" s="1577">
        <f t="shared" si="0"/>
        <v>0</v>
      </c>
    </row>
    <row r="7" spans="1:7">
      <c r="A7" s="528">
        <v>5065</v>
      </c>
      <c r="B7" s="536">
        <v>462.2</v>
      </c>
      <c r="C7" s="518" t="s">
        <v>118</v>
      </c>
      <c r="D7" s="528"/>
      <c r="E7" s="1577">
        <f>-Q111</f>
        <v>0</v>
      </c>
      <c r="F7" s="1577"/>
      <c r="G7" s="1577">
        <f t="shared" si="0"/>
        <v>0</v>
      </c>
    </row>
    <row r="8" spans="1:7">
      <c r="A8" s="528">
        <v>5100</v>
      </c>
      <c r="B8" s="536">
        <v>521.1</v>
      </c>
      <c r="C8" s="518" t="s">
        <v>281</v>
      </c>
      <c r="D8" s="528"/>
      <c r="E8" s="1577"/>
      <c r="F8" s="1577">
        <f>-Q112</f>
        <v>1692197.19</v>
      </c>
      <c r="G8" s="1577">
        <f t="shared" si="0"/>
        <v>1692197.19</v>
      </c>
    </row>
    <row r="9" spans="1:7">
      <c r="A9" s="528">
        <v>5105</v>
      </c>
      <c r="B9" s="536">
        <v>521</v>
      </c>
      <c r="C9" s="518" t="s">
        <v>296</v>
      </c>
      <c r="D9" s="528"/>
      <c r="E9" s="1577"/>
      <c r="F9" s="1577">
        <f t="shared" ref="F9:F15" si="1">-Q113</f>
        <v>152521.12</v>
      </c>
      <c r="G9" s="1577">
        <f t="shared" si="0"/>
        <v>152521.12</v>
      </c>
    </row>
    <row r="10" spans="1:7">
      <c r="A10" s="528">
        <v>5110</v>
      </c>
      <c r="B10" s="536">
        <v>521.20000000000005</v>
      </c>
      <c r="C10" s="518" t="s">
        <v>282</v>
      </c>
      <c r="D10" s="528"/>
      <c r="E10" s="1577"/>
      <c r="F10" s="1577">
        <f t="shared" si="1"/>
        <v>0</v>
      </c>
      <c r="G10" s="1577">
        <f t="shared" si="0"/>
        <v>0</v>
      </c>
    </row>
    <row r="11" spans="1:7">
      <c r="A11" s="528">
        <v>5120</v>
      </c>
      <c r="B11" s="536">
        <v>521.4</v>
      </c>
      <c r="C11" s="518" t="s">
        <v>285</v>
      </c>
      <c r="D11" s="528"/>
      <c r="E11" s="1577"/>
      <c r="F11" s="1577">
        <f t="shared" si="1"/>
        <v>0</v>
      </c>
      <c r="G11" s="1577">
        <f t="shared" si="0"/>
        <v>0</v>
      </c>
    </row>
    <row r="12" spans="1:7">
      <c r="A12" s="528">
        <v>5125</v>
      </c>
      <c r="B12" s="536">
        <v>521.5</v>
      </c>
      <c r="C12" s="518" t="s">
        <v>286</v>
      </c>
      <c r="D12" s="528"/>
      <c r="E12" s="1577"/>
      <c r="F12" s="1577">
        <f t="shared" si="1"/>
        <v>380.58</v>
      </c>
      <c r="G12" s="1577">
        <f t="shared" si="0"/>
        <v>380.58</v>
      </c>
    </row>
    <row r="13" spans="1:7">
      <c r="A13" s="528">
        <v>5140</v>
      </c>
      <c r="B13" s="536">
        <v>522.1</v>
      </c>
      <c r="C13" s="518" t="s">
        <v>287</v>
      </c>
      <c r="D13" s="528"/>
      <c r="E13" s="1577"/>
      <c r="F13" s="1577">
        <f t="shared" si="1"/>
        <v>0</v>
      </c>
      <c r="G13" s="1577">
        <f t="shared" si="0"/>
        <v>0</v>
      </c>
    </row>
    <row r="14" spans="1:7">
      <c r="A14" s="528">
        <v>5155</v>
      </c>
      <c r="B14" s="536">
        <v>522.20000000000005</v>
      </c>
      <c r="C14" s="518" t="s">
        <v>288</v>
      </c>
      <c r="D14" s="528"/>
      <c r="E14" s="1577"/>
      <c r="F14" s="1577">
        <f t="shared" si="1"/>
        <v>86202.25</v>
      </c>
      <c r="G14" s="1577">
        <f t="shared" si="0"/>
        <v>86202.25</v>
      </c>
    </row>
    <row r="15" spans="1:7">
      <c r="A15" s="528">
        <v>5170</v>
      </c>
      <c r="B15" s="536">
        <v>522.5</v>
      </c>
      <c r="C15" s="518" t="s">
        <v>289</v>
      </c>
      <c r="D15" s="528"/>
      <c r="E15" s="1577"/>
      <c r="F15" s="1577">
        <f t="shared" si="1"/>
        <v>0</v>
      </c>
      <c r="G15" s="1577">
        <f t="shared" si="0"/>
        <v>0</v>
      </c>
    </row>
    <row r="16" spans="1:7">
      <c r="A16" s="528">
        <v>5230</v>
      </c>
      <c r="B16" s="536">
        <v>541.1</v>
      </c>
      <c r="C16" s="518" t="s">
        <v>1876</v>
      </c>
      <c r="D16" s="528"/>
      <c r="E16" s="1577"/>
      <c r="F16" s="1577"/>
      <c r="G16" s="1577">
        <f t="shared" si="0"/>
        <v>0</v>
      </c>
    </row>
    <row r="17" spans="1:11">
      <c r="A17" s="528">
        <v>5270</v>
      </c>
      <c r="B17" s="536">
        <v>536</v>
      </c>
      <c r="C17" s="518" t="s">
        <v>338</v>
      </c>
      <c r="D17" s="528"/>
      <c r="E17" s="1577"/>
      <c r="F17" s="1577">
        <f>-Q122</f>
        <v>2103.5100000000002</v>
      </c>
      <c r="G17" s="1577">
        <f>SUM(E17:F17)</f>
        <v>2103.5100000000002</v>
      </c>
    </row>
    <row r="18" spans="1:11">
      <c r="A18" s="528">
        <v>5285</v>
      </c>
      <c r="B18" s="536">
        <v>536</v>
      </c>
      <c r="C18" s="518" t="s">
        <v>1877</v>
      </c>
      <c r="D18" s="528"/>
      <c r="E18" s="1578"/>
      <c r="F18" s="1578">
        <f>-Q123</f>
        <v>21</v>
      </c>
      <c r="G18" s="1578">
        <f>SUM(E18:F18)</f>
        <v>21</v>
      </c>
      <c r="H18" s="1579"/>
    </row>
    <row r="19" spans="1:11">
      <c r="D19" s="528"/>
      <c r="E19" s="1577">
        <f>SUM(E3:E18)</f>
        <v>0</v>
      </c>
      <c r="F19" s="1577">
        <f>SUM(F3:F18)</f>
        <v>1933425.6500000001</v>
      </c>
      <c r="G19" s="1577">
        <f>SUM(G3:G18)</f>
        <v>1933425.6500000001</v>
      </c>
      <c r="H19" s="634">
        <f>SUM(H3:H18)</f>
        <v>0</v>
      </c>
      <c r="I19" s="634">
        <f>+E19+F19-G19</f>
        <v>0</v>
      </c>
    </row>
    <row r="20" spans="1:11">
      <c r="B20" s="519"/>
      <c r="C20" s="518" t="s">
        <v>844</v>
      </c>
      <c r="D20" s="528"/>
    </row>
    <row r="21" spans="1:11">
      <c r="B21" s="519"/>
      <c r="D21" s="528"/>
      <c r="E21" s="537">
        <f>+E19/G19</f>
        <v>0</v>
      </c>
      <c r="F21" s="537">
        <f>+F19/G19</f>
        <v>1</v>
      </c>
      <c r="G21" s="537">
        <f>+E21+F21</f>
        <v>1</v>
      </c>
    </row>
    <row r="22" spans="1:11" ht="12.75" thickBot="1">
      <c r="B22" s="519"/>
      <c r="D22" s="528"/>
    </row>
    <row r="23" spans="1:11">
      <c r="B23" s="519" t="s">
        <v>347</v>
      </c>
      <c r="D23" s="528"/>
      <c r="E23" s="533" t="s">
        <v>1740</v>
      </c>
      <c r="I23" s="941" t="s">
        <v>1741</v>
      </c>
      <c r="J23" s="1580"/>
      <c r="K23" s="943"/>
    </row>
    <row r="24" spans="1:11">
      <c r="B24" s="519"/>
      <c r="C24" s="518" t="s">
        <v>349</v>
      </c>
      <c r="D24" s="528"/>
      <c r="E24" s="951">
        <v>0</v>
      </c>
      <c r="G24" s="1313">
        <f>ROUND(E24/E$27,6)</f>
        <v>0</v>
      </c>
      <c r="I24" s="1286">
        <f>+E24</f>
        <v>0</v>
      </c>
      <c r="J24" s="635"/>
      <c r="K24" s="1312">
        <f>ROUND(I24/I$27,6)</f>
        <v>0</v>
      </c>
    </row>
    <row r="25" spans="1:11">
      <c r="B25" s="519"/>
      <c r="C25" s="518" t="s">
        <v>352</v>
      </c>
      <c r="D25" s="528"/>
      <c r="E25" s="952">
        <v>1</v>
      </c>
      <c r="G25" s="1313">
        <f>ROUND(E25/E$27,6)</f>
        <v>1</v>
      </c>
      <c r="I25" s="1286">
        <f>+E25</f>
        <v>1</v>
      </c>
      <c r="J25" s="635"/>
      <c r="K25" s="1312">
        <f>ROUND(I25/I$27,6)</f>
        <v>1</v>
      </c>
    </row>
    <row r="26" spans="1:11">
      <c r="B26" s="519"/>
      <c r="D26" s="528"/>
      <c r="E26" s="952"/>
      <c r="G26" s="1581"/>
      <c r="I26" s="949"/>
      <c r="J26" s="635"/>
      <c r="K26" s="1582"/>
    </row>
    <row r="27" spans="1:11" ht="12.75" thickBot="1">
      <c r="B27" s="519"/>
      <c r="C27" s="521" t="s">
        <v>348</v>
      </c>
      <c r="D27" s="528"/>
      <c r="E27" s="1583">
        <f>SUM(E24:E26)</f>
        <v>1</v>
      </c>
      <c r="G27" s="537">
        <f>SUM(G24:G26)</f>
        <v>1</v>
      </c>
      <c r="I27" s="950">
        <f>SUM(I24:I26)</f>
        <v>1</v>
      </c>
      <c r="J27" s="1584"/>
      <c r="K27" s="939">
        <f>SUM(K24:K26)</f>
        <v>1</v>
      </c>
    </row>
    <row r="28" spans="1:11">
      <c r="B28" s="519" t="s">
        <v>376</v>
      </c>
      <c r="D28" s="528"/>
      <c r="G28" s="537"/>
    </row>
    <row r="29" spans="1:11">
      <c r="B29" s="519"/>
      <c r="C29" s="518" t="s">
        <v>1234</v>
      </c>
      <c r="D29" s="528"/>
      <c r="E29" s="634">
        <v>0</v>
      </c>
      <c r="G29" s="537">
        <f>ROUND(E29/E$32,5)</f>
        <v>0</v>
      </c>
    </row>
    <row r="30" spans="1:11">
      <c r="B30" s="519"/>
      <c r="C30" s="518" t="s">
        <v>1235</v>
      </c>
      <c r="D30" s="528"/>
      <c r="E30" s="635">
        <v>1</v>
      </c>
      <c r="G30" s="537">
        <f>ROUND(E30/E$32,5)</f>
        <v>1</v>
      </c>
    </row>
    <row r="31" spans="1:11">
      <c r="B31" s="519"/>
      <c r="C31" s="518" t="s">
        <v>351</v>
      </c>
      <c r="D31" s="528"/>
      <c r="E31" s="635"/>
      <c r="G31" s="537"/>
    </row>
    <row r="32" spans="1:11">
      <c r="B32" s="519"/>
      <c r="C32" s="518" t="s">
        <v>1236</v>
      </c>
      <c r="D32" s="528"/>
      <c r="E32" s="1585">
        <f>SUM(E29:E31)</f>
        <v>1</v>
      </c>
      <c r="G32" s="1586">
        <f>+G30+G29+G31</f>
        <v>1</v>
      </c>
    </row>
    <row r="33" spans="1:7">
      <c r="B33" s="519"/>
      <c r="D33" s="528"/>
      <c r="G33" s="537"/>
    </row>
    <row r="34" spans="1:7">
      <c r="B34" s="519" t="s">
        <v>377</v>
      </c>
      <c r="D34" s="528"/>
      <c r="G34" s="537"/>
    </row>
    <row r="35" spans="1:7">
      <c r="B35" s="519"/>
      <c r="C35" s="518" t="s">
        <v>1237</v>
      </c>
      <c r="D35" s="528"/>
      <c r="E35" s="634">
        <v>0</v>
      </c>
      <c r="G35" s="537">
        <f>ROUND(E35/E$38,5)</f>
        <v>0</v>
      </c>
    </row>
    <row r="36" spans="1:7">
      <c r="B36" s="521"/>
      <c r="C36" s="518" t="s">
        <v>1238</v>
      </c>
      <c r="D36" s="528"/>
      <c r="E36" s="635">
        <v>1</v>
      </c>
      <c r="G36" s="537">
        <f>ROUND(E36/E$38,5)</f>
        <v>1</v>
      </c>
    </row>
    <row r="37" spans="1:7">
      <c r="B37" s="521"/>
      <c r="C37" s="518" t="s">
        <v>351</v>
      </c>
      <c r="D37" s="528"/>
      <c r="E37" s="635"/>
      <c r="G37" s="537"/>
    </row>
    <row r="38" spans="1:7">
      <c r="B38" s="521"/>
      <c r="C38" s="518" t="s">
        <v>1236</v>
      </c>
      <c r="D38" s="528"/>
      <c r="E38" s="1585">
        <f>SUM(E35:E37)</f>
        <v>1</v>
      </c>
      <c r="G38" s="1586">
        <f>+G35+G36+G37</f>
        <v>1</v>
      </c>
    </row>
    <row r="39" spans="1:7">
      <c r="D39" s="528"/>
      <c r="F39" s="945" t="s">
        <v>1239</v>
      </c>
      <c r="G39" s="945"/>
    </row>
    <row r="40" spans="1:7">
      <c r="D40" s="528"/>
      <c r="F40" s="945"/>
      <c r="G40" s="945"/>
    </row>
    <row r="41" spans="1:7">
      <c r="B41" s="517" t="s">
        <v>1240</v>
      </c>
      <c r="D41" s="528"/>
      <c r="E41" s="1587" t="s">
        <v>458</v>
      </c>
      <c r="F41" s="1587" t="s">
        <v>1241</v>
      </c>
      <c r="G41" s="1587" t="s">
        <v>670</v>
      </c>
    </row>
    <row r="42" spans="1:7">
      <c r="D42" s="528" t="s">
        <v>1242</v>
      </c>
      <c r="E42" s="533"/>
    </row>
    <row r="43" spans="1:7">
      <c r="B43" s="524"/>
      <c r="C43" s="519"/>
      <c r="D43" s="528"/>
      <c r="E43" s="533"/>
    </row>
    <row r="44" spans="1:7">
      <c r="A44" s="528">
        <v>5270</v>
      </c>
      <c r="B44" s="524">
        <v>471</v>
      </c>
      <c r="C44" s="519" t="s">
        <v>290</v>
      </c>
      <c r="D44" s="725" t="s">
        <v>347</v>
      </c>
      <c r="E44" s="609">
        <f>-Q122</f>
        <v>2103.5100000000002</v>
      </c>
      <c r="F44" s="609">
        <f>+E44</f>
        <v>2103.5100000000002</v>
      </c>
      <c r="G44" s="609"/>
    </row>
    <row r="45" spans="1:7">
      <c r="A45" s="528">
        <v>5285</v>
      </c>
      <c r="B45" s="521" t="s">
        <v>297</v>
      </c>
      <c r="C45" s="519" t="s">
        <v>291</v>
      </c>
      <c r="D45" s="725" t="s">
        <v>347</v>
      </c>
      <c r="E45" s="609">
        <f>-Q123</f>
        <v>21</v>
      </c>
      <c r="F45" s="609">
        <f>+E17</f>
        <v>0</v>
      </c>
      <c r="G45" s="609">
        <f>+F17</f>
        <v>2103.5100000000002</v>
      </c>
    </row>
    <row r="46" spans="1:7">
      <c r="A46" s="528">
        <v>5200</v>
      </c>
      <c r="B46" s="524">
        <v>540.1</v>
      </c>
      <c r="C46" s="519" t="s">
        <v>292</v>
      </c>
      <c r="D46" s="725" t="s">
        <v>1243</v>
      </c>
      <c r="E46" s="634">
        <f>-Q120</f>
        <v>0</v>
      </c>
      <c r="G46" s="634">
        <f>+E46</f>
        <v>0</v>
      </c>
    </row>
    <row r="47" spans="1:7">
      <c r="A47" s="528">
        <v>5230</v>
      </c>
      <c r="B47" s="524">
        <v>541</v>
      </c>
      <c r="C47" s="519" t="s">
        <v>293</v>
      </c>
      <c r="D47" s="725" t="s">
        <v>1243</v>
      </c>
      <c r="E47" s="634">
        <f>-Q121</f>
        <v>0</v>
      </c>
      <c r="G47" s="634">
        <f>+E47</f>
        <v>0</v>
      </c>
    </row>
    <row r="48" spans="1:7">
      <c r="B48" s="524"/>
      <c r="C48" s="528"/>
      <c r="D48" s="528"/>
    </row>
    <row r="49" spans="1:18" ht="12.75" thickBot="1">
      <c r="D49" s="528"/>
      <c r="E49" s="947">
        <f>SUM(E43:E48)</f>
        <v>2124.5100000000002</v>
      </c>
      <c r="F49" s="947">
        <f>SUM(F43:F48)</f>
        <v>2103.5100000000002</v>
      </c>
      <c r="G49" s="947">
        <f>SUM(G43:G48)</f>
        <v>2103.5100000000002</v>
      </c>
      <c r="Q49" s="609"/>
    </row>
    <row r="50" spans="1:18" ht="12.75" thickTop="1">
      <c r="D50" s="528"/>
      <c r="E50" s="1569">
        <v>3</v>
      </c>
      <c r="F50" s="1569">
        <v>4</v>
      </c>
      <c r="G50" s="1569">
        <v>5</v>
      </c>
      <c r="H50" s="1569">
        <v>6</v>
      </c>
      <c r="I50" s="1569">
        <v>7</v>
      </c>
      <c r="J50" s="1569">
        <v>8</v>
      </c>
      <c r="K50" s="1569">
        <v>9</v>
      </c>
      <c r="L50" s="1569">
        <v>10</v>
      </c>
      <c r="M50" s="1569">
        <v>11</v>
      </c>
      <c r="N50" s="1569">
        <v>12</v>
      </c>
      <c r="O50" s="1569">
        <v>13</v>
      </c>
      <c r="P50" s="1568">
        <v>14</v>
      </c>
      <c r="Q50" s="609"/>
    </row>
    <row r="51" spans="1:18">
      <c r="A51" s="528">
        <v>7510</v>
      </c>
      <c r="B51" s="524" t="s">
        <v>1255</v>
      </c>
      <c r="C51" s="519" t="s">
        <v>1256</v>
      </c>
      <c r="D51" s="522"/>
      <c r="E51" s="627">
        <f>IFERROR(VLOOKUP($A51,'O&amp;M per TB'!$B$1:S$375,E$50,FALSE),0)</f>
        <v>1472.91</v>
      </c>
      <c r="F51" s="627">
        <f>IFERROR(VLOOKUP($A51,'O&amp;M per TB'!$B$1:T$375,F$50,FALSE),0)</f>
        <v>1517.1499999999999</v>
      </c>
      <c r="G51" s="627">
        <f>IFERROR(VLOOKUP($A51,'O&amp;M per TB'!$B$1:U$375,G$50,FALSE),0)</f>
        <v>1435.1100000000001</v>
      </c>
      <c r="H51" s="627">
        <f>IFERROR(VLOOKUP($A51,'O&amp;M per TB'!$B$1:V$375,H$50,FALSE),0)</f>
        <v>1533.4399999999996</v>
      </c>
      <c r="I51" s="627">
        <f>IFERROR(VLOOKUP($A51,'O&amp;M per TB'!$B$1:W$375,I$50,FALSE),0)</f>
        <v>1331.0500000000002</v>
      </c>
      <c r="J51" s="627">
        <f>IFERROR(VLOOKUP($A51,'O&amp;M per TB'!$B$1:X$375,J$50,FALSE),0)</f>
        <v>1393.33</v>
      </c>
      <c r="K51" s="627">
        <f>IFERROR(VLOOKUP($A51,'O&amp;M per TB'!$B$1:Y$375,K$50,FALSE),0)</f>
        <v>1456.7600000000002</v>
      </c>
      <c r="L51" s="627">
        <f>IFERROR(VLOOKUP($A51,'O&amp;M per TB'!$B$1:Z$375,L$50,FALSE),0)</f>
        <v>1360.5699999999997</v>
      </c>
      <c r="M51" s="627">
        <f>IFERROR(VLOOKUP($A51,'O&amp;M per TB'!$B$1:AA$375,M$50,FALSE),0)</f>
        <v>1374.4300000000003</v>
      </c>
      <c r="N51" s="627">
        <f>IFERROR(VLOOKUP($A51,'O&amp;M per TB'!$B$1:AB$375,N$50,FALSE),0)</f>
        <v>1375.92</v>
      </c>
      <c r="O51" s="627">
        <f>IFERROR(VLOOKUP($A51,'O&amp;M per TB'!$B$1:AC$375,O$50,FALSE),0)</f>
        <v>1307.42</v>
      </c>
      <c r="P51" s="627">
        <f>IFERROR(VLOOKUP($A51,'O&amp;M per TB'!$B$1:AD$375,P$50,FALSE),0)</f>
        <v>1428.7000000000007</v>
      </c>
      <c r="Q51" s="609">
        <f t="shared" ref="Q51:Q53" si="2">SUM(E51:P51)</f>
        <v>16986.79</v>
      </c>
    </row>
    <row r="52" spans="1:18">
      <c r="A52" s="528">
        <v>7515</v>
      </c>
      <c r="B52" s="524" t="s">
        <v>1257</v>
      </c>
      <c r="C52" s="519" t="s">
        <v>1258</v>
      </c>
      <c r="D52" s="522"/>
      <c r="E52" s="627">
        <f>IFERROR(VLOOKUP($A52,'O&amp;M per TB'!$B$1:S$375,E$50,FALSE),0)</f>
        <v>304.63</v>
      </c>
      <c r="F52" s="627">
        <f>IFERROR(VLOOKUP($A52,'O&amp;M per TB'!$B$1:T$375,F$50,FALSE),0)</f>
        <v>47.199999999999989</v>
      </c>
      <c r="G52" s="627">
        <f>IFERROR(VLOOKUP($A52,'O&amp;M per TB'!$B$1:U$375,G$50,FALSE),0)</f>
        <v>17.080000000000041</v>
      </c>
      <c r="H52" s="627">
        <f>IFERROR(VLOOKUP($A52,'O&amp;M per TB'!$B$1:V$375,H$50,FALSE),0)</f>
        <v>2.7799999999999727</v>
      </c>
      <c r="I52" s="627">
        <f>IFERROR(VLOOKUP($A52,'O&amp;M per TB'!$B$1:W$375,I$50,FALSE),0)</f>
        <v>2.2099999999999795</v>
      </c>
      <c r="J52" s="627">
        <f>IFERROR(VLOOKUP($A52,'O&amp;M per TB'!$B$1:X$375,J$50,FALSE),0)</f>
        <v>2.8500000000000227</v>
      </c>
      <c r="K52" s="627">
        <f>IFERROR(VLOOKUP($A52,'O&amp;M per TB'!$B$1:Y$375,K$50,FALSE),0)</f>
        <v>4.2900000000000205</v>
      </c>
      <c r="L52" s="627">
        <f>IFERROR(VLOOKUP($A52,'O&amp;M per TB'!$B$1:Z$375,L$50,FALSE),0)</f>
        <v>2.4300000000000068</v>
      </c>
      <c r="M52" s="627">
        <f>IFERROR(VLOOKUP($A52,'O&amp;M per TB'!$B$1:AA$375,M$50,FALSE),0)</f>
        <v>1.089999999999975</v>
      </c>
      <c r="N52" s="627">
        <f>IFERROR(VLOOKUP($A52,'O&amp;M per TB'!$B$1:AB$375,N$50,FALSE),0)</f>
        <v>3.1399999999999864</v>
      </c>
      <c r="O52" s="627">
        <f>IFERROR(VLOOKUP($A52,'O&amp;M per TB'!$B$1:AC$375,O$50,FALSE),0)</f>
        <v>2.25</v>
      </c>
      <c r="P52" s="627">
        <f>IFERROR(VLOOKUP($A52,'O&amp;M per TB'!$B$1:AD$375,P$50,FALSE),0)</f>
        <v>1.6299999999999955</v>
      </c>
      <c r="Q52" s="609">
        <f t="shared" si="2"/>
        <v>391.58</v>
      </c>
    </row>
    <row r="53" spans="1:18">
      <c r="A53" s="528">
        <v>7520</v>
      </c>
      <c r="B53" s="524" t="s">
        <v>1259</v>
      </c>
      <c r="C53" s="519" t="s">
        <v>1260</v>
      </c>
      <c r="D53" s="573"/>
      <c r="E53" s="627">
        <f>IFERROR(VLOOKUP($A53,'O&amp;M per TB'!$B$1:S$375,E$50,FALSE),0)</f>
        <v>590.76</v>
      </c>
      <c r="F53" s="627">
        <f>IFERROR(VLOOKUP($A53,'O&amp;M per TB'!$B$1:T$375,F$50,FALSE),0)</f>
        <v>252.59000000000003</v>
      </c>
      <c r="G53" s="627">
        <f>IFERROR(VLOOKUP($A53,'O&amp;M per TB'!$B$1:U$375,G$50,FALSE),0)</f>
        <v>144.94999999999993</v>
      </c>
      <c r="H53" s="627">
        <f>IFERROR(VLOOKUP($A53,'O&amp;M per TB'!$B$1:V$375,H$50,FALSE),0)</f>
        <v>41.120000000000118</v>
      </c>
      <c r="I53" s="627">
        <f>IFERROR(VLOOKUP($A53,'O&amp;M per TB'!$B$1:W$375,I$50,FALSE),0)</f>
        <v>25.129999999999882</v>
      </c>
      <c r="J53" s="627">
        <f>IFERROR(VLOOKUP($A53,'O&amp;M per TB'!$B$1:X$375,J$50,FALSE),0)</f>
        <v>27.789999999999964</v>
      </c>
      <c r="K53" s="627">
        <f>IFERROR(VLOOKUP($A53,'O&amp;M per TB'!$B$1:Y$375,K$50,FALSE),0)</f>
        <v>-277.42999999999995</v>
      </c>
      <c r="L53" s="627">
        <f>IFERROR(VLOOKUP($A53,'O&amp;M per TB'!$B$1:Z$375,L$50,FALSE),0)</f>
        <v>23.590000000000032</v>
      </c>
      <c r="M53" s="627">
        <f>IFERROR(VLOOKUP($A53,'O&amp;M per TB'!$B$1:AA$375,M$50,FALSE),0)</f>
        <v>15.100000000000023</v>
      </c>
      <c r="N53" s="627">
        <f>IFERROR(VLOOKUP($A53,'O&amp;M per TB'!$B$1:AB$375,N$50,FALSE),0)</f>
        <v>21.709999999999923</v>
      </c>
      <c r="O53" s="627">
        <f>IFERROR(VLOOKUP($A53,'O&amp;M per TB'!$B$1:AC$375,O$50,FALSE),0)</f>
        <v>16.080000000000041</v>
      </c>
      <c r="P53" s="627">
        <f>IFERROR(VLOOKUP($A53,'O&amp;M per TB'!$B$1:AD$375,P$50,FALSE),0)</f>
        <v>-205.52999999999997</v>
      </c>
      <c r="Q53" s="609">
        <f t="shared" si="2"/>
        <v>675.86</v>
      </c>
    </row>
    <row r="54" spans="1:18">
      <c r="B54" s="525">
        <v>408</v>
      </c>
      <c r="C54" s="570" t="s">
        <v>464</v>
      </c>
      <c r="D54" s="571" t="s">
        <v>347</v>
      </c>
      <c r="E54" s="636">
        <f>SUM(E51:E53)</f>
        <v>2368.3000000000002</v>
      </c>
      <c r="F54" s="636">
        <f t="shared" ref="F54:P54" si="3">SUM(F51:F53)</f>
        <v>1816.94</v>
      </c>
      <c r="G54" s="636">
        <f t="shared" si="3"/>
        <v>1597.1399999999999</v>
      </c>
      <c r="H54" s="636">
        <f t="shared" si="3"/>
        <v>1577.3399999999997</v>
      </c>
      <c r="I54" s="636">
        <f t="shared" si="3"/>
        <v>1358.39</v>
      </c>
      <c r="J54" s="636">
        <f t="shared" si="3"/>
        <v>1423.9699999999998</v>
      </c>
      <c r="K54" s="636">
        <f t="shared" si="3"/>
        <v>1183.6200000000003</v>
      </c>
      <c r="L54" s="636">
        <f t="shared" si="3"/>
        <v>1386.5899999999997</v>
      </c>
      <c r="M54" s="636">
        <f t="shared" si="3"/>
        <v>1390.6200000000003</v>
      </c>
      <c r="N54" s="636">
        <f t="shared" si="3"/>
        <v>1400.77</v>
      </c>
      <c r="O54" s="636">
        <f t="shared" si="3"/>
        <v>1325.75</v>
      </c>
      <c r="P54" s="636">
        <f t="shared" si="3"/>
        <v>1224.8000000000009</v>
      </c>
      <c r="Q54" s="1588">
        <f>SUM(Q51:Q53)</f>
        <v>18054.230000000003</v>
      </c>
      <c r="R54" s="149">
        <f>+Q54-SUM(E55:P56)</f>
        <v>0</v>
      </c>
    </row>
    <row r="55" spans="1:18">
      <c r="B55" s="525"/>
      <c r="C55" s="572" t="s">
        <v>278</v>
      </c>
      <c r="D55" s="573"/>
      <c r="E55" s="637">
        <f t="shared" ref="E55:P55" si="4">ROUND(E54*$G$24,2)</f>
        <v>0</v>
      </c>
      <c r="F55" s="637">
        <f t="shared" si="4"/>
        <v>0</v>
      </c>
      <c r="G55" s="637">
        <f t="shared" si="4"/>
        <v>0</v>
      </c>
      <c r="H55" s="637">
        <f t="shared" si="4"/>
        <v>0</v>
      </c>
      <c r="I55" s="637">
        <f t="shared" si="4"/>
        <v>0</v>
      </c>
      <c r="J55" s="637">
        <f t="shared" si="4"/>
        <v>0</v>
      </c>
      <c r="K55" s="637">
        <f t="shared" si="4"/>
        <v>0</v>
      </c>
      <c r="L55" s="637">
        <f t="shared" si="4"/>
        <v>0</v>
      </c>
      <c r="M55" s="637">
        <f t="shared" si="4"/>
        <v>0</v>
      </c>
      <c r="N55" s="637">
        <f t="shared" si="4"/>
        <v>0</v>
      </c>
      <c r="O55" s="637">
        <f t="shared" si="4"/>
        <v>0</v>
      </c>
      <c r="P55" s="637">
        <f t="shared" si="4"/>
        <v>0</v>
      </c>
      <c r="Q55" s="1297">
        <f>SUM(E55:P55)</f>
        <v>0</v>
      </c>
      <c r="R55" s="530">
        <f>SUM(E55:P55)</f>
        <v>0</v>
      </c>
    </row>
    <row r="56" spans="1:18">
      <c r="B56" s="525"/>
      <c r="C56" s="1589" t="s">
        <v>279</v>
      </c>
      <c r="D56" s="1590"/>
      <c r="E56" s="1591">
        <f t="shared" ref="E56:P56" si="5">ROUND(E54*$G$25,2)</f>
        <v>2368.3000000000002</v>
      </c>
      <c r="F56" s="1591">
        <f t="shared" si="5"/>
        <v>1816.94</v>
      </c>
      <c r="G56" s="1591">
        <f t="shared" si="5"/>
        <v>1597.14</v>
      </c>
      <c r="H56" s="1591">
        <f t="shared" si="5"/>
        <v>1577.34</v>
      </c>
      <c r="I56" s="1591">
        <f t="shared" si="5"/>
        <v>1358.39</v>
      </c>
      <c r="J56" s="1591">
        <f t="shared" si="5"/>
        <v>1423.97</v>
      </c>
      <c r="K56" s="1591">
        <f t="shared" si="5"/>
        <v>1183.6199999999999</v>
      </c>
      <c r="L56" s="1591">
        <f t="shared" si="5"/>
        <v>1386.59</v>
      </c>
      <c r="M56" s="1591">
        <f t="shared" si="5"/>
        <v>1390.62</v>
      </c>
      <c r="N56" s="1591">
        <f t="shared" si="5"/>
        <v>1400.77</v>
      </c>
      <c r="O56" s="1591">
        <f t="shared" si="5"/>
        <v>1325.75</v>
      </c>
      <c r="P56" s="1591">
        <f t="shared" si="5"/>
        <v>1224.8</v>
      </c>
      <c r="Q56" s="1592">
        <f>SUM(E56:P56)</f>
        <v>18054.23</v>
      </c>
      <c r="R56" s="530">
        <f>SUM(E56:P56)</f>
        <v>18054.23</v>
      </c>
    </row>
    <row r="57" spans="1:18">
      <c r="B57" s="524"/>
      <c r="C57" s="519"/>
      <c r="D57" s="573"/>
      <c r="E57" s="605"/>
      <c r="G57" s="605"/>
      <c r="H57" s="605"/>
      <c r="Q57" s="609"/>
    </row>
    <row r="58" spans="1:18">
      <c r="A58" s="528">
        <v>7560</v>
      </c>
      <c r="B58" s="524"/>
      <c r="C58" s="519" t="s">
        <v>1254</v>
      </c>
      <c r="D58" s="523" t="s">
        <v>498</v>
      </c>
      <c r="E58" s="627">
        <f>IFERROR(VLOOKUP($A58,'O&amp;M per TB'!$B$1:S$375,E$50,FALSE),0)</f>
        <v>0</v>
      </c>
      <c r="F58" s="627">
        <f>IFERROR(VLOOKUP($A58,'O&amp;M per TB'!$B$1:T$375,F$50,FALSE),0)</f>
        <v>0</v>
      </c>
      <c r="G58" s="627">
        <f>IFERROR(VLOOKUP($A58,'O&amp;M per TB'!$B$1:U$375,G$50,FALSE),0)</f>
        <v>0</v>
      </c>
      <c r="H58" s="627">
        <f>IFERROR(VLOOKUP($A58,'O&amp;M per TB'!$B$1:V$375,H$50,FALSE),0)</f>
        <v>0</v>
      </c>
      <c r="I58" s="627">
        <f>IFERROR(VLOOKUP($A58,'O&amp;M per TB'!$B$1:W$375,I$50,FALSE),0)</f>
        <v>0</v>
      </c>
      <c r="J58" s="627">
        <f>IFERROR(VLOOKUP($A58,'O&amp;M per TB'!$B$1:X$375,J$50,FALSE),0)</f>
        <v>0</v>
      </c>
      <c r="K58" s="627">
        <f>IFERROR(VLOOKUP($A58,'O&amp;M per TB'!$B$1:Y$375,K$50,FALSE),0)</f>
        <v>0</v>
      </c>
      <c r="L58" s="627">
        <f>IFERROR(VLOOKUP($A58,'O&amp;M per TB'!$B$1:Z$375,L$50,FALSE),0)</f>
        <v>0</v>
      </c>
      <c r="M58" s="627">
        <f>IFERROR(VLOOKUP($A58,'O&amp;M per TB'!$B$1:AA$375,M$50,FALSE),0)</f>
        <v>0</v>
      </c>
      <c r="N58" s="627">
        <f>IFERROR(VLOOKUP($A58,'O&amp;M per TB'!$B$1:AB$375,N$50,FALSE),0)</f>
        <v>0</v>
      </c>
      <c r="O58" s="627">
        <f>IFERROR(VLOOKUP($A58,'O&amp;M per TB'!$B$1:AC$375,O$50,FALSE),0)</f>
        <v>0</v>
      </c>
      <c r="P58" s="627">
        <f>IFERROR(VLOOKUP($A58,'O&amp;M per TB'!$B$1:AD$375,P$50,FALSE),0)</f>
        <v>0</v>
      </c>
      <c r="Q58" s="609">
        <f t="shared" ref="Q58" si="6">SUM(E58:P58)</f>
        <v>0</v>
      </c>
    </row>
    <row r="59" spans="1:18">
      <c r="B59" s="524"/>
      <c r="C59" s="519"/>
      <c r="E59" s="640"/>
      <c r="Q59" s="609"/>
    </row>
    <row r="60" spans="1:18">
      <c r="A60" s="528">
        <v>7550</v>
      </c>
      <c r="B60" s="521">
        <v>4081100</v>
      </c>
      <c r="C60" s="519" t="s">
        <v>1261</v>
      </c>
      <c r="D60" s="573"/>
      <c r="E60" s="627">
        <f>IFERROR(VLOOKUP($A60,'O&amp;M per TB'!$B$1:S$375,E$50,FALSE),0)</f>
        <v>-35628.769999999997</v>
      </c>
      <c r="F60" s="627">
        <f>IFERROR(VLOOKUP($A60,'O&amp;M per TB'!$B$1:T$375,F$50,FALSE),0)</f>
        <v>7468.2499999999964</v>
      </c>
      <c r="G60" s="627">
        <f>IFERROR(VLOOKUP($A60,'O&amp;M per TB'!$B$1:U$375,G$50,FALSE),0)</f>
        <v>12766.41</v>
      </c>
      <c r="H60" s="627">
        <f>IFERROR(VLOOKUP($A60,'O&amp;M per TB'!$B$1:V$375,H$50,FALSE),0)</f>
        <v>3135.9800000000014</v>
      </c>
      <c r="I60" s="627">
        <f>IFERROR(VLOOKUP($A60,'O&amp;M per TB'!$B$1:W$375,I$50,FALSE),0)</f>
        <v>12617.15</v>
      </c>
      <c r="J60" s="627">
        <f>IFERROR(VLOOKUP($A60,'O&amp;M per TB'!$B$1:X$375,J$50,FALSE),0)</f>
        <v>7956.26</v>
      </c>
      <c r="K60" s="627">
        <f>IFERROR(VLOOKUP($A60,'O&amp;M per TB'!$B$1:Y$375,K$50,FALSE),0)</f>
        <v>-35892.58</v>
      </c>
      <c r="L60" s="627">
        <f>IFERROR(VLOOKUP($A60,'O&amp;M per TB'!$B$1:Z$375,L$50,FALSE),0)</f>
        <v>7955.8099999999977</v>
      </c>
      <c r="M60" s="627">
        <f>IFERROR(VLOOKUP($A60,'O&amp;M per TB'!$B$1:AA$375,M$50,FALSE),0)</f>
        <v>7955.1100000000024</v>
      </c>
      <c r="N60" s="627">
        <f>IFERROR(VLOOKUP($A60,'O&amp;M per TB'!$B$1:AB$375,N$50,FALSE),0)</f>
        <v>7955.079999999999</v>
      </c>
      <c r="O60" s="627">
        <f>IFERROR(VLOOKUP($A60,'O&amp;M per TB'!$B$1:AC$375,O$50,FALSE),0)</f>
        <v>-1864.33</v>
      </c>
      <c r="P60" s="627">
        <f>IFERROR(VLOOKUP($A60,'O&amp;M per TB'!$B$1:AD$375,P$50,FALSE),0)</f>
        <v>5574.96</v>
      </c>
      <c r="Q60" s="609">
        <f t="shared" ref="Q60" si="7">SUM(E60:P60)</f>
        <v>-0.67000000000371074</v>
      </c>
    </row>
    <row r="61" spans="1:18">
      <c r="B61" s="527">
        <v>408.1</v>
      </c>
      <c r="C61" s="570" t="s">
        <v>367</v>
      </c>
      <c r="D61" s="571"/>
      <c r="E61" s="636">
        <f>SUM(E60)</f>
        <v>-35628.769999999997</v>
      </c>
      <c r="F61" s="636">
        <f t="shared" ref="F61:P61" si="8">SUM(F60)</f>
        <v>7468.2499999999964</v>
      </c>
      <c r="G61" s="636">
        <f t="shared" si="8"/>
        <v>12766.41</v>
      </c>
      <c r="H61" s="636">
        <f t="shared" si="8"/>
        <v>3135.9800000000014</v>
      </c>
      <c r="I61" s="636">
        <f t="shared" si="8"/>
        <v>12617.15</v>
      </c>
      <c r="J61" s="636">
        <f t="shared" si="8"/>
        <v>7956.26</v>
      </c>
      <c r="K61" s="636">
        <f t="shared" si="8"/>
        <v>-35892.58</v>
      </c>
      <c r="L61" s="636">
        <f t="shared" si="8"/>
        <v>7955.8099999999977</v>
      </c>
      <c r="M61" s="636">
        <f t="shared" si="8"/>
        <v>7955.1100000000024</v>
      </c>
      <c r="N61" s="636">
        <f t="shared" si="8"/>
        <v>7955.079999999999</v>
      </c>
      <c r="O61" s="636">
        <f t="shared" si="8"/>
        <v>-1864.33</v>
      </c>
      <c r="P61" s="636">
        <f t="shared" si="8"/>
        <v>5574.96</v>
      </c>
      <c r="Q61" s="1588">
        <f>+Q60</f>
        <v>-0.67000000000371074</v>
      </c>
      <c r="R61" s="149">
        <f>+Q60-SUM(E62:P63)</f>
        <v>-6.3664629124104977E-12</v>
      </c>
    </row>
    <row r="62" spans="1:18">
      <c r="B62" s="527"/>
      <c r="C62" s="572" t="s">
        <v>278</v>
      </c>
      <c r="D62" s="573"/>
      <c r="E62" s="637">
        <f t="shared" ref="E62:P62" si="9">ROUND(E61*$G$24,2)</f>
        <v>0</v>
      </c>
      <c r="F62" s="637">
        <f t="shared" si="9"/>
        <v>0</v>
      </c>
      <c r="G62" s="637">
        <f t="shared" si="9"/>
        <v>0</v>
      </c>
      <c r="H62" s="637">
        <f t="shared" si="9"/>
        <v>0</v>
      </c>
      <c r="I62" s="637">
        <f t="shared" si="9"/>
        <v>0</v>
      </c>
      <c r="J62" s="637">
        <f t="shared" si="9"/>
        <v>0</v>
      </c>
      <c r="K62" s="637">
        <f t="shared" si="9"/>
        <v>0</v>
      </c>
      <c r="L62" s="637">
        <f t="shared" si="9"/>
        <v>0</v>
      </c>
      <c r="M62" s="637">
        <f t="shared" si="9"/>
        <v>0</v>
      </c>
      <c r="N62" s="637">
        <f t="shared" si="9"/>
        <v>0</v>
      </c>
      <c r="O62" s="637">
        <f t="shared" si="9"/>
        <v>0</v>
      </c>
      <c r="P62" s="637">
        <f t="shared" si="9"/>
        <v>0</v>
      </c>
      <c r="Q62" s="1297">
        <f>SUM(E62:P62)</f>
        <v>0</v>
      </c>
      <c r="R62" s="530">
        <f>SUM(E62:P62)</f>
        <v>0</v>
      </c>
    </row>
    <row r="63" spans="1:18">
      <c r="B63" s="527"/>
      <c r="C63" s="1589" t="s">
        <v>279</v>
      </c>
      <c r="D63" s="1590"/>
      <c r="E63" s="1591">
        <f t="shared" ref="E63:P63" si="10">ROUND(E61*$G$25,2)</f>
        <v>-35628.769999999997</v>
      </c>
      <c r="F63" s="1591">
        <f t="shared" si="10"/>
        <v>7468.25</v>
      </c>
      <c r="G63" s="1591">
        <f t="shared" si="10"/>
        <v>12766.41</v>
      </c>
      <c r="H63" s="1591">
        <f t="shared" si="10"/>
        <v>3135.98</v>
      </c>
      <c r="I63" s="1591">
        <f t="shared" si="10"/>
        <v>12617.15</v>
      </c>
      <c r="J63" s="1591">
        <f t="shared" si="10"/>
        <v>7956.26</v>
      </c>
      <c r="K63" s="1591">
        <f t="shared" si="10"/>
        <v>-35892.58</v>
      </c>
      <c r="L63" s="1591">
        <f t="shared" si="10"/>
        <v>7955.81</v>
      </c>
      <c r="M63" s="1591">
        <f t="shared" si="10"/>
        <v>7955.11</v>
      </c>
      <c r="N63" s="1591">
        <f t="shared" si="10"/>
        <v>7955.08</v>
      </c>
      <c r="O63" s="1591">
        <f t="shared" si="10"/>
        <v>-1864.33</v>
      </c>
      <c r="P63" s="1591">
        <f t="shared" si="10"/>
        <v>5574.96</v>
      </c>
      <c r="Q63" s="1592">
        <f>SUM(E63:P63)</f>
        <v>-0.66999999999734428</v>
      </c>
      <c r="R63" s="530">
        <f>SUM(E63:P63)</f>
        <v>-0.66999999999734428</v>
      </c>
    </row>
    <row r="64" spans="1:18">
      <c r="B64" s="527"/>
      <c r="C64" s="576"/>
      <c r="D64" s="573"/>
      <c r="E64" s="637"/>
      <c r="F64" s="637"/>
      <c r="G64" s="637"/>
      <c r="H64" s="637"/>
      <c r="I64" s="637"/>
      <c r="J64" s="637"/>
      <c r="K64" s="637"/>
      <c r="L64" s="637"/>
      <c r="M64" s="637"/>
      <c r="N64" s="637"/>
      <c r="O64" s="637"/>
      <c r="P64" s="637"/>
      <c r="Q64" s="1295"/>
    </row>
    <row r="65" spans="1:18">
      <c r="A65" s="528">
        <v>7555</v>
      </c>
      <c r="B65" s="524" t="s">
        <v>1262</v>
      </c>
      <c r="C65" s="519" t="s">
        <v>1263</v>
      </c>
      <c r="D65" s="573"/>
      <c r="E65" s="627">
        <f>IFERROR(VLOOKUP($A65,'O&amp;M per TB'!$B$1:S$375,E$50,FALSE),0)</f>
        <v>0</v>
      </c>
      <c r="F65" s="627">
        <f>IFERROR(VLOOKUP($A65,'O&amp;M per TB'!$B$1:T$375,F$50,FALSE),0)</f>
        <v>487.92</v>
      </c>
      <c r="G65" s="627">
        <f>IFERROR(VLOOKUP($A65,'O&amp;M per TB'!$B$1:U$375,G$50,FALSE),0)</f>
        <v>0</v>
      </c>
      <c r="H65" s="627">
        <f>IFERROR(VLOOKUP($A65,'O&amp;M per TB'!$B$1:V$375,H$50,FALSE),0)</f>
        <v>0</v>
      </c>
      <c r="I65" s="627">
        <f>IFERROR(VLOOKUP($A65,'O&amp;M per TB'!$B$1:W$375,I$50,FALSE),0)</f>
        <v>0</v>
      </c>
      <c r="J65" s="627">
        <f>IFERROR(VLOOKUP($A65,'O&amp;M per TB'!$B$1:X$375,J$50,FALSE),0)</f>
        <v>0</v>
      </c>
      <c r="K65" s="627">
        <f>IFERROR(VLOOKUP($A65,'O&amp;M per TB'!$B$1:Y$375,K$50,FALSE),0)</f>
        <v>417.71</v>
      </c>
      <c r="L65" s="627">
        <f>IFERROR(VLOOKUP($A65,'O&amp;M per TB'!$B$1:Z$375,L$50,FALSE),0)</f>
        <v>0</v>
      </c>
      <c r="M65" s="627">
        <f>IFERROR(VLOOKUP($A65,'O&amp;M per TB'!$B$1:AA$375,M$50,FALSE),0)</f>
        <v>0</v>
      </c>
      <c r="N65" s="627">
        <f>IFERROR(VLOOKUP($A65,'O&amp;M per TB'!$B$1:AB$375,N$50,FALSE),0)</f>
        <v>0</v>
      </c>
      <c r="O65" s="627">
        <f>IFERROR(VLOOKUP($A65,'O&amp;M per TB'!$B$1:AC$375,O$50,FALSE),0)</f>
        <v>5143.1099999999997</v>
      </c>
      <c r="P65" s="627">
        <f>IFERROR(VLOOKUP($A65,'O&amp;M per TB'!$B$1:AD$375,P$50,FALSE),0)</f>
        <v>40</v>
      </c>
      <c r="Q65" s="609">
        <f t="shared" ref="Q65:Q66" si="11">SUM(E65:P65)</f>
        <v>6088.74</v>
      </c>
    </row>
    <row r="66" spans="1:18">
      <c r="A66" s="528">
        <v>7545</v>
      </c>
      <c r="B66" s="524" t="s">
        <v>1264</v>
      </c>
      <c r="C66" s="519" t="s">
        <v>1265</v>
      </c>
      <c r="D66" s="573"/>
      <c r="E66" s="627">
        <f>IFERROR(VLOOKUP($A66,'O&amp;M per TB'!$B$1:S$375,E$50,FALSE),0)</f>
        <v>0</v>
      </c>
      <c r="F66" s="627">
        <f>IFERROR(VLOOKUP($A66,'O&amp;M per TB'!$B$1:T$375,F$50,FALSE),0)</f>
        <v>-4813.47</v>
      </c>
      <c r="G66" s="627">
        <f>IFERROR(VLOOKUP($A66,'O&amp;M per TB'!$B$1:U$375,G$50,FALSE),0)</f>
        <v>3.680000000000291</v>
      </c>
      <c r="H66" s="627">
        <f>IFERROR(VLOOKUP($A66,'O&amp;M per TB'!$B$1:V$375,H$50,FALSE),0)</f>
        <v>0</v>
      </c>
      <c r="I66" s="627">
        <f>IFERROR(VLOOKUP($A66,'O&amp;M per TB'!$B$1:W$375,I$50,FALSE),0)</f>
        <v>0</v>
      </c>
      <c r="J66" s="627">
        <f>IFERROR(VLOOKUP($A66,'O&amp;M per TB'!$B$1:X$375,J$50,FALSE),0)</f>
        <v>0</v>
      </c>
      <c r="K66" s="627">
        <f>IFERROR(VLOOKUP($A66,'O&amp;M per TB'!$B$1:Y$375,K$50,FALSE),0)</f>
        <v>0</v>
      </c>
      <c r="L66" s="627">
        <f>IFERROR(VLOOKUP($A66,'O&amp;M per TB'!$B$1:Z$375,L$50,FALSE),0)</f>
        <v>0</v>
      </c>
      <c r="M66" s="627">
        <f>IFERROR(VLOOKUP($A66,'O&amp;M per TB'!$B$1:AA$375,M$50,FALSE),0)</f>
        <v>0</v>
      </c>
      <c r="N66" s="627">
        <f>IFERROR(VLOOKUP($A66,'O&amp;M per TB'!$B$1:AB$375,N$50,FALSE),0)</f>
        <v>0</v>
      </c>
      <c r="O66" s="627">
        <f>IFERROR(VLOOKUP($A66,'O&amp;M per TB'!$B$1:AC$375,O$50,FALSE),0)</f>
        <v>4674.67</v>
      </c>
      <c r="P66" s="627">
        <f>IFERROR(VLOOKUP($A66,'O&amp;M per TB'!$B$1:AD$375,P$50,FALSE),0)</f>
        <v>0</v>
      </c>
      <c r="Q66" s="609">
        <f t="shared" si="11"/>
        <v>-135.11999999999989</v>
      </c>
    </row>
    <row r="67" spans="1:18">
      <c r="B67" s="527">
        <v>408.1</v>
      </c>
      <c r="C67" s="570" t="s">
        <v>368</v>
      </c>
      <c r="D67" s="571"/>
      <c r="E67" s="636">
        <f>SUM(E65:E66)</f>
        <v>0</v>
      </c>
      <c r="F67" s="636">
        <f t="shared" ref="F67:P67" si="12">SUM(F65:F66)</f>
        <v>-4325.55</v>
      </c>
      <c r="G67" s="636">
        <f t="shared" si="12"/>
        <v>3.680000000000291</v>
      </c>
      <c r="H67" s="636">
        <f t="shared" si="12"/>
        <v>0</v>
      </c>
      <c r="I67" s="636">
        <f t="shared" si="12"/>
        <v>0</v>
      </c>
      <c r="J67" s="636">
        <f t="shared" si="12"/>
        <v>0</v>
      </c>
      <c r="K67" s="636">
        <f t="shared" si="12"/>
        <v>417.71</v>
      </c>
      <c r="L67" s="636">
        <f t="shared" si="12"/>
        <v>0</v>
      </c>
      <c r="M67" s="636">
        <f t="shared" si="12"/>
        <v>0</v>
      </c>
      <c r="N67" s="636">
        <f t="shared" si="12"/>
        <v>0</v>
      </c>
      <c r="O67" s="636">
        <f t="shared" si="12"/>
        <v>9817.7799999999988</v>
      </c>
      <c r="P67" s="636">
        <f t="shared" si="12"/>
        <v>40</v>
      </c>
      <c r="Q67" s="1588">
        <f>SUM(Q65:Q66)</f>
        <v>5953.62</v>
      </c>
      <c r="R67" s="149">
        <f>+Q67-SUM(E68:P69)</f>
        <v>0</v>
      </c>
    </row>
    <row r="68" spans="1:18">
      <c r="B68" s="527"/>
      <c r="C68" s="572" t="s">
        <v>278</v>
      </c>
      <c r="D68" s="573"/>
      <c r="E68" s="637">
        <f t="shared" ref="E68:P68" si="13">ROUND(E67*$G$24,2)</f>
        <v>0</v>
      </c>
      <c r="F68" s="637">
        <f t="shared" si="13"/>
        <v>0</v>
      </c>
      <c r="G68" s="637">
        <f t="shared" si="13"/>
        <v>0</v>
      </c>
      <c r="H68" s="637">
        <f t="shared" si="13"/>
        <v>0</v>
      </c>
      <c r="I68" s="637">
        <f t="shared" si="13"/>
        <v>0</v>
      </c>
      <c r="J68" s="637">
        <f t="shared" si="13"/>
        <v>0</v>
      </c>
      <c r="K68" s="637">
        <f t="shared" si="13"/>
        <v>0</v>
      </c>
      <c r="L68" s="637">
        <f t="shared" si="13"/>
        <v>0</v>
      </c>
      <c r="M68" s="637">
        <f t="shared" si="13"/>
        <v>0</v>
      </c>
      <c r="N68" s="637">
        <f t="shared" si="13"/>
        <v>0</v>
      </c>
      <c r="O68" s="637">
        <f t="shared" si="13"/>
        <v>0</v>
      </c>
      <c r="P68" s="637">
        <f t="shared" si="13"/>
        <v>0</v>
      </c>
      <c r="Q68" s="1297">
        <f>SUM(E68:P68)</f>
        <v>0</v>
      </c>
      <c r="R68" s="530">
        <f>SUM(E68:P68)</f>
        <v>0</v>
      </c>
    </row>
    <row r="69" spans="1:18">
      <c r="B69" s="527"/>
      <c r="C69" s="1589" t="s">
        <v>279</v>
      </c>
      <c r="D69" s="1590"/>
      <c r="E69" s="1591">
        <f t="shared" ref="E69:P69" si="14">ROUND(E67*$G$25,2)</f>
        <v>0</v>
      </c>
      <c r="F69" s="1591">
        <f t="shared" si="14"/>
        <v>-4325.55</v>
      </c>
      <c r="G69" s="1591">
        <f t="shared" si="14"/>
        <v>3.68</v>
      </c>
      <c r="H69" s="1591">
        <f t="shared" si="14"/>
        <v>0</v>
      </c>
      <c r="I69" s="1591">
        <f t="shared" si="14"/>
        <v>0</v>
      </c>
      <c r="J69" s="1591">
        <f t="shared" si="14"/>
        <v>0</v>
      </c>
      <c r="K69" s="1591">
        <f t="shared" si="14"/>
        <v>417.71</v>
      </c>
      <c r="L69" s="1591">
        <f t="shared" si="14"/>
        <v>0</v>
      </c>
      <c r="M69" s="1591">
        <f t="shared" si="14"/>
        <v>0</v>
      </c>
      <c r="N69" s="1591">
        <f t="shared" si="14"/>
        <v>0</v>
      </c>
      <c r="O69" s="1591">
        <f t="shared" si="14"/>
        <v>9817.7800000000007</v>
      </c>
      <c r="P69" s="1591">
        <f t="shared" si="14"/>
        <v>40</v>
      </c>
      <c r="Q69" s="1592">
        <f>SUM(E69:P69)</f>
        <v>5953.6200000000008</v>
      </c>
      <c r="R69" s="530">
        <f>SUM(E69:P69)</f>
        <v>5953.6200000000008</v>
      </c>
    </row>
    <row r="70" spans="1:18">
      <c r="B70" s="524"/>
      <c r="C70" s="519"/>
      <c r="D70" s="573"/>
      <c r="E70" s="640"/>
      <c r="F70" s="640"/>
      <c r="G70" s="640"/>
      <c r="H70" s="640"/>
      <c r="I70" s="640"/>
      <c r="J70" s="640"/>
      <c r="K70" s="640"/>
      <c r="L70" s="640"/>
      <c r="M70" s="640"/>
      <c r="N70" s="640"/>
      <c r="Q70" s="609"/>
    </row>
    <row r="71" spans="1:18">
      <c r="A71" s="528">
        <v>7540</v>
      </c>
      <c r="B71" s="524" t="s">
        <v>1266</v>
      </c>
      <c r="C71" s="519" t="s">
        <v>1267</v>
      </c>
      <c r="D71" s="571"/>
      <c r="E71" s="627">
        <f>IFERROR(VLOOKUP($A71,'O&amp;M per TB'!$B$1:S$375,E$50,FALSE),0)</f>
        <v>43585.85</v>
      </c>
      <c r="F71" s="627">
        <f>IFERROR(VLOOKUP($A71,'O&amp;M per TB'!$B$1:T$375,F$50,FALSE),0)</f>
        <v>0</v>
      </c>
      <c r="G71" s="627">
        <f>IFERROR(VLOOKUP($A71,'O&amp;M per TB'!$B$1:U$375,G$50,FALSE),0)</f>
        <v>0</v>
      </c>
      <c r="H71" s="627">
        <f>IFERROR(VLOOKUP($A71,'O&amp;M per TB'!$B$1:V$375,H$50,FALSE),0)</f>
        <v>0</v>
      </c>
      <c r="I71" s="627">
        <f>IFERROR(VLOOKUP($A71,'O&amp;M per TB'!$B$1:W$375,I$50,FALSE),0)</f>
        <v>0</v>
      </c>
      <c r="J71" s="627">
        <f>IFERROR(VLOOKUP($A71,'O&amp;M per TB'!$B$1:X$375,J$50,FALSE),0)</f>
        <v>0</v>
      </c>
      <c r="K71" s="627">
        <f>IFERROR(VLOOKUP($A71,'O&amp;M per TB'!$B$1:Y$375,K$50,FALSE),0)</f>
        <v>43431.799999999996</v>
      </c>
      <c r="L71" s="627">
        <f>IFERROR(VLOOKUP($A71,'O&amp;M per TB'!$B$1:Z$375,L$50,FALSE),0)</f>
        <v>0</v>
      </c>
      <c r="M71" s="627">
        <f>IFERROR(VLOOKUP($A71,'O&amp;M per TB'!$B$1:AA$375,M$50,FALSE),0)</f>
        <v>0</v>
      </c>
      <c r="N71" s="627">
        <f>IFERROR(VLOOKUP($A71,'O&amp;M per TB'!$B$1:AB$375,N$50,FALSE),0)</f>
        <v>0</v>
      </c>
      <c r="O71" s="627">
        <f>IFERROR(VLOOKUP($A71,'O&amp;M per TB'!$B$1:AC$375,O$50,FALSE),0)</f>
        <v>0</v>
      </c>
      <c r="P71" s="627">
        <f>IFERROR(VLOOKUP($A71,'O&amp;M per TB'!$B$1:AD$375,P$50,FALSE),0)</f>
        <v>5175.6000000000058</v>
      </c>
      <c r="Q71" s="609">
        <f t="shared" ref="Q71" si="15">SUM(E71:P71)</f>
        <v>92193.25</v>
      </c>
    </row>
    <row r="72" spans="1:18">
      <c r="B72" s="525">
        <v>408</v>
      </c>
      <c r="C72" s="570" t="s">
        <v>464</v>
      </c>
      <c r="D72" s="571"/>
      <c r="E72" s="636">
        <f t="shared" ref="E72:Q72" si="16">SUM(E71)</f>
        <v>43585.85</v>
      </c>
      <c r="F72" s="636">
        <f t="shared" si="16"/>
        <v>0</v>
      </c>
      <c r="G72" s="636">
        <f t="shared" si="16"/>
        <v>0</v>
      </c>
      <c r="H72" s="636">
        <f t="shared" si="16"/>
        <v>0</v>
      </c>
      <c r="I72" s="636">
        <f t="shared" si="16"/>
        <v>0</v>
      </c>
      <c r="J72" s="636">
        <f t="shared" si="16"/>
        <v>0</v>
      </c>
      <c r="K72" s="636">
        <f t="shared" si="16"/>
        <v>43431.799999999996</v>
      </c>
      <c r="L72" s="636">
        <f t="shared" si="16"/>
        <v>0</v>
      </c>
      <c r="M72" s="636">
        <f t="shared" si="16"/>
        <v>0</v>
      </c>
      <c r="N72" s="636">
        <f t="shared" si="16"/>
        <v>0</v>
      </c>
      <c r="O72" s="636">
        <f t="shared" si="16"/>
        <v>0</v>
      </c>
      <c r="P72" s="636">
        <f t="shared" si="16"/>
        <v>5175.6000000000058</v>
      </c>
      <c r="Q72" s="1588">
        <f t="shared" si="16"/>
        <v>92193.25</v>
      </c>
      <c r="R72" s="847">
        <f>+Q72-SUM(E73:P74)</f>
        <v>0</v>
      </c>
    </row>
    <row r="73" spans="1:18">
      <c r="B73" s="525"/>
      <c r="C73" s="572" t="s">
        <v>278</v>
      </c>
      <c r="D73" s="573"/>
      <c r="E73" s="637">
        <f>ROUND(E72*$G$24,2)</f>
        <v>0</v>
      </c>
      <c r="F73" s="637">
        <f t="shared" ref="F73:O73" si="17">ROUND(F72*$E$21,0)</f>
        <v>0</v>
      </c>
      <c r="G73" s="637">
        <f t="shared" si="17"/>
        <v>0</v>
      </c>
      <c r="H73" s="637">
        <f t="shared" si="17"/>
        <v>0</v>
      </c>
      <c r="I73" s="637">
        <f t="shared" si="17"/>
        <v>0</v>
      </c>
      <c r="J73" s="637">
        <f t="shared" si="17"/>
        <v>0</v>
      </c>
      <c r="K73" s="637">
        <f>ROUND(K72*$G$24,2)</f>
        <v>0</v>
      </c>
      <c r="L73" s="637">
        <f t="shared" si="17"/>
        <v>0</v>
      </c>
      <c r="M73" s="637">
        <f t="shared" si="17"/>
        <v>0</v>
      </c>
      <c r="N73" s="637">
        <f t="shared" si="17"/>
        <v>0</v>
      </c>
      <c r="O73" s="637">
        <f t="shared" si="17"/>
        <v>0</v>
      </c>
      <c r="P73" s="637">
        <f>ROUND(P72*$G$24,2)</f>
        <v>0</v>
      </c>
      <c r="Q73" s="1297">
        <f>SUM(E73:P73)</f>
        <v>0</v>
      </c>
      <c r="R73" s="530">
        <f>SUM(E73:P73)</f>
        <v>0</v>
      </c>
    </row>
    <row r="74" spans="1:18">
      <c r="B74" s="525"/>
      <c r="C74" s="1589" t="s">
        <v>279</v>
      </c>
      <c r="D74" s="1590"/>
      <c r="E74" s="1591">
        <f>ROUND(E72*$G$25,2)</f>
        <v>43585.85</v>
      </c>
      <c r="F74" s="1591">
        <f t="shared" ref="F74:O74" si="18">ROUND(F72*$F$21,0)</f>
        <v>0</v>
      </c>
      <c r="G74" s="1591">
        <f t="shared" si="18"/>
        <v>0</v>
      </c>
      <c r="H74" s="1591">
        <f t="shared" si="18"/>
        <v>0</v>
      </c>
      <c r="I74" s="1591">
        <f t="shared" si="18"/>
        <v>0</v>
      </c>
      <c r="J74" s="1591">
        <f t="shared" si="18"/>
        <v>0</v>
      </c>
      <c r="K74" s="1591">
        <f>ROUND(K72*$G$25,2)</f>
        <v>43431.8</v>
      </c>
      <c r="L74" s="1591">
        <f t="shared" si="18"/>
        <v>0</v>
      </c>
      <c r="M74" s="1591">
        <f t="shared" si="18"/>
        <v>0</v>
      </c>
      <c r="N74" s="1591">
        <f t="shared" si="18"/>
        <v>0</v>
      </c>
      <c r="O74" s="1591">
        <f t="shared" si="18"/>
        <v>0</v>
      </c>
      <c r="P74" s="1591">
        <f>ROUND(P72*$G$25,2)</f>
        <v>5175.6000000000004</v>
      </c>
      <c r="Q74" s="1592">
        <f>SUM(E74:P74)</f>
        <v>92193.25</v>
      </c>
      <c r="R74" s="530">
        <f>SUM(E74:P74)</f>
        <v>92193.25</v>
      </c>
    </row>
    <row r="75" spans="1:18">
      <c r="B75" s="524"/>
      <c r="C75" s="519"/>
      <c r="D75" s="529"/>
      <c r="E75" s="640"/>
      <c r="G75" s="640"/>
      <c r="H75" s="640"/>
      <c r="Q75" s="609"/>
    </row>
    <row r="76" spans="1:18">
      <c r="A76" s="528">
        <v>7535</v>
      </c>
      <c r="B76" s="524" t="s">
        <v>1268</v>
      </c>
      <c r="C76" s="519" t="s">
        <v>1269</v>
      </c>
      <c r="D76" s="571"/>
      <c r="E76" s="627">
        <f>IFERROR(VLOOKUP($A76,'O&amp;M per TB'!$B$1:S$375,E$50,FALSE),0)</f>
        <v>0</v>
      </c>
      <c r="F76" s="627">
        <f>IFERROR(VLOOKUP($A76,'O&amp;M per TB'!$B$1:T$375,F$50,FALSE),0)</f>
        <v>0.09</v>
      </c>
      <c r="G76" s="627">
        <f>IFERROR(VLOOKUP($A76,'O&amp;M per TB'!$B$1:U$375,G$50,FALSE),0)</f>
        <v>0</v>
      </c>
      <c r="H76" s="627">
        <f>IFERROR(VLOOKUP($A76,'O&amp;M per TB'!$B$1:V$375,H$50,FALSE),0)</f>
        <v>7.38</v>
      </c>
      <c r="I76" s="627">
        <f>IFERROR(VLOOKUP($A76,'O&amp;M per TB'!$B$1:W$375,I$50,FALSE),0)</f>
        <v>167.73</v>
      </c>
      <c r="J76" s="627">
        <f>IFERROR(VLOOKUP($A76,'O&amp;M per TB'!$B$1:X$375,J$50,FALSE),0)</f>
        <v>70.300000000000011</v>
      </c>
      <c r="K76" s="627">
        <f>IFERROR(VLOOKUP($A76,'O&amp;M per TB'!$B$1:Y$375,K$50,FALSE),0)</f>
        <v>0</v>
      </c>
      <c r="L76" s="627">
        <f>IFERROR(VLOOKUP($A76,'O&amp;M per TB'!$B$1:Z$375,L$50,FALSE),0)</f>
        <v>0.18000000000000682</v>
      </c>
      <c r="M76" s="627">
        <f>IFERROR(VLOOKUP($A76,'O&amp;M per TB'!$B$1:AA$375,M$50,FALSE),0)</f>
        <v>0</v>
      </c>
      <c r="N76" s="627">
        <f>IFERROR(VLOOKUP($A76,'O&amp;M per TB'!$B$1:AB$375,N$50,FALSE),0)</f>
        <v>0</v>
      </c>
      <c r="O76" s="627">
        <f>IFERROR(VLOOKUP($A76,'O&amp;M per TB'!$B$1:AC$375,O$50,FALSE),0)</f>
        <v>1.2999999999999829</v>
      </c>
      <c r="P76" s="627">
        <f>IFERROR(VLOOKUP($A76,'O&amp;M per TB'!$B$1:AD$375,P$50,FALSE),0)</f>
        <v>10.370000000000033</v>
      </c>
      <c r="Q76" s="609">
        <f t="shared" ref="Q76" si="19">SUM(E76:P76)</f>
        <v>257.35000000000002</v>
      </c>
    </row>
    <row r="77" spans="1:18">
      <c r="B77" s="525">
        <v>408</v>
      </c>
      <c r="C77" s="570" t="s">
        <v>464</v>
      </c>
      <c r="D77" s="571"/>
      <c r="E77" s="636">
        <f>SUM(E76)</f>
        <v>0</v>
      </c>
      <c r="F77" s="636">
        <f t="shared" ref="F77:P77" si="20">SUM(F76)</f>
        <v>0.09</v>
      </c>
      <c r="G77" s="636">
        <f t="shared" si="20"/>
        <v>0</v>
      </c>
      <c r="H77" s="636">
        <f t="shared" si="20"/>
        <v>7.38</v>
      </c>
      <c r="I77" s="636">
        <f t="shared" si="20"/>
        <v>167.73</v>
      </c>
      <c r="J77" s="636">
        <f t="shared" si="20"/>
        <v>70.300000000000011</v>
      </c>
      <c r="K77" s="636">
        <f t="shared" si="20"/>
        <v>0</v>
      </c>
      <c r="L77" s="636">
        <f t="shared" si="20"/>
        <v>0.18000000000000682</v>
      </c>
      <c r="M77" s="636">
        <f t="shared" si="20"/>
        <v>0</v>
      </c>
      <c r="N77" s="636">
        <f t="shared" si="20"/>
        <v>0</v>
      </c>
      <c r="O77" s="636">
        <f t="shared" si="20"/>
        <v>1.2999999999999829</v>
      </c>
      <c r="P77" s="636">
        <f t="shared" si="20"/>
        <v>10.370000000000033</v>
      </c>
      <c r="Q77" s="1588">
        <f>SUM(Q76)</f>
        <v>257.35000000000002</v>
      </c>
      <c r="R77" s="149">
        <f>+Q77-SUM(E78:P79)</f>
        <v>0.97000000000002728</v>
      </c>
    </row>
    <row r="78" spans="1:18">
      <c r="B78" s="525"/>
      <c r="C78" s="572" t="s">
        <v>278</v>
      </c>
      <c r="D78" s="573"/>
      <c r="E78" s="637">
        <f>ROUND(E77*$G$24,2)</f>
        <v>0</v>
      </c>
      <c r="F78" s="637">
        <f>ROUND(F77*$G$24,2)</f>
        <v>0</v>
      </c>
      <c r="G78" s="637">
        <f t="shared" ref="G78:P78" si="21">ROUND(G77*$E$21,0)</f>
        <v>0</v>
      </c>
      <c r="H78" s="637">
        <f>ROUND(H77*$G$24,2)</f>
        <v>0</v>
      </c>
      <c r="I78" s="637">
        <f>ROUND(I77*$G$24,2)</f>
        <v>0</v>
      </c>
      <c r="J78" s="637">
        <f t="shared" si="21"/>
        <v>0</v>
      </c>
      <c r="K78" s="637">
        <f>ROUND(K77*$G$24,2)</f>
        <v>0</v>
      </c>
      <c r="L78" s="637">
        <f>ROUND(L77*$G$24,2)</f>
        <v>0</v>
      </c>
      <c r="M78" s="637">
        <f>ROUND(M77*$G$24,2)</f>
        <v>0</v>
      </c>
      <c r="N78" s="637">
        <f>ROUND(N77*$G$24,2)</f>
        <v>0</v>
      </c>
      <c r="O78" s="637">
        <f t="shared" si="21"/>
        <v>0</v>
      </c>
      <c r="P78" s="637">
        <f t="shared" si="21"/>
        <v>0</v>
      </c>
      <c r="Q78" s="1297">
        <f>SUM(E78:P78)</f>
        <v>0</v>
      </c>
      <c r="R78" s="530">
        <f>SUM(E78:P78)</f>
        <v>0</v>
      </c>
    </row>
    <row r="79" spans="1:18">
      <c r="B79" s="525"/>
      <c r="C79" s="1589" t="s">
        <v>279</v>
      </c>
      <c r="D79" s="1590"/>
      <c r="E79" s="1591">
        <f>ROUND(E77*$G$25,2)</f>
        <v>0</v>
      </c>
      <c r="F79" s="1591">
        <f>ROUND(F77*$G$25,2)</f>
        <v>0.09</v>
      </c>
      <c r="G79" s="1591">
        <f t="shared" ref="G79:P79" si="22">ROUND(G77*$F$21,0)</f>
        <v>0</v>
      </c>
      <c r="H79" s="1591">
        <f>ROUND(H77*$G$25,2)</f>
        <v>7.38</v>
      </c>
      <c r="I79" s="1591">
        <f>ROUND(I77*$G$25,2)</f>
        <v>167.73</v>
      </c>
      <c r="J79" s="1591">
        <f t="shared" si="22"/>
        <v>70</v>
      </c>
      <c r="K79" s="1591">
        <f>ROUND(K77*$G$25,2)</f>
        <v>0</v>
      </c>
      <c r="L79" s="1591">
        <f>ROUND(L77*$G$25,2)</f>
        <v>0.18</v>
      </c>
      <c r="M79" s="1591">
        <f>ROUND(M77*$G$25,2)</f>
        <v>0</v>
      </c>
      <c r="N79" s="1591">
        <f>ROUND(N77*$G$25,2)</f>
        <v>0</v>
      </c>
      <c r="O79" s="1591">
        <f t="shared" si="22"/>
        <v>1</v>
      </c>
      <c r="P79" s="1591">
        <f t="shared" si="22"/>
        <v>10</v>
      </c>
      <c r="Q79" s="1592">
        <f>SUM(E79:P79)</f>
        <v>256.38</v>
      </c>
      <c r="R79" s="530">
        <f>SUM(E79:P79)</f>
        <v>256.38</v>
      </c>
    </row>
    <row r="80" spans="1:18">
      <c r="B80" s="525"/>
      <c r="C80" s="526"/>
      <c r="E80" s="638"/>
      <c r="F80" s="638"/>
      <c r="G80" s="638"/>
      <c r="H80" s="638"/>
      <c r="I80" s="638"/>
      <c r="J80" s="638"/>
      <c r="K80" s="638"/>
      <c r="L80" s="638"/>
      <c r="M80" s="638"/>
      <c r="N80" s="638"/>
      <c r="O80" s="638"/>
      <c r="P80" s="638"/>
      <c r="Q80" s="838"/>
    </row>
    <row r="81" spans="1:18">
      <c r="A81" s="528">
        <v>7750</v>
      </c>
      <c r="B81" s="527">
        <v>4201000</v>
      </c>
      <c r="C81" s="587" t="s">
        <v>530</v>
      </c>
      <c r="D81" s="529"/>
      <c r="E81" s="627">
        <f>IFERROR(VLOOKUP($A81,'O&amp;M per TB'!$B$1:S$375,E$50,FALSE),0)</f>
        <v>-2674.13</v>
      </c>
      <c r="F81" s="627">
        <f>IFERROR(VLOOKUP($A81,'O&amp;M per TB'!$B$1:T$375,F$50,FALSE),0)</f>
        <v>-3163.08</v>
      </c>
      <c r="G81" s="627">
        <f>IFERROR(VLOOKUP($A81,'O&amp;M per TB'!$B$1:U$375,G$50,FALSE),0)</f>
        <v>-3657.7599999999993</v>
      </c>
      <c r="H81" s="627">
        <f>IFERROR(VLOOKUP($A81,'O&amp;M per TB'!$B$1:V$375,H$50,FALSE),0)</f>
        <v>-3686.59</v>
      </c>
      <c r="I81" s="627">
        <f>IFERROR(VLOOKUP($A81,'O&amp;M per TB'!$B$1:W$375,I$50,FALSE),0)</f>
        <v>-2235.4800000000014</v>
      </c>
      <c r="J81" s="627">
        <f>IFERROR(VLOOKUP($A81,'O&amp;M per TB'!$B$1:X$375,J$50,FALSE),0)</f>
        <v>-4175.739999999998</v>
      </c>
      <c r="K81" s="627">
        <f>IFERROR(VLOOKUP($A81,'O&amp;M per TB'!$B$1:Y$375,K$50,FALSE),0)</f>
        <v>-22.010000000002037</v>
      </c>
      <c r="L81" s="627">
        <f>IFERROR(VLOOKUP($A81,'O&amp;M per TB'!$B$1:Z$375,L$50,FALSE),0)</f>
        <v>-24.909999999999854</v>
      </c>
      <c r="M81" s="627">
        <f>IFERROR(VLOOKUP($A81,'O&amp;M per TB'!$B$1:AA$375,M$50,FALSE),0)</f>
        <v>-46.219999999997526</v>
      </c>
      <c r="N81" s="627">
        <f>IFERROR(VLOOKUP($A81,'O&amp;M per TB'!$B$1:AB$375,N$50,FALSE),0)</f>
        <v>-318.57000000000335</v>
      </c>
      <c r="O81" s="627">
        <f>IFERROR(VLOOKUP($A81,'O&amp;M per TB'!$B$1:AC$375,O$50,FALSE),0)</f>
        <v>-322.12999999999738</v>
      </c>
      <c r="P81" s="627">
        <f>IFERROR(VLOOKUP($A81,'O&amp;M per TB'!$B$1:AD$375,P$50,FALSE),0)</f>
        <v>-491.63000000000102</v>
      </c>
      <c r="Q81" s="609">
        <f t="shared" ref="Q81" si="23">SUM(E81:P81)</f>
        <v>-20818.25</v>
      </c>
      <c r="R81" s="535"/>
    </row>
    <row r="82" spans="1:18">
      <c r="B82" s="527">
        <v>420.1</v>
      </c>
      <c r="C82" s="570" t="s">
        <v>369</v>
      </c>
      <c r="D82" s="571"/>
      <c r="E82" s="643">
        <f t="shared" ref="E82:Q82" si="24">+E81</f>
        <v>-2674.13</v>
      </c>
      <c r="F82" s="643">
        <f t="shared" si="24"/>
        <v>-3163.08</v>
      </c>
      <c r="G82" s="643">
        <f t="shared" si="24"/>
        <v>-3657.7599999999993</v>
      </c>
      <c r="H82" s="643">
        <f t="shared" si="24"/>
        <v>-3686.59</v>
      </c>
      <c r="I82" s="643">
        <f t="shared" si="24"/>
        <v>-2235.4800000000014</v>
      </c>
      <c r="J82" s="643">
        <f t="shared" si="24"/>
        <v>-4175.739999999998</v>
      </c>
      <c r="K82" s="643">
        <f t="shared" si="24"/>
        <v>-22.010000000002037</v>
      </c>
      <c r="L82" s="643">
        <f t="shared" si="24"/>
        <v>-24.909999999999854</v>
      </c>
      <c r="M82" s="643">
        <f t="shared" si="24"/>
        <v>-46.219999999997526</v>
      </c>
      <c r="N82" s="643">
        <f t="shared" si="24"/>
        <v>-318.57000000000335</v>
      </c>
      <c r="O82" s="643">
        <f t="shared" si="24"/>
        <v>-322.12999999999738</v>
      </c>
      <c r="P82" s="643">
        <f t="shared" si="24"/>
        <v>-491.63000000000102</v>
      </c>
      <c r="Q82" s="1593">
        <f t="shared" si="24"/>
        <v>-20818.25</v>
      </c>
      <c r="R82" s="149">
        <f>+Q82-SUM(E83:P84)</f>
        <v>0</v>
      </c>
    </row>
    <row r="83" spans="1:18">
      <c r="B83" s="527"/>
      <c r="C83" s="572" t="s">
        <v>278</v>
      </c>
      <c r="D83" s="573"/>
      <c r="E83" s="637">
        <f t="shared" ref="E83:P83" si="25">ROUND(E82*$G$24,2)</f>
        <v>0</v>
      </c>
      <c r="F83" s="637">
        <f t="shared" si="25"/>
        <v>0</v>
      </c>
      <c r="G83" s="637">
        <f t="shared" si="25"/>
        <v>0</v>
      </c>
      <c r="H83" s="637">
        <f t="shared" si="25"/>
        <v>0</v>
      </c>
      <c r="I83" s="637">
        <f t="shared" si="25"/>
        <v>0</v>
      </c>
      <c r="J83" s="637">
        <f t="shared" si="25"/>
        <v>0</v>
      </c>
      <c r="K83" s="637">
        <f t="shared" si="25"/>
        <v>0</v>
      </c>
      <c r="L83" s="637">
        <f t="shared" si="25"/>
        <v>0</v>
      </c>
      <c r="M83" s="637">
        <f t="shared" si="25"/>
        <v>0</v>
      </c>
      <c r="N83" s="637">
        <f t="shared" si="25"/>
        <v>0</v>
      </c>
      <c r="O83" s="637">
        <f t="shared" si="25"/>
        <v>0</v>
      </c>
      <c r="P83" s="637">
        <f t="shared" si="25"/>
        <v>0</v>
      </c>
      <c r="Q83" s="1297">
        <f>SUM(E83:P83)</f>
        <v>0</v>
      </c>
      <c r="R83" s="530">
        <f>SUM(E83:P83)</f>
        <v>0</v>
      </c>
    </row>
    <row r="84" spans="1:18">
      <c r="B84" s="527"/>
      <c r="C84" s="1589" t="s">
        <v>279</v>
      </c>
      <c r="D84" s="1590"/>
      <c r="E84" s="1591">
        <f t="shared" ref="E84:P84" si="26">ROUND(E82*$G$25,2)</f>
        <v>-2674.13</v>
      </c>
      <c r="F84" s="1591">
        <f t="shared" si="26"/>
        <v>-3163.08</v>
      </c>
      <c r="G84" s="1591">
        <f t="shared" si="26"/>
        <v>-3657.76</v>
      </c>
      <c r="H84" s="1591">
        <f t="shared" si="26"/>
        <v>-3686.59</v>
      </c>
      <c r="I84" s="1591">
        <f t="shared" si="26"/>
        <v>-2235.48</v>
      </c>
      <c r="J84" s="1591">
        <f t="shared" si="26"/>
        <v>-4175.74</v>
      </c>
      <c r="K84" s="1591">
        <f t="shared" si="26"/>
        <v>-22.01</v>
      </c>
      <c r="L84" s="1591">
        <f t="shared" si="26"/>
        <v>-24.91</v>
      </c>
      <c r="M84" s="1591">
        <f t="shared" si="26"/>
        <v>-46.22</v>
      </c>
      <c r="N84" s="1591">
        <f t="shared" si="26"/>
        <v>-318.57</v>
      </c>
      <c r="O84" s="1591">
        <f t="shared" si="26"/>
        <v>-322.13</v>
      </c>
      <c r="P84" s="1591">
        <f t="shared" si="26"/>
        <v>-491.63</v>
      </c>
      <c r="Q84" s="1592">
        <f>SUM(E84:P84)</f>
        <v>-20818.25</v>
      </c>
      <c r="R84" s="530">
        <f>SUM(E84:P84)</f>
        <v>-20818.25</v>
      </c>
    </row>
    <row r="85" spans="1:18">
      <c r="B85" s="527"/>
      <c r="C85" s="526"/>
      <c r="Q85" s="609"/>
    </row>
    <row r="86" spans="1:18">
      <c r="A86" s="528">
        <v>7655</v>
      </c>
      <c r="B86" s="527">
        <v>421</v>
      </c>
      <c r="C86" s="587" t="s">
        <v>1805</v>
      </c>
      <c r="D86" s="529"/>
      <c r="E86" s="627">
        <f>IFERROR(VLOOKUP($A86,'O&amp;M per TB'!$B$1:S$375,E$50,FALSE),0)</f>
        <v>0</v>
      </c>
      <c r="F86" s="627">
        <f>IFERROR(VLOOKUP($A86,'O&amp;M per TB'!$B$1:T$375,F$50,FALSE),0)</f>
        <v>0</v>
      </c>
      <c r="G86" s="627">
        <f>IFERROR(VLOOKUP($A86,'O&amp;M per TB'!$B$1:U$375,G$50,FALSE),0)</f>
        <v>0</v>
      </c>
      <c r="H86" s="627">
        <f>IFERROR(VLOOKUP($A86,'O&amp;M per TB'!$B$1:V$375,H$50,FALSE),0)</f>
        <v>0</v>
      </c>
      <c r="I86" s="627">
        <f>IFERROR(VLOOKUP($A86,'O&amp;M per TB'!$B$1:W$375,I$50,FALSE),0)</f>
        <v>0</v>
      </c>
      <c r="J86" s="627">
        <f>IFERROR(VLOOKUP($A86,'O&amp;M per TB'!$B$1:X$375,J$50,FALSE),0)</f>
        <v>0</v>
      </c>
      <c r="K86" s="627">
        <f>IFERROR(VLOOKUP($A86,'O&amp;M per TB'!$B$1:Y$375,K$50,FALSE),0)</f>
        <v>0</v>
      </c>
      <c r="L86" s="627">
        <f>IFERROR(VLOOKUP($A86,'O&amp;M per TB'!$B$1:Z$375,L$50,FALSE),0)</f>
        <v>0</v>
      </c>
      <c r="M86" s="627">
        <f>IFERROR(VLOOKUP($A86,'O&amp;M per TB'!$B$1:AA$375,M$50,FALSE),0)</f>
        <v>0</v>
      </c>
      <c r="N86" s="627">
        <f>IFERROR(VLOOKUP($A86,'O&amp;M per TB'!$B$1:AB$375,N$50,FALSE),0)</f>
        <v>0</v>
      </c>
      <c r="O86" s="627">
        <f>IFERROR(VLOOKUP($A86,'O&amp;M per TB'!$B$1:AC$375,O$50,FALSE),0)</f>
        <v>0</v>
      </c>
      <c r="P86" s="627">
        <f>IFERROR(VLOOKUP($A86,'O&amp;M per TB'!$B$1:AD$375,P$50,FALSE),0)</f>
        <v>0</v>
      </c>
      <c r="Q86" s="609">
        <f t="shared" ref="Q86" si="27">SUM(E86:P86)</f>
        <v>0</v>
      </c>
      <c r="R86" s="535"/>
    </row>
    <row r="87" spans="1:18">
      <c r="B87" s="527">
        <v>421</v>
      </c>
      <c r="C87" s="570" t="s">
        <v>1805</v>
      </c>
      <c r="D87" s="571"/>
      <c r="E87" s="643">
        <f t="shared" ref="E87:Q87" si="28">+E86</f>
        <v>0</v>
      </c>
      <c r="F87" s="643">
        <f t="shared" si="28"/>
        <v>0</v>
      </c>
      <c r="G87" s="643">
        <f t="shared" si="28"/>
        <v>0</v>
      </c>
      <c r="H87" s="643">
        <f t="shared" si="28"/>
        <v>0</v>
      </c>
      <c r="I87" s="643">
        <f t="shared" si="28"/>
        <v>0</v>
      </c>
      <c r="J87" s="643">
        <f t="shared" si="28"/>
        <v>0</v>
      </c>
      <c r="K87" s="643">
        <f t="shared" si="28"/>
        <v>0</v>
      </c>
      <c r="L87" s="643">
        <f t="shared" si="28"/>
        <v>0</v>
      </c>
      <c r="M87" s="643">
        <f t="shared" si="28"/>
        <v>0</v>
      </c>
      <c r="N87" s="643">
        <f t="shared" si="28"/>
        <v>0</v>
      </c>
      <c r="O87" s="643">
        <f t="shared" si="28"/>
        <v>0</v>
      </c>
      <c r="P87" s="643">
        <f t="shared" si="28"/>
        <v>0</v>
      </c>
      <c r="Q87" s="1593">
        <f t="shared" si="28"/>
        <v>0</v>
      </c>
      <c r="R87" s="149">
        <f>+Q87-SUM(E88:P89)</f>
        <v>0</v>
      </c>
    </row>
    <row r="88" spans="1:18">
      <c r="B88" s="527"/>
      <c r="C88" s="572" t="s">
        <v>278</v>
      </c>
      <c r="D88" s="573"/>
      <c r="E88" s="637">
        <f t="shared" ref="E88:P88" si="29">ROUND(E87*$G$24,2)</f>
        <v>0</v>
      </c>
      <c r="F88" s="637">
        <f t="shared" si="29"/>
        <v>0</v>
      </c>
      <c r="G88" s="637">
        <f t="shared" si="29"/>
        <v>0</v>
      </c>
      <c r="H88" s="637">
        <f t="shared" si="29"/>
        <v>0</v>
      </c>
      <c r="I88" s="637">
        <f t="shared" si="29"/>
        <v>0</v>
      </c>
      <c r="J88" s="637">
        <f t="shared" si="29"/>
        <v>0</v>
      </c>
      <c r="K88" s="637">
        <f t="shared" si="29"/>
        <v>0</v>
      </c>
      <c r="L88" s="637">
        <f t="shared" si="29"/>
        <v>0</v>
      </c>
      <c r="M88" s="637">
        <f t="shared" si="29"/>
        <v>0</v>
      </c>
      <c r="N88" s="637">
        <f t="shared" si="29"/>
        <v>0</v>
      </c>
      <c r="O88" s="637">
        <f t="shared" si="29"/>
        <v>0</v>
      </c>
      <c r="P88" s="637">
        <f t="shared" si="29"/>
        <v>0</v>
      </c>
      <c r="Q88" s="1297">
        <f>SUM(E88:P88)</f>
        <v>0</v>
      </c>
      <c r="R88" s="530">
        <f>SUM(E88:P88)</f>
        <v>0</v>
      </c>
    </row>
    <row r="89" spans="1:18">
      <c r="B89" s="527"/>
      <c r="C89" s="1589" t="s">
        <v>279</v>
      </c>
      <c r="D89" s="1590"/>
      <c r="E89" s="1591">
        <f t="shared" ref="E89:P89" si="30">ROUND(E87*$G$25,2)</f>
        <v>0</v>
      </c>
      <c r="F89" s="1591">
        <f t="shared" si="30"/>
        <v>0</v>
      </c>
      <c r="G89" s="1591">
        <f t="shared" si="30"/>
        <v>0</v>
      </c>
      <c r="H89" s="1591">
        <f t="shared" si="30"/>
        <v>0</v>
      </c>
      <c r="I89" s="1591">
        <f t="shared" si="30"/>
        <v>0</v>
      </c>
      <c r="J89" s="1591">
        <f t="shared" si="30"/>
        <v>0</v>
      </c>
      <c r="K89" s="1591">
        <f t="shared" si="30"/>
        <v>0</v>
      </c>
      <c r="L89" s="1591">
        <f t="shared" si="30"/>
        <v>0</v>
      </c>
      <c r="M89" s="1591">
        <f t="shared" si="30"/>
        <v>0</v>
      </c>
      <c r="N89" s="1591">
        <f t="shared" si="30"/>
        <v>0</v>
      </c>
      <c r="O89" s="1591">
        <f t="shared" si="30"/>
        <v>0</v>
      </c>
      <c r="P89" s="1591">
        <f t="shared" si="30"/>
        <v>0</v>
      </c>
      <c r="Q89" s="1592">
        <f>SUM(E89:P89)</f>
        <v>0</v>
      </c>
      <c r="R89" s="530">
        <f>SUM(E89:P89)</f>
        <v>0</v>
      </c>
    </row>
    <row r="90" spans="1:18">
      <c r="B90" s="527"/>
      <c r="C90" s="526"/>
      <c r="Q90" s="609"/>
    </row>
    <row r="91" spans="1:18">
      <c r="A91" s="528">
        <v>7660</v>
      </c>
      <c r="B91" s="527"/>
      <c r="C91" s="519" t="s">
        <v>1694</v>
      </c>
      <c r="E91" s="627">
        <f>IFERROR(VLOOKUP($A91,'O&amp;M per TB'!$B$1:S$375,E$50,FALSE),0)</f>
        <v>0</v>
      </c>
      <c r="F91" s="627">
        <f>IFERROR(VLOOKUP($A91,'O&amp;M per TB'!$B$1:T$375,F$50,FALSE),0)</f>
        <v>0</v>
      </c>
      <c r="G91" s="627">
        <f>IFERROR(VLOOKUP($A91,'O&amp;M per TB'!$B$1:U$375,G$50,FALSE),0)</f>
        <v>0</v>
      </c>
      <c r="H91" s="627">
        <f>IFERROR(VLOOKUP($A91,'O&amp;M per TB'!$B$1:V$375,H$50,FALSE),0)</f>
        <v>0</v>
      </c>
      <c r="I91" s="627">
        <f>IFERROR(VLOOKUP($A91,'O&amp;M per TB'!$B$1:W$375,I$50,FALSE),0)</f>
        <v>0</v>
      </c>
      <c r="J91" s="627">
        <f>IFERROR(VLOOKUP($A91,'O&amp;M per TB'!$B$1:X$375,J$50,FALSE),0)</f>
        <v>0</v>
      </c>
      <c r="K91" s="627">
        <f>IFERROR(VLOOKUP($A91,'O&amp;M per TB'!$B$1:Y$375,K$50,FALSE),0)</f>
        <v>0</v>
      </c>
      <c r="L91" s="627">
        <f>IFERROR(VLOOKUP($A91,'O&amp;M per TB'!$B$1:Z$375,L$50,FALSE),0)</f>
        <v>0</v>
      </c>
      <c r="M91" s="627">
        <f>IFERROR(VLOOKUP($A91,'O&amp;M per TB'!$B$1:AA$375,M$50,FALSE),0)</f>
        <v>0</v>
      </c>
      <c r="N91" s="627">
        <f>IFERROR(VLOOKUP($A91,'O&amp;M per TB'!$B$1:AB$375,N$50,FALSE),0)</f>
        <v>0</v>
      </c>
      <c r="O91" s="627">
        <f>IFERROR(VLOOKUP($A91,'O&amp;M per TB'!$B$1:AC$375,O$50,FALSE),0)</f>
        <v>0</v>
      </c>
      <c r="P91" s="627">
        <f>IFERROR(VLOOKUP($A91,'O&amp;M per TB'!$B$1:AD$375,P$50,FALSE),0)</f>
        <v>0</v>
      </c>
      <c r="Q91" s="609">
        <f t="shared" ref="Q91:Q96" si="31">SUM(E91:P91)</f>
        <v>0</v>
      </c>
    </row>
    <row r="92" spans="1:18">
      <c r="A92" s="528">
        <v>7691</v>
      </c>
      <c r="B92" s="527"/>
      <c r="C92" s="519" t="s">
        <v>326</v>
      </c>
      <c r="E92" s="627">
        <f>IFERROR(VLOOKUP($A92,'O&amp;M per TB'!$B$1:S$375,E$50,FALSE),0)</f>
        <v>0</v>
      </c>
      <c r="F92" s="627">
        <f>IFERROR(VLOOKUP($A92,'O&amp;M per TB'!$B$1:T$375,F$50,FALSE),0)</f>
        <v>0</v>
      </c>
      <c r="G92" s="627">
        <f>IFERROR(VLOOKUP($A92,'O&amp;M per TB'!$B$1:U$375,G$50,FALSE),0)</f>
        <v>0</v>
      </c>
      <c r="H92" s="627">
        <f>IFERROR(VLOOKUP($A92,'O&amp;M per TB'!$B$1:V$375,H$50,FALSE),0)</f>
        <v>0</v>
      </c>
      <c r="I92" s="627">
        <f>IFERROR(VLOOKUP($A92,'O&amp;M per TB'!$B$1:W$375,I$50,FALSE),0)</f>
        <v>0</v>
      </c>
      <c r="J92" s="627">
        <f>IFERROR(VLOOKUP($A92,'O&amp;M per TB'!$B$1:X$375,J$50,FALSE),0)</f>
        <v>0</v>
      </c>
      <c r="K92" s="627">
        <f>IFERROR(VLOOKUP($A92,'O&amp;M per TB'!$B$1:Y$375,K$50,FALSE),0)</f>
        <v>0</v>
      </c>
      <c r="L92" s="627">
        <f>IFERROR(VLOOKUP($A92,'O&amp;M per TB'!$B$1:Z$375,L$50,FALSE),0)</f>
        <v>0</v>
      </c>
      <c r="M92" s="627">
        <f>IFERROR(VLOOKUP($A92,'O&amp;M per TB'!$B$1:AA$375,M$50,FALSE),0)</f>
        <v>0</v>
      </c>
      <c r="N92" s="627">
        <f>IFERROR(VLOOKUP($A92,'O&amp;M per TB'!$B$1:AB$375,N$50,FALSE),0)</f>
        <v>0</v>
      </c>
      <c r="O92" s="627">
        <f>IFERROR(VLOOKUP($A92,'O&amp;M per TB'!$B$1:AC$375,O$50,FALSE),0)</f>
        <v>0</v>
      </c>
      <c r="P92" s="627">
        <f>IFERROR(VLOOKUP($A92,'O&amp;M per TB'!$B$1:AD$375,P$50,FALSE),0)</f>
        <v>0</v>
      </c>
      <c r="Q92" s="609">
        <f t="shared" si="31"/>
        <v>0</v>
      </c>
    </row>
    <row r="93" spans="1:18">
      <c r="A93" s="528">
        <v>7692</v>
      </c>
      <c r="B93" s="527"/>
      <c r="C93" s="519" t="s">
        <v>1695</v>
      </c>
      <c r="E93" s="627">
        <f>IFERROR(VLOOKUP($A93,'O&amp;M per TB'!$B$1:S$375,E$50,FALSE),0)</f>
        <v>0</v>
      </c>
      <c r="F93" s="627">
        <f>IFERROR(VLOOKUP($A93,'O&amp;M per TB'!$B$1:T$375,F$50,FALSE),0)</f>
        <v>0</v>
      </c>
      <c r="G93" s="627">
        <f>IFERROR(VLOOKUP($A93,'O&amp;M per TB'!$B$1:U$375,G$50,FALSE),0)</f>
        <v>0</v>
      </c>
      <c r="H93" s="627">
        <f>IFERROR(VLOOKUP($A93,'O&amp;M per TB'!$B$1:V$375,H$50,FALSE),0)</f>
        <v>0</v>
      </c>
      <c r="I93" s="627">
        <f>IFERROR(VLOOKUP($A93,'O&amp;M per TB'!$B$1:W$375,I$50,FALSE),0)</f>
        <v>0</v>
      </c>
      <c r="J93" s="627">
        <f>IFERROR(VLOOKUP($A93,'O&amp;M per TB'!$B$1:X$375,J$50,FALSE),0)</f>
        <v>0</v>
      </c>
      <c r="K93" s="627">
        <f>IFERROR(VLOOKUP($A93,'O&amp;M per TB'!$B$1:Y$375,K$50,FALSE),0)</f>
        <v>0</v>
      </c>
      <c r="L93" s="627">
        <f>IFERROR(VLOOKUP($A93,'O&amp;M per TB'!$B$1:Z$375,L$50,FALSE),0)</f>
        <v>0</v>
      </c>
      <c r="M93" s="627">
        <f>IFERROR(VLOOKUP($A93,'O&amp;M per TB'!$B$1:AA$375,M$50,FALSE),0)</f>
        <v>0</v>
      </c>
      <c r="N93" s="627">
        <f>IFERROR(VLOOKUP($A93,'O&amp;M per TB'!$B$1:AB$375,N$50,FALSE),0)</f>
        <v>0</v>
      </c>
      <c r="O93" s="627">
        <f>IFERROR(VLOOKUP($A93,'O&amp;M per TB'!$B$1:AC$375,O$50,FALSE),0)</f>
        <v>0</v>
      </c>
      <c r="P93" s="627">
        <f>IFERROR(VLOOKUP($A93,'O&amp;M per TB'!$B$1:AD$375,P$50,FALSE),0)</f>
        <v>0</v>
      </c>
      <c r="Q93" s="609">
        <f t="shared" si="31"/>
        <v>0</v>
      </c>
    </row>
    <row r="94" spans="1:18">
      <c r="A94" s="528">
        <v>7693</v>
      </c>
      <c r="B94" s="527"/>
      <c r="C94" s="519" t="s">
        <v>327</v>
      </c>
      <c r="E94" s="627">
        <f>IFERROR(VLOOKUP($A94,'O&amp;M per TB'!$B$1:S$375,E$50,FALSE),0)</f>
        <v>0</v>
      </c>
      <c r="F94" s="627">
        <f>IFERROR(VLOOKUP($A94,'O&amp;M per TB'!$B$1:T$375,F$50,FALSE),0)</f>
        <v>0</v>
      </c>
      <c r="G94" s="627">
        <f>IFERROR(VLOOKUP($A94,'O&amp;M per TB'!$B$1:U$375,G$50,FALSE),0)</f>
        <v>0</v>
      </c>
      <c r="H94" s="627">
        <f>IFERROR(VLOOKUP($A94,'O&amp;M per TB'!$B$1:V$375,H$50,FALSE),0)</f>
        <v>0</v>
      </c>
      <c r="I94" s="627">
        <f>IFERROR(VLOOKUP($A94,'O&amp;M per TB'!$B$1:W$375,I$50,FALSE),0)</f>
        <v>0</v>
      </c>
      <c r="J94" s="627">
        <f>IFERROR(VLOOKUP($A94,'O&amp;M per TB'!$B$1:X$375,J$50,FALSE),0)</f>
        <v>0</v>
      </c>
      <c r="K94" s="627">
        <f>IFERROR(VLOOKUP($A94,'O&amp;M per TB'!$B$1:Y$375,K$50,FALSE),0)</f>
        <v>0</v>
      </c>
      <c r="L94" s="627">
        <f>IFERROR(VLOOKUP($A94,'O&amp;M per TB'!$B$1:Z$375,L$50,FALSE),0)</f>
        <v>0</v>
      </c>
      <c r="M94" s="627">
        <f>IFERROR(VLOOKUP($A94,'O&amp;M per TB'!$B$1:AA$375,M$50,FALSE),0)</f>
        <v>0</v>
      </c>
      <c r="N94" s="627">
        <f>IFERROR(VLOOKUP($A94,'O&amp;M per TB'!$B$1:AB$375,N$50,FALSE),0)</f>
        <v>0</v>
      </c>
      <c r="O94" s="627">
        <f>IFERROR(VLOOKUP($A94,'O&amp;M per TB'!$B$1:AC$375,O$50,FALSE),0)</f>
        <v>0</v>
      </c>
      <c r="P94" s="627">
        <f>IFERROR(VLOOKUP($A94,'O&amp;M per TB'!$B$1:AD$375,P$50,FALSE),0)</f>
        <v>0</v>
      </c>
      <c r="Q94" s="609">
        <f t="shared" si="31"/>
        <v>0</v>
      </c>
    </row>
    <row r="95" spans="1:18">
      <c r="A95" s="528">
        <v>7690</v>
      </c>
      <c r="B95" s="521">
        <v>4141040</v>
      </c>
      <c r="C95" s="519" t="s">
        <v>1271</v>
      </c>
      <c r="D95" s="522"/>
      <c r="E95" s="627">
        <f>IFERROR(VLOOKUP($A95,'O&amp;M per TB'!$B$1:S$375,E$50,FALSE),0)</f>
        <v>0</v>
      </c>
      <c r="F95" s="627">
        <f>IFERROR(VLOOKUP($A95,'O&amp;M per TB'!$B$1:T$375,F$50,FALSE),0)</f>
        <v>0</v>
      </c>
      <c r="G95" s="627">
        <f>IFERROR(VLOOKUP($A95,'O&amp;M per TB'!$B$1:U$375,G$50,FALSE),0)</f>
        <v>0</v>
      </c>
      <c r="H95" s="627">
        <f>IFERROR(VLOOKUP($A95,'O&amp;M per TB'!$B$1:V$375,H$50,FALSE),0)</f>
        <v>0</v>
      </c>
      <c r="I95" s="627">
        <f>IFERROR(VLOOKUP($A95,'O&amp;M per TB'!$B$1:W$375,I$50,FALSE),0)</f>
        <v>0</v>
      </c>
      <c r="J95" s="627">
        <f>IFERROR(VLOOKUP($A95,'O&amp;M per TB'!$B$1:X$375,J$50,FALSE),0)</f>
        <v>0</v>
      </c>
      <c r="K95" s="627">
        <f>IFERROR(VLOOKUP($A95,'O&amp;M per TB'!$B$1:Y$375,K$50,FALSE),0)</f>
        <v>0</v>
      </c>
      <c r="L95" s="627">
        <f>IFERROR(VLOOKUP($A95,'O&amp;M per TB'!$B$1:Z$375,L$50,FALSE),0)</f>
        <v>0</v>
      </c>
      <c r="M95" s="627">
        <f>IFERROR(VLOOKUP($A95,'O&amp;M per TB'!$B$1:AA$375,M$50,FALSE),0)</f>
        <v>0</v>
      </c>
      <c r="N95" s="627">
        <f>IFERROR(VLOOKUP($A95,'O&amp;M per TB'!$B$1:AB$375,N$50,FALSE),0)</f>
        <v>0</v>
      </c>
      <c r="O95" s="627">
        <f>IFERROR(VLOOKUP($A95,'O&amp;M per TB'!$B$1:AC$375,O$50,FALSE),0)</f>
        <v>0</v>
      </c>
      <c r="P95" s="627">
        <f>IFERROR(VLOOKUP($A95,'O&amp;M per TB'!$B$1:AD$375,P$50,FALSE),0)</f>
        <v>0</v>
      </c>
      <c r="Q95" s="609">
        <f t="shared" si="31"/>
        <v>0</v>
      </c>
    </row>
    <row r="96" spans="1:18">
      <c r="A96" s="528">
        <v>7765</v>
      </c>
      <c r="B96" s="521"/>
      <c r="C96" s="519" t="s">
        <v>1801</v>
      </c>
      <c r="D96" s="522"/>
      <c r="E96" s="627">
        <f>IFERROR(VLOOKUP($A96,'O&amp;M per TB'!$B$1:S$375,E$50,FALSE),0)</f>
        <v>0</v>
      </c>
      <c r="F96" s="627">
        <f>IFERROR(VLOOKUP($A96,'O&amp;M per TB'!$B$1:T$375,F$50,FALSE),0)</f>
        <v>0</v>
      </c>
      <c r="G96" s="627">
        <f>IFERROR(VLOOKUP($A96,'O&amp;M per TB'!$B$1:U$375,G$50,FALSE),0)</f>
        <v>0</v>
      </c>
      <c r="H96" s="627">
        <f>IFERROR(VLOOKUP($A96,'O&amp;M per TB'!$B$1:V$375,H$50,FALSE),0)</f>
        <v>-234.88</v>
      </c>
      <c r="I96" s="627">
        <f>IFERROR(VLOOKUP($A96,'O&amp;M per TB'!$B$1:W$375,I$50,FALSE),0)</f>
        <v>0</v>
      </c>
      <c r="J96" s="627">
        <f>IFERROR(VLOOKUP($A96,'O&amp;M per TB'!$B$1:X$375,J$50,FALSE),0)</f>
        <v>0</v>
      </c>
      <c r="K96" s="627">
        <f>IFERROR(VLOOKUP($A96,'O&amp;M per TB'!$B$1:Y$375,K$50,FALSE),0)</f>
        <v>0</v>
      </c>
      <c r="L96" s="627">
        <f>IFERROR(VLOOKUP($A96,'O&amp;M per TB'!$B$1:Z$375,L$50,FALSE),0)</f>
        <v>0</v>
      </c>
      <c r="M96" s="627">
        <f>IFERROR(VLOOKUP($A96,'O&amp;M per TB'!$B$1:AA$375,M$50,FALSE),0)</f>
        <v>0</v>
      </c>
      <c r="N96" s="627">
        <f>IFERROR(VLOOKUP($A96,'O&amp;M per TB'!$B$1:AB$375,N$50,FALSE),0)</f>
        <v>-264.52</v>
      </c>
      <c r="O96" s="627">
        <f>IFERROR(VLOOKUP($A96,'O&amp;M per TB'!$B$1:AC$375,O$50,FALSE),0)</f>
        <v>0</v>
      </c>
      <c r="P96" s="627">
        <f>IFERROR(VLOOKUP($A96,'O&amp;M per TB'!$B$1:AD$375,P$50,FALSE),0)</f>
        <v>0</v>
      </c>
      <c r="Q96" s="609">
        <f t="shared" si="31"/>
        <v>-499.4</v>
      </c>
    </row>
    <row r="97" spans="1:18">
      <c r="B97" s="527">
        <v>414</v>
      </c>
      <c r="C97" s="570" t="s">
        <v>1724</v>
      </c>
      <c r="D97" s="571"/>
      <c r="E97" s="636">
        <f>SUM(E91:E96)</f>
        <v>0</v>
      </c>
      <c r="F97" s="636">
        <f t="shared" ref="F97:P97" si="32">SUM(F91:F96)</f>
        <v>0</v>
      </c>
      <c r="G97" s="636">
        <f t="shared" si="32"/>
        <v>0</v>
      </c>
      <c r="H97" s="636">
        <f t="shared" si="32"/>
        <v>-234.88</v>
      </c>
      <c r="I97" s="636">
        <f t="shared" si="32"/>
        <v>0</v>
      </c>
      <c r="J97" s="636">
        <f t="shared" si="32"/>
        <v>0</v>
      </c>
      <c r="K97" s="636">
        <f t="shared" si="32"/>
        <v>0</v>
      </c>
      <c r="L97" s="636">
        <f t="shared" si="32"/>
        <v>0</v>
      </c>
      <c r="M97" s="636">
        <f t="shared" si="32"/>
        <v>0</v>
      </c>
      <c r="N97" s="636">
        <f t="shared" si="32"/>
        <v>-264.52</v>
      </c>
      <c r="O97" s="636">
        <f t="shared" si="32"/>
        <v>0</v>
      </c>
      <c r="P97" s="636">
        <f t="shared" si="32"/>
        <v>0</v>
      </c>
      <c r="Q97" s="1299">
        <f>SUM(Q91:Q96)</f>
        <v>-499.4</v>
      </c>
      <c r="R97" s="149">
        <f>+Q97-SUM(E98:P99)</f>
        <v>0.60000000000002274</v>
      </c>
    </row>
    <row r="98" spans="1:18">
      <c r="B98" s="527"/>
      <c r="C98" s="572" t="s">
        <v>278</v>
      </c>
      <c r="D98" s="573"/>
      <c r="E98" s="637">
        <f>ROUND(E97*$G24,0)</f>
        <v>0</v>
      </c>
      <c r="F98" s="637">
        <f>ROUND(F97*$G24,0)</f>
        <v>0</v>
      </c>
      <c r="G98" s="637">
        <f>ROUND(G97*$G24,0)</f>
        <v>0</v>
      </c>
      <c r="H98" s="637">
        <f>ROUND(H97*$G24,0)</f>
        <v>0</v>
      </c>
      <c r="I98" s="637">
        <f t="shared" ref="I98:O98" si="33">ROUND(I97*$E$21,0)</f>
        <v>0</v>
      </c>
      <c r="J98" s="637">
        <f t="shared" si="33"/>
        <v>0</v>
      </c>
      <c r="K98" s="637">
        <f t="shared" si="33"/>
        <v>0</v>
      </c>
      <c r="L98" s="637">
        <f t="shared" si="33"/>
        <v>0</v>
      </c>
      <c r="M98" s="637">
        <f t="shared" si="33"/>
        <v>0</v>
      </c>
      <c r="N98" s="637">
        <f t="shared" si="33"/>
        <v>0</v>
      </c>
      <c r="O98" s="637">
        <f t="shared" si="33"/>
        <v>0</v>
      </c>
      <c r="P98" s="637">
        <f>ROUND(P97*$G24,0)</f>
        <v>0</v>
      </c>
      <c r="Q98" s="1297">
        <f>SUM(E98:P98)</f>
        <v>0</v>
      </c>
      <c r="R98" s="530">
        <f>SUM(E98:P98)</f>
        <v>0</v>
      </c>
    </row>
    <row r="99" spans="1:18">
      <c r="B99" s="527"/>
      <c r="C99" s="1589" t="s">
        <v>279</v>
      </c>
      <c r="D99" s="1590"/>
      <c r="E99" s="1591">
        <f>ROUND(E97*($G$25+$G$26),0)</f>
        <v>0</v>
      </c>
      <c r="F99" s="1591">
        <f>ROUND(F97*($G$25+$G$26),0)</f>
        <v>0</v>
      </c>
      <c r="G99" s="1591">
        <f>ROUND(G97*($G$25+$G$26),0)</f>
        <v>0</v>
      </c>
      <c r="H99" s="1591">
        <f>ROUND(H97*($G$25+$G$26),0)</f>
        <v>-235</v>
      </c>
      <c r="I99" s="1591">
        <f t="shared" ref="I99:O99" si="34">ROUND(I97*$F$21,0)</f>
        <v>0</v>
      </c>
      <c r="J99" s="1591">
        <f t="shared" si="34"/>
        <v>0</v>
      </c>
      <c r="K99" s="1591">
        <f t="shared" si="34"/>
        <v>0</v>
      </c>
      <c r="L99" s="1591">
        <f t="shared" si="34"/>
        <v>0</v>
      </c>
      <c r="M99" s="1591">
        <f t="shared" si="34"/>
        <v>0</v>
      </c>
      <c r="N99" s="1591">
        <f t="shared" si="34"/>
        <v>-265</v>
      </c>
      <c r="O99" s="1591">
        <f t="shared" si="34"/>
        <v>0</v>
      </c>
      <c r="P99" s="1591">
        <f>ROUND(P97*($G$25+$G$26),0)</f>
        <v>0</v>
      </c>
      <c r="Q99" s="1592">
        <f>SUM(E99:P99)</f>
        <v>-500</v>
      </c>
      <c r="R99" s="530">
        <f>SUM(E99:P99)</f>
        <v>-500</v>
      </c>
    </row>
    <row r="100" spans="1:18">
      <c r="B100" s="527"/>
      <c r="C100" s="526"/>
      <c r="D100" s="522"/>
      <c r="Q100" s="609"/>
    </row>
    <row r="101" spans="1:18">
      <c r="B101" s="527"/>
      <c r="C101" s="527"/>
      <c r="D101" s="522"/>
      <c r="Q101" s="609"/>
    </row>
    <row r="102" spans="1:18">
      <c r="B102" s="527"/>
      <c r="C102" s="526" t="s">
        <v>1274</v>
      </c>
      <c r="D102" s="523" t="s">
        <v>1243</v>
      </c>
      <c r="E102" s="627">
        <f>IFERROR(VLOOKUP($A102,'O&amp;M per TB'!$B$1:S$375,E$50,FALSE),0)</f>
        <v>0</v>
      </c>
      <c r="F102" s="627">
        <f>IFERROR(VLOOKUP($A102,'O&amp;M per TB'!$B$1:T$375,F$50,FALSE),0)</f>
        <v>0</v>
      </c>
      <c r="G102" s="627">
        <f>IFERROR(VLOOKUP($A102,'O&amp;M per TB'!$B$1:U$375,G$50,FALSE),0)</f>
        <v>0</v>
      </c>
      <c r="H102" s="627">
        <f>IFERROR(VLOOKUP($A102,'O&amp;M per TB'!$B$1:V$375,H$50,FALSE),0)</f>
        <v>0</v>
      </c>
      <c r="I102" s="627">
        <f>IFERROR(VLOOKUP($A102,'O&amp;M per TB'!$B$1:W$375,I$50,FALSE),0)</f>
        <v>0</v>
      </c>
      <c r="J102" s="627">
        <f>IFERROR(VLOOKUP($A102,'O&amp;M per TB'!$B$1:X$375,J$50,FALSE),0)</f>
        <v>0</v>
      </c>
      <c r="K102" s="627">
        <f>IFERROR(VLOOKUP($A102,'O&amp;M per TB'!$B$1:Y$375,K$50,FALSE),0)</f>
        <v>0</v>
      </c>
      <c r="L102" s="627">
        <f>IFERROR(VLOOKUP($A102,'O&amp;M per TB'!$B$1:Z$375,L$50,FALSE),0)</f>
        <v>0</v>
      </c>
      <c r="M102" s="627">
        <f>IFERROR(VLOOKUP($A102,'O&amp;M per TB'!$B$1:AA$375,M$50,FALSE),0)</f>
        <v>0</v>
      </c>
      <c r="N102" s="627">
        <f>IFERROR(VLOOKUP($A102,'O&amp;M per TB'!$B$1:AB$375,N$50,FALSE),0)</f>
        <v>0</v>
      </c>
      <c r="O102" s="627">
        <f>IFERROR(VLOOKUP($A102,'O&amp;M per TB'!$B$1:AC$375,O$50,FALSE),0)</f>
        <v>0</v>
      </c>
      <c r="P102" s="627">
        <f>IFERROR(VLOOKUP($A102,'O&amp;M per TB'!$B$1:AD$375,P$50,FALSE),0)</f>
        <v>0</v>
      </c>
      <c r="Q102" s="609">
        <f t="shared" ref="Q102" si="35">SUM(E102:P102)</f>
        <v>0</v>
      </c>
      <c r="R102" s="149">
        <f>+Q102-SUM(E103:P104)</f>
        <v>0</v>
      </c>
    </row>
    <row r="103" spans="1:18">
      <c r="B103" s="527"/>
      <c r="C103" s="570" t="s">
        <v>498</v>
      </c>
      <c r="D103" s="571" t="s">
        <v>1243</v>
      </c>
      <c r="E103" s="643">
        <f>+'12-31-15 Depreciation Exp_PerAR'!D83+'12-31-15 Depreciation Exp_PerAR'!D85</f>
        <v>0</v>
      </c>
      <c r="F103" s="643">
        <f>+'12-31-15 Depreciation Exp_PerAR'!E83+'12-31-15 Depreciation Exp_PerAR'!E85</f>
        <v>0</v>
      </c>
      <c r="G103" s="643">
        <f>+'12-31-15 Depreciation Exp_PerAR'!F83+'12-31-15 Depreciation Exp_PerAR'!F85</f>
        <v>0</v>
      </c>
      <c r="H103" s="643">
        <f>+'12-31-15 Depreciation Exp_PerAR'!G83+'12-31-15 Depreciation Exp_PerAR'!G85</f>
        <v>0</v>
      </c>
      <c r="I103" s="643">
        <f>+'12-31-15 Depreciation Exp_PerAR'!H83+'12-31-15 Depreciation Exp_PerAR'!H85</f>
        <v>0</v>
      </c>
      <c r="J103" s="643">
        <f>+'12-31-15 Depreciation Exp_PerAR'!I83+'12-31-15 Depreciation Exp_PerAR'!I85</f>
        <v>0</v>
      </c>
      <c r="K103" s="643">
        <f>+'12-31-15 Depreciation Exp_PerAR'!J83+'12-31-15 Depreciation Exp_PerAR'!J85</f>
        <v>0</v>
      </c>
      <c r="L103" s="643">
        <f>+'12-31-15 Depreciation Exp_PerAR'!K83+'12-31-15 Depreciation Exp_PerAR'!K85</f>
        <v>0</v>
      </c>
      <c r="M103" s="643">
        <f>+'12-31-15 Depreciation Exp_PerAR'!L83+'12-31-15 Depreciation Exp_PerAR'!L85</f>
        <v>0</v>
      </c>
      <c r="N103" s="643">
        <f>+'12-31-15 Depreciation Exp_PerAR'!M83+'12-31-15 Depreciation Exp_PerAR'!M85</f>
        <v>0</v>
      </c>
      <c r="O103" s="643">
        <f>+'12-31-15 Depreciation Exp_PerAR'!N83+'12-31-15 Depreciation Exp_PerAR'!N85</f>
        <v>0</v>
      </c>
      <c r="P103" s="643">
        <f>+'12-31-15 Depreciation Exp_PerAR'!O83+'12-31-15 Depreciation Exp_PerAR'!O85</f>
        <v>0</v>
      </c>
      <c r="Q103" s="1291"/>
      <c r="R103" s="530">
        <f>SUM(E103:P103)</f>
        <v>0</v>
      </c>
    </row>
    <row r="104" spans="1:18">
      <c r="B104" s="527"/>
      <c r="C104" s="1589" t="s">
        <v>670</v>
      </c>
      <c r="D104" s="1590" t="s">
        <v>1243</v>
      </c>
      <c r="E104" s="1579">
        <f>+'12-31-15 Depreciation Exp_PerAR'!D168+'12-31-15 Depreciation Exp_PerAR'!D170</f>
        <v>0</v>
      </c>
      <c r="F104" s="1579">
        <f>+'12-31-15 Depreciation Exp_PerAR'!E168+'12-31-15 Depreciation Exp_PerAR'!E170</f>
        <v>0</v>
      </c>
      <c r="G104" s="1579">
        <f>+'12-31-15 Depreciation Exp_PerAR'!F168+'12-31-15 Depreciation Exp_PerAR'!F170</f>
        <v>0</v>
      </c>
      <c r="H104" s="1579">
        <f>+'12-31-15 Depreciation Exp_PerAR'!G168+'12-31-15 Depreciation Exp_PerAR'!G170</f>
        <v>0</v>
      </c>
      <c r="I104" s="1579">
        <f>+'12-31-15 Depreciation Exp_PerAR'!H168+'12-31-15 Depreciation Exp_PerAR'!H170</f>
        <v>0</v>
      </c>
      <c r="J104" s="1579">
        <f>+'12-31-15 Depreciation Exp_PerAR'!I168+'12-31-15 Depreciation Exp_PerAR'!I170</f>
        <v>0</v>
      </c>
      <c r="K104" s="1579">
        <f>+'12-31-15 Depreciation Exp_PerAR'!J168+'12-31-15 Depreciation Exp_PerAR'!J170</f>
        <v>0</v>
      </c>
      <c r="L104" s="1579">
        <f>+'12-31-15 Depreciation Exp_PerAR'!K168+'12-31-15 Depreciation Exp_PerAR'!K170</f>
        <v>0</v>
      </c>
      <c r="M104" s="1579">
        <f>+'12-31-15 Depreciation Exp_PerAR'!L168+'12-31-15 Depreciation Exp_PerAR'!L170</f>
        <v>0</v>
      </c>
      <c r="N104" s="1579">
        <f>+'12-31-15 Depreciation Exp_PerAR'!M168+'12-31-15 Depreciation Exp_PerAR'!M170</f>
        <v>0</v>
      </c>
      <c r="O104" s="1579">
        <f>+'12-31-15 Depreciation Exp_PerAR'!N168+'12-31-15 Depreciation Exp_PerAR'!N170</f>
        <v>0</v>
      </c>
      <c r="P104" s="1579">
        <f>+'12-31-15 Depreciation Exp_PerAR'!O168+'12-31-15 Depreciation Exp_PerAR'!O170</f>
        <v>0</v>
      </c>
      <c r="Q104" s="1292"/>
      <c r="R104" s="530">
        <f>SUM(E104:P104)</f>
        <v>0</v>
      </c>
    </row>
    <row r="105" spans="1:18">
      <c r="B105" s="527"/>
      <c r="C105" s="526"/>
      <c r="Q105" s="609"/>
    </row>
    <row r="106" spans="1:18">
      <c r="B106" s="527"/>
      <c r="C106" s="527"/>
      <c r="D106" s="522"/>
      <c r="Q106" s="609"/>
    </row>
    <row r="107" spans="1:18">
      <c r="A107" s="528">
        <v>5025</v>
      </c>
      <c r="B107" s="521">
        <v>461.1</v>
      </c>
      <c r="C107" s="519" t="s">
        <v>344</v>
      </c>
      <c r="D107" s="522"/>
      <c r="E107" s="627">
        <f>IFERROR(VLOOKUP($A107,'O&amp;M per TB'!$B$1:S$375,E$50,FALSE),0)</f>
        <v>0</v>
      </c>
      <c r="F107" s="627">
        <f>IFERROR(VLOOKUP($A107,'O&amp;M per TB'!$B$1:T$375,F$50,FALSE),0)</f>
        <v>0</v>
      </c>
      <c r="G107" s="627">
        <f>IFERROR(VLOOKUP($A107,'O&amp;M per TB'!$B$1:U$375,G$50,FALSE),0)</f>
        <v>0</v>
      </c>
      <c r="H107" s="627">
        <f>IFERROR(VLOOKUP($A107,'O&amp;M per TB'!$B$1:V$375,H$50,FALSE),0)</f>
        <v>0</v>
      </c>
      <c r="I107" s="627">
        <f>IFERROR(VLOOKUP($A107,'O&amp;M per TB'!$B$1:W$375,I$50,FALSE),0)</f>
        <v>0</v>
      </c>
      <c r="J107" s="627">
        <f>IFERROR(VLOOKUP($A107,'O&amp;M per TB'!$B$1:X$375,J$50,FALSE),0)</f>
        <v>0</v>
      </c>
      <c r="K107" s="627">
        <f>IFERROR(VLOOKUP($A107,'O&amp;M per TB'!$B$1:Y$375,K$50,FALSE),0)</f>
        <v>0</v>
      </c>
      <c r="L107" s="627">
        <f>IFERROR(VLOOKUP($A107,'O&amp;M per TB'!$B$1:Z$375,L$50,FALSE),0)</f>
        <v>0</v>
      </c>
      <c r="M107" s="627">
        <f>IFERROR(VLOOKUP($A107,'O&amp;M per TB'!$B$1:AA$375,M$50,FALSE),0)</f>
        <v>0</v>
      </c>
      <c r="N107" s="627">
        <f>IFERROR(VLOOKUP($A107,'O&amp;M per TB'!$B$1:AB$375,N$50,FALSE),0)</f>
        <v>0</v>
      </c>
      <c r="O107" s="627">
        <f>IFERROR(VLOOKUP($A107,'O&amp;M per TB'!$B$1:AC$375,O$50,FALSE),0)</f>
        <v>0</v>
      </c>
      <c r="P107" s="627">
        <f>IFERROR(VLOOKUP($A107,'O&amp;M per TB'!$B$1:AD$375,P$50,FALSE),0)</f>
        <v>0</v>
      </c>
      <c r="Q107" s="609">
        <f t="shared" ref="Q107:Q111" si="36">SUM(E107:P107)</f>
        <v>0</v>
      </c>
    </row>
    <row r="108" spans="1:18">
      <c r="A108" s="528">
        <v>5030</v>
      </c>
      <c r="B108" s="521">
        <v>461.1</v>
      </c>
      <c r="C108" s="519" t="s">
        <v>328</v>
      </c>
      <c r="D108" s="522"/>
      <c r="E108" s="627">
        <f>IFERROR(VLOOKUP($A108,'O&amp;M per TB'!$B$1:S$375,E$50,FALSE),0)</f>
        <v>0</v>
      </c>
      <c r="F108" s="627">
        <f>IFERROR(VLOOKUP($A108,'O&amp;M per TB'!$B$1:T$375,F$50,FALSE),0)</f>
        <v>0</v>
      </c>
      <c r="G108" s="627">
        <f>IFERROR(VLOOKUP($A108,'O&amp;M per TB'!$B$1:U$375,G$50,FALSE),0)</f>
        <v>0</v>
      </c>
      <c r="H108" s="627">
        <f>IFERROR(VLOOKUP($A108,'O&amp;M per TB'!$B$1:V$375,H$50,FALSE),0)</f>
        <v>0</v>
      </c>
      <c r="I108" s="627">
        <f>IFERROR(VLOOKUP($A108,'O&amp;M per TB'!$B$1:W$375,I$50,FALSE),0)</f>
        <v>0</v>
      </c>
      <c r="J108" s="627">
        <f>IFERROR(VLOOKUP($A108,'O&amp;M per TB'!$B$1:X$375,J$50,FALSE),0)</f>
        <v>0</v>
      </c>
      <c r="K108" s="627">
        <f>IFERROR(VLOOKUP($A108,'O&amp;M per TB'!$B$1:Y$375,K$50,FALSE),0)</f>
        <v>0</v>
      </c>
      <c r="L108" s="627">
        <f>IFERROR(VLOOKUP($A108,'O&amp;M per TB'!$B$1:Z$375,L$50,FALSE),0)</f>
        <v>0</v>
      </c>
      <c r="M108" s="627">
        <f>IFERROR(VLOOKUP($A108,'O&amp;M per TB'!$B$1:AA$375,M$50,FALSE),0)</f>
        <v>0</v>
      </c>
      <c r="N108" s="627">
        <f>IFERROR(VLOOKUP($A108,'O&amp;M per TB'!$B$1:AB$375,N$50,FALSE),0)</f>
        <v>0</v>
      </c>
      <c r="O108" s="627">
        <f>IFERROR(VLOOKUP($A108,'O&amp;M per TB'!$B$1:AC$375,O$50,FALSE),0)</f>
        <v>0</v>
      </c>
      <c r="P108" s="627">
        <f>IFERROR(VLOOKUP($A108,'O&amp;M per TB'!$B$1:AD$375,P$50,FALSE),0)</f>
        <v>0</v>
      </c>
      <c r="Q108" s="609">
        <f t="shared" si="36"/>
        <v>0</v>
      </c>
    </row>
    <row r="109" spans="1:18">
      <c r="A109" s="528">
        <v>5035</v>
      </c>
      <c r="B109" s="521">
        <v>461.2</v>
      </c>
      <c r="C109" s="519" t="s">
        <v>342</v>
      </c>
      <c r="D109" s="522"/>
      <c r="E109" s="627">
        <f>IFERROR(VLOOKUP($A109,'O&amp;M per TB'!$B$1:S$375,E$50,FALSE),0)</f>
        <v>0</v>
      </c>
      <c r="F109" s="627">
        <f>IFERROR(VLOOKUP($A109,'O&amp;M per TB'!$B$1:T$375,F$50,FALSE),0)</f>
        <v>0</v>
      </c>
      <c r="G109" s="627">
        <f>IFERROR(VLOOKUP($A109,'O&amp;M per TB'!$B$1:U$375,G$50,FALSE),0)</f>
        <v>0</v>
      </c>
      <c r="H109" s="627">
        <f>IFERROR(VLOOKUP($A109,'O&amp;M per TB'!$B$1:V$375,H$50,FALSE),0)</f>
        <v>0</v>
      </c>
      <c r="I109" s="627">
        <f>IFERROR(VLOOKUP($A109,'O&amp;M per TB'!$B$1:W$375,I$50,FALSE),0)</f>
        <v>0</v>
      </c>
      <c r="J109" s="627">
        <f>IFERROR(VLOOKUP($A109,'O&amp;M per TB'!$B$1:X$375,J$50,FALSE),0)</f>
        <v>0</v>
      </c>
      <c r="K109" s="627">
        <f>IFERROR(VLOOKUP($A109,'O&amp;M per TB'!$B$1:Y$375,K$50,FALSE),0)</f>
        <v>0</v>
      </c>
      <c r="L109" s="627">
        <f>IFERROR(VLOOKUP($A109,'O&amp;M per TB'!$B$1:Z$375,L$50,FALSE),0)</f>
        <v>0</v>
      </c>
      <c r="M109" s="627">
        <f>IFERROR(VLOOKUP($A109,'O&amp;M per TB'!$B$1:AA$375,M$50,FALSE),0)</f>
        <v>0</v>
      </c>
      <c r="N109" s="627">
        <f>IFERROR(VLOOKUP($A109,'O&amp;M per TB'!$B$1:AB$375,N$50,FALSE),0)</f>
        <v>0</v>
      </c>
      <c r="O109" s="627">
        <f>IFERROR(VLOOKUP($A109,'O&amp;M per TB'!$B$1:AC$375,O$50,FALSE),0)</f>
        <v>0</v>
      </c>
      <c r="P109" s="627">
        <f>IFERROR(VLOOKUP($A109,'O&amp;M per TB'!$B$1:AD$375,P$50,FALSE),0)</f>
        <v>0</v>
      </c>
      <c r="Q109" s="609">
        <f t="shared" si="36"/>
        <v>0</v>
      </c>
    </row>
    <row r="110" spans="1:18">
      <c r="A110" s="528">
        <v>5050</v>
      </c>
      <c r="B110" s="521">
        <v>461.5</v>
      </c>
      <c r="C110" s="519" t="s">
        <v>343</v>
      </c>
      <c r="D110" s="522"/>
      <c r="E110" s="627">
        <f>IFERROR(VLOOKUP($A110,'O&amp;M per TB'!$B$1:S$375,E$50,FALSE),0)</f>
        <v>0</v>
      </c>
      <c r="F110" s="627">
        <f>IFERROR(VLOOKUP($A110,'O&amp;M per TB'!$B$1:T$375,F$50,FALSE),0)</f>
        <v>0</v>
      </c>
      <c r="G110" s="627">
        <f>IFERROR(VLOOKUP($A110,'O&amp;M per TB'!$B$1:U$375,G$50,FALSE),0)</f>
        <v>0</v>
      </c>
      <c r="H110" s="627">
        <f>IFERROR(VLOOKUP($A110,'O&amp;M per TB'!$B$1:V$375,H$50,FALSE),0)</f>
        <v>0</v>
      </c>
      <c r="I110" s="627">
        <f>IFERROR(VLOOKUP($A110,'O&amp;M per TB'!$B$1:W$375,I$50,FALSE),0)</f>
        <v>0</v>
      </c>
      <c r="J110" s="627">
        <f>IFERROR(VLOOKUP($A110,'O&amp;M per TB'!$B$1:X$375,J$50,FALSE),0)</f>
        <v>0</v>
      </c>
      <c r="K110" s="627">
        <f>IFERROR(VLOOKUP($A110,'O&amp;M per TB'!$B$1:Y$375,K$50,FALSE),0)</f>
        <v>0</v>
      </c>
      <c r="L110" s="627">
        <f>IFERROR(VLOOKUP($A110,'O&amp;M per TB'!$B$1:Z$375,L$50,FALSE),0)</f>
        <v>0</v>
      </c>
      <c r="M110" s="627">
        <f>IFERROR(VLOOKUP($A110,'O&amp;M per TB'!$B$1:AA$375,M$50,FALSE),0)</f>
        <v>0</v>
      </c>
      <c r="N110" s="627">
        <f>IFERROR(VLOOKUP($A110,'O&amp;M per TB'!$B$1:AB$375,N$50,FALSE),0)</f>
        <v>0</v>
      </c>
      <c r="O110" s="627">
        <f>IFERROR(VLOOKUP($A110,'O&amp;M per TB'!$B$1:AC$375,O$50,FALSE),0)</f>
        <v>0</v>
      </c>
      <c r="P110" s="627">
        <f>IFERROR(VLOOKUP($A110,'O&amp;M per TB'!$B$1:AD$375,P$50,FALSE),0)</f>
        <v>0</v>
      </c>
      <c r="Q110" s="609">
        <f t="shared" si="36"/>
        <v>0</v>
      </c>
    </row>
    <row r="111" spans="1:18">
      <c r="A111" s="528">
        <v>5065</v>
      </c>
      <c r="B111" s="521">
        <v>462.2</v>
      </c>
      <c r="C111" s="519" t="s">
        <v>118</v>
      </c>
      <c r="D111" s="522"/>
      <c r="E111" s="627">
        <f>IFERROR(VLOOKUP($A111,'O&amp;M per TB'!$B$1:S$375,E$50,FALSE),0)</f>
        <v>0</v>
      </c>
      <c r="F111" s="627">
        <f>IFERROR(VLOOKUP($A111,'O&amp;M per TB'!$B$1:T$375,F$50,FALSE),0)</f>
        <v>0</v>
      </c>
      <c r="G111" s="627">
        <f>IFERROR(VLOOKUP($A111,'O&amp;M per TB'!$B$1:U$375,G$50,FALSE),0)</f>
        <v>0</v>
      </c>
      <c r="H111" s="627">
        <f>IFERROR(VLOOKUP($A111,'O&amp;M per TB'!$B$1:V$375,H$50,FALSE),0)</f>
        <v>0</v>
      </c>
      <c r="I111" s="627">
        <f>IFERROR(VLOOKUP($A111,'O&amp;M per TB'!$B$1:W$375,I$50,FALSE),0)</f>
        <v>0</v>
      </c>
      <c r="J111" s="627">
        <f>IFERROR(VLOOKUP($A111,'O&amp;M per TB'!$B$1:X$375,J$50,FALSE),0)</f>
        <v>0</v>
      </c>
      <c r="K111" s="627">
        <f>IFERROR(VLOOKUP($A111,'O&amp;M per TB'!$B$1:Y$375,K$50,FALSE),0)</f>
        <v>0</v>
      </c>
      <c r="L111" s="627">
        <f>IFERROR(VLOOKUP($A111,'O&amp;M per TB'!$B$1:Z$375,L$50,FALSE),0)</f>
        <v>0</v>
      </c>
      <c r="M111" s="627">
        <f>IFERROR(VLOOKUP($A111,'O&amp;M per TB'!$B$1:AA$375,M$50,FALSE),0)</f>
        <v>0</v>
      </c>
      <c r="N111" s="627">
        <f>IFERROR(VLOOKUP($A111,'O&amp;M per TB'!$B$1:AB$375,N$50,FALSE),0)</f>
        <v>0</v>
      </c>
      <c r="O111" s="627">
        <f>IFERROR(VLOOKUP($A111,'O&amp;M per TB'!$B$1:AC$375,O$50,FALSE),0)</f>
        <v>0</v>
      </c>
      <c r="P111" s="627">
        <f>IFERROR(VLOOKUP($A111,'O&amp;M per TB'!$B$1:AD$375,P$50,FALSE),0)</f>
        <v>0</v>
      </c>
      <c r="Q111" s="609">
        <f t="shared" si="36"/>
        <v>0</v>
      </c>
    </row>
    <row r="112" spans="1:18">
      <c r="A112" s="528">
        <v>5100</v>
      </c>
      <c r="B112" s="521">
        <v>521.1</v>
      </c>
      <c r="C112" s="519" t="s">
        <v>329</v>
      </c>
      <c r="D112" s="522"/>
      <c r="E112" s="627">
        <f>IFERROR(VLOOKUP($A112,'O&amp;M per TB'!$B$1:S$375,E$50,FALSE),0)</f>
        <v>-169856.58</v>
      </c>
      <c r="F112" s="627">
        <f>IFERROR(VLOOKUP($A112,'O&amp;M per TB'!$B$1:T$375,F$50,FALSE),0)</f>
        <v>-109108.31000000003</v>
      </c>
      <c r="G112" s="627">
        <f>IFERROR(VLOOKUP($A112,'O&amp;M per TB'!$B$1:U$375,G$50,FALSE),0)</f>
        <v>-129996.84999999998</v>
      </c>
      <c r="H112" s="627">
        <f>IFERROR(VLOOKUP($A112,'O&amp;M per TB'!$B$1:V$375,H$50,FALSE),0)</f>
        <v>-165851.95999999996</v>
      </c>
      <c r="I112" s="627">
        <f>IFERROR(VLOOKUP($A112,'O&amp;M per TB'!$B$1:W$375,I$50,FALSE),0)</f>
        <v>-79404.460000000079</v>
      </c>
      <c r="J112" s="627">
        <f>IFERROR(VLOOKUP($A112,'O&amp;M per TB'!$B$1:X$375,J$50,FALSE),0)</f>
        <v>-212499.15999999992</v>
      </c>
      <c r="K112" s="627">
        <f>IFERROR(VLOOKUP($A112,'O&amp;M per TB'!$B$1:Y$375,K$50,FALSE),0)</f>
        <v>-167601.2300000001</v>
      </c>
      <c r="L112" s="627">
        <f>IFERROR(VLOOKUP($A112,'O&amp;M per TB'!$B$1:Z$375,L$50,FALSE),0)</f>
        <v>-115486.45999999996</v>
      </c>
      <c r="M112" s="627">
        <f>IFERROR(VLOOKUP($A112,'O&amp;M per TB'!$B$1:AA$375,M$50,FALSE),0)</f>
        <v>-67720.209999999963</v>
      </c>
      <c r="N112" s="627">
        <f>IFERROR(VLOOKUP($A112,'O&amp;M per TB'!$B$1:AB$375,N$50,FALSE),0)</f>
        <v>-197070.18999999994</v>
      </c>
      <c r="O112" s="627">
        <f>IFERROR(VLOOKUP($A112,'O&amp;M per TB'!$B$1:AC$375,O$50,FALSE),0)</f>
        <v>-72256.870000000112</v>
      </c>
      <c r="P112" s="627">
        <f>IFERROR(VLOOKUP($A112,'O&amp;M per TB'!$B$1:AD$375,P$50,FALSE),0)</f>
        <v>-205344.90999999992</v>
      </c>
      <c r="Q112" s="609">
        <f t="shared" ref="Q112" si="37">SUM(E112:P112)</f>
        <v>-1692197.19</v>
      </c>
    </row>
    <row r="113" spans="1:19">
      <c r="A113" s="528">
        <v>5105</v>
      </c>
      <c r="B113" s="521">
        <v>521.1</v>
      </c>
      <c r="C113" s="519" t="s">
        <v>330</v>
      </c>
      <c r="D113" s="522"/>
      <c r="E113" s="627">
        <f>IFERROR(VLOOKUP($A113,'O&amp;M per TB'!$B$1:S$375,E$50,FALSE),0)</f>
        <v>11722.31</v>
      </c>
      <c r="F113" s="627">
        <f>IFERROR(VLOOKUP($A113,'O&amp;M per TB'!$B$1:T$375,F$50,FALSE),0)</f>
        <v>-49844.57</v>
      </c>
      <c r="G113" s="627">
        <f>IFERROR(VLOOKUP($A113,'O&amp;M per TB'!$B$1:U$375,G$50,FALSE),0)</f>
        <v>-15495.309999999998</v>
      </c>
      <c r="H113" s="627">
        <f>IFERROR(VLOOKUP($A113,'O&amp;M per TB'!$B$1:V$375,H$50,FALSE),0)</f>
        <v>17087.169999999998</v>
      </c>
      <c r="I113" s="627">
        <f>IFERROR(VLOOKUP($A113,'O&amp;M per TB'!$B$1:W$375,I$50,FALSE),0)</f>
        <v>-81504.26999999999</v>
      </c>
      <c r="J113" s="627">
        <f>IFERROR(VLOOKUP($A113,'O&amp;M per TB'!$B$1:X$375,J$50,FALSE),0)</f>
        <v>63928.35</v>
      </c>
      <c r="K113" s="627">
        <f>IFERROR(VLOOKUP($A113,'O&amp;M per TB'!$B$1:Y$375,K$50,FALSE),0)</f>
        <v>6260.9499999999971</v>
      </c>
      <c r="L113" s="627">
        <f>IFERROR(VLOOKUP($A113,'O&amp;M per TB'!$B$1:Z$375,L$50,FALSE),0)</f>
        <v>-31353.989999999998</v>
      </c>
      <c r="M113" s="627">
        <f>IFERROR(VLOOKUP($A113,'O&amp;M per TB'!$B$1:AA$375,M$50,FALSE),0)</f>
        <v>-93483.51</v>
      </c>
      <c r="N113" s="627">
        <f>IFERROR(VLOOKUP($A113,'O&amp;M per TB'!$B$1:AB$375,N$50,FALSE),0)</f>
        <v>51889.739999999991</v>
      </c>
      <c r="O113" s="627">
        <f>IFERROR(VLOOKUP($A113,'O&amp;M per TB'!$B$1:AC$375,O$50,FALSE),0)</f>
        <v>-88883.459999999992</v>
      </c>
      <c r="P113" s="627">
        <f>IFERROR(VLOOKUP($A113,'O&amp;M per TB'!$B$1:AD$375,P$50,FALSE),0)</f>
        <v>57155.47</v>
      </c>
      <c r="Q113" s="609">
        <f t="shared" ref="Q113:Q121" si="38">SUM(E113:P113)</f>
        <v>-152521.12</v>
      </c>
    </row>
    <row r="114" spans="1:19">
      <c r="A114" s="528">
        <v>5110</v>
      </c>
      <c r="B114" s="521">
        <v>521.20000000000005</v>
      </c>
      <c r="C114" s="519" t="s">
        <v>331</v>
      </c>
      <c r="D114" s="522"/>
      <c r="E114" s="627">
        <f>IFERROR(VLOOKUP($A114,'O&amp;M per TB'!$B$1:S$375,E$50,FALSE),0)</f>
        <v>0</v>
      </c>
      <c r="F114" s="627">
        <f>IFERROR(VLOOKUP($A114,'O&amp;M per TB'!$B$1:T$375,F$50,FALSE),0)</f>
        <v>0</v>
      </c>
      <c r="G114" s="627">
        <f>IFERROR(VLOOKUP($A114,'O&amp;M per TB'!$B$1:U$375,G$50,FALSE),0)</f>
        <v>0</v>
      </c>
      <c r="H114" s="627">
        <f>IFERROR(VLOOKUP($A114,'O&amp;M per TB'!$B$1:V$375,H$50,FALSE),0)</f>
        <v>0</v>
      </c>
      <c r="I114" s="627">
        <f>IFERROR(VLOOKUP($A114,'O&amp;M per TB'!$B$1:W$375,I$50,FALSE),0)</f>
        <v>0</v>
      </c>
      <c r="J114" s="627">
        <f>IFERROR(VLOOKUP($A114,'O&amp;M per TB'!$B$1:X$375,J$50,FALSE),0)</f>
        <v>0</v>
      </c>
      <c r="K114" s="627">
        <f>IFERROR(VLOOKUP($A114,'O&amp;M per TB'!$B$1:Y$375,K$50,FALSE),0)</f>
        <v>0</v>
      </c>
      <c r="L114" s="627">
        <f>IFERROR(VLOOKUP($A114,'O&amp;M per TB'!$B$1:Z$375,L$50,FALSE),0)</f>
        <v>0</v>
      </c>
      <c r="M114" s="627">
        <f>IFERROR(VLOOKUP($A114,'O&amp;M per TB'!$B$1:AA$375,M$50,FALSE),0)</f>
        <v>0</v>
      </c>
      <c r="N114" s="627">
        <f>IFERROR(VLOOKUP($A114,'O&amp;M per TB'!$B$1:AB$375,N$50,FALSE),0)</f>
        <v>0</v>
      </c>
      <c r="O114" s="627">
        <f>IFERROR(VLOOKUP($A114,'O&amp;M per TB'!$B$1:AC$375,O$50,FALSE),0)</f>
        <v>0</v>
      </c>
      <c r="P114" s="627">
        <f>IFERROR(VLOOKUP($A114,'O&amp;M per TB'!$B$1:AD$375,P$50,FALSE),0)</f>
        <v>0</v>
      </c>
      <c r="Q114" s="609">
        <f t="shared" si="38"/>
        <v>0</v>
      </c>
    </row>
    <row r="115" spans="1:19">
      <c r="A115" s="528">
        <v>5120</v>
      </c>
      <c r="B115" s="521">
        <v>521.4</v>
      </c>
      <c r="C115" s="519" t="s">
        <v>332</v>
      </c>
      <c r="D115" s="522"/>
      <c r="E115" s="627">
        <f>IFERROR(VLOOKUP($A115,'O&amp;M per TB'!$B$1:S$375,E$50,FALSE),0)</f>
        <v>0</v>
      </c>
      <c r="F115" s="627">
        <f>IFERROR(VLOOKUP($A115,'O&amp;M per TB'!$B$1:T$375,F$50,FALSE),0)</f>
        <v>0</v>
      </c>
      <c r="G115" s="627">
        <f>IFERROR(VLOOKUP($A115,'O&amp;M per TB'!$B$1:U$375,G$50,FALSE),0)</f>
        <v>0</v>
      </c>
      <c r="H115" s="627">
        <f>IFERROR(VLOOKUP($A115,'O&amp;M per TB'!$B$1:V$375,H$50,FALSE),0)</f>
        <v>0</v>
      </c>
      <c r="I115" s="627">
        <f>IFERROR(VLOOKUP($A115,'O&amp;M per TB'!$B$1:W$375,I$50,FALSE),0)</f>
        <v>0</v>
      </c>
      <c r="J115" s="627">
        <f>IFERROR(VLOOKUP($A115,'O&amp;M per TB'!$B$1:X$375,J$50,FALSE),0)</f>
        <v>0</v>
      </c>
      <c r="K115" s="627">
        <f>IFERROR(VLOOKUP($A115,'O&amp;M per TB'!$B$1:Y$375,K$50,FALSE),0)</f>
        <v>0</v>
      </c>
      <c r="L115" s="627">
        <f>IFERROR(VLOOKUP($A115,'O&amp;M per TB'!$B$1:Z$375,L$50,FALSE),0)</f>
        <v>0</v>
      </c>
      <c r="M115" s="627">
        <f>IFERROR(VLOOKUP($A115,'O&amp;M per TB'!$B$1:AA$375,M$50,FALSE),0)</f>
        <v>0</v>
      </c>
      <c r="N115" s="627">
        <f>IFERROR(VLOOKUP($A115,'O&amp;M per TB'!$B$1:AB$375,N$50,FALSE),0)</f>
        <v>0</v>
      </c>
      <c r="O115" s="627">
        <f>IFERROR(VLOOKUP($A115,'O&amp;M per TB'!$B$1:AC$375,O$50,FALSE),0)</f>
        <v>0</v>
      </c>
      <c r="P115" s="627">
        <f>IFERROR(VLOOKUP($A115,'O&amp;M per TB'!$B$1:AD$375,P$50,FALSE),0)</f>
        <v>0</v>
      </c>
      <c r="Q115" s="609">
        <f t="shared" si="38"/>
        <v>0</v>
      </c>
    </row>
    <row r="116" spans="1:19">
      <c r="A116" s="528">
        <v>5125</v>
      </c>
      <c r="B116" s="521">
        <v>521.5</v>
      </c>
      <c r="C116" s="519" t="s">
        <v>333</v>
      </c>
      <c r="D116" s="522"/>
      <c r="E116" s="627">
        <f>IFERROR(VLOOKUP($A116,'O&amp;M per TB'!$B$1:S$375,E$50,FALSE),0)</f>
        <v>0</v>
      </c>
      <c r="F116" s="627">
        <f>IFERROR(VLOOKUP($A116,'O&amp;M per TB'!$B$1:T$375,F$50,FALSE),0)</f>
        <v>0</v>
      </c>
      <c r="G116" s="627">
        <f>IFERROR(VLOOKUP($A116,'O&amp;M per TB'!$B$1:U$375,G$50,FALSE),0)</f>
        <v>-63.43</v>
      </c>
      <c r="H116" s="627">
        <f>IFERROR(VLOOKUP($A116,'O&amp;M per TB'!$B$1:V$375,H$50,FALSE),0)</f>
        <v>-63.43</v>
      </c>
      <c r="I116" s="627">
        <f>IFERROR(VLOOKUP($A116,'O&amp;M per TB'!$B$1:W$375,I$50,FALSE),0)</f>
        <v>0</v>
      </c>
      <c r="J116" s="627">
        <f>IFERROR(VLOOKUP($A116,'O&amp;M per TB'!$B$1:X$375,J$50,FALSE),0)</f>
        <v>-63.429999999999993</v>
      </c>
      <c r="K116" s="627">
        <f>IFERROR(VLOOKUP($A116,'O&amp;M per TB'!$B$1:Y$375,K$50,FALSE),0)</f>
        <v>0</v>
      </c>
      <c r="L116" s="627">
        <f>IFERROR(VLOOKUP($A116,'O&amp;M per TB'!$B$1:Z$375,L$50,FALSE),0)</f>
        <v>-63.430000000000007</v>
      </c>
      <c r="M116" s="627">
        <f>IFERROR(VLOOKUP($A116,'O&amp;M per TB'!$B$1:AA$375,M$50,FALSE),0)</f>
        <v>0</v>
      </c>
      <c r="N116" s="627">
        <f>IFERROR(VLOOKUP($A116,'O&amp;M per TB'!$B$1:AB$375,N$50,FALSE),0)</f>
        <v>-63.429999999999978</v>
      </c>
      <c r="O116" s="627">
        <f>IFERROR(VLOOKUP($A116,'O&amp;M per TB'!$B$1:AC$375,O$50,FALSE),0)</f>
        <v>0</v>
      </c>
      <c r="P116" s="627">
        <f>IFERROR(VLOOKUP($A116,'O&amp;M per TB'!$B$1:AD$375,P$50,FALSE),0)</f>
        <v>-63.430000000000007</v>
      </c>
      <c r="Q116" s="609">
        <f t="shared" si="38"/>
        <v>-380.58</v>
      </c>
    </row>
    <row r="117" spans="1:19">
      <c r="A117" s="528">
        <v>5140</v>
      </c>
      <c r="B117" s="521">
        <v>522.1</v>
      </c>
      <c r="C117" s="519" t="s">
        <v>334</v>
      </c>
      <c r="D117" s="522"/>
      <c r="E117" s="627">
        <f>IFERROR(VLOOKUP($A117,'O&amp;M per TB'!$B$1:S$375,E$50,FALSE),0)</f>
        <v>0</v>
      </c>
      <c r="F117" s="627">
        <f>IFERROR(VLOOKUP($A117,'O&amp;M per TB'!$B$1:T$375,F$50,FALSE),0)</f>
        <v>0</v>
      </c>
      <c r="G117" s="627">
        <f>IFERROR(VLOOKUP($A117,'O&amp;M per TB'!$B$1:U$375,G$50,FALSE),0)</f>
        <v>0</v>
      </c>
      <c r="H117" s="627">
        <f>IFERROR(VLOOKUP($A117,'O&amp;M per TB'!$B$1:V$375,H$50,FALSE),0)</f>
        <v>0</v>
      </c>
      <c r="I117" s="627">
        <f>IFERROR(VLOOKUP($A117,'O&amp;M per TB'!$B$1:W$375,I$50,FALSE),0)</f>
        <v>0</v>
      </c>
      <c r="J117" s="627">
        <f>IFERROR(VLOOKUP($A117,'O&amp;M per TB'!$B$1:X$375,J$50,FALSE),0)</f>
        <v>0</v>
      </c>
      <c r="K117" s="627">
        <f>IFERROR(VLOOKUP($A117,'O&amp;M per TB'!$B$1:Y$375,K$50,FALSE),0)</f>
        <v>0</v>
      </c>
      <c r="L117" s="627">
        <f>IFERROR(VLOOKUP($A117,'O&amp;M per TB'!$B$1:Z$375,L$50,FALSE),0)</f>
        <v>0</v>
      </c>
      <c r="M117" s="627">
        <f>IFERROR(VLOOKUP($A117,'O&amp;M per TB'!$B$1:AA$375,M$50,FALSE),0)</f>
        <v>0</v>
      </c>
      <c r="N117" s="627">
        <f>IFERROR(VLOOKUP($A117,'O&amp;M per TB'!$B$1:AB$375,N$50,FALSE),0)</f>
        <v>0</v>
      </c>
      <c r="O117" s="627">
        <f>IFERROR(VLOOKUP($A117,'O&amp;M per TB'!$B$1:AC$375,O$50,FALSE),0)</f>
        <v>0</v>
      </c>
      <c r="P117" s="627">
        <f>IFERROR(VLOOKUP($A117,'O&amp;M per TB'!$B$1:AD$375,P$50,FALSE),0)</f>
        <v>0</v>
      </c>
      <c r="Q117" s="609">
        <f t="shared" si="38"/>
        <v>0</v>
      </c>
    </row>
    <row r="118" spans="1:19">
      <c r="A118" s="528">
        <v>5155</v>
      </c>
      <c r="B118" s="521">
        <v>522.20000000000005</v>
      </c>
      <c r="C118" s="519" t="s">
        <v>335</v>
      </c>
      <c r="D118" s="522"/>
      <c r="E118" s="627">
        <f>IFERROR(VLOOKUP($A118,'O&amp;M per TB'!$B$1:S$375,E$50,FALSE),0)</f>
        <v>-3432.36</v>
      </c>
      <c r="F118" s="627">
        <f>IFERROR(VLOOKUP($A118,'O&amp;M per TB'!$B$1:T$375,F$50,FALSE),0)</f>
        <v>0</v>
      </c>
      <c r="G118" s="627">
        <f>IFERROR(VLOOKUP($A118,'O&amp;M per TB'!$B$1:U$375,G$50,FALSE),0)</f>
        <v>-14655.759999999998</v>
      </c>
      <c r="H118" s="627">
        <f>IFERROR(VLOOKUP($A118,'O&amp;M per TB'!$B$1:V$375,H$50,FALSE),0)</f>
        <v>-11864.920000000002</v>
      </c>
      <c r="I118" s="627">
        <f>IFERROR(VLOOKUP($A118,'O&amp;M per TB'!$B$1:W$375,I$50,FALSE),0)</f>
        <v>0</v>
      </c>
      <c r="J118" s="627">
        <f>IFERROR(VLOOKUP($A118,'O&amp;M per TB'!$B$1:X$375,J$50,FALSE),0)</f>
        <v>-12509.549999999996</v>
      </c>
      <c r="K118" s="627">
        <f>IFERROR(VLOOKUP($A118,'O&amp;M per TB'!$B$1:Y$375,K$50,FALSE),0)</f>
        <v>0</v>
      </c>
      <c r="L118" s="627">
        <f>IFERROR(VLOOKUP($A118,'O&amp;M per TB'!$B$1:Z$375,L$50,FALSE),0)</f>
        <v>-14748.520000000004</v>
      </c>
      <c r="M118" s="627">
        <f>IFERROR(VLOOKUP($A118,'O&amp;M per TB'!$B$1:AA$375,M$50,FALSE),0)</f>
        <v>51.029999999998836</v>
      </c>
      <c r="N118" s="627">
        <f>IFERROR(VLOOKUP($A118,'O&amp;M per TB'!$B$1:AB$375,N$50,FALSE),0)</f>
        <v>-15492.399999999994</v>
      </c>
      <c r="O118" s="627">
        <f>IFERROR(VLOOKUP($A118,'O&amp;M per TB'!$B$1:AC$375,O$50,FALSE),0)</f>
        <v>0</v>
      </c>
      <c r="P118" s="627">
        <f>IFERROR(VLOOKUP($A118,'O&amp;M per TB'!$B$1:AD$375,P$50,FALSE),0)</f>
        <v>-13549.770000000004</v>
      </c>
      <c r="Q118" s="609">
        <f t="shared" si="38"/>
        <v>-86202.25</v>
      </c>
    </row>
    <row r="119" spans="1:19">
      <c r="A119" s="528">
        <v>5170</v>
      </c>
      <c r="B119" s="521">
        <v>522.5</v>
      </c>
      <c r="C119" s="519" t="s">
        <v>336</v>
      </c>
      <c r="D119" s="522"/>
      <c r="E119" s="627">
        <f>IFERROR(VLOOKUP($A119,'O&amp;M per TB'!$B$1:S$375,E$50,FALSE),0)</f>
        <v>0</v>
      </c>
      <c r="F119" s="627">
        <f>IFERROR(VLOOKUP($A119,'O&amp;M per TB'!$B$1:T$375,F$50,FALSE),0)</f>
        <v>0</v>
      </c>
      <c r="G119" s="627">
        <f>IFERROR(VLOOKUP($A119,'O&amp;M per TB'!$B$1:U$375,G$50,FALSE),0)</f>
        <v>0</v>
      </c>
      <c r="H119" s="627">
        <f>IFERROR(VLOOKUP($A119,'O&amp;M per TB'!$B$1:V$375,H$50,FALSE),0)</f>
        <v>0</v>
      </c>
      <c r="I119" s="627">
        <f>IFERROR(VLOOKUP($A119,'O&amp;M per TB'!$B$1:W$375,I$50,FALSE),0)</f>
        <v>0</v>
      </c>
      <c r="J119" s="627">
        <f>IFERROR(VLOOKUP($A119,'O&amp;M per TB'!$B$1:X$375,J$50,FALSE),0)</f>
        <v>0</v>
      </c>
      <c r="K119" s="627">
        <f>IFERROR(VLOOKUP($A119,'O&amp;M per TB'!$B$1:Y$375,K$50,FALSE),0)</f>
        <v>0</v>
      </c>
      <c r="L119" s="627">
        <f>IFERROR(VLOOKUP($A119,'O&amp;M per TB'!$B$1:Z$375,L$50,FALSE),0)</f>
        <v>0</v>
      </c>
      <c r="M119" s="627">
        <f>IFERROR(VLOOKUP($A119,'O&amp;M per TB'!$B$1:AA$375,M$50,FALSE),0)</f>
        <v>0</v>
      </c>
      <c r="N119" s="627">
        <f>IFERROR(VLOOKUP($A119,'O&amp;M per TB'!$B$1:AB$375,N$50,FALSE),0)</f>
        <v>0</v>
      </c>
      <c r="O119" s="627">
        <f>IFERROR(VLOOKUP($A119,'O&amp;M per TB'!$B$1:AC$375,O$50,FALSE),0)</f>
        <v>0</v>
      </c>
      <c r="P119" s="627">
        <f>IFERROR(VLOOKUP($A119,'O&amp;M per TB'!$B$1:AD$375,P$50,FALSE),0)</f>
        <v>0</v>
      </c>
      <c r="Q119" s="609">
        <f t="shared" si="38"/>
        <v>0</v>
      </c>
    </row>
    <row r="120" spans="1:19">
      <c r="A120" s="528">
        <v>5200</v>
      </c>
      <c r="B120" s="521">
        <v>540.1</v>
      </c>
      <c r="C120" s="519" t="s">
        <v>337</v>
      </c>
      <c r="D120" s="522"/>
      <c r="E120" s="627">
        <f>IFERROR(VLOOKUP($A120,'O&amp;M per TB'!$B$1:S$375,E$50,FALSE),0)</f>
        <v>0</v>
      </c>
      <c r="F120" s="627">
        <f>IFERROR(VLOOKUP($A120,'O&amp;M per TB'!$B$1:T$375,F$50,FALSE),0)</f>
        <v>0</v>
      </c>
      <c r="G120" s="627">
        <f>IFERROR(VLOOKUP($A120,'O&amp;M per TB'!$B$1:U$375,G$50,FALSE),0)</f>
        <v>0</v>
      </c>
      <c r="H120" s="627">
        <f>IFERROR(VLOOKUP($A120,'O&amp;M per TB'!$B$1:V$375,H$50,FALSE),0)</f>
        <v>0</v>
      </c>
      <c r="I120" s="627">
        <f>IFERROR(VLOOKUP($A120,'O&amp;M per TB'!$B$1:W$375,I$50,FALSE),0)</f>
        <v>0</v>
      </c>
      <c r="J120" s="627">
        <f>IFERROR(VLOOKUP($A120,'O&amp;M per TB'!$B$1:X$375,J$50,FALSE),0)</f>
        <v>0</v>
      </c>
      <c r="K120" s="627">
        <f>IFERROR(VLOOKUP($A120,'O&amp;M per TB'!$B$1:Y$375,K$50,FALSE),0)</f>
        <v>0</v>
      </c>
      <c r="L120" s="627">
        <f>IFERROR(VLOOKUP($A120,'O&amp;M per TB'!$B$1:Z$375,L$50,FALSE),0)</f>
        <v>0</v>
      </c>
      <c r="M120" s="627">
        <f>IFERROR(VLOOKUP($A120,'O&amp;M per TB'!$B$1:AA$375,M$50,FALSE),0)</f>
        <v>0</v>
      </c>
      <c r="N120" s="627">
        <f>IFERROR(VLOOKUP($A120,'O&amp;M per TB'!$B$1:AB$375,N$50,FALSE),0)</f>
        <v>0</v>
      </c>
      <c r="O120" s="627">
        <f>IFERROR(VLOOKUP($A120,'O&amp;M per TB'!$B$1:AC$375,O$50,FALSE),0)</f>
        <v>0</v>
      </c>
      <c r="P120" s="627">
        <f>IFERROR(VLOOKUP($A120,'O&amp;M per TB'!$B$1:AD$375,P$50,FALSE),0)</f>
        <v>0</v>
      </c>
      <c r="Q120" s="609">
        <f t="shared" si="38"/>
        <v>0</v>
      </c>
    </row>
    <row r="121" spans="1:19">
      <c r="A121" s="528">
        <v>5230</v>
      </c>
      <c r="B121" s="521">
        <v>541.1</v>
      </c>
      <c r="C121" s="519" t="s">
        <v>1794</v>
      </c>
      <c r="D121" s="522"/>
      <c r="E121" s="627">
        <f>IFERROR(VLOOKUP($A121,'O&amp;M per TB'!$B$1:S$375,E$50,FALSE),0)</f>
        <v>0</v>
      </c>
      <c r="F121" s="627">
        <f>IFERROR(VLOOKUP($A121,'O&amp;M per TB'!$B$1:T$375,F$50,FALSE),0)</f>
        <v>0</v>
      </c>
      <c r="G121" s="627">
        <f>IFERROR(VLOOKUP($A121,'O&amp;M per TB'!$B$1:U$375,G$50,FALSE),0)</f>
        <v>0</v>
      </c>
      <c r="H121" s="627">
        <f>IFERROR(VLOOKUP($A121,'O&amp;M per TB'!$B$1:V$375,H$50,FALSE),0)</f>
        <v>0</v>
      </c>
      <c r="I121" s="627">
        <f>IFERROR(VLOOKUP($A121,'O&amp;M per TB'!$B$1:W$375,I$50,FALSE),0)</f>
        <v>0</v>
      </c>
      <c r="J121" s="627">
        <f>IFERROR(VLOOKUP($A121,'O&amp;M per TB'!$B$1:X$375,J$50,FALSE),0)</f>
        <v>0</v>
      </c>
      <c r="K121" s="627">
        <f>IFERROR(VLOOKUP($A121,'O&amp;M per TB'!$B$1:Y$375,K$50,FALSE),0)</f>
        <v>0</v>
      </c>
      <c r="L121" s="627">
        <f>IFERROR(VLOOKUP($A121,'O&amp;M per TB'!$B$1:Z$375,L$50,FALSE),0)</f>
        <v>0</v>
      </c>
      <c r="M121" s="627">
        <f>IFERROR(VLOOKUP($A121,'O&amp;M per TB'!$B$1:AA$375,M$50,FALSE),0)</f>
        <v>0</v>
      </c>
      <c r="N121" s="627">
        <f>IFERROR(VLOOKUP($A121,'O&amp;M per TB'!$B$1:AB$375,N$50,FALSE),0)</f>
        <v>0</v>
      </c>
      <c r="O121" s="627">
        <f>IFERROR(VLOOKUP($A121,'O&amp;M per TB'!$B$1:AC$375,O$50,FALSE),0)</f>
        <v>0</v>
      </c>
      <c r="P121" s="627">
        <f>IFERROR(VLOOKUP($A121,'O&amp;M per TB'!$B$1:AD$375,P$50,FALSE),0)</f>
        <v>0</v>
      </c>
      <c r="Q121" s="609">
        <f t="shared" si="38"/>
        <v>0</v>
      </c>
    </row>
    <row r="122" spans="1:19">
      <c r="A122" s="528">
        <v>5270</v>
      </c>
      <c r="B122" s="521" t="s">
        <v>340</v>
      </c>
      <c r="C122" s="519" t="s">
        <v>338</v>
      </c>
      <c r="D122" s="522"/>
      <c r="E122" s="627">
        <f>IFERROR(VLOOKUP($A122,'O&amp;M per TB'!$B$1:S$375,E$50,FALSE),0)</f>
        <v>-3.51</v>
      </c>
      <c r="F122" s="627">
        <f>IFERROR(VLOOKUP($A122,'O&amp;M per TB'!$B$1:T$375,F$50,FALSE),0)</f>
        <v>-1350</v>
      </c>
      <c r="G122" s="627">
        <f>IFERROR(VLOOKUP($A122,'O&amp;M per TB'!$B$1:U$375,G$50,FALSE),0)</f>
        <v>-300</v>
      </c>
      <c r="H122" s="627">
        <f>IFERROR(VLOOKUP($A122,'O&amp;M per TB'!$B$1:V$375,H$50,FALSE),0)</f>
        <v>0</v>
      </c>
      <c r="I122" s="627">
        <f>IFERROR(VLOOKUP($A122,'O&amp;M per TB'!$B$1:W$375,I$50,FALSE),0)</f>
        <v>0</v>
      </c>
      <c r="J122" s="627">
        <f>IFERROR(VLOOKUP($A122,'O&amp;M per TB'!$B$1:X$375,J$50,FALSE),0)</f>
        <v>0</v>
      </c>
      <c r="K122" s="627">
        <f>IFERROR(VLOOKUP($A122,'O&amp;M per TB'!$B$1:Y$375,K$50,FALSE),0)</f>
        <v>0</v>
      </c>
      <c r="L122" s="627">
        <f>IFERROR(VLOOKUP($A122,'O&amp;M per TB'!$B$1:Z$375,L$50,FALSE),0)</f>
        <v>0</v>
      </c>
      <c r="M122" s="627">
        <f>IFERROR(VLOOKUP($A122,'O&amp;M per TB'!$B$1:AA$375,M$50,FALSE),0)</f>
        <v>0</v>
      </c>
      <c r="N122" s="627">
        <f>IFERROR(VLOOKUP($A122,'O&amp;M per TB'!$B$1:AB$375,N$50,FALSE),0)</f>
        <v>-450.00000000000023</v>
      </c>
      <c r="O122" s="627">
        <f>IFERROR(VLOOKUP($A122,'O&amp;M per TB'!$B$1:AC$375,O$50,FALSE),0)</f>
        <v>0</v>
      </c>
      <c r="P122" s="627">
        <f>IFERROR(VLOOKUP($A122,'O&amp;M per TB'!$B$1:AD$375,P$50,FALSE),0)</f>
        <v>0</v>
      </c>
      <c r="Q122" s="609">
        <f t="shared" ref="Q122:Q123" si="39">SUM(E122:P122)</f>
        <v>-2103.5100000000002</v>
      </c>
    </row>
    <row r="123" spans="1:19">
      <c r="A123" s="528">
        <v>5285</v>
      </c>
      <c r="B123" s="521" t="s">
        <v>341</v>
      </c>
      <c r="C123" s="519" t="s">
        <v>339</v>
      </c>
      <c r="D123" s="522"/>
      <c r="E123" s="627">
        <f>IFERROR(VLOOKUP($A123,'O&amp;M per TB'!$B$1:S$375,E$50,FALSE),0)</f>
        <v>-21</v>
      </c>
      <c r="F123" s="627">
        <f>IFERROR(VLOOKUP($A123,'O&amp;M per TB'!$B$1:T$375,F$50,FALSE),0)</f>
        <v>0</v>
      </c>
      <c r="G123" s="627">
        <f>IFERROR(VLOOKUP($A123,'O&amp;M per TB'!$B$1:U$375,G$50,FALSE),0)</f>
        <v>0</v>
      </c>
      <c r="H123" s="627">
        <f>IFERROR(VLOOKUP($A123,'O&amp;M per TB'!$B$1:V$375,H$50,FALSE),0)</f>
        <v>0</v>
      </c>
      <c r="I123" s="627">
        <f>IFERROR(VLOOKUP($A123,'O&amp;M per TB'!$B$1:W$375,I$50,FALSE),0)</f>
        <v>0</v>
      </c>
      <c r="J123" s="627">
        <f>IFERROR(VLOOKUP($A123,'O&amp;M per TB'!$B$1:X$375,J$50,FALSE),0)</f>
        <v>0</v>
      </c>
      <c r="K123" s="627">
        <f>IFERROR(VLOOKUP($A123,'O&amp;M per TB'!$B$1:Y$375,K$50,FALSE),0)</f>
        <v>0</v>
      </c>
      <c r="L123" s="627">
        <f>IFERROR(VLOOKUP($A123,'O&amp;M per TB'!$B$1:Z$375,L$50,FALSE),0)</f>
        <v>0</v>
      </c>
      <c r="M123" s="627">
        <f>IFERROR(VLOOKUP($A123,'O&amp;M per TB'!$B$1:AA$375,M$50,FALSE),0)</f>
        <v>0</v>
      </c>
      <c r="N123" s="627">
        <f>IFERROR(VLOOKUP($A123,'O&amp;M per TB'!$B$1:AB$375,N$50,FALSE),0)</f>
        <v>0</v>
      </c>
      <c r="O123" s="627">
        <f>IFERROR(VLOOKUP($A123,'O&amp;M per TB'!$B$1:AC$375,O$50,FALSE),0)</f>
        <v>0</v>
      </c>
      <c r="P123" s="627">
        <f>IFERROR(VLOOKUP($A123,'O&amp;M per TB'!$B$1:AD$375,P$50,FALSE),0)</f>
        <v>0</v>
      </c>
      <c r="Q123" s="609">
        <f t="shared" si="39"/>
        <v>-21</v>
      </c>
    </row>
    <row r="124" spans="1:19">
      <c r="B124" s="527"/>
      <c r="C124" s="526" t="s">
        <v>844</v>
      </c>
      <c r="D124" s="522"/>
      <c r="E124" s="643">
        <f>SUM(E107:E123)</f>
        <v>-161591.13999999998</v>
      </c>
      <c r="F124" s="643">
        <f t="shared" ref="F124:Q124" si="40">SUM(F107:F123)</f>
        <v>-160302.88000000003</v>
      </c>
      <c r="G124" s="643">
        <f t="shared" si="40"/>
        <v>-160511.34999999998</v>
      </c>
      <c r="H124" s="643">
        <f t="shared" si="40"/>
        <v>-160693.13999999998</v>
      </c>
      <c r="I124" s="643">
        <f t="shared" si="40"/>
        <v>-160908.73000000007</v>
      </c>
      <c r="J124" s="643">
        <f t="shared" si="40"/>
        <v>-161143.78999999989</v>
      </c>
      <c r="K124" s="643">
        <f t="shared" si="40"/>
        <v>-161340.28000000009</v>
      </c>
      <c r="L124" s="643">
        <f t="shared" si="40"/>
        <v>-161652.39999999997</v>
      </c>
      <c r="M124" s="643">
        <f t="shared" si="40"/>
        <v>-161152.68999999997</v>
      </c>
      <c r="N124" s="643">
        <f t="shared" si="40"/>
        <v>-161186.27999999994</v>
      </c>
      <c r="O124" s="643">
        <f t="shared" si="40"/>
        <v>-161140.3300000001</v>
      </c>
      <c r="P124" s="643">
        <f t="shared" si="40"/>
        <v>-161802.6399999999</v>
      </c>
      <c r="Q124" s="1289">
        <f t="shared" si="40"/>
        <v>-1933425.6500000001</v>
      </c>
    </row>
    <row r="125" spans="1:19">
      <c r="B125" s="527"/>
      <c r="C125" s="570" t="s">
        <v>498</v>
      </c>
      <c r="D125" s="577"/>
      <c r="E125" s="1654">
        <f>+E107+E108+E109+E110+E111+((E122*$E$21))</f>
        <v>0</v>
      </c>
      <c r="F125" s="643">
        <f t="shared" ref="F125:P125" si="41">+F107+F108+F109+F110+F111+((F122*$E$21)+(F123/2))</f>
        <v>0</v>
      </c>
      <c r="G125" s="643">
        <f t="shared" si="41"/>
        <v>0</v>
      </c>
      <c r="H125" s="643">
        <f t="shared" si="41"/>
        <v>0</v>
      </c>
      <c r="I125" s="643">
        <f t="shared" si="41"/>
        <v>0</v>
      </c>
      <c r="J125" s="643">
        <f t="shared" si="41"/>
        <v>0</v>
      </c>
      <c r="K125" s="643">
        <f t="shared" si="41"/>
        <v>0</v>
      </c>
      <c r="L125" s="643">
        <f t="shared" si="41"/>
        <v>0</v>
      </c>
      <c r="M125" s="643">
        <f t="shared" si="41"/>
        <v>0</v>
      </c>
      <c r="N125" s="643">
        <f t="shared" si="41"/>
        <v>0</v>
      </c>
      <c r="O125" s="643">
        <f t="shared" si="41"/>
        <v>0</v>
      </c>
      <c r="P125" s="643">
        <f t="shared" si="41"/>
        <v>0</v>
      </c>
      <c r="Q125" s="1289">
        <f>SUM(E125:P125)</f>
        <v>0</v>
      </c>
    </row>
    <row r="126" spans="1:19">
      <c r="B126" s="527"/>
      <c r="C126" s="1589" t="s">
        <v>499</v>
      </c>
      <c r="D126" s="1594"/>
      <c r="E126" s="1579">
        <f>+E112+E113+E114+E115+E116+E117+E118+E119+E120+E121+((E122*$F$21)+(E123))</f>
        <v>-161591.13999999998</v>
      </c>
      <c r="F126" s="1579">
        <f t="shared" ref="F126:P126" si="42">+F112+F113+F114+F115+F116+F117+F118+F119+F120+F121+((F122*$F$21)+(F123/2))</f>
        <v>-160302.88000000003</v>
      </c>
      <c r="G126" s="1579">
        <f t="shared" si="42"/>
        <v>-160511.34999999998</v>
      </c>
      <c r="H126" s="1579">
        <f t="shared" si="42"/>
        <v>-160693.13999999998</v>
      </c>
      <c r="I126" s="1579">
        <f t="shared" si="42"/>
        <v>-160908.73000000007</v>
      </c>
      <c r="J126" s="1579">
        <f t="shared" si="42"/>
        <v>-161143.78999999989</v>
      </c>
      <c r="K126" s="1579">
        <f t="shared" si="42"/>
        <v>-161340.28000000009</v>
      </c>
      <c r="L126" s="1579">
        <f t="shared" si="42"/>
        <v>-161652.39999999997</v>
      </c>
      <c r="M126" s="1579">
        <f t="shared" si="42"/>
        <v>-161152.68999999997</v>
      </c>
      <c r="N126" s="1579">
        <f t="shared" si="42"/>
        <v>-161186.27999999994</v>
      </c>
      <c r="O126" s="1579">
        <f t="shared" si="42"/>
        <v>-161140.3300000001</v>
      </c>
      <c r="P126" s="1579">
        <f t="shared" si="42"/>
        <v>-161802.6399999999</v>
      </c>
      <c r="Q126" s="1595">
        <f>SUM(E126:P126)</f>
        <v>-1933425.65</v>
      </c>
    </row>
    <row r="127" spans="1:19">
      <c r="B127" s="527"/>
      <c r="C127" s="576"/>
      <c r="D127" s="578"/>
      <c r="E127" s="635"/>
      <c r="F127" s="635"/>
      <c r="G127" s="635"/>
      <c r="H127" s="635"/>
      <c r="I127" s="635"/>
      <c r="J127" s="635"/>
      <c r="K127" s="635"/>
      <c r="L127" s="635"/>
      <c r="M127" s="635"/>
      <c r="N127" s="635"/>
      <c r="O127" s="635"/>
      <c r="P127" s="635"/>
      <c r="Q127" s="599"/>
    </row>
    <row r="128" spans="1:19">
      <c r="B128" s="527"/>
      <c r="C128" s="526" t="s">
        <v>1275</v>
      </c>
      <c r="D128" s="522"/>
      <c r="E128" s="634">
        <f t="shared" ref="E128:P128" si="43">+E77+E86+E97+E102+E124+E67+E61+E54+E72+E82</f>
        <v>-153939.88999999998</v>
      </c>
      <c r="F128" s="634">
        <f t="shared" si="43"/>
        <v>-158506.23000000001</v>
      </c>
      <c r="G128" s="634">
        <f t="shared" si="43"/>
        <v>-149801.87999999998</v>
      </c>
      <c r="H128" s="634">
        <f t="shared" si="43"/>
        <v>-159893.90999999997</v>
      </c>
      <c r="I128" s="634">
        <f t="shared" si="43"/>
        <v>-149000.94000000006</v>
      </c>
      <c r="J128" s="634">
        <f t="shared" si="43"/>
        <v>-155868.99999999988</v>
      </c>
      <c r="K128" s="634">
        <f t="shared" si="43"/>
        <v>-152221.74000000011</v>
      </c>
      <c r="L128" s="634">
        <f t="shared" si="43"/>
        <v>-152334.72999999998</v>
      </c>
      <c r="M128" s="634">
        <f t="shared" si="43"/>
        <v>-151853.17999999996</v>
      </c>
      <c r="N128" s="634">
        <f t="shared" si="43"/>
        <v>-152413.51999999996</v>
      </c>
      <c r="O128" s="634">
        <f t="shared" si="43"/>
        <v>-152181.96000000011</v>
      </c>
      <c r="P128" s="634">
        <f t="shared" si="43"/>
        <v>-150268.53999999992</v>
      </c>
      <c r="Q128" s="609">
        <f>+Q77+Q86+Q97+Q102+Q124+Q67+Q61+Q54+Q72</f>
        <v>-1817467.27</v>
      </c>
      <c r="R128" s="149"/>
      <c r="S128" s="588"/>
    </row>
    <row r="129" spans="1:19">
      <c r="B129" s="527"/>
      <c r="C129" s="570" t="s">
        <v>498</v>
      </c>
      <c r="D129" s="577"/>
      <c r="E129" s="643">
        <f t="shared" ref="E129:P129" si="44">+E55+E62+E68+E78+E88+E98+E103+E125+E73</f>
        <v>0</v>
      </c>
      <c r="F129" s="643">
        <f t="shared" si="44"/>
        <v>0</v>
      </c>
      <c r="G129" s="643">
        <f t="shared" si="44"/>
        <v>0</v>
      </c>
      <c r="H129" s="643">
        <f t="shared" si="44"/>
        <v>0</v>
      </c>
      <c r="I129" s="643">
        <f t="shared" si="44"/>
        <v>0</v>
      </c>
      <c r="J129" s="643">
        <f t="shared" si="44"/>
        <v>0</v>
      </c>
      <c r="K129" s="643">
        <f t="shared" si="44"/>
        <v>0</v>
      </c>
      <c r="L129" s="643">
        <f t="shared" si="44"/>
        <v>0</v>
      </c>
      <c r="M129" s="643">
        <f t="shared" si="44"/>
        <v>0</v>
      </c>
      <c r="N129" s="643">
        <f t="shared" si="44"/>
        <v>0</v>
      </c>
      <c r="O129" s="643">
        <f t="shared" si="44"/>
        <v>0</v>
      </c>
      <c r="P129" s="643">
        <f t="shared" si="44"/>
        <v>0</v>
      </c>
      <c r="Q129" s="1291"/>
      <c r="R129" s="530">
        <f>SUM(E129:P129)</f>
        <v>0</v>
      </c>
      <c r="S129" s="589">
        <f>+R129/R131</f>
        <v>0</v>
      </c>
    </row>
    <row r="130" spans="1:19">
      <c r="B130" s="527"/>
      <c r="C130" s="1589" t="s">
        <v>499</v>
      </c>
      <c r="D130" s="1594"/>
      <c r="E130" s="1579">
        <f t="shared" ref="E130:P130" si="45">+E56+E63+E69+E79+E89+E99+E104+E126+E74</f>
        <v>-151265.75999999998</v>
      </c>
      <c r="F130" s="1579">
        <f t="shared" si="45"/>
        <v>-155343.15000000002</v>
      </c>
      <c r="G130" s="1579">
        <f t="shared" si="45"/>
        <v>-146144.11999999997</v>
      </c>
      <c r="H130" s="1579">
        <f t="shared" si="45"/>
        <v>-156207.43999999997</v>
      </c>
      <c r="I130" s="1579">
        <f t="shared" si="45"/>
        <v>-146765.46000000008</v>
      </c>
      <c r="J130" s="1579">
        <f t="shared" si="45"/>
        <v>-151693.55999999988</v>
      </c>
      <c r="K130" s="1579">
        <f t="shared" si="45"/>
        <v>-152199.7300000001</v>
      </c>
      <c r="L130" s="1579">
        <f t="shared" si="45"/>
        <v>-152309.81999999998</v>
      </c>
      <c r="M130" s="1579">
        <f t="shared" si="45"/>
        <v>-151806.95999999996</v>
      </c>
      <c r="N130" s="1579">
        <f t="shared" si="45"/>
        <v>-152095.42999999993</v>
      </c>
      <c r="O130" s="1579">
        <f t="shared" si="45"/>
        <v>-151860.13000000009</v>
      </c>
      <c r="P130" s="1579">
        <f t="shared" si="45"/>
        <v>-149777.27999999988</v>
      </c>
      <c r="Q130" s="1292"/>
      <c r="R130" s="1596">
        <f>SUM(E130:P130)</f>
        <v>-1817468.84</v>
      </c>
      <c r="S130" s="589">
        <f>+R130/R131</f>
        <v>1</v>
      </c>
    </row>
    <row r="131" spans="1:19">
      <c r="B131" s="527"/>
      <c r="C131" s="526"/>
      <c r="D131" s="522"/>
      <c r="Q131" s="609"/>
      <c r="R131" s="149">
        <f>SUM(R129:R130)</f>
        <v>-1817468.84</v>
      </c>
      <c r="S131" s="589">
        <f>+S129+S130</f>
        <v>1</v>
      </c>
    </row>
    <row r="132" spans="1:19">
      <c r="A132" s="528">
        <v>7710</v>
      </c>
      <c r="B132" s="521">
        <v>4192000</v>
      </c>
      <c r="C132" s="519" t="s">
        <v>1270</v>
      </c>
      <c r="E132" s="627">
        <f>IFERROR(VLOOKUP($A132,'O&amp;M per TB'!$B$1:S$375,E$50,FALSE),0)</f>
        <v>0</v>
      </c>
      <c r="F132" s="627">
        <f>IFERROR(VLOOKUP($A132,'O&amp;M per TB'!$B$1:T$375,F$50,FALSE),0)</f>
        <v>0</v>
      </c>
      <c r="G132" s="627">
        <f>IFERROR(VLOOKUP($A132,'O&amp;M per TB'!$B$1:U$375,G$50,FALSE),0)</f>
        <v>29162.31</v>
      </c>
      <c r="H132" s="627">
        <f>IFERROR(VLOOKUP($A132,'O&amp;M per TB'!$B$1:V$375,H$50,FALSE),0)</f>
        <v>0</v>
      </c>
      <c r="I132" s="627">
        <f>IFERROR(VLOOKUP($A132,'O&amp;M per TB'!$B$1:W$375,I$50,FALSE),0)</f>
        <v>0</v>
      </c>
      <c r="J132" s="627">
        <f>IFERROR(VLOOKUP($A132,'O&amp;M per TB'!$B$1:X$375,J$50,FALSE),0)</f>
        <v>29554.850000000002</v>
      </c>
      <c r="K132" s="627">
        <f>IFERROR(VLOOKUP($A132,'O&amp;M per TB'!$B$1:Y$375,K$50,FALSE),0)</f>
        <v>0</v>
      </c>
      <c r="L132" s="627">
        <f>IFERROR(VLOOKUP($A132,'O&amp;M per TB'!$B$1:Z$375,L$50,FALSE),0)</f>
        <v>0</v>
      </c>
      <c r="M132" s="627">
        <f>IFERROR(VLOOKUP($A132,'O&amp;M per TB'!$B$1:AA$375,M$50,FALSE),0)</f>
        <v>21759.179999999993</v>
      </c>
      <c r="N132" s="627">
        <f>IFERROR(VLOOKUP($A132,'O&amp;M per TB'!$B$1:AB$375,N$50,FALSE),0)</f>
        <v>0</v>
      </c>
      <c r="O132" s="627">
        <f>IFERROR(VLOOKUP($A132,'O&amp;M per TB'!$B$1:AC$375,O$50,FALSE),0)</f>
        <v>0</v>
      </c>
      <c r="P132" s="627">
        <f>IFERROR(VLOOKUP($A132,'O&amp;M per TB'!$B$1:AD$375,P$50,FALSE),0)</f>
        <v>30734.059999999998</v>
      </c>
      <c r="Q132" s="609">
        <f t="shared" ref="Q132" si="46">SUM(E132:P132)</f>
        <v>111210.4</v>
      </c>
    </row>
    <row r="133" spans="1:19">
      <c r="B133" s="527">
        <v>419.2</v>
      </c>
      <c r="C133" s="570" t="s">
        <v>1270</v>
      </c>
      <c r="D133" s="571"/>
      <c r="E133" s="643">
        <f>+E132</f>
        <v>0</v>
      </c>
      <c r="F133" s="643">
        <f t="shared" ref="F133:Q133" si="47">+F132</f>
        <v>0</v>
      </c>
      <c r="G133" s="643">
        <f t="shared" si="47"/>
        <v>29162.31</v>
      </c>
      <c r="H133" s="643">
        <f t="shared" si="47"/>
        <v>0</v>
      </c>
      <c r="I133" s="643">
        <f t="shared" si="47"/>
        <v>0</v>
      </c>
      <c r="J133" s="643">
        <f t="shared" si="47"/>
        <v>29554.850000000002</v>
      </c>
      <c r="K133" s="643">
        <f t="shared" si="47"/>
        <v>0</v>
      </c>
      <c r="L133" s="643">
        <f t="shared" si="47"/>
        <v>0</v>
      </c>
      <c r="M133" s="643">
        <f t="shared" si="47"/>
        <v>21759.179999999993</v>
      </c>
      <c r="N133" s="643">
        <f t="shared" si="47"/>
        <v>0</v>
      </c>
      <c r="O133" s="643">
        <f t="shared" si="47"/>
        <v>0</v>
      </c>
      <c r="P133" s="644">
        <f t="shared" si="47"/>
        <v>30734.059999999998</v>
      </c>
      <c r="Q133" s="1593">
        <f t="shared" si="47"/>
        <v>111210.4</v>
      </c>
      <c r="R133" s="149">
        <f>SUM(R134:R135)-Q133</f>
        <v>0</v>
      </c>
    </row>
    <row r="134" spans="1:19">
      <c r="B134" s="527"/>
      <c r="C134" s="572" t="s">
        <v>278</v>
      </c>
      <c r="D134" s="573"/>
      <c r="E134" s="637">
        <f t="shared" ref="E134:P134" si="48">+E133*$G$24</f>
        <v>0</v>
      </c>
      <c r="F134" s="637">
        <f t="shared" si="48"/>
        <v>0</v>
      </c>
      <c r="G134" s="637">
        <f t="shared" si="48"/>
        <v>0</v>
      </c>
      <c r="H134" s="637">
        <f t="shared" si="48"/>
        <v>0</v>
      </c>
      <c r="I134" s="637">
        <f t="shared" si="48"/>
        <v>0</v>
      </c>
      <c r="J134" s="637">
        <f t="shared" si="48"/>
        <v>0</v>
      </c>
      <c r="K134" s="637">
        <f t="shared" si="48"/>
        <v>0</v>
      </c>
      <c r="L134" s="637">
        <f t="shared" si="48"/>
        <v>0</v>
      </c>
      <c r="M134" s="637">
        <f t="shared" si="48"/>
        <v>0</v>
      </c>
      <c r="N134" s="637">
        <f t="shared" si="48"/>
        <v>0</v>
      </c>
      <c r="O134" s="637">
        <f t="shared" si="48"/>
        <v>0</v>
      </c>
      <c r="P134" s="637">
        <f t="shared" si="48"/>
        <v>0</v>
      </c>
      <c r="Q134" s="1297">
        <f>SUM(E134:P134)</f>
        <v>0</v>
      </c>
      <c r="R134" s="530">
        <f>SUM(E134:P134)</f>
        <v>0</v>
      </c>
    </row>
    <row r="135" spans="1:19">
      <c r="B135" s="527"/>
      <c r="C135" s="1589" t="s">
        <v>279</v>
      </c>
      <c r="D135" s="1590"/>
      <c r="E135" s="1591">
        <f t="shared" ref="E135:P135" si="49">+E133*$G$25</f>
        <v>0</v>
      </c>
      <c r="F135" s="1591">
        <f t="shared" si="49"/>
        <v>0</v>
      </c>
      <c r="G135" s="1591">
        <f t="shared" si="49"/>
        <v>29162.31</v>
      </c>
      <c r="H135" s="1591">
        <f t="shared" si="49"/>
        <v>0</v>
      </c>
      <c r="I135" s="1591">
        <f t="shared" si="49"/>
        <v>0</v>
      </c>
      <c r="J135" s="1591">
        <f t="shared" si="49"/>
        <v>29554.850000000002</v>
      </c>
      <c r="K135" s="1591">
        <f t="shared" si="49"/>
        <v>0</v>
      </c>
      <c r="L135" s="1591">
        <f t="shared" si="49"/>
        <v>0</v>
      </c>
      <c r="M135" s="1591">
        <f t="shared" si="49"/>
        <v>21759.179999999993</v>
      </c>
      <c r="N135" s="1591">
        <f t="shared" si="49"/>
        <v>0</v>
      </c>
      <c r="O135" s="1591">
        <f t="shared" si="49"/>
        <v>0</v>
      </c>
      <c r="P135" s="1591">
        <f t="shared" si="49"/>
        <v>30734.059999999998</v>
      </c>
      <c r="Q135" s="1592">
        <f>SUM(E135:P135)</f>
        <v>111210.4</v>
      </c>
      <c r="R135" s="530">
        <f>SUM(E135:P135)</f>
        <v>111210.4</v>
      </c>
    </row>
    <row r="136" spans="1:19">
      <c r="B136" s="527"/>
      <c r="C136" s="527"/>
      <c r="D136" s="522"/>
      <c r="Q136" s="609"/>
    </row>
    <row r="137" spans="1:19">
      <c r="B137" s="527">
        <v>4272050</v>
      </c>
      <c r="C137" s="526" t="s">
        <v>1272</v>
      </c>
      <c r="Q137" s="609"/>
    </row>
    <row r="138" spans="1:19">
      <c r="A138" s="528">
        <v>7735</v>
      </c>
      <c r="B138" s="527">
        <v>4272090</v>
      </c>
      <c r="C138" s="526" t="s">
        <v>1273</v>
      </c>
      <c r="E138" s="627">
        <f>IFERROR(VLOOKUP($A138,'O&amp;M per TB'!$B$1:S$375,E$50,FALSE),0)</f>
        <v>-11.830000000000005</v>
      </c>
      <c r="F138" s="627">
        <f>IFERROR(VLOOKUP($A138,'O&amp;M per TB'!$B$1:T$375,F$50,FALSE),0)</f>
        <v>64.180000000000007</v>
      </c>
      <c r="G138" s="627">
        <f>IFERROR(VLOOKUP($A138,'O&amp;M per TB'!$B$1:U$375,G$50,FALSE),0)</f>
        <v>39.390000000000008</v>
      </c>
      <c r="H138" s="627">
        <f>IFERROR(VLOOKUP($A138,'O&amp;M per TB'!$B$1:V$375,H$50,FALSE),0)</f>
        <v>53.44</v>
      </c>
      <c r="I138" s="627">
        <f>IFERROR(VLOOKUP($A138,'O&amp;M per TB'!$B$1:W$375,I$50,FALSE),0)</f>
        <v>38.239999999999981</v>
      </c>
      <c r="J138" s="627">
        <f>IFERROR(VLOOKUP($A138,'O&amp;M per TB'!$B$1:X$375,J$50,FALSE),0)</f>
        <v>286.71000000000004</v>
      </c>
      <c r="K138" s="627">
        <f>IFERROR(VLOOKUP($A138,'O&amp;M per TB'!$B$1:Y$375,K$50,FALSE),0)</f>
        <v>28.5</v>
      </c>
      <c r="L138" s="627">
        <f>IFERROR(VLOOKUP($A138,'O&amp;M per TB'!$B$1:Z$375,L$50,FALSE),0)</f>
        <v>37.690000000000055</v>
      </c>
      <c r="M138" s="627">
        <f>IFERROR(VLOOKUP($A138,'O&amp;M per TB'!$B$1:AA$375,M$50,FALSE),0)</f>
        <v>36.629999999999995</v>
      </c>
      <c r="N138" s="627">
        <f>IFERROR(VLOOKUP($A138,'O&amp;M per TB'!$B$1:AB$375,N$50,FALSE),0)</f>
        <v>49.829999999999927</v>
      </c>
      <c r="O138" s="627">
        <f>IFERROR(VLOOKUP($A138,'O&amp;M per TB'!$B$1:AC$375,O$50,FALSE),0)</f>
        <v>32.669999999999959</v>
      </c>
      <c r="P138" s="627">
        <f>IFERROR(VLOOKUP($A138,'O&amp;M per TB'!$B$1:AD$375,P$50,FALSE),0)</f>
        <v>134.25</v>
      </c>
      <c r="Q138" s="609">
        <f t="shared" ref="Q138" si="50">SUM(E138:P138)</f>
        <v>789.69999999999993</v>
      </c>
    </row>
    <row r="139" spans="1:19">
      <c r="B139" s="527">
        <v>427.2</v>
      </c>
      <c r="C139" s="570" t="s">
        <v>1272</v>
      </c>
      <c r="D139" s="571" t="s">
        <v>347</v>
      </c>
      <c r="E139" s="636">
        <f>SUM(E137:E138)</f>
        <v>-11.830000000000005</v>
      </c>
      <c r="F139" s="636">
        <f>SUM(F137:F138)</f>
        <v>64.180000000000007</v>
      </c>
      <c r="G139" s="636">
        <f>SUM(G137:G138)</f>
        <v>39.390000000000008</v>
      </c>
      <c r="H139" s="636">
        <f>SUM(H137:H138)</f>
        <v>53.44</v>
      </c>
      <c r="I139" s="636">
        <f t="shared" ref="I139:Q139" si="51">SUM(I137:I138)</f>
        <v>38.239999999999981</v>
      </c>
      <c r="J139" s="636">
        <f t="shared" si="51"/>
        <v>286.71000000000004</v>
      </c>
      <c r="K139" s="636">
        <f t="shared" si="51"/>
        <v>28.5</v>
      </c>
      <c r="L139" s="636">
        <f t="shared" si="51"/>
        <v>37.690000000000055</v>
      </c>
      <c r="M139" s="636">
        <f t="shared" si="51"/>
        <v>36.629999999999995</v>
      </c>
      <c r="N139" s="636">
        <f t="shared" si="51"/>
        <v>49.829999999999927</v>
      </c>
      <c r="O139" s="636">
        <f t="shared" si="51"/>
        <v>32.669999999999959</v>
      </c>
      <c r="P139" s="636">
        <f t="shared" si="51"/>
        <v>134.25</v>
      </c>
      <c r="Q139" s="1588">
        <f t="shared" si="51"/>
        <v>789.69999999999993</v>
      </c>
      <c r="R139" s="149">
        <f>+Q139-SUM(E140:P141)</f>
        <v>0</v>
      </c>
    </row>
    <row r="140" spans="1:19">
      <c r="B140" s="527"/>
      <c r="C140" s="572" t="s">
        <v>278</v>
      </c>
      <c r="D140" s="573"/>
      <c r="E140" s="637">
        <f t="shared" ref="E140:P140" si="52">+E139*$G$24</f>
        <v>0</v>
      </c>
      <c r="F140" s="637">
        <f t="shared" si="52"/>
        <v>0</v>
      </c>
      <c r="G140" s="637">
        <f t="shared" si="52"/>
        <v>0</v>
      </c>
      <c r="H140" s="637">
        <f t="shared" si="52"/>
        <v>0</v>
      </c>
      <c r="I140" s="637">
        <f t="shared" si="52"/>
        <v>0</v>
      </c>
      <c r="J140" s="637">
        <f t="shared" si="52"/>
        <v>0</v>
      </c>
      <c r="K140" s="637">
        <f t="shared" si="52"/>
        <v>0</v>
      </c>
      <c r="L140" s="637">
        <f t="shared" si="52"/>
        <v>0</v>
      </c>
      <c r="M140" s="637">
        <f t="shared" si="52"/>
        <v>0</v>
      </c>
      <c r="N140" s="637">
        <f t="shared" si="52"/>
        <v>0</v>
      </c>
      <c r="O140" s="637">
        <f t="shared" si="52"/>
        <v>0</v>
      </c>
      <c r="P140" s="637">
        <f t="shared" si="52"/>
        <v>0</v>
      </c>
      <c r="Q140" s="1297">
        <f>SUM(E140:P140)</f>
        <v>0</v>
      </c>
      <c r="R140" s="530">
        <f>SUM(E140:P140)</f>
        <v>0</v>
      </c>
    </row>
    <row r="141" spans="1:19">
      <c r="B141" s="527"/>
      <c r="C141" s="1589" t="s">
        <v>279</v>
      </c>
      <c r="D141" s="1590"/>
      <c r="E141" s="1591">
        <f t="shared" ref="E141:P141" si="53">+E139*$G$25</f>
        <v>-11.830000000000005</v>
      </c>
      <c r="F141" s="1591">
        <f t="shared" si="53"/>
        <v>64.180000000000007</v>
      </c>
      <c r="G141" s="1591">
        <f t="shared" si="53"/>
        <v>39.390000000000008</v>
      </c>
      <c r="H141" s="1591">
        <f t="shared" si="53"/>
        <v>53.44</v>
      </c>
      <c r="I141" s="1591">
        <f t="shared" si="53"/>
        <v>38.239999999999981</v>
      </c>
      <c r="J141" s="1591">
        <f t="shared" si="53"/>
        <v>286.71000000000004</v>
      </c>
      <c r="K141" s="1591">
        <f t="shared" si="53"/>
        <v>28.5</v>
      </c>
      <c r="L141" s="1591">
        <f t="shared" si="53"/>
        <v>37.690000000000055</v>
      </c>
      <c r="M141" s="1591">
        <f t="shared" si="53"/>
        <v>36.629999999999995</v>
      </c>
      <c r="N141" s="1591">
        <f t="shared" si="53"/>
        <v>49.829999999999927</v>
      </c>
      <c r="O141" s="1591">
        <f t="shared" si="53"/>
        <v>32.669999999999959</v>
      </c>
      <c r="P141" s="1591">
        <f t="shared" si="53"/>
        <v>134.25</v>
      </c>
      <c r="Q141" s="1592">
        <f>SUM(E141:P141)</f>
        <v>789.69999999999993</v>
      </c>
      <c r="R141" s="530">
        <f>SUM(E141:P141)</f>
        <v>789.69999999999993</v>
      </c>
    </row>
    <row r="142" spans="1:19">
      <c r="B142" s="527"/>
      <c r="C142" s="527"/>
      <c r="E142" s="638"/>
      <c r="F142" s="638"/>
      <c r="G142" s="638"/>
      <c r="H142" s="638"/>
      <c r="Q142" s="609"/>
    </row>
    <row r="143" spans="1:19">
      <c r="B143" s="527"/>
      <c r="C143" s="526"/>
      <c r="D143" s="522"/>
      <c r="Q143" s="609"/>
      <c r="R143" s="149"/>
      <c r="S143" s="588"/>
    </row>
    <row r="144" spans="1:19">
      <c r="B144" s="527"/>
      <c r="C144" s="526"/>
      <c r="D144" s="522"/>
      <c r="Q144" s="609"/>
      <c r="R144" s="149" t="s">
        <v>498</v>
      </c>
      <c r="S144" s="588" t="s">
        <v>499</v>
      </c>
    </row>
    <row r="145" spans="1:20">
      <c r="A145" s="528">
        <v>7585</v>
      </c>
      <c r="B145" s="527">
        <v>4122000</v>
      </c>
      <c r="C145" s="526" t="s">
        <v>1276</v>
      </c>
      <c r="D145" s="531" t="s">
        <v>1277</v>
      </c>
      <c r="E145" s="627">
        <f>IFERROR(VLOOKUP($A145,'O&amp;M per TB'!$B$1:S$375,E$50,FALSE),0)</f>
        <v>0</v>
      </c>
      <c r="F145" s="627">
        <f>IFERROR(VLOOKUP($A145,'O&amp;M per TB'!$B$1:T$375,F$50,FALSE),0)</f>
        <v>0</v>
      </c>
      <c r="G145" s="627">
        <f>IFERROR(VLOOKUP($A145,'O&amp;M per TB'!$B$1:U$375,G$50,FALSE),0)</f>
        <v>0</v>
      </c>
      <c r="H145" s="627">
        <f>IFERROR(VLOOKUP($A145,'O&amp;M per TB'!$B$1:V$375,H$50,FALSE),0)</f>
        <v>0</v>
      </c>
      <c r="I145" s="627">
        <f>IFERROR(VLOOKUP($A145,'O&amp;M per TB'!$B$1:W$375,I$50,FALSE),0)</f>
        <v>0</v>
      </c>
      <c r="J145" s="627">
        <f>IFERROR(VLOOKUP($A145,'O&amp;M per TB'!$B$1:X$375,J$50,FALSE),0)</f>
        <v>0</v>
      </c>
      <c r="K145" s="627">
        <f>IFERROR(VLOOKUP($A145,'O&amp;M per TB'!$B$1:Y$375,K$50,FALSE),0)</f>
        <v>0</v>
      </c>
      <c r="L145" s="627">
        <f>IFERROR(VLOOKUP($A145,'O&amp;M per TB'!$B$1:Z$375,L$50,FALSE),0)</f>
        <v>0</v>
      </c>
      <c r="M145" s="627">
        <f>IFERROR(VLOOKUP($A145,'O&amp;M per TB'!$B$1:AA$375,M$50,FALSE),0)</f>
        <v>0</v>
      </c>
      <c r="N145" s="627">
        <f>IFERROR(VLOOKUP($A145,'O&amp;M per TB'!$B$1:AB$375,N$50,FALSE),0)</f>
        <v>0</v>
      </c>
      <c r="O145" s="627">
        <f>IFERROR(VLOOKUP($A145,'O&amp;M per TB'!$B$1:AC$375,O$50,FALSE),0)</f>
        <v>0</v>
      </c>
      <c r="P145" s="627">
        <f>IFERROR(VLOOKUP($A145,'O&amp;M per TB'!$B$1:AD$375,P$50,FALSE),0)</f>
        <v>0</v>
      </c>
      <c r="Q145" s="609">
        <f t="shared" ref="Q145:Q146" si="54">SUM(E145:P145)</f>
        <v>0</v>
      </c>
      <c r="R145" s="530">
        <f>+Q145*S127</f>
        <v>0</v>
      </c>
      <c r="S145" s="530">
        <f>+Q145*S128</f>
        <v>0</v>
      </c>
      <c r="T145" s="150">
        <f t="shared" ref="T145:T146" si="55">+R145+S145</f>
        <v>0</v>
      </c>
    </row>
    <row r="146" spans="1:20">
      <c r="A146" s="528">
        <v>7605</v>
      </c>
      <c r="B146" s="525" t="s">
        <v>1278</v>
      </c>
      <c r="C146" s="526" t="s">
        <v>1279</v>
      </c>
      <c r="D146" s="531" t="s">
        <v>1277</v>
      </c>
      <c r="E146" s="627">
        <f>IFERROR(VLOOKUP($A146,'O&amp;M per TB'!$B$1:S$375,E$50,FALSE),0)</f>
        <v>0</v>
      </c>
      <c r="F146" s="627">
        <f>IFERROR(VLOOKUP($A146,'O&amp;M per TB'!$B$1:T$375,F$50,FALSE),0)</f>
        <v>0</v>
      </c>
      <c r="G146" s="627">
        <f>IFERROR(VLOOKUP($A146,'O&amp;M per TB'!$B$1:U$375,G$50,FALSE),0)</f>
        <v>0</v>
      </c>
      <c r="H146" s="627">
        <f>IFERROR(VLOOKUP($A146,'O&amp;M per TB'!$B$1:V$375,H$50,FALSE),0)</f>
        <v>0</v>
      </c>
      <c r="I146" s="627">
        <f>IFERROR(VLOOKUP($A146,'O&amp;M per TB'!$B$1:W$375,I$50,FALSE),0)</f>
        <v>0</v>
      </c>
      <c r="J146" s="627">
        <f>IFERROR(VLOOKUP($A146,'O&amp;M per TB'!$B$1:X$375,J$50,FALSE),0)</f>
        <v>0</v>
      </c>
      <c r="K146" s="627">
        <f>IFERROR(VLOOKUP($A146,'O&amp;M per TB'!$B$1:Y$375,K$50,FALSE),0)</f>
        <v>0</v>
      </c>
      <c r="L146" s="627">
        <f>IFERROR(VLOOKUP($A146,'O&amp;M per TB'!$B$1:Z$375,L$50,FALSE),0)</f>
        <v>0</v>
      </c>
      <c r="M146" s="627">
        <f>IFERROR(VLOOKUP($A146,'O&amp;M per TB'!$B$1:AA$375,M$50,FALSE),0)</f>
        <v>0</v>
      </c>
      <c r="N146" s="627">
        <f>IFERROR(VLOOKUP($A146,'O&amp;M per TB'!$B$1:AB$375,N$50,FALSE),0)</f>
        <v>0</v>
      </c>
      <c r="O146" s="627">
        <f>IFERROR(VLOOKUP($A146,'O&amp;M per TB'!$B$1:AC$375,O$50,FALSE),0)</f>
        <v>0</v>
      </c>
      <c r="P146" s="627">
        <f>IFERROR(VLOOKUP($A146,'O&amp;M per TB'!$B$1:AD$375,P$50,FALSE),0)</f>
        <v>0</v>
      </c>
      <c r="Q146" s="609">
        <f t="shared" si="54"/>
        <v>0</v>
      </c>
      <c r="R146" s="530">
        <f>+Q146*S128</f>
        <v>0</v>
      </c>
      <c r="S146" s="530">
        <f>+Q146*S129</f>
        <v>0</v>
      </c>
      <c r="T146" s="150">
        <f t="shared" si="55"/>
        <v>0</v>
      </c>
    </row>
    <row r="147" spans="1:20">
      <c r="A147" s="528">
        <v>7610</v>
      </c>
      <c r="B147" s="525">
        <v>4091100</v>
      </c>
      <c r="C147" s="526" t="s">
        <v>1280</v>
      </c>
      <c r="D147" s="531" t="s">
        <v>1277</v>
      </c>
      <c r="E147" s="627">
        <f>IFERROR(VLOOKUP($A147,'O&amp;M per TB'!$B$1:S$375,E$50,FALSE),0)</f>
        <v>0</v>
      </c>
      <c r="F147" s="627">
        <f>IFERROR(VLOOKUP($A147,'O&amp;M per TB'!$B$1:T$375,F$50,FALSE),0)</f>
        <v>0</v>
      </c>
      <c r="G147" s="627">
        <f>IFERROR(VLOOKUP($A147,'O&amp;M per TB'!$B$1:U$375,G$50,FALSE),0)</f>
        <v>0</v>
      </c>
      <c r="H147" s="627">
        <f>IFERROR(VLOOKUP($A147,'O&amp;M per TB'!$B$1:V$375,H$50,FALSE),0)</f>
        <v>0</v>
      </c>
      <c r="I147" s="627">
        <f>IFERROR(VLOOKUP($A147,'O&amp;M per TB'!$B$1:W$375,I$50,FALSE),0)</f>
        <v>0</v>
      </c>
      <c r="J147" s="627">
        <f>IFERROR(VLOOKUP($A147,'O&amp;M per TB'!$B$1:X$375,J$50,FALSE),0)</f>
        <v>0</v>
      </c>
      <c r="K147" s="627">
        <f>IFERROR(VLOOKUP($A147,'O&amp;M per TB'!$B$1:Y$375,K$50,FALSE),0)</f>
        <v>0</v>
      </c>
      <c r="L147" s="627">
        <f>IFERROR(VLOOKUP($A147,'O&amp;M per TB'!$B$1:Z$375,L$50,FALSE),0)</f>
        <v>0</v>
      </c>
      <c r="M147" s="627">
        <f>IFERROR(VLOOKUP($A147,'O&amp;M per TB'!$B$1:AA$375,M$50,FALSE),0)</f>
        <v>0</v>
      </c>
      <c r="N147" s="627">
        <f>IFERROR(VLOOKUP($A147,'O&amp;M per TB'!$B$1:AB$375,N$50,FALSE),0)</f>
        <v>0</v>
      </c>
      <c r="O147" s="627">
        <f>IFERROR(VLOOKUP($A147,'O&amp;M per TB'!$B$1:AC$375,O$50,FALSE),0)</f>
        <v>0</v>
      </c>
      <c r="P147" s="627">
        <f>IFERROR(VLOOKUP($A147,'O&amp;M per TB'!$B$1:AD$375,P$50,FALSE),0)</f>
        <v>4470.43</v>
      </c>
      <c r="Q147" s="609">
        <f t="shared" ref="Q147" si="56">SUM(E147:P147)</f>
        <v>4470.43</v>
      </c>
      <c r="R147" s="530">
        <f>+Q147*S129</f>
        <v>0</v>
      </c>
      <c r="S147" s="530">
        <f>+Q147*S130</f>
        <v>4470.43</v>
      </c>
      <c r="T147" s="150">
        <f t="shared" ref="T147:T148" si="57">+R147+S147</f>
        <v>4470.43</v>
      </c>
    </row>
    <row r="148" spans="1:20">
      <c r="A148" s="528">
        <v>7600</v>
      </c>
      <c r="B148" s="527">
        <v>4101100</v>
      </c>
      <c r="C148" s="526" t="s">
        <v>1281</v>
      </c>
      <c r="D148" s="531" t="s">
        <v>1277</v>
      </c>
      <c r="E148" s="627">
        <f>IFERROR(VLOOKUP($A148,'O&amp;M per TB'!$B$1:S$375,E$50,FALSE),0)</f>
        <v>0</v>
      </c>
      <c r="F148" s="627">
        <f>IFERROR(VLOOKUP($A148,'O&amp;M per TB'!$B$1:T$375,F$50,FALSE),0)</f>
        <v>0</v>
      </c>
      <c r="G148" s="627">
        <f>IFERROR(VLOOKUP($A148,'O&amp;M per TB'!$B$1:U$375,G$50,FALSE),0)</f>
        <v>0</v>
      </c>
      <c r="H148" s="627">
        <f>IFERROR(VLOOKUP($A148,'O&amp;M per TB'!$B$1:V$375,H$50,FALSE),0)</f>
        <v>0</v>
      </c>
      <c r="I148" s="627">
        <f>IFERROR(VLOOKUP($A148,'O&amp;M per TB'!$B$1:W$375,I$50,FALSE),0)</f>
        <v>0</v>
      </c>
      <c r="J148" s="627">
        <f>IFERROR(VLOOKUP($A148,'O&amp;M per TB'!$B$1:X$375,J$50,FALSE),0)</f>
        <v>0</v>
      </c>
      <c r="K148" s="627">
        <f>IFERROR(VLOOKUP($A148,'O&amp;M per TB'!$B$1:Y$375,K$50,FALSE),0)</f>
        <v>0</v>
      </c>
      <c r="L148" s="627">
        <f>IFERROR(VLOOKUP($A148,'O&amp;M per TB'!$B$1:Z$375,L$50,FALSE),0)</f>
        <v>0</v>
      </c>
      <c r="M148" s="627">
        <f>IFERROR(VLOOKUP($A148,'O&amp;M per TB'!$B$1:AA$375,M$50,FALSE),0)</f>
        <v>0</v>
      </c>
      <c r="N148" s="627">
        <f>IFERROR(VLOOKUP($A148,'O&amp;M per TB'!$B$1:AB$375,N$50,FALSE),0)</f>
        <v>0</v>
      </c>
      <c r="O148" s="627">
        <f>IFERROR(VLOOKUP($A148,'O&amp;M per TB'!$B$1:AC$375,O$50,FALSE),0)</f>
        <v>0</v>
      </c>
      <c r="P148" s="627">
        <f>IFERROR(VLOOKUP($A148,'O&amp;M per TB'!$B$1:AD$375,P$50,FALSE),0)</f>
        <v>17768.27</v>
      </c>
      <c r="Q148" s="609">
        <f t="shared" ref="Q148:Q150" si="58">SUM(E148:P148)</f>
        <v>17768.27</v>
      </c>
      <c r="R148" s="530">
        <f>+Q148*S129</f>
        <v>0</v>
      </c>
      <c r="S148" s="530">
        <f>+Q148*S130</f>
        <v>17768.27</v>
      </c>
      <c r="T148" s="150">
        <f t="shared" si="57"/>
        <v>17768.27</v>
      </c>
    </row>
    <row r="149" spans="1:20">
      <c r="A149" s="528">
        <v>7785</v>
      </c>
      <c r="B149" s="527">
        <v>409.3</v>
      </c>
      <c r="C149" s="526" t="s">
        <v>1804</v>
      </c>
      <c r="D149" s="531" t="s">
        <v>1277</v>
      </c>
      <c r="E149" s="627">
        <f>IFERROR(VLOOKUP($A149,'O&amp;M per TB'!$B$1:S$375,E$50,FALSE),0)</f>
        <v>0</v>
      </c>
      <c r="F149" s="627">
        <f>IFERROR(VLOOKUP($A149,'O&amp;M per TB'!$B$1:T$375,F$50,FALSE),0)</f>
        <v>0</v>
      </c>
      <c r="G149" s="627">
        <f>IFERROR(VLOOKUP($A149,'O&amp;M per TB'!$B$1:U$375,G$50,FALSE),0)</f>
        <v>0</v>
      </c>
      <c r="H149" s="627">
        <f>IFERROR(VLOOKUP($A149,'O&amp;M per TB'!$B$1:V$375,H$50,FALSE),0)</f>
        <v>0</v>
      </c>
      <c r="I149" s="627">
        <f>IFERROR(VLOOKUP($A149,'O&amp;M per TB'!$B$1:W$375,I$50,FALSE),0)</f>
        <v>0</v>
      </c>
      <c r="J149" s="627">
        <f>IFERROR(VLOOKUP($A149,'O&amp;M per TB'!$B$1:X$375,J$50,FALSE),0)</f>
        <v>0</v>
      </c>
      <c r="K149" s="627">
        <f>IFERROR(VLOOKUP($A149,'O&amp;M per TB'!$B$1:Y$375,K$50,FALSE),0)</f>
        <v>0</v>
      </c>
      <c r="L149" s="627">
        <f>IFERROR(VLOOKUP($A149,'O&amp;M per TB'!$B$1:Z$375,L$50,FALSE),0)</f>
        <v>0</v>
      </c>
      <c r="M149" s="627">
        <f>IFERROR(VLOOKUP($A149,'O&amp;M per TB'!$B$1:AA$375,M$50,FALSE),0)</f>
        <v>0</v>
      </c>
      <c r="N149" s="627">
        <f>IFERROR(VLOOKUP($A149,'O&amp;M per TB'!$B$1:AB$375,N$50,FALSE),0)</f>
        <v>0</v>
      </c>
      <c r="O149" s="627">
        <f>IFERROR(VLOOKUP($A149,'O&amp;M per TB'!$B$1:AC$375,O$50,FALSE),0)</f>
        <v>0</v>
      </c>
      <c r="P149" s="627">
        <f>IFERROR(VLOOKUP($A149,'O&amp;M per TB'!$B$1:AD$375,P$50,FALSE),0)</f>
        <v>0</v>
      </c>
      <c r="Q149" s="609">
        <f t="shared" si="58"/>
        <v>0</v>
      </c>
      <c r="R149" s="530">
        <f>+Q149*S131</f>
        <v>0</v>
      </c>
      <c r="S149" s="530">
        <f>+Q149*S132</f>
        <v>0</v>
      </c>
      <c r="T149" s="150">
        <f t="shared" ref="T149:T150" si="59">+R149+S149</f>
        <v>0</v>
      </c>
    </row>
    <row r="150" spans="1:20">
      <c r="A150" s="528">
        <v>7595</v>
      </c>
      <c r="B150" s="527">
        <v>4101000</v>
      </c>
      <c r="C150" s="526" t="s">
        <v>1282</v>
      </c>
      <c r="D150" s="531" t="s">
        <v>1277</v>
      </c>
      <c r="E150" s="627">
        <f>IFERROR(VLOOKUP($A150,'O&amp;M per TB'!$B$1:S$375,E$50,FALSE),0)</f>
        <v>0</v>
      </c>
      <c r="F150" s="627">
        <f>IFERROR(VLOOKUP($A150,'O&amp;M per TB'!$B$1:T$375,F$50,FALSE),0)</f>
        <v>0</v>
      </c>
      <c r="G150" s="627">
        <f>IFERROR(VLOOKUP($A150,'O&amp;M per TB'!$B$1:U$375,G$50,FALSE),0)</f>
        <v>0</v>
      </c>
      <c r="H150" s="627">
        <f>IFERROR(VLOOKUP($A150,'O&amp;M per TB'!$B$1:V$375,H$50,FALSE),0)</f>
        <v>0</v>
      </c>
      <c r="I150" s="627">
        <f>IFERROR(VLOOKUP($A150,'O&amp;M per TB'!$B$1:W$375,I$50,FALSE),0)</f>
        <v>0</v>
      </c>
      <c r="J150" s="627">
        <f>IFERROR(VLOOKUP($A150,'O&amp;M per TB'!$B$1:X$375,J$50,FALSE),0)</f>
        <v>0</v>
      </c>
      <c r="K150" s="627">
        <f>IFERROR(VLOOKUP($A150,'O&amp;M per TB'!$B$1:Y$375,K$50,FALSE),0)</f>
        <v>0</v>
      </c>
      <c r="L150" s="627">
        <f>IFERROR(VLOOKUP($A150,'O&amp;M per TB'!$B$1:Z$375,L$50,FALSE),0)</f>
        <v>0</v>
      </c>
      <c r="M150" s="627">
        <f>IFERROR(VLOOKUP($A150,'O&amp;M per TB'!$B$1:AA$375,M$50,FALSE),0)</f>
        <v>0</v>
      </c>
      <c r="N150" s="627">
        <f>IFERROR(VLOOKUP($A150,'O&amp;M per TB'!$B$1:AB$375,N$50,FALSE),0)</f>
        <v>0</v>
      </c>
      <c r="O150" s="627">
        <f>IFERROR(VLOOKUP($A150,'O&amp;M per TB'!$B$1:AC$375,O$50,FALSE),0)</f>
        <v>0</v>
      </c>
      <c r="P150" s="627">
        <f>IFERROR(VLOOKUP($A150,'O&amp;M per TB'!$B$1:AD$375,P$50,FALSE),0)</f>
        <v>97659.28</v>
      </c>
      <c r="Q150" s="609">
        <f t="shared" si="58"/>
        <v>97659.28</v>
      </c>
      <c r="R150" s="530">
        <f>+Q150*S132</f>
        <v>0</v>
      </c>
      <c r="S150" s="530">
        <f>+Q150*S133</f>
        <v>0</v>
      </c>
      <c r="T150" s="150">
        <f t="shared" si="59"/>
        <v>0</v>
      </c>
    </row>
    <row r="151" spans="1:20" ht="12.75" thickBot="1">
      <c r="B151" s="527"/>
      <c r="C151" s="527" t="s">
        <v>1283</v>
      </c>
      <c r="D151" s="522"/>
      <c r="E151" s="1591">
        <f>SUM(E145:E150)</f>
        <v>0</v>
      </c>
      <c r="F151" s="1591">
        <f>SUM(F145:F150)</f>
        <v>0</v>
      </c>
      <c r="G151" s="1591">
        <f>SUM(G145:G150)</f>
        <v>0</v>
      </c>
      <c r="H151" s="1591">
        <f>SUM(H145:H150)</f>
        <v>0</v>
      </c>
      <c r="I151" s="1591">
        <f t="shared" ref="I151:Q151" si="60">SUM(I145:I150)</f>
        <v>0</v>
      </c>
      <c r="J151" s="1591">
        <f t="shared" si="60"/>
        <v>0</v>
      </c>
      <c r="K151" s="1591">
        <f t="shared" si="60"/>
        <v>0</v>
      </c>
      <c r="L151" s="1591">
        <f t="shared" si="60"/>
        <v>0</v>
      </c>
      <c r="M151" s="1591">
        <f t="shared" si="60"/>
        <v>0</v>
      </c>
      <c r="N151" s="1591">
        <f t="shared" si="60"/>
        <v>0</v>
      </c>
      <c r="O151" s="1591">
        <f t="shared" si="60"/>
        <v>0</v>
      </c>
      <c r="P151" s="1591">
        <f t="shared" si="60"/>
        <v>119897.98</v>
      </c>
      <c r="Q151" s="1597">
        <f t="shared" si="60"/>
        <v>119897.98</v>
      </c>
      <c r="R151" s="1310">
        <f>SUM(R145:R150)</f>
        <v>0</v>
      </c>
      <c r="S151" s="1310">
        <f>SUM(S145:S150)</f>
        <v>22238.7</v>
      </c>
    </row>
    <row r="152" spans="1:20" ht="12.75" thickTop="1">
      <c r="B152" s="527"/>
      <c r="C152" s="526" t="s">
        <v>278</v>
      </c>
      <c r="D152" s="522"/>
      <c r="E152" s="637"/>
      <c r="F152" s="637"/>
      <c r="H152" s="637"/>
      <c r="I152" s="637"/>
      <c r="J152" s="637"/>
      <c r="K152" s="637"/>
      <c r="L152" s="637"/>
      <c r="M152" s="637"/>
      <c r="N152" s="637"/>
      <c r="O152" s="637"/>
      <c r="P152" s="637"/>
      <c r="Q152" s="1295"/>
    </row>
    <row r="153" spans="1:20">
      <c r="B153" s="527"/>
      <c r="C153" s="526" t="s">
        <v>279</v>
      </c>
      <c r="D153" s="522"/>
      <c r="E153" s="637"/>
      <c r="F153" s="637"/>
      <c r="H153" s="637"/>
      <c r="I153" s="637"/>
      <c r="J153" s="637"/>
      <c r="K153" s="637"/>
      <c r="L153" s="637"/>
      <c r="M153" s="637"/>
      <c r="N153" s="637"/>
      <c r="O153" s="637"/>
      <c r="P153" s="637"/>
      <c r="Q153" s="1295"/>
    </row>
    <row r="154" spans="1:20">
      <c r="B154" s="527"/>
      <c r="C154" s="527"/>
      <c r="D154" s="522"/>
      <c r="Q154" s="609"/>
    </row>
    <row r="155" spans="1:20" ht="12.75" thickBot="1">
      <c r="B155" s="527"/>
      <c r="C155" s="527" t="s">
        <v>1284</v>
      </c>
      <c r="D155" s="522"/>
      <c r="E155" s="1598">
        <f t="shared" ref="E155:Q155" si="61">+E128+E151+E132+E138</f>
        <v>-153951.71999999997</v>
      </c>
      <c r="F155" s="1598">
        <f t="shared" si="61"/>
        <v>-158442.05000000002</v>
      </c>
      <c r="G155" s="1598">
        <f t="shared" si="61"/>
        <v>-120600.17999999998</v>
      </c>
      <c r="H155" s="1598">
        <f t="shared" si="61"/>
        <v>-159840.46999999997</v>
      </c>
      <c r="I155" s="1598">
        <f t="shared" si="61"/>
        <v>-148962.70000000007</v>
      </c>
      <c r="J155" s="1598">
        <f t="shared" si="61"/>
        <v>-126027.43999999987</v>
      </c>
      <c r="K155" s="1598">
        <f t="shared" si="61"/>
        <v>-152193.24000000011</v>
      </c>
      <c r="L155" s="1598">
        <f t="shared" si="61"/>
        <v>-152297.03999999998</v>
      </c>
      <c r="M155" s="1598">
        <f t="shared" si="61"/>
        <v>-130057.36999999997</v>
      </c>
      <c r="N155" s="1598">
        <f t="shared" si="61"/>
        <v>-152363.68999999997</v>
      </c>
      <c r="O155" s="1598">
        <f t="shared" si="61"/>
        <v>-152149.2900000001</v>
      </c>
      <c r="P155" s="1598">
        <f t="shared" si="61"/>
        <v>497.75000000007276</v>
      </c>
      <c r="Q155" s="1598">
        <f t="shared" si="61"/>
        <v>-1585569.1900000002</v>
      </c>
    </row>
    <row r="156" spans="1:20" ht="12.75" thickTop="1">
      <c r="B156" s="527"/>
      <c r="C156" s="527"/>
      <c r="D156" s="522"/>
      <c r="E156" s="609"/>
      <c r="F156" s="609"/>
      <c r="G156" s="609"/>
      <c r="H156" s="609"/>
      <c r="I156" s="609"/>
      <c r="J156" s="609"/>
      <c r="K156" s="609"/>
      <c r="L156" s="609"/>
      <c r="M156" s="609"/>
      <c r="N156" s="609"/>
      <c r="O156" s="609"/>
      <c r="P156" s="609"/>
      <c r="Q156" s="609"/>
    </row>
    <row r="157" spans="1:20">
      <c r="B157" s="588"/>
      <c r="E157" s="609"/>
      <c r="F157" s="609"/>
      <c r="G157" s="609"/>
      <c r="H157" s="609"/>
      <c r="I157" s="609"/>
      <c r="J157" s="609"/>
      <c r="K157" s="609"/>
      <c r="L157" s="609"/>
      <c r="M157" s="609"/>
      <c r="N157" s="609"/>
      <c r="O157" s="609"/>
      <c r="P157" s="609"/>
      <c r="Q157" s="609"/>
    </row>
    <row r="158" spans="1:20">
      <c r="C158" s="519"/>
      <c r="E158" s="609"/>
      <c r="F158" s="609"/>
      <c r="G158" s="609"/>
      <c r="H158" s="609"/>
      <c r="I158" s="609"/>
      <c r="J158" s="609"/>
      <c r="K158" s="609"/>
      <c r="L158" s="609"/>
      <c r="M158" s="609"/>
      <c r="N158" s="609"/>
      <c r="O158" s="609"/>
      <c r="P158" s="609"/>
      <c r="Q158" s="609"/>
    </row>
    <row r="159" spans="1:20">
      <c r="B159" s="532"/>
      <c r="E159" s="609">
        <f>+E157-E155</f>
        <v>153951.71999999997</v>
      </c>
      <c r="F159" s="609">
        <f t="shared" ref="F159:P159" si="62">+F157-F155</f>
        <v>158442.05000000002</v>
      </c>
      <c r="G159" s="609">
        <f t="shared" si="62"/>
        <v>120600.17999999998</v>
      </c>
      <c r="H159" s="609">
        <f t="shared" si="62"/>
        <v>159840.46999999997</v>
      </c>
      <c r="I159" s="609">
        <f t="shared" si="62"/>
        <v>148962.70000000007</v>
      </c>
      <c r="J159" s="609">
        <f t="shared" si="62"/>
        <v>126027.43999999987</v>
      </c>
      <c r="K159" s="609">
        <f t="shared" si="62"/>
        <v>152193.24000000011</v>
      </c>
      <c r="L159" s="609">
        <f t="shared" si="62"/>
        <v>152297.03999999998</v>
      </c>
      <c r="M159" s="609">
        <f t="shared" si="62"/>
        <v>130057.36999999997</v>
      </c>
      <c r="N159" s="609">
        <f t="shared" si="62"/>
        <v>152363.68999999997</v>
      </c>
      <c r="O159" s="609">
        <f t="shared" si="62"/>
        <v>152149.2900000001</v>
      </c>
      <c r="P159" s="609">
        <f t="shared" si="62"/>
        <v>-497.75000000007276</v>
      </c>
      <c r="Q159" s="609"/>
    </row>
    <row r="160" spans="1:20">
      <c r="B160" s="528"/>
      <c r="Q160" s="609"/>
    </row>
    <row r="161" spans="1:17">
      <c r="B161" s="528"/>
      <c r="Q161" s="609"/>
    </row>
    <row r="162" spans="1:17">
      <c r="A162" s="528">
        <v>5400</v>
      </c>
      <c r="B162" s="528"/>
      <c r="C162" s="518" t="s">
        <v>2226</v>
      </c>
      <c r="Q162" s="609"/>
    </row>
    <row r="163" spans="1:17">
      <c r="B163" s="528"/>
      <c r="Q163" s="609"/>
    </row>
    <row r="164" spans="1:17">
      <c r="Q164" s="609"/>
    </row>
    <row r="165" spans="1:17">
      <c r="Q165" s="609"/>
    </row>
    <row r="166" spans="1:17">
      <c r="Q166" s="609"/>
    </row>
    <row r="167" spans="1:17">
      <c r="Q167" s="609"/>
    </row>
    <row r="168" spans="1:17">
      <c r="Q168" s="609"/>
    </row>
    <row r="169" spans="1:17">
      <c r="Q169" s="609"/>
    </row>
    <row r="170" spans="1:17">
      <c r="Q170" s="609"/>
    </row>
    <row r="171" spans="1:17">
      <c r="Q171" s="609"/>
    </row>
    <row r="172" spans="1:17">
      <c r="Q172" s="609"/>
    </row>
    <row r="173" spans="1:17">
      <c r="Q173" s="609"/>
    </row>
    <row r="174" spans="1:17">
      <c r="Q174" s="609"/>
    </row>
    <row r="175" spans="1:17">
      <c r="Q175" s="609"/>
    </row>
    <row r="176" spans="1:17">
      <c r="Q176" s="609"/>
    </row>
    <row r="177" spans="17:17">
      <c r="Q177" s="609"/>
    </row>
    <row r="178" spans="17:17">
      <c r="Q178" s="609"/>
    </row>
    <row r="179" spans="17:17">
      <c r="Q179" s="609"/>
    </row>
    <row r="180" spans="17:17">
      <c r="Q180" s="609"/>
    </row>
    <row r="181" spans="17:17">
      <c r="Q181" s="609"/>
    </row>
    <row r="182" spans="17:17">
      <c r="Q182" s="609"/>
    </row>
    <row r="183" spans="17:17">
      <c r="Q183" s="609"/>
    </row>
    <row r="184" spans="17:17">
      <c r="Q184" s="609"/>
    </row>
    <row r="185" spans="17:17">
      <c r="Q185" s="609"/>
    </row>
    <row r="186" spans="17:17">
      <c r="Q186" s="609"/>
    </row>
    <row r="187" spans="17:17">
      <c r="Q187" s="609"/>
    </row>
    <row r="188" spans="17:17">
      <c r="Q188" s="609"/>
    </row>
    <row r="189" spans="17:17">
      <c r="Q189" s="609"/>
    </row>
    <row r="190" spans="17:17">
      <c r="Q190" s="609"/>
    </row>
    <row r="191" spans="17:17">
      <c r="Q191" s="609"/>
    </row>
    <row r="192" spans="17:17">
      <c r="Q192" s="609"/>
    </row>
    <row r="193" spans="17:17">
      <c r="Q193" s="609"/>
    </row>
    <row r="194" spans="17:17">
      <c r="Q194" s="609"/>
    </row>
    <row r="195" spans="17:17">
      <c r="Q195" s="609"/>
    </row>
    <row r="196" spans="17:17">
      <c r="Q196" s="609"/>
    </row>
    <row r="197" spans="17:17">
      <c r="Q197" s="609"/>
    </row>
    <row r="198" spans="17:17">
      <c r="Q198" s="609"/>
    </row>
    <row r="199" spans="17:17">
      <c r="Q199" s="609"/>
    </row>
    <row r="200" spans="17:17">
      <c r="Q200" s="609"/>
    </row>
    <row r="201" spans="17:17">
      <c r="Q201" s="609"/>
    </row>
    <row r="202" spans="17:17">
      <c r="Q202" s="609"/>
    </row>
    <row r="203" spans="17:17">
      <c r="Q203" s="609"/>
    </row>
    <row r="204" spans="17:17">
      <c r="Q204" s="609"/>
    </row>
    <row r="205" spans="17:17">
      <c r="Q205" s="609"/>
    </row>
    <row r="206" spans="17:17">
      <c r="Q206" s="609"/>
    </row>
    <row r="207" spans="17:17">
      <c r="Q207" s="609"/>
    </row>
    <row r="208" spans="17:17">
      <c r="Q208" s="609"/>
    </row>
    <row r="209" spans="17:17">
      <c r="Q209" s="609"/>
    </row>
    <row r="210" spans="17:17">
      <c r="Q210" s="609"/>
    </row>
    <row r="211" spans="17:17">
      <c r="Q211" s="609"/>
    </row>
    <row r="212" spans="17:17">
      <c r="Q212" s="609"/>
    </row>
    <row r="213" spans="17:17">
      <c r="Q213" s="609"/>
    </row>
    <row r="214" spans="17:17">
      <c r="Q214" s="609"/>
    </row>
    <row r="215" spans="17:17">
      <c r="Q215" s="609"/>
    </row>
    <row r="216" spans="17:17">
      <c r="Q216" s="609"/>
    </row>
    <row r="217" spans="17:17">
      <c r="Q217" s="609"/>
    </row>
    <row r="218" spans="17:17">
      <c r="Q218" s="609"/>
    </row>
    <row r="219" spans="17:17">
      <c r="Q219" s="609"/>
    </row>
    <row r="220" spans="17:17">
      <c r="Q220" s="609"/>
    </row>
    <row r="221" spans="17:17">
      <c r="Q221" s="609"/>
    </row>
    <row r="222" spans="17:17">
      <c r="Q222" s="609"/>
    </row>
    <row r="223" spans="17:17">
      <c r="Q223" s="609"/>
    </row>
    <row r="224" spans="17:17">
      <c r="Q224" s="609"/>
    </row>
    <row r="225" spans="17:17">
      <c r="Q225" s="609"/>
    </row>
    <row r="226" spans="17:17">
      <c r="Q226" s="609"/>
    </row>
    <row r="227" spans="17:17">
      <c r="Q227" s="609"/>
    </row>
    <row r="228" spans="17:17">
      <c r="Q228" s="609"/>
    </row>
    <row r="229" spans="17:17">
      <c r="Q229" s="609"/>
    </row>
    <row r="230" spans="17:17">
      <c r="Q230" s="609"/>
    </row>
    <row r="231" spans="17:17">
      <c r="Q231" s="609"/>
    </row>
    <row r="232" spans="17:17">
      <c r="Q232" s="609"/>
    </row>
    <row r="233" spans="17:17">
      <c r="Q233" s="609"/>
    </row>
    <row r="234" spans="17:17">
      <c r="Q234" s="609"/>
    </row>
    <row r="235" spans="17:17">
      <c r="Q235" s="609"/>
    </row>
    <row r="236" spans="17:17">
      <c r="Q236" s="609"/>
    </row>
    <row r="237" spans="17:17">
      <c r="Q237" s="609"/>
    </row>
    <row r="238" spans="17:17">
      <c r="Q238" s="609"/>
    </row>
    <row r="239" spans="17:17">
      <c r="Q239" s="609"/>
    </row>
    <row r="240" spans="17:17">
      <c r="Q240" s="609"/>
    </row>
    <row r="241" spans="17:17">
      <c r="Q241" s="609"/>
    </row>
    <row r="242" spans="17:17">
      <c r="Q242" s="609"/>
    </row>
    <row r="243" spans="17:17">
      <c r="Q243" s="609"/>
    </row>
    <row r="244" spans="17:17">
      <c r="Q244" s="609"/>
    </row>
    <row r="245" spans="17:17">
      <c r="Q245" s="609"/>
    </row>
    <row r="246" spans="17:17">
      <c r="Q246" s="609"/>
    </row>
    <row r="247" spans="17:17">
      <c r="Q247" s="609"/>
    </row>
    <row r="248" spans="17:17">
      <c r="Q248" s="609"/>
    </row>
    <row r="249" spans="17:17">
      <c r="Q249" s="609"/>
    </row>
    <row r="250" spans="17:17">
      <c r="Q250" s="609"/>
    </row>
    <row r="251" spans="17:17">
      <c r="Q251" s="609"/>
    </row>
    <row r="252" spans="17:17">
      <c r="Q252" s="609"/>
    </row>
    <row r="253" spans="17:17">
      <c r="Q253" s="609"/>
    </row>
    <row r="254" spans="17:17">
      <c r="Q254" s="609"/>
    </row>
    <row r="255" spans="17:17">
      <c r="Q255" s="609"/>
    </row>
  </sheetData>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dimension ref="A1:T255"/>
  <sheetViews>
    <sheetView workbookViewId="0"/>
  </sheetViews>
  <sheetFormatPr defaultColWidth="9.140625" defaultRowHeight="12"/>
  <cols>
    <col min="1" max="1" width="4.5703125" style="528" customWidth="1"/>
    <col min="2" max="2" width="7.140625" style="518" customWidth="1"/>
    <col min="3" max="3" width="25.7109375" style="518" customWidth="1"/>
    <col min="4" max="4" width="8.7109375" style="523" customWidth="1"/>
    <col min="5" max="5" width="12.5703125" style="634" customWidth="1"/>
    <col min="6" max="6" width="10.85546875" style="634" customWidth="1"/>
    <col min="7" max="7" width="11.140625" style="634" customWidth="1"/>
    <col min="8" max="16" width="10.28515625" style="634" customWidth="1"/>
    <col min="17" max="17" width="11.42578125" style="1288" customWidth="1"/>
    <col min="18" max="18" width="9.5703125" style="530" customWidth="1"/>
    <col min="19" max="19" width="6.85546875" style="518" customWidth="1"/>
    <col min="20" max="20" width="10.42578125" style="150" customWidth="1"/>
    <col min="21" max="16384" width="9.140625" style="518"/>
  </cols>
  <sheetData>
    <row r="1" spans="1:7">
      <c r="B1" s="517" t="s">
        <v>1797</v>
      </c>
      <c r="D1" s="528"/>
    </row>
    <row r="2" spans="1:7">
      <c r="B2" s="519" t="s">
        <v>1233</v>
      </c>
      <c r="C2" s="517"/>
      <c r="D2" s="528"/>
      <c r="E2" s="940" t="s">
        <v>498</v>
      </c>
      <c r="F2" s="940" t="s">
        <v>670</v>
      </c>
      <c r="G2" s="940" t="s">
        <v>81</v>
      </c>
    </row>
    <row r="3" spans="1:7">
      <c r="A3" s="528">
        <v>5025</v>
      </c>
      <c r="B3" s="536" t="s">
        <v>280</v>
      </c>
      <c r="C3" s="518" t="s">
        <v>284</v>
      </c>
      <c r="D3" s="528"/>
      <c r="E3" s="634">
        <f>-Q107</f>
        <v>0</v>
      </c>
      <c r="G3" s="634">
        <f>SUM(E3:F3)</f>
        <v>0</v>
      </c>
    </row>
    <row r="4" spans="1:7">
      <c r="A4" s="528">
        <v>5030</v>
      </c>
      <c r="B4" s="536">
        <v>461</v>
      </c>
      <c r="C4" s="518" t="s">
        <v>294</v>
      </c>
      <c r="D4" s="528"/>
      <c r="E4" s="634">
        <f>-Q108</f>
        <v>0</v>
      </c>
      <c r="G4" s="634">
        <f t="shared" ref="G4:G18" si="0">SUM(E4:F4)</f>
        <v>0</v>
      </c>
    </row>
    <row r="5" spans="1:7">
      <c r="A5" s="528">
        <v>5035</v>
      </c>
      <c r="B5" s="519">
        <v>461.2</v>
      </c>
      <c r="C5" s="518" t="s">
        <v>283</v>
      </c>
      <c r="D5" s="528"/>
      <c r="E5" s="634">
        <f>-Q109</f>
        <v>0</v>
      </c>
      <c r="G5" s="634">
        <f t="shared" si="0"/>
        <v>0</v>
      </c>
    </row>
    <row r="6" spans="1:7">
      <c r="A6" s="528">
        <v>5050</v>
      </c>
      <c r="B6" s="519"/>
      <c r="C6" s="518" t="s">
        <v>295</v>
      </c>
      <c r="D6" s="528"/>
      <c r="E6" s="634">
        <f>-Q110</f>
        <v>0</v>
      </c>
      <c r="G6" s="634">
        <f t="shared" si="0"/>
        <v>0</v>
      </c>
    </row>
    <row r="7" spans="1:7">
      <c r="A7" s="528">
        <v>5065</v>
      </c>
      <c r="B7" s="536">
        <v>462.2</v>
      </c>
      <c r="C7" s="518" t="s">
        <v>118</v>
      </c>
      <c r="D7" s="528"/>
      <c r="E7" s="634">
        <f>-Q111</f>
        <v>0</v>
      </c>
      <c r="G7" s="634">
        <f t="shared" si="0"/>
        <v>0</v>
      </c>
    </row>
    <row r="8" spans="1:7">
      <c r="A8" s="528">
        <v>5100</v>
      </c>
      <c r="B8" s="536">
        <v>521.1</v>
      </c>
      <c r="C8" s="518" t="s">
        <v>281</v>
      </c>
      <c r="D8" s="528"/>
      <c r="F8" s="634">
        <f>-Q112</f>
        <v>0</v>
      </c>
      <c r="G8" s="634">
        <f t="shared" si="0"/>
        <v>0</v>
      </c>
    </row>
    <row r="9" spans="1:7">
      <c r="A9" s="528">
        <v>5105</v>
      </c>
      <c r="B9" s="536">
        <v>521</v>
      </c>
      <c r="C9" s="518" t="s">
        <v>296</v>
      </c>
      <c r="D9" s="528"/>
      <c r="F9" s="634">
        <f t="shared" ref="F9:F15" si="1">-Q113</f>
        <v>0</v>
      </c>
      <c r="G9" s="634">
        <f t="shared" si="0"/>
        <v>0</v>
      </c>
    </row>
    <row r="10" spans="1:7">
      <c r="A10" s="528">
        <v>5110</v>
      </c>
      <c r="B10" s="536">
        <v>521.20000000000005</v>
      </c>
      <c r="C10" s="518" t="s">
        <v>282</v>
      </c>
      <c r="D10" s="528"/>
      <c r="F10" s="634">
        <f t="shared" si="1"/>
        <v>0</v>
      </c>
      <c r="G10" s="634">
        <f t="shared" si="0"/>
        <v>0</v>
      </c>
    </row>
    <row r="11" spans="1:7">
      <c r="A11" s="528">
        <v>5120</v>
      </c>
      <c r="B11" s="536">
        <v>521.4</v>
      </c>
      <c r="C11" s="518" t="s">
        <v>285</v>
      </c>
      <c r="D11" s="528"/>
      <c r="F11" s="634">
        <f t="shared" si="1"/>
        <v>0</v>
      </c>
      <c r="G11" s="634">
        <f t="shared" si="0"/>
        <v>0</v>
      </c>
    </row>
    <row r="12" spans="1:7">
      <c r="A12" s="528">
        <v>5125</v>
      </c>
      <c r="B12" s="536">
        <v>521.5</v>
      </c>
      <c r="C12" s="518" t="s">
        <v>286</v>
      </c>
      <c r="D12" s="528"/>
      <c r="F12" s="634">
        <f t="shared" si="1"/>
        <v>0</v>
      </c>
      <c r="G12" s="634">
        <f t="shared" si="0"/>
        <v>0</v>
      </c>
    </row>
    <row r="13" spans="1:7">
      <c r="A13" s="528">
        <v>5140</v>
      </c>
      <c r="B13" s="536">
        <v>522.1</v>
      </c>
      <c r="C13" s="518" t="s">
        <v>287</v>
      </c>
      <c r="D13" s="528"/>
      <c r="F13" s="634">
        <f t="shared" si="1"/>
        <v>0</v>
      </c>
      <c r="G13" s="634">
        <f t="shared" si="0"/>
        <v>0</v>
      </c>
    </row>
    <row r="14" spans="1:7">
      <c r="A14" s="528">
        <v>5155</v>
      </c>
      <c r="B14" s="536">
        <v>522.20000000000005</v>
      </c>
      <c r="C14" s="518" t="s">
        <v>288</v>
      </c>
      <c r="D14" s="528"/>
      <c r="F14" s="634">
        <f t="shared" si="1"/>
        <v>0</v>
      </c>
      <c r="G14" s="634">
        <f t="shared" si="0"/>
        <v>0</v>
      </c>
    </row>
    <row r="15" spans="1:7">
      <c r="A15" s="528">
        <v>5170</v>
      </c>
      <c r="B15" s="536">
        <v>522.5</v>
      </c>
      <c r="C15" s="518" t="s">
        <v>289</v>
      </c>
      <c r="D15" s="528"/>
      <c r="F15" s="634">
        <f t="shared" si="1"/>
        <v>0</v>
      </c>
      <c r="G15" s="634">
        <f t="shared" si="0"/>
        <v>0</v>
      </c>
    </row>
    <row r="16" spans="1:7">
      <c r="A16" s="528">
        <v>5230</v>
      </c>
      <c r="B16" s="536">
        <v>541.1</v>
      </c>
      <c r="C16" s="518" t="s">
        <v>1876</v>
      </c>
      <c r="D16" s="528"/>
      <c r="G16" s="634">
        <f t="shared" si="0"/>
        <v>0</v>
      </c>
    </row>
    <row r="17" spans="1:11">
      <c r="A17" s="528">
        <v>5270</v>
      </c>
      <c r="B17" s="536">
        <v>536</v>
      </c>
      <c r="C17" s="518" t="s">
        <v>338</v>
      </c>
      <c r="D17" s="528"/>
      <c r="G17" s="634">
        <f t="shared" si="0"/>
        <v>0</v>
      </c>
    </row>
    <row r="18" spans="1:11">
      <c r="A18" s="528">
        <v>5285</v>
      </c>
      <c r="B18" s="536">
        <v>536</v>
      </c>
      <c r="C18" s="518" t="s">
        <v>1877</v>
      </c>
      <c r="D18" s="528"/>
      <c r="G18" s="634">
        <f t="shared" si="0"/>
        <v>0</v>
      </c>
    </row>
    <row r="19" spans="1:11">
      <c r="D19" s="528"/>
      <c r="E19" s="642"/>
      <c r="F19" s="642"/>
      <c r="G19" s="642"/>
      <c r="H19" s="642"/>
    </row>
    <row r="20" spans="1:11" ht="17.25" customHeight="1">
      <c r="B20" s="519"/>
      <c r="C20" s="518" t="s">
        <v>844</v>
      </c>
      <c r="D20" s="528"/>
      <c r="E20" s="634">
        <f>SUM(E3:E19)</f>
        <v>0</v>
      </c>
      <c r="F20" s="634">
        <f>SUM(F3:F19)</f>
        <v>0</v>
      </c>
      <c r="G20" s="634">
        <f>SUM(G3:G19)</f>
        <v>0</v>
      </c>
      <c r="H20" s="634">
        <f>SUM(H3:H19)</f>
        <v>0</v>
      </c>
      <c r="I20" s="634">
        <f>+E20+F20-G20</f>
        <v>0</v>
      </c>
    </row>
    <row r="21" spans="1:11">
      <c r="B21" s="519"/>
      <c r="D21" s="528"/>
      <c r="E21" s="537" t="e">
        <f>+E20/G20</f>
        <v>#DIV/0!</v>
      </c>
      <c r="F21" s="537" t="e">
        <f>+F20/G20</f>
        <v>#DIV/0!</v>
      </c>
      <c r="G21" s="537" t="e">
        <f>+E21+F21</f>
        <v>#DIV/0!</v>
      </c>
    </row>
    <row r="22" spans="1:11" ht="12.75" thickBot="1">
      <c r="B22" s="519"/>
      <c r="D22" s="528"/>
    </row>
    <row r="23" spans="1:11">
      <c r="B23" s="519" t="s">
        <v>347</v>
      </c>
      <c r="D23" s="528"/>
      <c r="E23" s="533" t="s">
        <v>1740</v>
      </c>
      <c r="I23" s="941" t="s">
        <v>1741</v>
      </c>
      <c r="J23" s="942"/>
      <c r="K23" s="943"/>
    </row>
    <row r="24" spans="1:11">
      <c r="B24" s="519"/>
      <c r="C24" s="518" t="s">
        <v>349</v>
      </c>
      <c r="D24" s="528"/>
      <c r="E24" s="951">
        <v>11827.1</v>
      </c>
      <c r="G24" s="1313">
        <f>ROUND(E24/E$27,6)</f>
        <v>0.55894999999999995</v>
      </c>
      <c r="I24" s="1286">
        <f>+E24</f>
        <v>11827.1</v>
      </c>
      <c r="J24" s="635"/>
      <c r="K24" s="1312">
        <f>ROUND(I24/I$27,6)</f>
        <v>0.55894999999999995</v>
      </c>
    </row>
    <row r="25" spans="1:11">
      <c r="B25" s="519"/>
      <c r="C25" s="518" t="s">
        <v>352</v>
      </c>
      <c r="D25" s="528"/>
      <c r="E25" s="952">
        <f>9230.4+102</f>
        <v>9332.4</v>
      </c>
      <c r="G25" s="1313">
        <f>ROUND(E25/E$27,6)</f>
        <v>0.44105</v>
      </c>
      <c r="I25" s="1286">
        <f>+E25</f>
        <v>9332.4</v>
      </c>
      <c r="J25" s="635"/>
      <c r="K25" s="1312">
        <f>ROUND(I25/I$27,6)</f>
        <v>0.44105</v>
      </c>
    </row>
    <row r="26" spans="1:11">
      <c r="B26" s="519"/>
      <c r="D26" s="528"/>
      <c r="E26" s="952"/>
      <c r="G26" s="834"/>
      <c r="I26" s="949"/>
      <c r="J26" s="635"/>
      <c r="K26" s="938"/>
    </row>
    <row r="27" spans="1:11" ht="12.75" thickBot="1">
      <c r="B27" s="519"/>
      <c r="C27" s="521" t="s">
        <v>348</v>
      </c>
      <c r="D27" s="528"/>
      <c r="E27" s="953">
        <f>SUM(E24:E26)</f>
        <v>21159.5</v>
      </c>
      <c r="G27" s="537">
        <f>SUM(G24:G26)</f>
        <v>1</v>
      </c>
      <c r="I27" s="950">
        <f>SUM(I24:I26)</f>
        <v>21159.5</v>
      </c>
      <c r="J27" s="944"/>
      <c r="K27" s="939">
        <f>SUM(K24:K26)</f>
        <v>1</v>
      </c>
    </row>
    <row r="28" spans="1:11">
      <c r="B28" s="519" t="s">
        <v>376</v>
      </c>
      <c r="D28" s="528"/>
      <c r="G28" s="537"/>
    </row>
    <row r="29" spans="1:11">
      <c r="B29" s="519"/>
      <c r="C29" s="518" t="s">
        <v>1234</v>
      </c>
      <c r="D29" s="528"/>
      <c r="E29" s="634" t="e">
        <f>+#REF!+#REF!+#REF!</f>
        <v>#REF!</v>
      </c>
      <c r="G29" s="537" t="e">
        <f>ROUND(E29/E$32,5)</f>
        <v>#REF!</v>
      </c>
    </row>
    <row r="30" spans="1:11">
      <c r="B30" s="519"/>
      <c r="C30" s="518" t="s">
        <v>1235</v>
      </c>
      <c r="D30" s="528"/>
      <c r="E30" s="635">
        <f>+'A 2'!C18+'A 2'!C20+'A 2'!C28</f>
        <v>5056174</v>
      </c>
      <c r="G30" s="537" t="e">
        <f>ROUND(E30/E$32,5)</f>
        <v>#REF!</v>
      </c>
    </row>
    <row r="31" spans="1:11">
      <c r="B31" s="519"/>
      <c r="C31" s="518" t="s">
        <v>351</v>
      </c>
      <c r="D31" s="528"/>
      <c r="E31" s="635"/>
      <c r="G31" s="537"/>
    </row>
    <row r="32" spans="1:11">
      <c r="B32" s="519"/>
      <c r="C32" s="518" t="s">
        <v>1236</v>
      </c>
      <c r="D32" s="528"/>
      <c r="E32" s="643" t="e">
        <f>SUM(E29:E31)</f>
        <v>#REF!</v>
      </c>
      <c r="G32" s="948" t="e">
        <f>+G30+G29+G31</f>
        <v>#REF!</v>
      </c>
    </row>
    <row r="33" spans="1:7">
      <c r="B33" s="519"/>
      <c r="D33" s="528"/>
      <c r="G33" s="537"/>
    </row>
    <row r="34" spans="1:7">
      <c r="B34" s="519" t="s">
        <v>377</v>
      </c>
      <c r="D34" s="528"/>
      <c r="G34" s="537"/>
    </row>
    <row r="35" spans="1:7">
      <c r="B35" s="519"/>
      <c r="C35" s="518" t="s">
        <v>1237</v>
      </c>
      <c r="D35" s="528"/>
      <c r="E35" s="634" t="e">
        <f>+#REF!+#REF!+#REF!+#REF!+#REF!</f>
        <v>#REF!</v>
      </c>
      <c r="G35" s="537" t="e">
        <f>ROUND(E35/E$38,5)</f>
        <v>#REF!</v>
      </c>
    </row>
    <row r="36" spans="1:7">
      <c r="B36" s="521"/>
      <c r="C36" s="518" t="s">
        <v>1238</v>
      </c>
      <c r="D36" s="528"/>
      <c r="E36" s="635">
        <f>+'A 2'!C18+'A 2'!C20+'A 2'!C26+'A 2'!C28+'A 2'!C30</f>
        <v>3368537</v>
      </c>
      <c r="G36" s="537" t="e">
        <f>ROUND(E36/E$38,5)</f>
        <v>#REF!</v>
      </c>
    </row>
    <row r="37" spans="1:7">
      <c r="B37" s="521"/>
      <c r="C37" s="518" t="s">
        <v>351</v>
      </c>
      <c r="D37" s="528"/>
      <c r="E37" s="635"/>
      <c r="G37" s="537"/>
    </row>
    <row r="38" spans="1:7">
      <c r="B38" s="521"/>
      <c r="C38" s="518" t="s">
        <v>1236</v>
      </c>
      <c r="D38" s="528"/>
      <c r="E38" s="643" t="e">
        <f>SUM(E35:E37)</f>
        <v>#REF!</v>
      </c>
      <c r="G38" s="948" t="e">
        <f>+G35+G36+G37</f>
        <v>#REF!</v>
      </c>
    </row>
    <row r="39" spans="1:7">
      <c r="D39" s="528"/>
      <c r="F39" s="945" t="s">
        <v>1239</v>
      </c>
      <c r="G39" s="945"/>
    </row>
    <row r="40" spans="1:7">
      <c r="D40" s="528"/>
      <c r="F40" s="945"/>
      <c r="G40" s="945"/>
    </row>
    <row r="41" spans="1:7">
      <c r="B41" s="517" t="s">
        <v>1240</v>
      </c>
      <c r="D41" s="528"/>
      <c r="E41" s="946" t="s">
        <v>458</v>
      </c>
      <c r="F41" s="946" t="s">
        <v>1241</v>
      </c>
      <c r="G41" s="946" t="s">
        <v>670</v>
      </c>
    </row>
    <row r="42" spans="1:7">
      <c r="D42" s="528" t="s">
        <v>1242</v>
      </c>
      <c r="E42" s="533"/>
    </row>
    <row r="43" spans="1:7">
      <c r="B43" s="524"/>
      <c r="C43" s="519"/>
      <c r="D43" s="528"/>
      <c r="E43" s="533"/>
    </row>
    <row r="44" spans="1:7">
      <c r="A44" s="528">
        <v>5270</v>
      </c>
      <c r="B44" s="524">
        <v>471</v>
      </c>
      <c r="C44" s="519" t="s">
        <v>290</v>
      </c>
      <c r="D44" s="725" t="s">
        <v>347</v>
      </c>
      <c r="E44" s="609">
        <f>-Q122</f>
        <v>0</v>
      </c>
      <c r="F44" s="609">
        <f>+E44</f>
        <v>0</v>
      </c>
      <c r="G44" s="609"/>
    </row>
    <row r="45" spans="1:7">
      <c r="A45" s="528">
        <v>5285</v>
      </c>
      <c r="B45" s="521" t="s">
        <v>297</v>
      </c>
      <c r="C45" s="519" t="s">
        <v>291</v>
      </c>
      <c r="D45" s="725" t="s">
        <v>347</v>
      </c>
      <c r="E45" s="609">
        <f>-Q123</f>
        <v>0</v>
      </c>
      <c r="F45" s="609">
        <f>+E18</f>
        <v>0</v>
      </c>
      <c r="G45" s="609">
        <f>+F18</f>
        <v>0</v>
      </c>
    </row>
    <row r="46" spans="1:7">
      <c r="A46" s="528">
        <v>5200</v>
      </c>
      <c r="B46" s="524">
        <v>540.1</v>
      </c>
      <c r="C46" s="519" t="s">
        <v>292</v>
      </c>
      <c r="D46" s="725" t="s">
        <v>1243</v>
      </c>
      <c r="E46" s="634">
        <f>-Q120</f>
        <v>0</v>
      </c>
      <c r="G46" s="634">
        <f>+E46</f>
        <v>0</v>
      </c>
    </row>
    <row r="47" spans="1:7">
      <c r="A47" s="528">
        <v>5230</v>
      </c>
      <c r="B47" s="524">
        <v>541</v>
      </c>
      <c r="C47" s="519" t="s">
        <v>293</v>
      </c>
      <c r="D47" s="725" t="s">
        <v>1243</v>
      </c>
      <c r="E47" s="634">
        <f>-Q121</f>
        <v>0</v>
      </c>
      <c r="G47" s="634">
        <f>+E47</f>
        <v>0</v>
      </c>
    </row>
    <row r="48" spans="1:7">
      <c r="B48" s="524"/>
      <c r="C48" s="528"/>
      <c r="D48" s="528"/>
    </row>
    <row r="49" spans="1:18" ht="17.25" customHeight="1" thickBot="1">
      <c r="D49" s="528"/>
      <c r="E49" s="947">
        <f>SUM(E43:E48)</f>
        <v>0</v>
      </c>
      <c r="F49" s="947">
        <f>SUM(F43:F48)</f>
        <v>0</v>
      </c>
      <c r="G49" s="947">
        <f>SUM(G43:G48)</f>
        <v>0</v>
      </c>
      <c r="Q49" s="609"/>
    </row>
    <row r="50" spans="1:18" ht="12.75" thickTop="1">
      <c r="D50" s="528"/>
      <c r="Q50" s="609"/>
    </row>
    <row r="51" spans="1:18">
      <c r="A51" s="528">
        <v>7510</v>
      </c>
      <c r="B51" s="524" t="s">
        <v>1255</v>
      </c>
      <c r="C51" s="519" t="s">
        <v>1256</v>
      </c>
      <c r="D51" s="522"/>
      <c r="E51" s="640"/>
      <c r="G51" s="640"/>
      <c r="H51" s="640"/>
      <c r="Q51" s="609">
        <f>SUM(E51:P51)</f>
        <v>0</v>
      </c>
    </row>
    <row r="52" spans="1:18">
      <c r="A52" s="528">
        <v>7515</v>
      </c>
      <c r="B52" s="524" t="s">
        <v>1257</v>
      </c>
      <c r="C52" s="519" t="s">
        <v>1258</v>
      </c>
      <c r="D52" s="522"/>
      <c r="E52" s="640"/>
      <c r="G52" s="640"/>
      <c r="H52" s="640"/>
      <c r="Q52" s="609">
        <f>SUM(E52:P52)</f>
        <v>0</v>
      </c>
    </row>
    <row r="53" spans="1:18">
      <c r="A53" s="528">
        <v>7520</v>
      </c>
      <c r="B53" s="524" t="s">
        <v>1259</v>
      </c>
      <c r="C53" s="519" t="s">
        <v>1260</v>
      </c>
      <c r="D53" s="573"/>
      <c r="E53" s="605"/>
      <c r="G53" s="605"/>
      <c r="H53" s="605"/>
      <c r="Q53" s="609">
        <f>SUM(E53:P53)</f>
        <v>0</v>
      </c>
    </row>
    <row r="54" spans="1:18">
      <c r="B54" s="525">
        <v>408</v>
      </c>
      <c r="C54" s="570" t="s">
        <v>464</v>
      </c>
      <c r="D54" s="571" t="s">
        <v>347</v>
      </c>
      <c r="E54" s="636">
        <f>SUM(E51:E53)</f>
        <v>0</v>
      </c>
      <c r="F54" s="636">
        <f t="shared" ref="F54:P54" si="2">SUM(F51:F53)</f>
        <v>0</v>
      </c>
      <c r="G54" s="636">
        <f t="shared" si="2"/>
        <v>0</v>
      </c>
      <c r="H54" s="636">
        <f t="shared" si="2"/>
        <v>0</v>
      </c>
      <c r="I54" s="636">
        <f t="shared" si="2"/>
        <v>0</v>
      </c>
      <c r="J54" s="636">
        <f t="shared" si="2"/>
        <v>0</v>
      </c>
      <c r="K54" s="636">
        <f t="shared" si="2"/>
        <v>0</v>
      </c>
      <c r="L54" s="636">
        <f t="shared" si="2"/>
        <v>0</v>
      </c>
      <c r="M54" s="636">
        <f t="shared" si="2"/>
        <v>0</v>
      </c>
      <c r="N54" s="636">
        <f t="shared" si="2"/>
        <v>0</v>
      </c>
      <c r="O54" s="636">
        <f t="shared" si="2"/>
        <v>0</v>
      </c>
      <c r="P54" s="636">
        <f t="shared" si="2"/>
        <v>0</v>
      </c>
      <c r="Q54" s="1293">
        <f>SUM(Q51:Q53)</f>
        <v>0</v>
      </c>
      <c r="R54" s="149">
        <f>+Q54-SUM(E55:P56)</f>
        <v>0</v>
      </c>
    </row>
    <row r="55" spans="1:18">
      <c r="B55" s="525"/>
      <c r="C55" s="572" t="s">
        <v>278</v>
      </c>
      <c r="D55" s="573"/>
      <c r="E55" s="637">
        <f t="shared" ref="E55" si="3">ROUND(E54*$G$24,2)</f>
        <v>0</v>
      </c>
      <c r="F55" s="637">
        <f t="shared" ref="F55" si="4">ROUND(F54*$G$24,2)</f>
        <v>0</v>
      </c>
      <c r="G55" s="637">
        <f t="shared" ref="G55" si="5">ROUND(G54*$G$24,2)</f>
        <v>0</v>
      </c>
      <c r="H55" s="637">
        <f t="shared" ref="H55" si="6">ROUND(H54*$G$24,2)</f>
        <v>0</v>
      </c>
      <c r="I55" s="637">
        <f t="shared" ref="I55" si="7">ROUND(I54*$G$24,2)</f>
        <v>0</v>
      </c>
      <c r="J55" s="637">
        <f t="shared" ref="J55" si="8">ROUND(J54*$G$24,2)</f>
        <v>0</v>
      </c>
      <c r="K55" s="637">
        <f t="shared" ref="K55" si="9">ROUND(K54*$G$24,2)</f>
        <v>0</v>
      </c>
      <c r="L55" s="637">
        <f t="shared" ref="L55" si="10">ROUND(L54*$G$24,2)</f>
        <v>0</v>
      </c>
      <c r="M55" s="637">
        <f t="shared" ref="M55" si="11">ROUND(M54*$G$24,2)</f>
        <v>0</v>
      </c>
      <c r="N55" s="637">
        <f t="shared" ref="N55" si="12">ROUND(N54*$G$24,2)</f>
        <v>0</v>
      </c>
      <c r="O55" s="637">
        <f t="shared" ref="O55" si="13">ROUND(O54*$G$24,2)</f>
        <v>0</v>
      </c>
      <c r="P55" s="637">
        <f t="shared" ref="P55" si="14">ROUND(P54*$G$24,2)</f>
        <v>0</v>
      </c>
      <c r="Q55" s="1297">
        <f>SUM(E55:P55)</f>
        <v>0</v>
      </c>
      <c r="R55" s="530">
        <f>SUM(E55:P55)</f>
        <v>0</v>
      </c>
    </row>
    <row r="56" spans="1:18">
      <c r="B56" s="525"/>
      <c r="C56" s="574" t="s">
        <v>279</v>
      </c>
      <c r="D56" s="575"/>
      <c r="E56" s="639">
        <f t="shared" ref="E56:P56" si="15">ROUND(E54*$G$25,2)</f>
        <v>0</v>
      </c>
      <c r="F56" s="639">
        <f t="shared" si="15"/>
        <v>0</v>
      </c>
      <c r="G56" s="639">
        <f t="shared" si="15"/>
        <v>0</v>
      </c>
      <c r="H56" s="639">
        <f t="shared" si="15"/>
        <v>0</v>
      </c>
      <c r="I56" s="639">
        <f t="shared" si="15"/>
        <v>0</v>
      </c>
      <c r="J56" s="639">
        <f t="shared" si="15"/>
        <v>0</v>
      </c>
      <c r="K56" s="639">
        <f t="shared" si="15"/>
        <v>0</v>
      </c>
      <c r="L56" s="639">
        <f t="shared" si="15"/>
        <v>0</v>
      </c>
      <c r="M56" s="639">
        <f t="shared" si="15"/>
        <v>0</v>
      </c>
      <c r="N56" s="639">
        <f t="shared" si="15"/>
        <v>0</v>
      </c>
      <c r="O56" s="639">
        <f t="shared" si="15"/>
        <v>0</v>
      </c>
      <c r="P56" s="639">
        <f t="shared" si="15"/>
        <v>0</v>
      </c>
      <c r="Q56" s="1298">
        <f>SUM(E56:P56)</f>
        <v>0</v>
      </c>
      <c r="R56" s="530">
        <f>SUM(E56:P56)</f>
        <v>0</v>
      </c>
    </row>
    <row r="57" spans="1:18">
      <c r="B57" s="524"/>
      <c r="C57" s="519"/>
      <c r="D57" s="573"/>
      <c r="E57" s="605"/>
      <c r="G57" s="605"/>
      <c r="H57" s="605"/>
      <c r="Q57" s="609"/>
    </row>
    <row r="58" spans="1:18">
      <c r="A58" s="528">
        <v>7560</v>
      </c>
      <c r="B58" s="524"/>
      <c r="C58" s="519" t="s">
        <v>1254</v>
      </c>
      <c r="D58" s="523" t="s">
        <v>498</v>
      </c>
      <c r="E58" s="640"/>
      <c r="G58" s="634">
        <v>0</v>
      </c>
      <c r="H58" s="634">
        <v>0</v>
      </c>
      <c r="I58" s="634">
        <v>0</v>
      </c>
      <c r="J58" s="634">
        <v>0</v>
      </c>
      <c r="K58" s="634">
        <v>0</v>
      </c>
      <c r="L58" s="634">
        <v>0</v>
      </c>
      <c r="M58" s="634">
        <v>0</v>
      </c>
      <c r="N58" s="634">
        <v>0</v>
      </c>
      <c r="O58" s="634">
        <v>0</v>
      </c>
      <c r="P58" s="634">
        <v>0</v>
      </c>
      <c r="Q58" s="609">
        <f t="shared" ref="Q58" si="16">SUM(E58:P58)</f>
        <v>0</v>
      </c>
    </row>
    <row r="59" spans="1:18">
      <c r="B59" s="524"/>
      <c r="C59" s="519"/>
      <c r="E59" s="640"/>
      <c r="Q59" s="609"/>
    </row>
    <row r="60" spans="1:18">
      <c r="A60" s="528">
        <v>7550</v>
      </c>
      <c r="B60" s="521">
        <v>4081100</v>
      </c>
      <c r="C60" s="519" t="s">
        <v>1261</v>
      </c>
      <c r="D60" s="573"/>
      <c r="E60" s="635"/>
      <c r="G60" s="635"/>
      <c r="H60" s="635"/>
      <c r="Q60" s="609">
        <f>SUM(E60:P60)</f>
        <v>0</v>
      </c>
    </row>
    <row r="61" spans="1:18">
      <c r="B61" s="527">
        <v>408.1</v>
      </c>
      <c r="C61" s="570" t="s">
        <v>367</v>
      </c>
      <c r="D61" s="571"/>
      <c r="E61" s="636">
        <f>SUM(E60)</f>
        <v>0</v>
      </c>
      <c r="F61" s="636">
        <f t="shared" ref="F61:P61" si="17">SUM(F60)</f>
        <v>0</v>
      </c>
      <c r="G61" s="636">
        <f t="shared" si="17"/>
        <v>0</v>
      </c>
      <c r="H61" s="636">
        <f t="shared" si="17"/>
        <v>0</v>
      </c>
      <c r="I61" s="636">
        <f t="shared" si="17"/>
        <v>0</v>
      </c>
      <c r="J61" s="636">
        <f t="shared" si="17"/>
        <v>0</v>
      </c>
      <c r="K61" s="636">
        <f t="shared" si="17"/>
        <v>0</v>
      </c>
      <c r="L61" s="636">
        <f t="shared" si="17"/>
        <v>0</v>
      </c>
      <c r="M61" s="636">
        <f t="shared" si="17"/>
        <v>0</v>
      </c>
      <c r="N61" s="636">
        <f t="shared" si="17"/>
        <v>0</v>
      </c>
      <c r="O61" s="636">
        <f t="shared" si="17"/>
        <v>0</v>
      </c>
      <c r="P61" s="636">
        <f t="shared" si="17"/>
        <v>0</v>
      </c>
      <c r="Q61" s="1293">
        <f>+Q60</f>
        <v>0</v>
      </c>
      <c r="R61" s="149">
        <f>+Q60-SUM(E62:P63)</f>
        <v>0</v>
      </c>
    </row>
    <row r="62" spans="1:18">
      <c r="B62" s="527"/>
      <c r="C62" s="572" t="s">
        <v>278</v>
      </c>
      <c r="D62" s="573"/>
      <c r="E62" s="637">
        <f t="shared" ref="E62" si="18">ROUND(E61*$G$24,2)</f>
        <v>0</v>
      </c>
      <c r="F62" s="637">
        <f t="shared" ref="F62" si="19">ROUND(F61*$G$24,2)</f>
        <v>0</v>
      </c>
      <c r="G62" s="637">
        <f t="shared" ref="G62" si="20">ROUND(G61*$G$24,2)</f>
        <v>0</v>
      </c>
      <c r="H62" s="637">
        <f t="shared" ref="H62" si="21">ROUND(H61*$G$24,2)</f>
        <v>0</v>
      </c>
      <c r="I62" s="637">
        <f t="shared" ref="I62" si="22">ROUND(I61*$G$24,2)</f>
        <v>0</v>
      </c>
      <c r="J62" s="637">
        <f t="shared" ref="J62" si="23">ROUND(J61*$G$24,2)</f>
        <v>0</v>
      </c>
      <c r="K62" s="637">
        <f t="shared" ref="K62" si="24">ROUND(K61*$G$24,2)</f>
        <v>0</v>
      </c>
      <c r="L62" s="637">
        <f t="shared" ref="L62" si="25">ROUND(L61*$G$24,2)</f>
        <v>0</v>
      </c>
      <c r="M62" s="637">
        <f t="shared" ref="M62" si="26">ROUND(M61*$G$24,2)</f>
        <v>0</v>
      </c>
      <c r="N62" s="637">
        <f t="shared" ref="N62" si="27">ROUND(N61*$G$24,2)</f>
        <v>0</v>
      </c>
      <c r="O62" s="637">
        <f t="shared" ref="O62" si="28">ROUND(O61*$G$24,2)</f>
        <v>0</v>
      </c>
      <c r="P62" s="637">
        <f t="shared" ref="P62" si="29">ROUND(P61*$G$24,2)</f>
        <v>0</v>
      </c>
      <c r="Q62" s="1297">
        <f>SUM(E62:P62)</f>
        <v>0</v>
      </c>
      <c r="R62" s="530">
        <f>SUM(E62:P62)</f>
        <v>0</v>
      </c>
    </row>
    <row r="63" spans="1:18">
      <c r="B63" s="527"/>
      <c r="C63" s="574" t="s">
        <v>279</v>
      </c>
      <c r="D63" s="575"/>
      <c r="E63" s="639">
        <f t="shared" ref="E63:P63" si="30">ROUND(E61*$G$25,2)</f>
        <v>0</v>
      </c>
      <c r="F63" s="639">
        <f t="shared" si="30"/>
        <v>0</v>
      </c>
      <c r="G63" s="639">
        <f t="shared" si="30"/>
        <v>0</v>
      </c>
      <c r="H63" s="639">
        <f t="shared" si="30"/>
        <v>0</v>
      </c>
      <c r="I63" s="639">
        <f t="shared" si="30"/>
        <v>0</v>
      </c>
      <c r="J63" s="639">
        <f t="shared" si="30"/>
        <v>0</v>
      </c>
      <c r="K63" s="639">
        <f t="shared" si="30"/>
        <v>0</v>
      </c>
      <c r="L63" s="639">
        <f t="shared" si="30"/>
        <v>0</v>
      </c>
      <c r="M63" s="639">
        <f t="shared" si="30"/>
        <v>0</v>
      </c>
      <c r="N63" s="639">
        <f t="shared" si="30"/>
        <v>0</v>
      </c>
      <c r="O63" s="639">
        <f t="shared" si="30"/>
        <v>0</v>
      </c>
      <c r="P63" s="639">
        <f t="shared" si="30"/>
        <v>0</v>
      </c>
      <c r="Q63" s="1298">
        <f>SUM(E63:P63)</f>
        <v>0</v>
      </c>
      <c r="R63" s="530">
        <f>SUM(E63:P63)</f>
        <v>0</v>
      </c>
    </row>
    <row r="64" spans="1:18">
      <c r="B64" s="527"/>
      <c r="C64" s="576"/>
      <c r="D64" s="573"/>
      <c r="E64" s="637"/>
      <c r="F64" s="637"/>
      <c r="G64" s="637"/>
      <c r="H64" s="637"/>
      <c r="I64" s="637"/>
      <c r="J64" s="637"/>
      <c r="K64" s="637"/>
      <c r="L64" s="637"/>
      <c r="M64" s="637"/>
      <c r="N64" s="637"/>
      <c r="O64" s="637"/>
      <c r="P64" s="637"/>
      <c r="Q64" s="1295"/>
    </row>
    <row r="65" spans="1:18">
      <c r="A65" s="528">
        <v>7555</v>
      </c>
      <c r="B65" s="524" t="s">
        <v>1262</v>
      </c>
      <c r="C65" s="519" t="s">
        <v>1263</v>
      </c>
      <c r="D65" s="573"/>
      <c r="E65" s="640">
        <v>0</v>
      </c>
      <c r="G65" s="640"/>
      <c r="H65" s="640"/>
      <c r="I65" s="640"/>
      <c r="J65" s="640"/>
      <c r="K65" s="640"/>
      <c r="L65" s="640">
        <v>0</v>
      </c>
      <c r="M65" s="640">
        <v>0</v>
      </c>
      <c r="N65" s="640"/>
      <c r="O65" s="640"/>
      <c r="Q65" s="609">
        <f>SUM(E65:P65)</f>
        <v>0</v>
      </c>
    </row>
    <row r="66" spans="1:18">
      <c r="A66" s="528">
        <v>7545</v>
      </c>
      <c r="B66" s="524" t="s">
        <v>1264</v>
      </c>
      <c r="C66" s="519" t="s">
        <v>1265</v>
      </c>
      <c r="D66" s="573"/>
      <c r="E66" s="640">
        <v>0</v>
      </c>
      <c r="F66" s="640">
        <v>0</v>
      </c>
      <c r="G66" s="640">
        <v>0</v>
      </c>
      <c r="H66" s="640">
        <v>0</v>
      </c>
      <c r="I66" s="640">
        <v>0</v>
      </c>
      <c r="J66" s="640">
        <v>0</v>
      </c>
      <c r="K66" s="640">
        <v>0</v>
      </c>
      <c r="L66" s="640">
        <v>0</v>
      </c>
      <c r="M66" s="640">
        <v>0</v>
      </c>
      <c r="N66" s="640"/>
      <c r="O66" s="640"/>
      <c r="Q66" s="609">
        <f>SUM(E66:P66)</f>
        <v>0</v>
      </c>
    </row>
    <row r="67" spans="1:18">
      <c r="B67" s="527">
        <v>408.1</v>
      </c>
      <c r="C67" s="570" t="s">
        <v>368</v>
      </c>
      <c r="D67" s="571"/>
      <c r="E67" s="636">
        <f>SUM(E65:E66)</f>
        <v>0</v>
      </c>
      <c r="F67" s="636">
        <f t="shared" ref="F67:P67" si="31">SUM(F65:F66)</f>
        <v>0</v>
      </c>
      <c r="G67" s="636">
        <f t="shared" si="31"/>
        <v>0</v>
      </c>
      <c r="H67" s="636">
        <f t="shared" si="31"/>
        <v>0</v>
      </c>
      <c r="I67" s="636">
        <f t="shared" si="31"/>
        <v>0</v>
      </c>
      <c r="J67" s="636">
        <f t="shared" si="31"/>
        <v>0</v>
      </c>
      <c r="K67" s="636">
        <f t="shared" si="31"/>
        <v>0</v>
      </c>
      <c r="L67" s="636">
        <f t="shared" si="31"/>
        <v>0</v>
      </c>
      <c r="M67" s="636">
        <f t="shared" si="31"/>
        <v>0</v>
      </c>
      <c r="N67" s="636">
        <f t="shared" si="31"/>
        <v>0</v>
      </c>
      <c r="O67" s="636">
        <f t="shared" si="31"/>
        <v>0</v>
      </c>
      <c r="P67" s="636">
        <f t="shared" si="31"/>
        <v>0</v>
      </c>
      <c r="Q67" s="1293">
        <f>SUM(Q65:Q66)</f>
        <v>0</v>
      </c>
      <c r="R67" s="149">
        <f>+Q67-SUM(E68:P69)</f>
        <v>0</v>
      </c>
    </row>
    <row r="68" spans="1:18">
      <c r="B68" s="527"/>
      <c r="C68" s="572" t="s">
        <v>278</v>
      </c>
      <c r="D68" s="573"/>
      <c r="E68" s="637">
        <f t="shared" ref="E68" si="32">ROUND(E67*$G$24,2)</f>
        <v>0</v>
      </c>
      <c r="F68" s="637">
        <f t="shared" ref="F68" si="33">ROUND(F67*$G$24,2)</f>
        <v>0</v>
      </c>
      <c r="G68" s="637">
        <f t="shared" ref="G68" si="34">ROUND(G67*$G$24,2)</f>
        <v>0</v>
      </c>
      <c r="H68" s="637">
        <f t="shared" ref="H68" si="35">ROUND(H67*$G$24,2)</f>
        <v>0</v>
      </c>
      <c r="I68" s="637">
        <f t="shared" ref="I68" si="36">ROUND(I67*$G$24,2)</f>
        <v>0</v>
      </c>
      <c r="J68" s="637">
        <f t="shared" ref="J68" si="37">ROUND(J67*$G$24,2)</f>
        <v>0</v>
      </c>
      <c r="K68" s="637">
        <f t="shared" ref="K68" si="38">ROUND(K67*$G$24,2)</f>
        <v>0</v>
      </c>
      <c r="L68" s="637">
        <f t="shared" ref="L68" si="39">ROUND(L67*$G$24,2)</f>
        <v>0</v>
      </c>
      <c r="M68" s="637">
        <f t="shared" ref="M68" si="40">ROUND(M67*$G$24,2)</f>
        <v>0</v>
      </c>
      <c r="N68" s="637">
        <f t="shared" ref="N68" si="41">ROUND(N67*$G$24,2)</f>
        <v>0</v>
      </c>
      <c r="O68" s="637">
        <f t="shared" ref="O68" si="42">ROUND(O67*$G$24,2)</f>
        <v>0</v>
      </c>
      <c r="P68" s="637">
        <f t="shared" ref="P68" si="43">ROUND(P67*$G$24,2)</f>
        <v>0</v>
      </c>
      <c r="Q68" s="1297">
        <f>SUM(E68:P68)</f>
        <v>0</v>
      </c>
      <c r="R68" s="530">
        <f>SUM(E68:P68)</f>
        <v>0</v>
      </c>
    </row>
    <row r="69" spans="1:18">
      <c r="B69" s="527"/>
      <c r="C69" s="574" t="s">
        <v>279</v>
      </c>
      <c r="D69" s="575"/>
      <c r="E69" s="639">
        <f t="shared" ref="E69:P69" si="44">ROUND(E67*$G$25,2)</f>
        <v>0</v>
      </c>
      <c r="F69" s="639">
        <f t="shared" si="44"/>
        <v>0</v>
      </c>
      <c r="G69" s="639">
        <f t="shared" si="44"/>
        <v>0</v>
      </c>
      <c r="H69" s="639">
        <f t="shared" si="44"/>
        <v>0</v>
      </c>
      <c r="I69" s="639">
        <f t="shared" si="44"/>
        <v>0</v>
      </c>
      <c r="J69" s="639">
        <f t="shared" si="44"/>
        <v>0</v>
      </c>
      <c r="K69" s="639">
        <f t="shared" si="44"/>
        <v>0</v>
      </c>
      <c r="L69" s="639">
        <f t="shared" si="44"/>
        <v>0</v>
      </c>
      <c r="M69" s="639">
        <f t="shared" si="44"/>
        <v>0</v>
      </c>
      <c r="N69" s="639">
        <f t="shared" si="44"/>
        <v>0</v>
      </c>
      <c r="O69" s="639">
        <f t="shared" si="44"/>
        <v>0</v>
      </c>
      <c r="P69" s="639">
        <f t="shared" si="44"/>
        <v>0</v>
      </c>
      <c r="Q69" s="1298">
        <f>SUM(E69:P69)</f>
        <v>0</v>
      </c>
      <c r="R69" s="530">
        <f>SUM(E69:P69)</f>
        <v>0</v>
      </c>
    </row>
    <row r="70" spans="1:18">
      <c r="B70" s="524"/>
      <c r="C70" s="519"/>
      <c r="D70" s="573"/>
      <c r="E70" s="640"/>
      <c r="F70" s="640"/>
      <c r="G70" s="640"/>
      <c r="H70" s="640"/>
      <c r="I70" s="640"/>
      <c r="J70" s="640"/>
      <c r="K70" s="640"/>
      <c r="L70" s="640"/>
      <c r="M70" s="640"/>
      <c r="N70" s="640"/>
      <c r="Q70" s="609"/>
    </row>
    <row r="71" spans="1:18">
      <c r="A71" s="528">
        <v>7540</v>
      </c>
      <c r="B71" s="524" t="s">
        <v>1266</v>
      </c>
      <c r="C71" s="519" t="s">
        <v>1267</v>
      </c>
      <c r="D71" s="571"/>
      <c r="E71" s="640"/>
      <c r="F71" s="634">
        <v>0</v>
      </c>
      <c r="G71" s="640">
        <v>0</v>
      </c>
      <c r="H71" s="640">
        <v>0</v>
      </c>
      <c r="I71" s="634">
        <v>0</v>
      </c>
      <c r="J71" s="634">
        <v>0</v>
      </c>
      <c r="L71" s="634">
        <v>0</v>
      </c>
      <c r="M71" s="634">
        <v>0</v>
      </c>
      <c r="N71" s="634">
        <v>0</v>
      </c>
      <c r="O71" s="634">
        <v>0</v>
      </c>
      <c r="Q71" s="609">
        <f>SUM(E71:P71)</f>
        <v>0</v>
      </c>
    </row>
    <row r="72" spans="1:18">
      <c r="B72" s="525">
        <v>408</v>
      </c>
      <c r="C72" s="570" t="s">
        <v>464</v>
      </c>
      <c r="D72" s="571"/>
      <c r="E72" s="636">
        <f t="shared" ref="E72:Q72" si="45">SUM(E71)</f>
        <v>0</v>
      </c>
      <c r="F72" s="636">
        <f t="shared" si="45"/>
        <v>0</v>
      </c>
      <c r="G72" s="636">
        <f t="shared" si="45"/>
        <v>0</v>
      </c>
      <c r="H72" s="636">
        <f t="shared" si="45"/>
        <v>0</v>
      </c>
      <c r="I72" s="636">
        <f t="shared" si="45"/>
        <v>0</v>
      </c>
      <c r="J72" s="636">
        <f t="shared" si="45"/>
        <v>0</v>
      </c>
      <c r="K72" s="636">
        <f t="shared" si="45"/>
        <v>0</v>
      </c>
      <c r="L72" s="636">
        <f t="shared" si="45"/>
        <v>0</v>
      </c>
      <c r="M72" s="636">
        <f t="shared" si="45"/>
        <v>0</v>
      </c>
      <c r="N72" s="636">
        <f t="shared" si="45"/>
        <v>0</v>
      </c>
      <c r="O72" s="636">
        <f t="shared" si="45"/>
        <v>0</v>
      </c>
      <c r="P72" s="636">
        <f t="shared" si="45"/>
        <v>0</v>
      </c>
      <c r="Q72" s="1293">
        <f t="shared" si="45"/>
        <v>0</v>
      </c>
      <c r="R72" s="847" t="e">
        <f>+Q72-SUM(E73:P74)</f>
        <v>#DIV/0!</v>
      </c>
    </row>
    <row r="73" spans="1:18">
      <c r="B73" s="525"/>
      <c r="C73" s="572" t="s">
        <v>278</v>
      </c>
      <c r="D73" s="573"/>
      <c r="E73" s="637">
        <f t="shared" ref="E73" si="46">ROUND(E72*$G$24,2)</f>
        <v>0</v>
      </c>
      <c r="F73" s="637" t="e">
        <f t="shared" ref="F73:O73" si="47">ROUND(F72*$E$21,0)</f>
        <v>#DIV/0!</v>
      </c>
      <c r="G73" s="637" t="e">
        <f t="shared" si="47"/>
        <v>#DIV/0!</v>
      </c>
      <c r="H73" s="637" t="e">
        <f t="shared" si="47"/>
        <v>#DIV/0!</v>
      </c>
      <c r="I73" s="637" t="e">
        <f t="shared" si="47"/>
        <v>#DIV/0!</v>
      </c>
      <c r="J73" s="637" t="e">
        <f t="shared" si="47"/>
        <v>#DIV/0!</v>
      </c>
      <c r="K73" s="637">
        <f t="shared" ref="K73" si="48">ROUND(K72*$G$24,2)</f>
        <v>0</v>
      </c>
      <c r="L73" s="637" t="e">
        <f t="shared" si="47"/>
        <v>#DIV/0!</v>
      </c>
      <c r="M73" s="637" t="e">
        <f t="shared" si="47"/>
        <v>#DIV/0!</v>
      </c>
      <c r="N73" s="637" t="e">
        <f t="shared" si="47"/>
        <v>#DIV/0!</v>
      </c>
      <c r="O73" s="637" t="e">
        <f t="shared" si="47"/>
        <v>#DIV/0!</v>
      </c>
      <c r="P73" s="637">
        <f t="shared" ref="P73" si="49">ROUND(P72*$G$24,2)</f>
        <v>0</v>
      </c>
      <c r="Q73" s="1297" t="e">
        <f>SUM(E73:P73)</f>
        <v>#DIV/0!</v>
      </c>
      <c r="R73" s="530" t="e">
        <f>SUM(E73:P73)</f>
        <v>#DIV/0!</v>
      </c>
    </row>
    <row r="74" spans="1:18">
      <c r="B74" s="525"/>
      <c r="C74" s="574" t="s">
        <v>279</v>
      </c>
      <c r="D74" s="575"/>
      <c r="E74" s="639">
        <f t="shared" ref="E74" si="50">ROUND(E72*$G$25,2)</f>
        <v>0</v>
      </c>
      <c r="F74" s="639" t="e">
        <f t="shared" ref="F74:O74" si="51">ROUND(F72*$F$21,0)</f>
        <v>#DIV/0!</v>
      </c>
      <c r="G74" s="639" t="e">
        <f t="shared" si="51"/>
        <v>#DIV/0!</v>
      </c>
      <c r="H74" s="639" t="e">
        <f t="shared" si="51"/>
        <v>#DIV/0!</v>
      </c>
      <c r="I74" s="639" t="e">
        <f t="shared" si="51"/>
        <v>#DIV/0!</v>
      </c>
      <c r="J74" s="639" t="e">
        <f t="shared" si="51"/>
        <v>#DIV/0!</v>
      </c>
      <c r="K74" s="639">
        <f t="shared" ref="K74" si="52">ROUND(K72*$G$25,2)</f>
        <v>0</v>
      </c>
      <c r="L74" s="639" t="e">
        <f t="shared" si="51"/>
        <v>#DIV/0!</v>
      </c>
      <c r="M74" s="639" t="e">
        <f t="shared" si="51"/>
        <v>#DIV/0!</v>
      </c>
      <c r="N74" s="639" t="e">
        <f t="shared" si="51"/>
        <v>#DIV/0!</v>
      </c>
      <c r="O74" s="639" t="e">
        <f t="shared" si="51"/>
        <v>#DIV/0!</v>
      </c>
      <c r="P74" s="639">
        <f t="shared" ref="P74" si="53">ROUND(P72*$G$25,2)</f>
        <v>0</v>
      </c>
      <c r="Q74" s="1298" t="e">
        <f>SUM(E74:P74)</f>
        <v>#DIV/0!</v>
      </c>
      <c r="R74" s="530" t="e">
        <f>SUM(E74:P74)</f>
        <v>#DIV/0!</v>
      </c>
    </row>
    <row r="75" spans="1:18">
      <c r="B75" s="524"/>
      <c r="C75" s="519"/>
      <c r="D75" s="529"/>
      <c r="E75" s="640"/>
      <c r="G75" s="640"/>
      <c r="H75" s="640"/>
      <c r="Q75" s="609"/>
    </row>
    <row r="76" spans="1:18">
      <c r="A76" s="528">
        <v>7535</v>
      </c>
      <c r="B76" s="524" t="s">
        <v>1268</v>
      </c>
      <c r="C76" s="519" t="s">
        <v>1269</v>
      </c>
      <c r="D76" s="571"/>
      <c r="E76" s="605">
        <v>0</v>
      </c>
      <c r="F76" s="635"/>
      <c r="G76" s="605">
        <v>0</v>
      </c>
      <c r="H76" s="605"/>
      <c r="I76" s="605"/>
      <c r="J76" s="605"/>
      <c r="K76" s="605"/>
      <c r="L76" s="605"/>
      <c r="M76" s="605">
        <v>0</v>
      </c>
      <c r="N76" s="605">
        <v>0</v>
      </c>
      <c r="O76" s="605"/>
      <c r="P76" s="605"/>
      <c r="Q76" s="604">
        <f>SUM(E76:P76)</f>
        <v>0</v>
      </c>
    </row>
    <row r="77" spans="1:18">
      <c r="B77" s="525">
        <v>408</v>
      </c>
      <c r="C77" s="570" t="s">
        <v>464</v>
      </c>
      <c r="D77" s="571"/>
      <c r="E77" s="636">
        <f>SUM(E76)</f>
        <v>0</v>
      </c>
      <c r="F77" s="636">
        <f t="shared" ref="F77:P77" si="54">SUM(F76)</f>
        <v>0</v>
      </c>
      <c r="G77" s="636">
        <f t="shared" si="54"/>
        <v>0</v>
      </c>
      <c r="H77" s="636">
        <f t="shared" si="54"/>
        <v>0</v>
      </c>
      <c r="I77" s="636">
        <f t="shared" si="54"/>
        <v>0</v>
      </c>
      <c r="J77" s="636">
        <f t="shared" si="54"/>
        <v>0</v>
      </c>
      <c r="K77" s="636">
        <f t="shared" si="54"/>
        <v>0</v>
      </c>
      <c r="L77" s="636">
        <f t="shared" si="54"/>
        <v>0</v>
      </c>
      <c r="M77" s="636">
        <f t="shared" si="54"/>
        <v>0</v>
      </c>
      <c r="N77" s="636">
        <f t="shared" si="54"/>
        <v>0</v>
      </c>
      <c r="O77" s="636">
        <f t="shared" si="54"/>
        <v>0</v>
      </c>
      <c r="P77" s="636">
        <f t="shared" si="54"/>
        <v>0</v>
      </c>
      <c r="Q77" s="1293">
        <f>SUM(Q76)</f>
        <v>0</v>
      </c>
      <c r="R77" s="149" t="e">
        <f>+Q77-SUM(E78:P79)</f>
        <v>#DIV/0!</v>
      </c>
    </row>
    <row r="78" spans="1:18">
      <c r="B78" s="525"/>
      <c r="C78" s="572" t="s">
        <v>278</v>
      </c>
      <c r="D78" s="573"/>
      <c r="E78" s="637">
        <f t="shared" ref="E78:F78" si="55">ROUND(E77*$G$24,2)</f>
        <v>0</v>
      </c>
      <c r="F78" s="637">
        <f t="shared" si="55"/>
        <v>0</v>
      </c>
      <c r="G78" s="637" t="e">
        <f t="shared" ref="G78:P78" si="56">ROUND(G77*$E$21,0)</f>
        <v>#DIV/0!</v>
      </c>
      <c r="H78" s="637">
        <f t="shared" ref="H78:I78" si="57">ROUND(H77*$G$24,2)</f>
        <v>0</v>
      </c>
      <c r="I78" s="637">
        <f t="shared" si="57"/>
        <v>0</v>
      </c>
      <c r="J78" s="637" t="e">
        <f t="shared" si="56"/>
        <v>#DIV/0!</v>
      </c>
      <c r="K78" s="637">
        <f t="shared" ref="K78:N78" si="58">ROUND(K77*$G$24,2)</f>
        <v>0</v>
      </c>
      <c r="L78" s="637">
        <f t="shared" si="58"/>
        <v>0</v>
      </c>
      <c r="M78" s="637">
        <f t="shared" si="58"/>
        <v>0</v>
      </c>
      <c r="N78" s="637">
        <f t="shared" si="58"/>
        <v>0</v>
      </c>
      <c r="O78" s="637" t="e">
        <f t="shared" si="56"/>
        <v>#DIV/0!</v>
      </c>
      <c r="P78" s="637" t="e">
        <f t="shared" si="56"/>
        <v>#DIV/0!</v>
      </c>
      <c r="Q78" s="1297" t="e">
        <f>SUM(E78:P78)</f>
        <v>#DIV/0!</v>
      </c>
      <c r="R78" s="530" t="e">
        <f>SUM(E78:P78)</f>
        <v>#DIV/0!</v>
      </c>
    </row>
    <row r="79" spans="1:18">
      <c r="B79" s="525"/>
      <c r="C79" s="574" t="s">
        <v>279</v>
      </c>
      <c r="D79" s="575"/>
      <c r="E79" s="639">
        <f t="shared" ref="E79:F79" si="59">ROUND(E77*$G$25,2)</f>
        <v>0</v>
      </c>
      <c r="F79" s="639">
        <f t="shared" si="59"/>
        <v>0</v>
      </c>
      <c r="G79" s="639" t="e">
        <f t="shared" ref="G79:P79" si="60">ROUND(G77*$F$21,0)</f>
        <v>#DIV/0!</v>
      </c>
      <c r="H79" s="639">
        <f t="shared" ref="H79:I79" si="61">ROUND(H77*$G$25,2)</f>
        <v>0</v>
      </c>
      <c r="I79" s="639">
        <f t="shared" si="61"/>
        <v>0</v>
      </c>
      <c r="J79" s="639" t="e">
        <f t="shared" si="60"/>
        <v>#DIV/0!</v>
      </c>
      <c r="K79" s="639">
        <f t="shared" ref="K79:N79" si="62">ROUND(K77*$G$25,2)</f>
        <v>0</v>
      </c>
      <c r="L79" s="639">
        <f t="shared" si="62"/>
        <v>0</v>
      </c>
      <c r="M79" s="639">
        <f t="shared" si="62"/>
        <v>0</v>
      </c>
      <c r="N79" s="639">
        <f t="shared" si="62"/>
        <v>0</v>
      </c>
      <c r="O79" s="639" t="e">
        <f t="shared" si="60"/>
        <v>#DIV/0!</v>
      </c>
      <c r="P79" s="639" t="e">
        <f t="shared" si="60"/>
        <v>#DIV/0!</v>
      </c>
      <c r="Q79" s="1298" t="e">
        <f>SUM(E79:P79)</f>
        <v>#DIV/0!</v>
      </c>
      <c r="R79" s="530" t="e">
        <f>SUM(E79:P79)</f>
        <v>#DIV/0!</v>
      </c>
    </row>
    <row r="80" spans="1:18">
      <c r="B80" s="525"/>
      <c r="C80" s="526"/>
      <c r="E80" s="638"/>
      <c r="F80" s="638"/>
      <c r="G80" s="638"/>
      <c r="H80" s="638"/>
      <c r="I80" s="638"/>
      <c r="J80" s="638"/>
      <c r="K80" s="638"/>
      <c r="L80" s="638"/>
      <c r="M80" s="638"/>
      <c r="N80" s="638"/>
      <c r="O80" s="638"/>
      <c r="P80" s="638"/>
      <c r="Q80" s="838"/>
    </row>
    <row r="81" spans="1:18">
      <c r="A81" s="528">
        <v>7750</v>
      </c>
      <c r="B81" s="527">
        <v>4201000</v>
      </c>
      <c r="C81" s="587" t="s">
        <v>530</v>
      </c>
      <c r="D81" s="529"/>
      <c r="Q81" s="609">
        <f>SUM(E81:P81)</f>
        <v>0</v>
      </c>
      <c r="R81" s="535"/>
    </row>
    <row r="82" spans="1:18">
      <c r="B82" s="527">
        <v>420.1</v>
      </c>
      <c r="C82" s="570" t="s">
        <v>369</v>
      </c>
      <c r="D82" s="571"/>
      <c r="E82" s="643">
        <f t="shared" ref="E82:Q82" si="63">+E81</f>
        <v>0</v>
      </c>
      <c r="F82" s="643">
        <f t="shared" si="63"/>
        <v>0</v>
      </c>
      <c r="G82" s="643">
        <f t="shared" si="63"/>
        <v>0</v>
      </c>
      <c r="H82" s="643">
        <f t="shared" si="63"/>
        <v>0</v>
      </c>
      <c r="I82" s="643">
        <f t="shared" si="63"/>
        <v>0</v>
      </c>
      <c r="J82" s="643">
        <f t="shared" si="63"/>
        <v>0</v>
      </c>
      <c r="K82" s="643">
        <f t="shared" si="63"/>
        <v>0</v>
      </c>
      <c r="L82" s="643">
        <f t="shared" si="63"/>
        <v>0</v>
      </c>
      <c r="M82" s="643">
        <f t="shared" si="63"/>
        <v>0</v>
      </c>
      <c r="N82" s="643">
        <f t="shared" si="63"/>
        <v>0</v>
      </c>
      <c r="O82" s="643">
        <f t="shared" si="63"/>
        <v>0</v>
      </c>
      <c r="P82" s="643">
        <f t="shared" si="63"/>
        <v>0</v>
      </c>
      <c r="Q82" s="1294">
        <f t="shared" si="63"/>
        <v>0</v>
      </c>
      <c r="R82" s="149">
        <f>+Q82-SUM(E83:P84)</f>
        <v>0</v>
      </c>
    </row>
    <row r="83" spans="1:18">
      <c r="B83" s="527"/>
      <c r="C83" s="572" t="s">
        <v>278</v>
      </c>
      <c r="D83" s="573"/>
      <c r="E83" s="637">
        <f t="shared" ref="E83:P83" si="64">ROUND(E82*$G$24,2)</f>
        <v>0</v>
      </c>
      <c r="F83" s="637">
        <f t="shared" si="64"/>
        <v>0</v>
      </c>
      <c r="G83" s="637">
        <f t="shared" si="64"/>
        <v>0</v>
      </c>
      <c r="H83" s="637">
        <f t="shared" si="64"/>
        <v>0</v>
      </c>
      <c r="I83" s="637">
        <f t="shared" si="64"/>
        <v>0</v>
      </c>
      <c r="J83" s="637">
        <f t="shared" si="64"/>
        <v>0</v>
      </c>
      <c r="K83" s="637">
        <f t="shared" si="64"/>
        <v>0</v>
      </c>
      <c r="L83" s="637">
        <f t="shared" si="64"/>
        <v>0</v>
      </c>
      <c r="M83" s="637">
        <f t="shared" si="64"/>
        <v>0</v>
      </c>
      <c r="N83" s="637">
        <f t="shared" si="64"/>
        <v>0</v>
      </c>
      <c r="O83" s="637">
        <f t="shared" si="64"/>
        <v>0</v>
      </c>
      <c r="P83" s="637">
        <f t="shared" si="64"/>
        <v>0</v>
      </c>
      <c r="Q83" s="1297">
        <f>SUM(E83:P83)</f>
        <v>0</v>
      </c>
      <c r="R83" s="530">
        <f>SUM(E83:P83)</f>
        <v>0</v>
      </c>
    </row>
    <row r="84" spans="1:18">
      <c r="B84" s="527"/>
      <c r="C84" s="574" t="s">
        <v>279</v>
      </c>
      <c r="D84" s="575"/>
      <c r="E84" s="639">
        <f t="shared" ref="E84:P84" si="65">ROUND(E82*$G$25,2)</f>
        <v>0</v>
      </c>
      <c r="F84" s="639">
        <f t="shared" si="65"/>
        <v>0</v>
      </c>
      <c r="G84" s="639">
        <f t="shared" si="65"/>
        <v>0</v>
      </c>
      <c r="H84" s="639">
        <f t="shared" si="65"/>
        <v>0</v>
      </c>
      <c r="I84" s="639">
        <f t="shared" si="65"/>
        <v>0</v>
      </c>
      <c r="J84" s="639">
        <f t="shared" si="65"/>
        <v>0</v>
      </c>
      <c r="K84" s="639">
        <f t="shared" si="65"/>
        <v>0</v>
      </c>
      <c r="L84" s="639">
        <f t="shared" si="65"/>
        <v>0</v>
      </c>
      <c r="M84" s="639">
        <f t="shared" si="65"/>
        <v>0</v>
      </c>
      <c r="N84" s="639">
        <f t="shared" si="65"/>
        <v>0</v>
      </c>
      <c r="O84" s="639">
        <f t="shared" si="65"/>
        <v>0</v>
      </c>
      <c r="P84" s="639">
        <f t="shared" si="65"/>
        <v>0</v>
      </c>
      <c r="Q84" s="1298">
        <f>SUM(E84:P84)</f>
        <v>0</v>
      </c>
      <c r="R84" s="530">
        <f>SUM(E84:P84)</f>
        <v>0</v>
      </c>
    </row>
    <row r="85" spans="1:18">
      <c r="B85" s="527"/>
      <c r="C85" s="526"/>
      <c r="Q85" s="609"/>
    </row>
    <row r="86" spans="1:18">
      <c r="A86" s="528">
        <v>7655</v>
      </c>
      <c r="B86" s="527">
        <v>421</v>
      </c>
      <c r="C86" s="587" t="s">
        <v>1805</v>
      </c>
      <c r="D86" s="529"/>
      <c r="E86" s="634">
        <v>0</v>
      </c>
      <c r="F86" s="634">
        <v>0</v>
      </c>
      <c r="G86" s="634">
        <v>0</v>
      </c>
      <c r="H86" s="634">
        <v>0</v>
      </c>
      <c r="J86" s="634">
        <v>0</v>
      </c>
      <c r="K86" s="634">
        <v>0</v>
      </c>
      <c r="L86" s="634">
        <v>0</v>
      </c>
      <c r="M86" s="634">
        <v>0</v>
      </c>
      <c r="N86" s="634">
        <v>0</v>
      </c>
      <c r="O86" s="634">
        <v>0</v>
      </c>
      <c r="P86" s="634">
        <v>0</v>
      </c>
      <c r="Q86" s="609">
        <f>SUM(E86:P86)</f>
        <v>0</v>
      </c>
      <c r="R86" s="535"/>
    </row>
    <row r="87" spans="1:18">
      <c r="B87" s="527">
        <v>421</v>
      </c>
      <c r="C87" s="570" t="s">
        <v>1805</v>
      </c>
      <c r="D87" s="571"/>
      <c r="E87" s="643">
        <f t="shared" ref="E87:Q87" si="66">+E86</f>
        <v>0</v>
      </c>
      <c r="F87" s="643">
        <f t="shared" si="66"/>
        <v>0</v>
      </c>
      <c r="G87" s="643">
        <f t="shared" si="66"/>
        <v>0</v>
      </c>
      <c r="H87" s="643">
        <f t="shared" si="66"/>
        <v>0</v>
      </c>
      <c r="I87" s="643">
        <f t="shared" si="66"/>
        <v>0</v>
      </c>
      <c r="J87" s="643">
        <f t="shared" si="66"/>
        <v>0</v>
      </c>
      <c r="K87" s="643">
        <f t="shared" si="66"/>
        <v>0</v>
      </c>
      <c r="L87" s="643">
        <f t="shared" si="66"/>
        <v>0</v>
      </c>
      <c r="M87" s="643">
        <f t="shared" si="66"/>
        <v>0</v>
      </c>
      <c r="N87" s="643">
        <f t="shared" si="66"/>
        <v>0</v>
      </c>
      <c r="O87" s="643">
        <f t="shared" si="66"/>
        <v>0</v>
      </c>
      <c r="P87" s="643">
        <f t="shared" si="66"/>
        <v>0</v>
      </c>
      <c r="Q87" s="1294">
        <f t="shared" si="66"/>
        <v>0</v>
      </c>
      <c r="R87" s="149">
        <f>+Q87-SUM(E88:P89)</f>
        <v>0</v>
      </c>
    </row>
    <row r="88" spans="1:18">
      <c r="B88" s="527"/>
      <c r="C88" s="572" t="s">
        <v>278</v>
      </c>
      <c r="D88" s="573"/>
      <c r="E88" s="637">
        <f t="shared" ref="E88" si="67">ROUND(E87*$G$24,2)</f>
        <v>0</v>
      </c>
      <c r="F88" s="637">
        <f t="shared" ref="F88" si="68">ROUND(F87*$G$24,2)</f>
        <v>0</v>
      </c>
      <c r="G88" s="637">
        <f t="shared" ref="G88" si="69">ROUND(G87*$G$24,2)</f>
        <v>0</v>
      </c>
      <c r="H88" s="637">
        <f t="shared" ref="H88" si="70">ROUND(H87*$G$24,2)</f>
        <v>0</v>
      </c>
      <c r="I88" s="637">
        <f t="shared" ref="I88" si="71">ROUND(I87*$G$24,2)</f>
        <v>0</v>
      </c>
      <c r="J88" s="637">
        <f t="shared" ref="J88" si="72">ROUND(J87*$G$24,2)</f>
        <v>0</v>
      </c>
      <c r="K88" s="637">
        <f t="shared" ref="K88" si="73">ROUND(K87*$G$24,2)</f>
        <v>0</v>
      </c>
      <c r="L88" s="637">
        <f t="shared" ref="L88" si="74">ROUND(L87*$G$24,2)</f>
        <v>0</v>
      </c>
      <c r="M88" s="637">
        <f t="shared" ref="M88" si="75">ROUND(M87*$G$24,2)</f>
        <v>0</v>
      </c>
      <c r="N88" s="637">
        <f t="shared" ref="N88" si="76">ROUND(N87*$G$24,2)</f>
        <v>0</v>
      </c>
      <c r="O88" s="637">
        <f t="shared" ref="O88" si="77">ROUND(O87*$G$24,2)</f>
        <v>0</v>
      </c>
      <c r="P88" s="637">
        <f t="shared" ref="P88" si="78">ROUND(P87*$G$24,2)</f>
        <v>0</v>
      </c>
      <c r="Q88" s="1297">
        <f>SUM(E88:P88)</f>
        <v>0</v>
      </c>
      <c r="R88" s="530">
        <f>SUM(E88:P88)</f>
        <v>0</v>
      </c>
    </row>
    <row r="89" spans="1:18">
      <c r="B89" s="527"/>
      <c r="C89" s="574" t="s">
        <v>279</v>
      </c>
      <c r="D89" s="575"/>
      <c r="E89" s="639">
        <f t="shared" ref="E89:P89" si="79">ROUND(E87*$G$25,2)</f>
        <v>0</v>
      </c>
      <c r="F89" s="639">
        <f t="shared" si="79"/>
        <v>0</v>
      </c>
      <c r="G89" s="639">
        <f t="shared" si="79"/>
        <v>0</v>
      </c>
      <c r="H89" s="639">
        <f t="shared" si="79"/>
        <v>0</v>
      </c>
      <c r="I89" s="639">
        <f t="shared" si="79"/>
        <v>0</v>
      </c>
      <c r="J89" s="639">
        <f t="shared" si="79"/>
        <v>0</v>
      </c>
      <c r="K89" s="639">
        <f t="shared" si="79"/>
        <v>0</v>
      </c>
      <c r="L89" s="639">
        <f t="shared" si="79"/>
        <v>0</v>
      </c>
      <c r="M89" s="639">
        <f t="shared" si="79"/>
        <v>0</v>
      </c>
      <c r="N89" s="639">
        <f t="shared" si="79"/>
        <v>0</v>
      </c>
      <c r="O89" s="639">
        <f t="shared" si="79"/>
        <v>0</v>
      </c>
      <c r="P89" s="639">
        <f t="shared" si="79"/>
        <v>0</v>
      </c>
      <c r="Q89" s="1298">
        <f>SUM(E89:P89)</f>
        <v>0</v>
      </c>
      <c r="R89" s="530">
        <f>SUM(E89:P89)</f>
        <v>0</v>
      </c>
    </row>
    <row r="90" spans="1:18">
      <c r="B90" s="527"/>
      <c r="C90" s="526"/>
      <c r="Q90" s="609"/>
    </row>
    <row r="91" spans="1:18">
      <c r="A91" s="528">
        <v>7660</v>
      </c>
      <c r="B91" s="527"/>
      <c r="C91" s="519" t="s">
        <v>1694</v>
      </c>
      <c r="E91" s="634">
        <v>0</v>
      </c>
      <c r="F91" s="634">
        <v>0</v>
      </c>
      <c r="G91" s="634">
        <v>0</v>
      </c>
      <c r="H91" s="634">
        <v>0</v>
      </c>
      <c r="M91" s="634">
        <v>0</v>
      </c>
      <c r="N91" s="634">
        <v>0</v>
      </c>
      <c r="O91" s="634">
        <v>0</v>
      </c>
      <c r="P91" s="634">
        <v>0</v>
      </c>
      <c r="Q91" s="609">
        <f t="shared" ref="Q91:Q96" si="80">SUM(E91:P91)</f>
        <v>0</v>
      </c>
    </row>
    <row r="92" spans="1:18">
      <c r="A92" s="528">
        <v>7691</v>
      </c>
      <c r="B92" s="527"/>
      <c r="C92" s="519" t="s">
        <v>326</v>
      </c>
      <c r="Q92" s="609">
        <f t="shared" si="80"/>
        <v>0</v>
      </c>
    </row>
    <row r="93" spans="1:18">
      <c r="A93" s="528">
        <v>7692</v>
      </c>
      <c r="B93" s="527"/>
      <c r="C93" s="519" t="s">
        <v>1695</v>
      </c>
      <c r="P93" s="634">
        <v>0</v>
      </c>
      <c r="Q93" s="609">
        <f t="shared" si="80"/>
        <v>0</v>
      </c>
    </row>
    <row r="94" spans="1:18">
      <c r="A94" s="528">
        <v>7693</v>
      </c>
      <c r="B94" s="527"/>
      <c r="C94" s="519" t="s">
        <v>327</v>
      </c>
      <c r="P94" s="634">
        <v>0</v>
      </c>
      <c r="Q94" s="609">
        <f t="shared" si="80"/>
        <v>0</v>
      </c>
    </row>
    <row r="95" spans="1:18">
      <c r="A95" s="528">
        <v>7690</v>
      </c>
      <c r="B95" s="521">
        <v>4141040</v>
      </c>
      <c r="C95" s="519" t="s">
        <v>1271</v>
      </c>
      <c r="D95" s="522"/>
      <c r="E95" s="635"/>
      <c r="F95" s="635"/>
      <c r="G95" s="635"/>
      <c r="H95" s="635"/>
      <c r="I95" s="635"/>
      <c r="J95" s="635"/>
      <c r="K95" s="635"/>
      <c r="L95" s="635"/>
      <c r="M95" s="635"/>
      <c r="N95" s="635"/>
      <c r="O95" s="635"/>
      <c r="P95" s="635"/>
      <c r="Q95" s="599">
        <f t="shared" si="80"/>
        <v>0</v>
      </c>
    </row>
    <row r="96" spans="1:18">
      <c r="A96" s="528">
        <v>7765</v>
      </c>
      <c r="B96" s="521"/>
      <c r="C96" s="519" t="s">
        <v>1801</v>
      </c>
      <c r="D96" s="522"/>
      <c r="E96" s="635">
        <v>0</v>
      </c>
      <c r="F96" s="635"/>
      <c r="G96" s="635"/>
      <c r="H96" s="635"/>
      <c r="I96" s="635"/>
      <c r="J96" s="635">
        <v>0</v>
      </c>
      <c r="K96" s="635">
        <v>0</v>
      </c>
      <c r="L96" s="635">
        <v>0</v>
      </c>
      <c r="M96" s="635">
        <v>0</v>
      </c>
      <c r="N96" s="635">
        <v>0</v>
      </c>
      <c r="O96" s="635"/>
      <c r="P96" s="635">
        <v>0</v>
      </c>
      <c r="Q96" s="599">
        <f t="shared" si="80"/>
        <v>0</v>
      </c>
    </row>
    <row r="97" spans="1:18">
      <c r="B97" s="527">
        <v>414</v>
      </c>
      <c r="C97" s="570" t="s">
        <v>1724</v>
      </c>
      <c r="D97" s="571"/>
      <c r="E97" s="636">
        <f>SUM(E91:E96)</f>
        <v>0</v>
      </c>
      <c r="F97" s="636">
        <f t="shared" ref="F97:P97" si="81">SUM(F91:F96)</f>
        <v>0</v>
      </c>
      <c r="G97" s="636">
        <f t="shared" si="81"/>
        <v>0</v>
      </c>
      <c r="H97" s="636">
        <f t="shared" si="81"/>
        <v>0</v>
      </c>
      <c r="I97" s="636">
        <f t="shared" si="81"/>
        <v>0</v>
      </c>
      <c r="J97" s="636">
        <f t="shared" si="81"/>
        <v>0</v>
      </c>
      <c r="K97" s="636">
        <f t="shared" si="81"/>
        <v>0</v>
      </c>
      <c r="L97" s="636">
        <f t="shared" si="81"/>
        <v>0</v>
      </c>
      <c r="M97" s="636">
        <f t="shared" si="81"/>
        <v>0</v>
      </c>
      <c r="N97" s="636">
        <f t="shared" si="81"/>
        <v>0</v>
      </c>
      <c r="O97" s="636">
        <f t="shared" si="81"/>
        <v>0</v>
      </c>
      <c r="P97" s="636">
        <f t="shared" si="81"/>
        <v>0</v>
      </c>
      <c r="Q97" s="1299">
        <f>SUM(Q91:Q96)</f>
        <v>0</v>
      </c>
      <c r="R97" s="149" t="e">
        <f>+Q97-SUM(E98:P99)</f>
        <v>#DIV/0!</v>
      </c>
    </row>
    <row r="98" spans="1:18">
      <c r="B98" s="527"/>
      <c r="C98" s="572" t="s">
        <v>278</v>
      </c>
      <c r="D98" s="573"/>
      <c r="E98" s="637">
        <f>ROUND(E97*$G24,0)</f>
        <v>0</v>
      </c>
      <c r="F98" s="637">
        <f>ROUND(F97*$G24,0)</f>
        <v>0</v>
      </c>
      <c r="G98" s="637">
        <f>ROUND(G97*$G24,0)</f>
        <v>0</v>
      </c>
      <c r="H98" s="637">
        <f>ROUND(H97*$G24,0)</f>
        <v>0</v>
      </c>
      <c r="I98" s="637" t="e">
        <f t="shared" ref="I98:O98" si="82">ROUND(I97*$E$21,0)</f>
        <v>#DIV/0!</v>
      </c>
      <c r="J98" s="637" t="e">
        <f t="shared" si="82"/>
        <v>#DIV/0!</v>
      </c>
      <c r="K98" s="637" t="e">
        <f t="shared" si="82"/>
        <v>#DIV/0!</v>
      </c>
      <c r="L98" s="637" t="e">
        <f t="shared" si="82"/>
        <v>#DIV/0!</v>
      </c>
      <c r="M98" s="637" t="e">
        <f t="shared" si="82"/>
        <v>#DIV/0!</v>
      </c>
      <c r="N98" s="637" t="e">
        <f t="shared" si="82"/>
        <v>#DIV/0!</v>
      </c>
      <c r="O98" s="637" t="e">
        <f t="shared" si="82"/>
        <v>#DIV/0!</v>
      </c>
      <c r="P98" s="637">
        <f>ROUND(P97*$G24,0)</f>
        <v>0</v>
      </c>
      <c r="Q98" s="1297" t="e">
        <f>SUM(E98:P98)</f>
        <v>#DIV/0!</v>
      </c>
      <c r="R98" s="530" t="e">
        <f>SUM(E98:P98)</f>
        <v>#DIV/0!</v>
      </c>
    </row>
    <row r="99" spans="1:18">
      <c r="B99" s="527"/>
      <c r="C99" s="574" t="s">
        <v>279</v>
      </c>
      <c r="D99" s="575"/>
      <c r="E99" s="639">
        <f>ROUND(E97*($G$25+$G$26),0)</f>
        <v>0</v>
      </c>
      <c r="F99" s="639">
        <f>ROUND(F97*($G$25+$G$26),0)</f>
        <v>0</v>
      </c>
      <c r="G99" s="639">
        <f>ROUND(G97*($G$25+$G$26),0)</f>
        <v>0</v>
      </c>
      <c r="H99" s="639">
        <f>ROUND(H97*($G$25+$G$26),0)</f>
        <v>0</v>
      </c>
      <c r="I99" s="639" t="e">
        <f t="shared" ref="I99:O99" si="83">ROUND(I97*$F$21,0)</f>
        <v>#DIV/0!</v>
      </c>
      <c r="J99" s="639" t="e">
        <f t="shared" si="83"/>
        <v>#DIV/0!</v>
      </c>
      <c r="K99" s="639" t="e">
        <f t="shared" si="83"/>
        <v>#DIV/0!</v>
      </c>
      <c r="L99" s="639" t="e">
        <f t="shared" si="83"/>
        <v>#DIV/0!</v>
      </c>
      <c r="M99" s="639" t="e">
        <f t="shared" si="83"/>
        <v>#DIV/0!</v>
      </c>
      <c r="N99" s="639" t="e">
        <f t="shared" si="83"/>
        <v>#DIV/0!</v>
      </c>
      <c r="O99" s="639" t="e">
        <f t="shared" si="83"/>
        <v>#DIV/0!</v>
      </c>
      <c r="P99" s="639">
        <f>ROUND(P97*($G$25+$G$26),0)</f>
        <v>0</v>
      </c>
      <c r="Q99" s="1298" t="e">
        <f>SUM(E99:P99)</f>
        <v>#DIV/0!</v>
      </c>
      <c r="R99" s="530" t="e">
        <f>SUM(E99:P99)</f>
        <v>#DIV/0!</v>
      </c>
    </row>
    <row r="100" spans="1:18">
      <c r="B100" s="527"/>
      <c r="C100" s="526"/>
      <c r="D100" s="522"/>
      <c r="Q100" s="609"/>
    </row>
    <row r="101" spans="1:18">
      <c r="B101" s="527"/>
      <c r="C101" s="527"/>
      <c r="D101" s="522"/>
      <c r="Q101" s="609"/>
    </row>
    <row r="102" spans="1:18">
      <c r="B102" s="527"/>
      <c r="C102" s="526" t="s">
        <v>1274</v>
      </c>
      <c r="D102" s="523" t="s">
        <v>1243</v>
      </c>
      <c r="E102" s="634">
        <f>+'12-31-15 Depreciation Exp_PerAR'!D173+'12-31-15 Depreciation Exp_PerAR'!D87</f>
        <v>16965.780000000002</v>
      </c>
      <c r="F102" s="634">
        <f>+'12-31-15 Depreciation Exp_PerAR'!E173+'12-31-15 Depreciation Exp_PerAR'!E87</f>
        <v>15996.57</v>
      </c>
      <c r="G102" s="634">
        <f>+'12-31-15 Depreciation Exp_PerAR'!F173+'12-31-15 Depreciation Exp_PerAR'!F87</f>
        <v>20975.460000000017</v>
      </c>
      <c r="H102" s="634">
        <f>+'12-31-15 Depreciation Exp_PerAR'!G173+'12-31-15 Depreciation Exp_PerAR'!G87</f>
        <v>16956.640000000007</v>
      </c>
      <c r="I102" s="634">
        <f>+'12-31-15 Depreciation Exp_PerAR'!H173+'12-31-15 Depreciation Exp_PerAR'!H87</f>
        <v>16585.700000000008</v>
      </c>
      <c r="J102" s="634">
        <f>+'12-31-15 Depreciation Exp_PerAR'!I173+'12-31-15 Depreciation Exp_PerAR'!I87</f>
        <v>16286.239999999994</v>
      </c>
      <c r="K102" s="634">
        <f>+'12-31-15 Depreciation Exp_PerAR'!J173+'12-31-15 Depreciation Exp_PerAR'!J87</f>
        <v>18616.610000000011</v>
      </c>
      <c r="L102" s="634">
        <f>+'12-31-15 Depreciation Exp_PerAR'!K173+'12-31-15 Depreciation Exp_PerAR'!K87</f>
        <v>18642.259999999998</v>
      </c>
      <c r="M102" s="634">
        <f>+'12-31-15 Depreciation Exp_PerAR'!L173+'12-31-15 Depreciation Exp_PerAR'!L87</f>
        <v>17860.220000000019</v>
      </c>
      <c r="N102" s="634">
        <f>+'12-31-15 Depreciation Exp_PerAR'!M173+'12-31-15 Depreciation Exp_PerAR'!M87</f>
        <v>17991.18</v>
      </c>
      <c r="O102" s="634">
        <f>+'12-31-15 Depreciation Exp_PerAR'!N173+'12-31-15 Depreciation Exp_PerAR'!N87</f>
        <v>17965.800000000003</v>
      </c>
      <c r="P102" s="634">
        <f>+'12-31-15 Depreciation Exp_PerAR'!O173+'12-31-15 Depreciation Exp_PerAR'!O87</f>
        <v>18000.950000000004</v>
      </c>
      <c r="Q102" s="1288">
        <f>SUM(E102:P102)</f>
        <v>212843.41000000009</v>
      </c>
      <c r="R102" s="149">
        <f>+Q102-SUM(E103:P104)</f>
        <v>0</v>
      </c>
    </row>
    <row r="103" spans="1:18">
      <c r="B103" s="527"/>
      <c r="C103" s="570" t="s">
        <v>498</v>
      </c>
      <c r="D103" s="571" t="s">
        <v>1243</v>
      </c>
      <c r="E103" s="643">
        <f>+'12-31-15 Depreciation Exp_PerAR'!D83+'12-31-15 Depreciation Exp_PerAR'!D85</f>
        <v>0</v>
      </c>
      <c r="F103" s="643">
        <f>+'12-31-15 Depreciation Exp_PerAR'!E83+'12-31-15 Depreciation Exp_PerAR'!E85</f>
        <v>0</v>
      </c>
      <c r="G103" s="643">
        <f>+'12-31-15 Depreciation Exp_PerAR'!F83+'12-31-15 Depreciation Exp_PerAR'!F85</f>
        <v>0</v>
      </c>
      <c r="H103" s="643">
        <f>+'12-31-15 Depreciation Exp_PerAR'!G83+'12-31-15 Depreciation Exp_PerAR'!G85</f>
        <v>0</v>
      </c>
      <c r="I103" s="643">
        <f>+'12-31-15 Depreciation Exp_PerAR'!H83+'12-31-15 Depreciation Exp_PerAR'!H85</f>
        <v>0</v>
      </c>
      <c r="J103" s="643">
        <f>+'12-31-15 Depreciation Exp_PerAR'!I83+'12-31-15 Depreciation Exp_PerAR'!I85</f>
        <v>0</v>
      </c>
      <c r="K103" s="643">
        <f>+'12-31-15 Depreciation Exp_PerAR'!J83+'12-31-15 Depreciation Exp_PerAR'!J85</f>
        <v>0</v>
      </c>
      <c r="L103" s="643">
        <f>+'12-31-15 Depreciation Exp_PerAR'!K83+'12-31-15 Depreciation Exp_PerAR'!K85</f>
        <v>0</v>
      </c>
      <c r="M103" s="643">
        <f>+'12-31-15 Depreciation Exp_PerAR'!L83+'12-31-15 Depreciation Exp_PerAR'!L85</f>
        <v>0</v>
      </c>
      <c r="N103" s="643">
        <f>+'12-31-15 Depreciation Exp_PerAR'!M83+'12-31-15 Depreciation Exp_PerAR'!M85</f>
        <v>0</v>
      </c>
      <c r="O103" s="643">
        <f>+'12-31-15 Depreciation Exp_PerAR'!N83+'12-31-15 Depreciation Exp_PerAR'!N85</f>
        <v>0</v>
      </c>
      <c r="P103" s="643">
        <f>+'12-31-15 Depreciation Exp_PerAR'!O83+'12-31-15 Depreciation Exp_PerAR'!O85</f>
        <v>0</v>
      </c>
      <c r="Q103" s="1291"/>
      <c r="R103" s="530">
        <f>SUM(E103:P103)</f>
        <v>0</v>
      </c>
    </row>
    <row r="104" spans="1:18">
      <c r="B104" s="527"/>
      <c r="C104" s="574" t="s">
        <v>670</v>
      </c>
      <c r="D104" s="575" t="s">
        <v>1243</v>
      </c>
      <c r="E104" s="642">
        <f>+'12-31-15 Depreciation Exp_PerAR'!D169+'12-31-15 Depreciation Exp_PerAR'!D171</f>
        <v>16965.780000000002</v>
      </c>
      <c r="F104" s="642">
        <f>+'12-31-15 Depreciation Exp_PerAR'!E169+'12-31-15 Depreciation Exp_PerAR'!E171</f>
        <v>15996.57</v>
      </c>
      <c r="G104" s="642">
        <f>+'12-31-15 Depreciation Exp_PerAR'!F169+'12-31-15 Depreciation Exp_PerAR'!F171</f>
        <v>20975.460000000017</v>
      </c>
      <c r="H104" s="642">
        <f>+'12-31-15 Depreciation Exp_PerAR'!G169+'12-31-15 Depreciation Exp_PerAR'!G171</f>
        <v>16956.640000000007</v>
      </c>
      <c r="I104" s="642">
        <f>+'12-31-15 Depreciation Exp_PerAR'!H169+'12-31-15 Depreciation Exp_PerAR'!H171</f>
        <v>16585.700000000008</v>
      </c>
      <c r="J104" s="642">
        <f>+'12-31-15 Depreciation Exp_PerAR'!I169+'12-31-15 Depreciation Exp_PerAR'!I171</f>
        <v>16286.239999999994</v>
      </c>
      <c r="K104" s="642">
        <f>+'12-31-15 Depreciation Exp_PerAR'!J169+'12-31-15 Depreciation Exp_PerAR'!J171</f>
        <v>18616.610000000011</v>
      </c>
      <c r="L104" s="642">
        <f>+'12-31-15 Depreciation Exp_PerAR'!K169+'12-31-15 Depreciation Exp_PerAR'!K171</f>
        <v>18642.259999999998</v>
      </c>
      <c r="M104" s="642">
        <f>+'12-31-15 Depreciation Exp_PerAR'!L169+'12-31-15 Depreciation Exp_PerAR'!L171</f>
        <v>17860.220000000019</v>
      </c>
      <c r="N104" s="642">
        <f>+'12-31-15 Depreciation Exp_PerAR'!M169+'12-31-15 Depreciation Exp_PerAR'!M171</f>
        <v>17991.18</v>
      </c>
      <c r="O104" s="642">
        <f>+'12-31-15 Depreciation Exp_PerAR'!N169+'12-31-15 Depreciation Exp_PerAR'!N171</f>
        <v>17965.800000000003</v>
      </c>
      <c r="P104" s="642">
        <f>+'12-31-15 Depreciation Exp_PerAR'!O169+'12-31-15 Depreciation Exp_PerAR'!O171</f>
        <v>18000.950000000004</v>
      </c>
      <c r="Q104" s="1292"/>
      <c r="R104" s="530">
        <f>SUM(E104:P104)</f>
        <v>212843.41000000009</v>
      </c>
    </row>
    <row r="105" spans="1:18">
      <c r="B105" s="527"/>
      <c r="C105" s="526"/>
      <c r="Q105" s="609"/>
    </row>
    <row r="106" spans="1:18">
      <c r="B106" s="527"/>
      <c r="C106" s="527"/>
      <c r="D106" s="522"/>
      <c r="Q106" s="609"/>
    </row>
    <row r="107" spans="1:18">
      <c r="A107" s="528">
        <v>5025</v>
      </c>
      <c r="B107" s="521">
        <v>461.1</v>
      </c>
      <c r="C107" s="519" t="s">
        <v>344</v>
      </c>
      <c r="D107" s="522"/>
      <c r="Q107" s="609">
        <f t="shared" ref="Q107:Q121" si="84">SUM(E107:P107)</f>
        <v>0</v>
      </c>
    </row>
    <row r="108" spans="1:18">
      <c r="A108" s="528">
        <v>5030</v>
      </c>
      <c r="B108" s="521">
        <v>461.1</v>
      </c>
      <c r="C108" s="519" t="s">
        <v>328</v>
      </c>
      <c r="D108" s="522"/>
      <c r="Q108" s="609">
        <f t="shared" si="84"/>
        <v>0</v>
      </c>
    </row>
    <row r="109" spans="1:18">
      <c r="A109" s="528">
        <v>5035</v>
      </c>
      <c r="B109" s="521">
        <v>461.2</v>
      </c>
      <c r="C109" s="519" t="s">
        <v>342</v>
      </c>
      <c r="D109" s="522"/>
      <c r="Q109" s="609">
        <f t="shared" si="84"/>
        <v>0</v>
      </c>
    </row>
    <row r="110" spans="1:18">
      <c r="A110" s="528">
        <v>5050</v>
      </c>
      <c r="B110" s="521">
        <v>461.5</v>
      </c>
      <c r="C110" s="519" t="s">
        <v>343</v>
      </c>
      <c r="D110" s="522"/>
      <c r="Q110" s="609">
        <f t="shared" si="84"/>
        <v>0</v>
      </c>
    </row>
    <row r="111" spans="1:18">
      <c r="A111" s="528">
        <v>5065</v>
      </c>
      <c r="B111" s="521">
        <v>462.2</v>
      </c>
      <c r="C111" s="519" t="s">
        <v>118</v>
      </c>
      <c r="D111" s="522"/>
      <c r="Q111" s="609">
        <f t="shared" si="84"/>
        <v>0</v>
      </c>
    </row>
    <row r="112" spans="1:18">
      <c r="A112" s="528">
        <v>5100</v>
      </c>
      <c r="B112" s="521">
        <v>521.1</v>
      </c>
      <c r="C112" s="519" t="s">
        <v>329</v>
      </c>
      <c r="D112" s="522"/>
      <c r="Q112" s="609">
        <f t="shared" si="84"/>
        <v>0</v>
      </c>
    </row>
    <row r="113" spans="1:19">
      <c r="A113" s="528">
        <v>5105</v>
      </c>
      <c r="B113" s="521">
        <v>521.1</v>
      </c>
      <c r="C113" s="519" t="s">
        <v>330</v>
      </c>
      <c r="D113" s="522"/>
      <c r="Q113" s="609">
        <f t="shared" si="84"/>
        <v>0</v>
      </c>
    </row>
    <row r="114" spans="1:19">
      <c r="A114" s="528">
        <v>5110</v>
      </c>
      <c r="B114" s="521">
        <v>521.20000000000005</v>
      </c>
      <c r="C114" s="519" t="s">
        <v>331</v>
      </c>
      <c r="D114" s="522"/>
      <c r="Q114" s="609">
        <f t="shared" si="84"/>
        <v>0</v>
      </c>
    </row>
    <row r="115" spans="1:19">
      <c r="A115" s="528">
        <v>5120</v>
      </c>
      <c r="B115" s="521">
        <v>521.4</v>
      </c>
      <c r="C115" s="519" t="s">
        <v>332</v>
      </c>
      <c r="D115" s="522"/>
      <c r="Q115" s="609">
        <f t="shared" si="84"/>
        <v>0</v>
      </c>
    </row>
    <row r="116" spans="1:19">
      <c r="A116" s="528">
        <v>5125</v>
      </c>
      <c r="B116" s="521">
        <v>521.5</v>
      </c>
      <c r="C116" s="519" t="s">
        <v>333</v>
      </c>
      <c r="D116" s="522"/>
      <c r="Q116" s="609">
        <f t="shared" si="84"/>
        <v>0</v>
      </c>
    </row>
    <row r="117" spans="1:19">
      <c r="A117" s="528">
        <v>5140</v>
      </c>
      <c r="B117" s="521">
        <v>522.1</v>
      </c>
      <c r="C117" s="519" t="s">
        <v>334</v>
      </c>
      <c r="D117" s="522"/>
      <c r="Q117" s="609">
        <f t="shared" si="84"/>
        <v>0</v>
      </c>
    </row>
    <row r="118" spans="1:19">
      <c r="A118" s="528">
        <v>5155</v>
      </c>
      <c r="B118" s="521">
        <v>522.20000000000005</v>
      </c>
      <c r="C118" s="519" t="s">
        <v>335</v>
      </c>
      <c r="D118" s="522"/>
      <c r="Q118" s="609">
        <f t="shared" si="84"/>
        <v>0</v>
      </c>
    </row>
    <row r="119" spans="1:19">
      <c r="A119" s="528">
        <v>5170</v>
      </c>
      <c r="B119" s="521">
        <v>522.5</v>
      </c>
      <c r="C119" s="519" t="s">
        <v>336</v>
      </c>
      <c r="D119" s="522"/>
      <c r="Q119" s="609">
        <f t="shared" si="84"/>
        <v>0</v>
      </c>
    </row>
    <row r="120" spans="1:19">
      <c r="A120" s="528">
        <v>5200</v>
      </c>
      <c r="B120" s="521">
        <v>540.1</v>
      </c>
      <c r="C120" s="519" t="s">
        <v>337</v>
      </c>
      <c r="D120" s="522"/>
      <c r="Q120" s="609">
        <f t="shared" si="84"/>
        <v>0</v>
      </c>
    </row>
    <row r="121" spans="1:19">
      <c r="A121" s="528">
        <v>5230</v>
      </c>
      <c r="B121" s="521">
        <v>541.1</v>
      </c>
      <c r="C121" s="519" t="s">
        <v>1794</v>
      </c>
      <c r="D121" s="522"/>
      <c r="Q121" s="609">
        <f t="shared" si="84"/>
        <v>0</v>
      </c>
    </row>
    <row r="122" spans="1:19">
      <c r="A122" s="528">
        <v>5270</v>
      </c>
      <c r="B122" s="521" t="s">
        <v>340</v>
      </c>
      <c r="C122" s="519" t="s">
        <v>338</v>
      </c>
      <c r="D122" s="522"/>
      <c r="L122" s="609"/>
      <c r="M122" s="609"/>
      <c r="Q122" s="609">
        <f>SUM(E122:P122)</f>
        <v>0</v>
      </c>
    </row>
    <row r="123" spans="1:19">
      <c r="A123" s="528">
        <v>5285</v>
      </c>
      <c r="B123" s="521" t="s">
        <v>341</v>
      </c>
      <c r="C123" s="519" t="s">
        <v>339</v>
      </c>
      <c r="D123" s="522"/>
      <c r="J123" s="609"/>
      <c r="L123" s="609"/>
      <c r="M123" s="609"/>
      <c r="Q123" s="609">
        <f>SUM(E123:P123)</f>
        <v>0</v>
      </c>
    </row>
    <row r="124" spans="1:19">
      <c r="B124" s="527"/>
      <c r="C124" s="526" t="s">
        <v>844</v>
      </c>
      <c r="D124" s="522"/>
      <c r="E124" s="643">
        <f>SUM(E107:E123)</f>
        <v>0</v>
      </c>
      <c r="F124" s="643">
        <f t="shared" ref="F124:Q124" si="85">SUM(F107:F123)</f>
        <v>0</v>
      </c>
      <c r="G124" s="643">
        <f t="shared" si="85"/>
        <v>0</v>
      </c>
      <c r="H124" s="643">
        <f t="shared" si="85"/>
        <v>0</v>
      </c>
      <c r="I124" s="643">
        <f t="shared" si="85"/>
        <v>0</v>
      </c>
      <c r="J124" s="643">
        <f t="shared" si="85"/>
        <v>0</v>
      </c>
      <c r="K124" s="643">
        <f t="shared" si="85"/>
        <v>0</v>
      </c>
      <c r="L124" s="643">
        <f t="shared" si="85"/>
        <v>0</v>
      </c>
      <c r="M124" s="643">
        <f t="shared" si="85"/>
        <v>0</v>
      </c>
      <c r="N124" s="643">
        <f t="shared" si="85"/>
        <v>0</v>
      </c>
      <c r="O124" s="643">
        <f t="shared" si="85"/>
        <v>0</v>
      </c>
      <c r="P124" s="643">
        <f t="shared" si="85"/>
        <v>0</v>
      </c>
      <c r="Q124" s="1289">
        <f t="shared" si="85"/>
        <v>0</v>
      </c>
    </row>
    <row r="125" spans="1:19">
      <c r="B125" s="527"/>
      <c r="C125" s="570" t="s">
        <v>498</v>
      </c>
      <c r="D125" s="577"/>
      <c r="E125" s="643" t="e">
        <f>+E107+E108+E109+E110+E111+((E122*$E$21)+(E123/2))</f>
        <v>#DIV/0!</v>
      </c>
      <c r="F125" s="643" t="e">
        <f t="shared" ref="F125:P125" si="86">+F107+F108+F109+F110+F111+((F122*$E$21)+(F123/2))</f>
        <v>#DIV/0!</v>
      </c>
      <c r="G125" s="643" t="e">
        <f t="shared" si="86"/>
        <v>#DIV/0!</v>
      </c>
      <c r="H125" s="643" t="e">
        <f t="shared" si="86"/>
        <v>#DIV/0!</v>
      </c>
      <c r="I125" s="643" t="e">
        <f t="shared" si="86"/>
        <v>#DIV/0!</v>
      </c>
      <c r="J125" s="643" t="e">
        <f t="shared" si="86"/>
        <v>#DIV/0!</v>
      </c>
      <c r="K125" s="643" t="e">
        <f t="shared" si="86"/>
        <v>#DIV/0!</v>
      </c>
      <c r="L125" s="643" t="e">
        <f t="shared" si="86"/>
        <v>#DIV/0!</v>
      </c>
      <c r="M125" s="643" t="e">
        <f t="shared" si="86"/>
        <v>#DIV/0!</v>
      </c>
      <c r="N125" s="643" t="e">
        <f t="shared" si="86"/>
        <v>#DIV/0!</v>
      </c>
      <c r="O125" s="643" t="e">
        <f t="shared" si="86"/>
        <v>#DIV/0!</v>
      </c>
      <c r="P125" s="643" t="e">
        <f t="shared" si="86"/>
        <v>#DIV/0!</v>
      </c>
      <c r="Q125" s="1289" t="e">
        <f>SUM(E125:P125)</f>
        <v>#DIV/0!</v>
      </c>
    </row>
    <row r="126" spans="1:19">
      <c r="B126" s="527"/>
      <c r="C126" s="574" t="s">
        <v>499</v>
      </c>
      <c r="D126" s="579"/>
      <c r="E126" s="642" t="e">
        <f>+E112+E113+E114+E115+E116+E117+E118+E119+E120+E121+((E122*$F$21)+(E123/2))</f>
        <v>#DIV/0!</v>
      </c>
      <c r="F126" s="642" t="e">
        <f t="shared" ref="F126:P126" si="87">+F112+F113+F114+F115+F116+F117+F118+F119+F120+F121+((F122*$F$21)+(F123/2))</f>
        <v>#DIV/0!</v>
      </c>
      <c r="G126" s="642" t="e">
        <f t="shared" si="87"/>
        <v>#DIV/0!</v>
      </c>
      <c r="H126" s="642" t="e">
        <f t="shared" si="87"/>
        <v>#DIV/0!</v>
      </c>
      <c r="I126" s="642" t="e">
        <f t="shared" si="87"/>
        <v>#DIV/0!</v>
      </c>
      <c r="J126" s="642" t="e">
        <f t="shared" si="87"/>
        <v>#DIV/0!</v>
      </c>
      <c r="K126" s="642" t="e">
        <f t="shared" si="87"/>
        <v>#DIV/0!</v>
      </c>
      <c r="L126" s="642" t="e">
        <f t="shared" si="87"/>
        <v>#DIV/0!</v>
      </c>
      <c r="M126" s="642" t="e">
        <f t="shared" si="87"/>
        <v>#DIV/0!</v>
      </c>
      <c r="N126" s="642" t="e">
        <f t="shared" si="87"/>
        <v>#DIV/0!</v>
      </c>
      <c r="O126" s="642" t="e">
        <f t="shared" si="87"/>
        <v>#DIV/0!</v>
      </c>
      <c r="P126" s="642" t="e">
        <f t="shared" si="87"/>
        <v>#DIV/0!</v>
      </c>
      <c r="Q126" s="1290" t="e">
        <f>SUM(E126:P126)</f>
        <v>#DIV/0!</v>
      </c>
    </row>
    <row r="127" spans="1:19">
      <c r="B127" s="527"/>
      <c r="C127" s="576"/>
      <c r="D127" s="578"/>
      <c r="E127" s="635"/>
      <c r="F127" s="635"/>
      <c r="G127" s="635"/>
      <c r="H127" s="635"/>
      <c r="I127" s="635"/>
      <c r="J127" s="635"/>
      <c r="K127" s="635"/>
      <c r="L127" s="635"/>
      <c r="M127" s="635"/>
      <c r="N127" s="635"/>
      <c r="O127" s="635"/>
      <c r="P127" s="635"/>
      <c r="Q127" s="599"/>
    </row>
    <row r="128" spans="1:19">
      <c r="B128" s="527"/>
      <c r="C128" s="526" t="s">
        <v>1275</v>
      </c>
      <c r="D128" s="522"/>
      <c r="E128" s="634">
        <f>+E77+E86+E97+E102+E124+E67+E61+E54+E72+E82</f>
        <v>16965.780000000002</v>
      </c>
      <c r="F128" s="634">
        <f t="shared" ref="F128:P128" si="88">+F77+F86+F97+F102+F124+F67+F61+F54+F72+F82</f>
        <v>15996.57</v>
      </c>
      <c r="G128" s="634">
        <f t="shared" si="88"/>
        <v>20975.460000000017</v>
      </c>
      <c r="H128" s="634">
        <f t="shared" si="88"/>
        <v>16956.640000000007</v>
      </c>
      <c r="I128" s="634">
        <f t="shared" si="88"/>
        <v>16585.700000000008</v>
      </c>
      <c r="J128" s="634">
        <f t="shared" si="88"/>
        <v>16286.239999999994</v>
      </c>
      <c r="K128" s="634">
        <f t="shared" si="88"/>
        <v>18616.610000000011</v>
      </c>
      <c r="L128" s="634">
        <f t="shared" si="88"/>
        <v>18642.259999999998</v>
      </c>
      <c r="M128" s="634">
        <f t="shared" si="88"/>
        <v>17860.220000000019</v>
      </c>
      <c r="N128" s="634">
        <f t="shared" si="88"/>
        <v>17991.18</v>
      </c>
      <c r="O128" s="634">
        <f t="shared" si="88"/>
        <v>17965.800000000003</v>
      </c>
      <c r="P128" s="634">
        <f t="shared" si="88"/>
        <v>18000.950000000004</v>
      </c>
      <c r="Q128" s="609">
        <f>+Q77+Q86+Q97+Q102+Q124+Q67+Q61+Q54+Q72</f>
        <v>212843.41000000009</v>
      </c>
      <c r="R128" s="149"/>
      <c r="S128" s="588"/>
    </row>
    <row r="129" spans="1:19">
      <c r="B129" s="527"/>
      <c r="C129" s="570" t="s">
        <v>498</v>
      </c>
      <c r="D129" s="577"/>
      <c r="E129" s="643" t="e">
        <f>+E55+E62+E68+E78+E88+E98+E103+E125+E73</f>
        <v>#DIV/0!</v>
      </c>
      <c r="F129" s="643" t="e">
        <f t="shared" ref="F129:P129" si="89">+F55+F62+F68+F78+F88+F98+F103+F125+F73</f>
        <v>#DIV/0!</v>
      </c>
      <c r="G129" s="643" t="e">
        <f t="shared" si="89"/>
        <v>#DIV/0!</v>
      </c>
      <c r="H129" s="643" t="e">
        <f t="shared" si="89"/>
        <v>#DIV/0!</v>
      </c>
      <c r="I129" s="643" t="e">
        <f t="shared" si="89"/>
        <v>#DIV/0!</v>
      </c>
      <c r="J129" s="643" t="e">
        <f t="shared" si="89"/>
        <v>#DIV/0!</v>
      </c>
      <c r="K129" s="643" t="e">
        <f t="shared" si="89"/>
        <v>#DIV/0!</v>
      </c>
      <c r="L129" s="643" t="e">
        <f t="shared" si="89"/>
        <v>#DIV/0!</v>
      </c>
      <c r="M129" s="643" t="e">
        <f t="shared" si="89"/>
        <v>#DIV/0!</v>
      </c>
      <c r="N129" s="643" t="e">
        <f t="shared" si="89"/>
        <v>#DIV/0!</v>
      </c>
      <c r="O129" s="643" t="e">
        <f t="shared" si="89"/>
        <v>#DIV/0!</v>
      </c>
      <c r="P129" s="643" t="e">
        <f t="shared" si="89"/>
        <v>#DIV/0!</v>
      </c>
      <c r="Q129" s="1291"/>
      <c r="R129" s="530" t="e">
        <f>SUM(E129:P129)</f>
        <v>#DIV/0!</v>
      </c>
      <c r="S129" s="589" t="e">
        <f>+R129/R131</f>
        <v>#DIV/0!</v>
      </c>
    </row>
    <row r="130" spans="1:19">
      <c r="B130" s="527"/>
      <c r="C130" s="574" t="s">
        <v>499</v>
      </c>
      <c r="D130" s="579"/>
      <c r="E130" s="642" t="e">
        <f>+E56+E63+E69+E79+E89+E99+E104+E126+E74</f>
        <v>#DIV/0!</v>
      </c>
      <c r="F130" s="642" t="e">
        <f t="shared" ref="F130:P130" si="90">+F56+F63+F69+F79+F89+F99+F104+F126+F74</f>
        <v>#DIV/0!</v>
      </c>
      <c r="G130" s="642" t="e">
        <f t="shared" si="90"/>
        <v>#DIV/0!</v>
      </c>
      <c r="H130" s="642" t="e">
        <f t="shared" si="90"/>
        <v>#DIV/0!</v>
      </c>
      <c r="I130" s="642" t="e">
        <f t="shared" si="90"/>
        <v>#DIV/0!</v>
      </c>
      <c r="J130" s="642" t="e">
        <f t="shared" si="90"/>
        <v>#DIV/0!</v>
      </c>
      <c r="K130" s="642" t="e">
        <f t="shared" si="90"/>
        <v>#DIV/0!</v>
      </c>
      <c r="L130" s="642" t="e">
        <f t="shared" si="90"/>
        <v>#DIV/0!</v>
      </c>
      <c r="M130" s="642" t="e">
        <f t="shared" si="90"/>
        <v>#DIV/0!</v>
      </c>
      <c r="N130" s="642" t="e">
        <f t="shared" si="90"/>
        <v>#DIV/0!</v>
      </c>
      <c r="O130" s="642" t="e">
        <f t="shared" si="90"/>
        <v>#DIV/0!</v>
      </c>
      <c r="P130" s="642" t="e">
        <f t="shared" si="90"/>
        <v>#DIV/0!</v>
      </c>
      <c r="Q130" s="1292"/>
      <c r="R130" s="534" t="e">
        <f>SUM(E130:P130)</f>
        <v>#DIV/0!</v>
      </c>
      <c r="S130" s="589" t="e">
        <f>+R130/R131</f>
        <v>#DIV/0!</v>
      </c>
    </row>
    <row r="131" spans="1:19">
      <c r="B131" s="527"/>
      <c r="C131" s="526"/>
      <c r="D131" s="522"/>
      <c r="Q131" s="609"/>
      <c r="R131" s="149" t="e">
        <f>SUM(R129:R130)</f>
        <v>#DIV/0!</v>
      </c>
      <c r="S131" s="589" t="e">
        <f>+S129+S130</f>
        <v>#DIV/0!</v>
      </c>
    </row>
    <row r="132" spans="1:19">
      <c r="A132" s="528">
        <v>7710</v>
      </c>
      <c r="B132" s="521">
        <v>4192000</v>
      </c>
      <c r="C132" s="519" t="s">
        <v>1270</v>
      </c>
      <c r="E132" s="634">
        <v>0</v>
      </c>
      <c r="F132" s="634">
        <v>0</v>
      </c>
      <c r="K132" s="634">
        <v>0</v>
      </c>
      <c r="L132" s="634">
        <v>0</v>
      </c>
      <c r="Q132" s="609">
        <f>SUM(E132:P132)</f>
        <v>0</v>
      </c>
    </row>
    <row r="133" spans="1:19">
      <c r="B133" s="527">
        <v>419.2</v>
      </c>
      <c r="C133" s="570" t="s">
        <v>1270</v>
      </c>
      <c r="D133" s="571"/>
      <c r="E133" s="643">
        <f>+E132</f>
        <v>0</v>
      </c>
      <c r="F133" s="643">
        <f t="shared" ref="F133:Q133" si="91">+F132</f>
        <v>0</v>
      </c>
      <c r="G133" s="643">
        <f t="shared" si="91"/>
        <v>0</v>
      </c>
      <c r="H133" s="643">
        <f t="shared" si="91"/>
        <v>0</v>
      </c>
      <c r="I133" s="643">
        <f t="shared" si="91"/>
        <v>0</v>
      </c>
      <c r="J133" s="643">
        <f t="shared" si="91"/>
        <v>0</v>
      </c>
      <c r="K133" s="643">
        <f t="shared" si="91"/>
        <v>0</v>
      </c>
      <c r="L133" s="643">
        <f t="shared" si="91"/>
        <v>0</v>
      </c>
      <c r="M133" s="643">
        <f t="shared" si="91"/>
        <v>0</v>
      </c>
      <c r="N133" s="643">
        <f t="shared" si="91"/>
        <v>0</v>
      </c>
      <c r="O133" s="643">
        <f t="shared" si="91"/>
        <v>0</v>
      </c>
      <c r="P133" s="644">
        <f t="shared" si="91"/>
        <v>0</v>
      </c>
      <c r="Q133" s="1294">
        <f t="shared" si="91"/>
        <v>0</v>
      </c>
      <c r="R133" s="149">
        <f>SUM(R134:R135)-Q133</f>
        <v>0</v>
      </c>
    </row>
    <row r="134" spans="1:19">
      <c r="B134" s="527"/>
      <c r="C134" s="572" t="s">
        <v>278</v>
      </c>
      <c r="D134" s="573"/>
      <c r="E134" s="637">
        <f>+E133*$G$24</f>
        <v>0</v>
      </c>
      <c r="F134" s="637">
        <f t="shared" ref="F134:P134" si="92">+F133*$G$24</f>
        <v>0</v>
      </c>
      <c r="G134" s="637">
        <f t="shared" si="92"/>
        <v>0</v>
      </c>
      <c r="H134" s="637">
        <f t="shared" si="92"/>
        <v>0</v>
      </c>
      <c r="I134" s="637">
        <f t="shared" si="92"/>
        <v>0</v>
      </c>
      <c r="J134" s="637">
        <f t="shared" si="92"/>
        <v>0</v>
      </c>
      <c r="K134" s="637">
        <f t="shared" si="92"/>
        <v>0</v>
      </c>
      <c r="L134" s="637">
        <f t="shared" si="92"/>
        <v>0</v>
      </c>
      <c r="M134" s="637">
        <f t="shared" si="92"/>
        <v>0</v>
      </c>
      <c r="N134" s="637">
        <f t="shared" si="92"/>
        <v>0</v>
      </c>
      <c r="O134" s="637">
        <f t="shared" si="92"/>
        <v>0</v>
      </c>
      <c r="P134" s="637">
        <f t="shared" si="92"/>
        <v>0</v>
      </c>
      <c r="Q134" s="1297">
        <f>SUM(E134:P134)</f>
        <v>0</v>
      </c>
      <c r="R134" s="530">
        <f>SUM(E134:P134)</f>
        <v>0</v>
      </c>
    </row>
    <row r="135" spans="1:19">
      <c r="B135" s="527"/>
      <c r="C135" s="574" t="s">
        <v>279</v>
      </c>
      <c r="D135" s="575"/>
      <c r="E135" s="639">
        <f>+E133*$G$25</f>
        <v>0</v>
      </c>
      <c r="F135" s="639">
        <f t="shared" ref="F135:P135" si="93">+F133*$G$25</f>
        <v>0</v>
      </c>
      <c r="G135" s="639">
        <f t="shared" si="93"/>
        <v>0</v>
      </c>
      <c r="H135" s="639">
        <f t="shared" si="93"/>
        <v>0</v>
      </c>
      <c r="I135" s="639">
        <f t="shared" si="93"/>
        <v>0</v>
      </c>
      <c r="J135" s="639">
        <f t="shared" si="93"/>
        <v>0</v>
      </c>
      <c r="K135" s="639">
        <f t="shared" si="93"/>
        <v>0</v>
      </c>
      <c r="L135" s="639">
        <f t="shared" si="93"/>
        <v>0</v>
      </c>
      <c r="M135" s="639">
        <f t="shared" si="93"/>
        <v>0</v>
      </c>
      <c r="N135" s="639">
        <f t="shared" si="93"/>
        <v>0</v>
      </c>
      <c r="O135" s="639">
        <f t="shared" si="93"/>
        <v>0</v>
      </c>
      <c r="P135" s="639">
        <f t="shared" si="93"/>
        <v>0</v>
      </c>
      <c r="Q135" s="1298">
        <f>SUM(E135:P135)</f>
        <v>0</v>
      </c>
      <c r="R135" s="530">
        <f>SUM(E135:P135)</f>
        <v>0</v>
      </c>
    </row>
    <row r="136" spans="1:19">
      <c r="B136" s="527"/>
      <c r="C136" s="527"/>
      <c r="D136" s="522"/>
      <c r="Q136" s="609"/>
    </row>
    <row r="137" spans="1:19">
      <c r="B137" s="527">
        <v>4272050</v>
      </c>
      <c r="C137" s="526" t="s">
        <v>1272</v>
      </c>
      <c r="Q137" s="609"/>
    </row>
    <row r="138" spans="1:19">
      <c r="A138" s="528">
        <v>7735</v>
      </c>
      <c r="B138" s="527">
        <v>4272090</v>
      </c>
      <c r="C138" s="526" t="s">
        <v>1273</v>
      </c>
      <c r="E138" s="635"/>
      <c r="F138" s="635"/>
      <c r="G138" s="635"/>
      <c r="H138" s="635"/>
      <c r="I138" s="635"/>
      <c r="J138" s="635"/>
      <c r="K138" s="635"/>
      <c r="L138" s="635"/>
      <c r="M138" s="635"/>
      <c r="N138" s="635"/>
      <c r="O138" s="635"/>
      <c r="P138" s="635"/>
      <c r="Q138" s="599">
        <f>SUM(E138:P138)</f>
        <v>0</v>
      </c>
    </row>
    <row r="139" spans="1:19">
      <c r="B139" s="527">
        <v>427.2</v>
      </c>
      <c r="C139" s="570" t="s">
        <v>1272</v>
      </c>
      <c r="D139" s="571" t="s">
        <v>347</v>
      </c>
      <c r="E139" s="636">
        <f>SUM(E137:E138)</f>
        <v>0</v>
      </c>
      <c r="F139" s="636">
        <f>SUM(F137:F138)</f>
        <v>0</v>
      </c>
      <c r="G139" s="636">
        <f>SUM(G137:G138)</f>
        <v>0</v>
      </c>
      <c r="H139" s="636">
        <f>SUM(H137:H138)</f>
        <v>0</v>
      </c>
      <c r="I139" s="636">
        <f t="shared" ref="I139:Q139" si="94">SUM(I137:I138)</f>
        <v>0</v>
      </c>
      <c r="J139" s="636">
        <f t="shared" si="94"/>
        <v>0</v>
      </c>
      <c r="K139" s="636">
        <f t="shared" si="94"/>
        <v>0</v>
      </c>
      <c r="L139" s="636">
        <f t="shared" si="94"/>
        <v>0</v>
      </c>
      <c r="M139" s="636">
        <f t="shared" si="94"/>
        <v>0</v>
      </c>
      <c r="N139" s="636">
        <f t="shared" si="94"/>
        <v>0</v>
      </c>
      <c r="O139" s="636">
        <f t="shared" si="94"/>
        <v>0</v>
      </c>
      <c r="P139" s="636">
        <f t="shared" si="94"/>
        <v>0</v>
      </c>
      <c r="Q139" s="1293">
        <f t="shared" si="94"/>
        <v>0</v>
      </c>
      <c r="R139" s="149">
        <f>+Q139-SUM(E140:P141)</f>
        <v>0</v>
      </c>
    </row>
    <row r="140" spans="1:19">
      <c r="B140" s="527"/>
      <c r="C140" s="572" t="s">
        <v>278</v>
      </c>
      <c r="D140" s="573"/>
      <c r="E140" s="637">
        <f>+E139*$G$24</f>
        <v>0</v>
      </c>
      <c r="F140" s="637">
        <f t="shared" ref="F140:P140" si="95">+F139*$G$24</f>
        <v>0</v>
      </c>
      <c r="G140" s="637">
        <f t="shared" si="95"/>
        <v>0</v>
      </c>
      <c r="H140" s="637">
        <f t="shared" si="95"/>
        <v>0</v>
      </c>
      <c r="I140" s="637">
        <f t="shared" si="95"/>
        <v>0</v>
      </c>
      <c r="J140" s="637">
        <f t="shared" si="95"/>
        <v>0</v>
      </c>
      <c r="K140" s="637">
        <f t="shared" si="95"/>
        <v>0</v>
      </c>
      <c r="L140" s="637">
        <f t="shared" si="95"/>
        <v>0</v>
      </c>
      <c r="M140" s="637">
        <f t="shared" si="95"/>
        <v>0</v>
      </c>
      <c r="N140" s="637">
        <f t="shared" si="95"/>
        <v>0</v>
      </c>
      <c r="O140" s="637">
        <f t="shared" si="95"/>
        <v>0</v>
      </c>
      <c r="P140" s="637">
        <f t="shared" si="95"/>
        <v>0</v>
      </c>
      <c r="Q140" s="1297">
        <f>SUM(E140:P140)</f>
        <v>0</v>
      </c>
      <c r="R140" s="530">
        <f>SUM(E140:P140)</f>
        <v>0</v>
      </c>
    </row>
    <row r="141" spans="1:19">
      <c r="B141" s="527"/>
      <c r="C141" s="574" t="s">
        <v>279</v>
      </c>
      <c r="D141" s="575"/>
      <c r="E141" s="639">
        <f>+E139*$G$25</f>
        <v>0</v>
      </c>
      <c r="F141" s="639">
        <f t="shared" ref="F141:P141" si="96">+F139*$G$25</f>
        <v>0</v>
      </c>
      <c r="G141" s="639">
        <f t="shared" si="96"/>
        <v>0</v>
      </c>
      <c r="H141" s="639">
        <f t="shared" si="96"/>
        <v>0</v>
      </c>
      <c r="I141" s="639">
        <f t="shared" si="96"/>
        <v>0</v>
      </c>
      <c r="J141" s="639">
        <f t="shared" si="96"/>
        <v>0</v>
      </c>
      <c r="K141" s="639">
        <f t="shared" si="96"/>
        <v>0</v>
      </c>
      <c r="L141" s="639">
        <f t="shared" si="96"/>
        <v>0</v>
      </c>
      <c r="M141" s="639">
        <f t="shared" si="96"/>
        <v>0</v>
      </c>
      <c r="N141" s="639">
        <f t="shared" si="96"/>
        <v>0</v>
      </c>
      <c r="O141" s="639">
        <f t="shared" si="96"/>
        <v>0</v>
      </c>
      <c r="P141" s="639">
        <f t="shared" si="96"/>
        <v>0</v>
      </c>
      <c r="Q141" s="1298">
        <f>SUM(E141:P141)</f>
        <v>0</v>
      </c>
      <c r="R141" s="530">
        <f>SUM(E141:P141)</f>
        <v>0</v>
      </c>
    </row>
    <row r="142" spans="1:19">
      <c r="B142" s="527"/>
      <c r="C142" s="527"/>
      <c r="E142" s="638"/>
      <c r="F142" s="638"/>
      <c r="G142" s="638"/>
      <c r="H142" s="638"/>
      <c r="Q142" s="609"/>
    </row>
    <row r="143" spans="1:19">
      <c r="B143" s="527"/>
      <c r="C143" s="526"/>
      <c r="D143" s="522"/>
      <c r="Q143" s="609"/>
      <c r="R143" s="149"/>
      <c r="S143" s="588"/>
    </row>
    <row r="144" spans="1:19">
      <c r="B144" s="527"/>
      <c r="C144" s="526"/>
      <c r="D144" s="522"/>
      <c r="Q144" s="609"/>
      <c r="R144" s="149" t="s">
        <v>498</v>
      </c>
      <c r="S144" s="588" t="s">
        <v>499</v>
      </c>
    </row>
    <row r="145" spans="1:20">
      <c r="A145" s="528">
        <v>7585</v>
      </c>
      <c r="B145" s="527">
        <v>4122000</v>
      </c>
      <c r="C145" s="526" t="s">
        <v>1276</v>
      </c>
      <c r="D145" s="531" t="s">
        <v>1277</v>
      </c>
      <c r="Q145" s="609">
        <f t="shared" ref="Q145:Q150" si="97">SUM(E145:P145)</f>
        <v>0</v>
      </c>
      <c r="R145" s="530" t="e">
        <f>+Q145*S129</f>
        <v>#DIV/0!</v>
      </c>
      <c r="S145" s="530" t="e">
        <f>+Q145*S130</f>
        <v>#DIV/0!</v>
      </c>
      <c r="T145" s="150" t="e">
        <f t="shared" ref="T145:T150" si="98">+R145+S145</f>
        <v>#DIV/0!</v>
      </c>
    </row>
    <row r="146" spans="1:20">
      <c r="A146" s="528">
        <v>7605</v>
      </c>
      <c r="B146" s="525" t="s">
        <v>1278</v>
      </c>
      <c r="C146" s="526" t="s">
        <v>1279</v>
      </c>
      <c r="D146" s="531" t="s">
        <v>1277</v>
      </c>
      <c r="E146" s="634">
        <v>0</v>
      </c>
      <c r="F146" s="634">
        <v>0</v>
      </c>
      <c r="G146" s="634">
        <v>0</v>
      </c>
      <c r="H146" s="634">
        <v>0</v>
      </c>
      <c r="I146" s="634">
        <v>0</v>
      </c>
      <c r="J146" s="634">
        <v>0</v>
      </c>
      <c r="K146" s="634">
        <v>0</v>
      </c>
      <c r="L146" s="634">
        <v>0</v>
      </c>
      <c r="M146" s="634">
        <v>0</v>
      </c>
      <c r="N146" s="634">
        <v>0</v>
      </c>
      <c r="O146" s="634">
        <v>0</v>
      </c>
      <c r="P146" s="634">
        <v>0</v>
      </c>
      <c r="Q146" s="609">
        <f t="shared" si="97"/>
        <v>0</v>
      </c>
      <c r="R146" s="530" t="e">
        <f>+Q146*S129</f>
        <v>#DIV/0!</v>
      </c>
      <c r="S146" s="530" t="e">
        <f>+Q146*S130</f>
        <v>#DIV/0!</v>
      </c>
      <c r="T146" s="150" t="e">
        <f t="shared" si="98"/>
        <v>#DIV/0!</v>
      </c>
    </row>
    <row r="147" spans="1:20">
      <c r="A147" s="528">
        <v>7610</v>
      </c>
      <c r="B147" s="525">
        <v>4091100</v>
      </c>
      <c r="C147" s="526" t="s">
        <v>1280</v>
      </c>
      <c r="D147" s="531" t="s">
        <v>1277</v>
      </c>
      <c r="E147" s="634">
        <v>0</v>
      </c>
      <c r="F147" s="634">
        <v>0</v>
      </c>
      <c r="G147" s="634">
        <v>0</v>
      </c>
      <c r="H147" s="634">
        <v>0</v>
      </c>
      <c r="I147" s="634">
        <v>0</v>
      </c>
      <c r="J147" s="634">
        <v>0</v>
      </c>
      <c r="K147" s="634">
        <v>0</v>
      </c>
      <c r="L147" s="634">
        <v>0</v>
      </c>
      <c r="M147" s="634">
        <v>0</v>
      </c>
      <c r="N147" s="634">
        <v>0</v>
      </c>
      <c r="O147" s="634">
        <v>0</v>
      </c>
      <c r="Q147" s="609">
        <f t="shared" si="97"/>
        <v>0</v>
      </c>
      <c r="R147" s="530" t="e">
        <f>+Q147*S129</f>
        <v>#DIV/0!</v>
      </c>
      <c r="S147" s="530" t="e">
        <f>+Q147*S130</f>
        <v>#DIV/0!</v>
      </c>
      <c r="T147" s="150" t="e">
        <f t="shared" si="98"/>
        <v>#DIV/0!</v>
      </c>
    </row>
    <row r="148" spans="1:20">
      <c r="A148" s="528">
        <v>7600</v>
      </c>
      <c r="B148" s="527">
        <v>4101100</v>
      </c>
      <c r="C148" s="526" t="s">
        <v>1281</v>
      </c>
      <c r="D148" s="531" t="s">
        <v>1277</v>
      </c>
      <c r="E148" s="634">
        <v>0</v>
      </c>
      <c r="F148" s="634">
        <v>0</v>
      </c>
      <c r="G148" s="634">
        <v>0</v>
      </c>
      <c r="H148" s="634">
        <v>0</v>
      </c>
      <c r="I148" s="634">
        <v>0</v>
      </c>
      <c r="J148" s="634">
        <v>0</v>
      </c>
      <c r="K148" s="634">
        <v>0</v>
      </c>
      <c r="L148" s="634">
        <v>0</v>
      </c>
      <c r="M148" s="634">
        <v>0</v>
      </c>
      <c r="N148" s="634">
        <v>0</v>
      </c>
      <c r="O148" s="634">
        <v>0</v>
      </c>
      <c r="Q148" s="609">
        <f t="shared" si="97"/>
        <v>0</v>
      </c>
      <c r="R148" s="530" t="e">
        <f>+Q148*S129</f>
        <v>#DIV/0!</v>
      </c>
      <c r="S148" s="530" t="e">
        <f>+Q148*S130</f>
        <v>#DIV/0!</v>
      </c>
      <c r="T148" s="150" t="e">
        <f t="shared" si="98"/>
        <v>#DIV/0!</v>
      </c>
    </row>
    <row r="149" spans="1:20">
      <c r="A149" s="528">
        <v>7785</v>
      </c>
      <c r="B149" s="527">
        <v>409.3</v>
      </c>
      <c r="C149" s="526" t="s">
        <v>1804</v>
      </c>
      <c r="D149" s="531" t="s">
        <v>1277</v>
      </c>
      <c r="E149" s="635">
        <v>0</v>
      </c>
      <c r="F149" s="635">
        <v>0</v>
      </c>
      <c r="G149" s="635">
        <v>0</v>
      </c>
      <c r="H149" s="635">
        <v>0</v>
      </c>
      <c r="I149" s="635">
        <v>0</v>
      </c>
      <c r="J149" s="635">
        <v>0</v>
      </c>
      <c r="K149" s="635">
        <v>0</v>
      </c>
      <c r="L149" s="635">
        <v>0</v>
      </c>
      <c r="M149" s="635">
        <v>0</v>
      </c>
      <c r="N149" s="635">
        <v>0</v>
      </c>
      <c r="O149" s="635">
        <v>0</v>
      </c>
      <c r="P149" s="635"/>
      <c r="Q149" s="599">
        <f t="shared" si="97"/>
        <v>0</v>
      </c>
      <c r="R149" s="530" t="e">
        <f>+Q149*S129</f>
        <v>#DIV/0!</v>
      </c>
      <c r="S149" s="530" t="e">
        <f>+Q149*S130</f>
        <v>#DIV/0!</v>
      </c>
      <c r="T149" s="150" t="e">
        <f t="shared" si="98"/>
        <v>#DIV/0!</v>
      </c>
    </row>
    <row r="150" spans="1:20">
      <c r="A150" s="528">
        <v>7595</v>
      </c>
      <c r="B150" s="527">
        <v>4101000</v>
      </c>
      <c r="C150" s="526" t="s">
        <v>1282</v>
      </c>
      <c r="D150" s="531" t="s">
        <v>1277</v>
      </c>
      <c r="E150" s="642">
        <v>0</v>
      </c>
      <c r="F150" s="642">
        <v>0</v>
      </c>
      <c r="G150" s="642">
        <v>0</v>
      </c>
      <c r="H150" s="642">
        <v>0</v>
      </c>
      <c r="I150" s="642">
        <v>0</v>
      </c>
      <c r="J150" s="642">
        <v>0</v>
      </c>
      <c r="K150" s="642">
        <v>0</v>
      </c>
      <c r="L150" s="642">
        <v>0</v>
      </c>
      <c r="M150" s="642">
        <v>0</v>
      </c>
      <c r="N150" s="642">
        <v>0</v>
      </c>
      <c r="O150" s="642">
        <v>0</v>
      </c>
      <c r="P150" s="642"/>
      <c r="Q150" s="1290">
        <f t="shared" si="97"/>
        <v>0</v>
      </c>
      <c r="R150" s="530" t="e">
        <f>+Q150*S129</f>
        <v>#DIV/0!</v>
      </c>
      <c r="S150" s="530" t="e">
        <f>+Q150*S130</f>
        <v>#DIV/0!</v>
      </c>
      <c r="T150" s="150" t="e">
        <f t="shared" si="98"/>
        <v>#DIV/0!</v>
      </c>
    </row>
    <row r="151" spans="1:20" ht="12.75" thickBot="1">
      <c r="B151" s="527"/>
      <c r="C151" s="527" t="s">
        <v>1283</v>
      </c>
      <c r="D151" s="522"/>
      <c r="E151" s="639">
        <f>SUM(E145:E150)</f>
        <v>0</v>
      </c>
      <c r="F151" s="639">
        <f>SUM(F145:F150)</f>
        <v>0</v>
      </c>
      <c r="G151" s="639">
        <f>SUM(G145:G150)</f>
        <v>0</v>
      </c>
      <c r="H151" s="639">
        <f>SUM(H145:H150)</f>
        <v>0</v>
      </c>
      <c r="I151" s="639">
        <f t="shared" ref="I151:Q151" si="99">SUM(I145:I150)</f>
        <v>0</v>
      </c>
      <c r="J151" s="639">
        <f t="shared" si="99"/>
        <v>0</v>
      </c>
      <c r="K151" s="639">
        <f t="shared" si="99"/>
        <v>0</v>
      </c>
      <c r="L151" s="639">
        <f t="shared" si="99"/>
        <v>0</v>
      </c>
      <c r="M151" s="639">
        <f t="shared" si="99"/>
        <v>0</v>
      </c>
      <c r="N151" s="639">
        <f t="shared" si="99"/>
        <v>0</v>
      </c>
      <c r="O151" s="639">
        <f t="shared" si="99"/>
        <v>0</v>
      </c>
      <c r="P151" s="639">
        <f t="shared" si="99"/>
        <v>0</v>
      </c>
      <c r="Q151" s="1296">
        <f t="shared" si="99"/>
        <v>0</v>
      </c>
      <c r="R151" s="1310" t="e">
        <f>SUM(R145:R150)</f>
        <v>#DIV/0!</v>
      </c>
      <c r="S151" s="1310" t="e">
        <f>SUM(S145:S150)</f>
        <v>#DIV/0!</v>
      </c>
    </row>
    <row r="152" spans="1:20" ht="12.75" thickTop="1">
      <c r="B152" s="527"/>
      <c r="C152" s="526" t="s">
        <v>278</v>
      </c>
      <c r="D152" s="522"/>
      <c r="E152" s="637"/>
      <c r="F152" s="637"/>
      <c r="H152" s="637"/>
      <c r="I152" s="637"/>
      <c r="J152" s="637"/>
      <c r="K152" s="637"/>
      <c r="L152" s="637"/>
      <c r="M152" s="637"/>
      <c r="N152" s="637"/>
      <c r="O152" s="637"/>
      <c r="P152" s="637"/>
      <c r="Q152" s="1295"/>
    </row>
    <row r="153" spans="1:20">
      <c r="B153" s="527"/>
      <c r="C153" s="526" t="s">
        <v>279</v>
      </c>
      <c r="D153" s="522"/>
      <c r="E153" s="637"/>
      <c r="F153" s="637"/>
      <c r="H153" s="637"/>
      <c r="I153" s="637"/>
      <c r="J153" s="637"/>
      <c r="K153" s="637"/>
      <c r="L153" s="637"/>
      <c r="M153" s="637"/>
      <c r="N153" s="637"/>
      <c r="O153" s="637"/>
      <c r="P153" s="637"/>
      <c r="Q153" s="1295"/>
    </row>
    <row r="154" spans="1:20">
      <c r="B154" s="527"/>
      <c r="C154" s="527"/>
      <c r="D154" s="522"/>
      <c r="Q154" s="609"/>
    </row>
    <row r="155" spans="1:20" ht="12.75" thickBot="1">
      <c r="B155" s="527"/>
      <c r="C155" s="527" t="s">
        <v>1284</v>
      </c>
      <c r="D155" s="522"/>
      <c r="E155" s="1283">
        <f t="shared" ref="E155:Q155" si="100">+E128+E151+E132+E138</f>
        <v>16965.780000000002</v>
      </c>
      <c r="F155" s="1283">
        <f t="shared" si="100"/>
        <v>15996.57</v>
      </c>
      <c r="G155" s="1283">
        <f t="shared" si="100"/>
        <v>20975.460000000017</v>
      </c>
      <c r="H155" s="1283">
        <f t="shared" si="100"/>
        <v>16956.640000000007</v>
      </c>
      <c r="I155" s="1283">
        <f t="shared" si="100"/>
        <v>16585.700000000008</v>
      </c>
      <c r="J155" s="1283">
        <f t="shared" si="100"/>
        <v>16286.239999999994</v>
      </c>
      <c r="K155" s="1283">
        <f t="shared" si="100"/>
        <v>18616.610000000011</v>
      </c>
      <c r="L155" s="1283">
        <f t="shared" si="100"/>
        <v>18642.259999999998</v>
      </c>
      <c r="M155" s="1283">
        <f t="shared" si="100"/>
        <v>17860.220000000019</v>
      </c>
      <c r="N155" s="1283">
        <f t="shared" si="100"/>
        <v>17991.18</v>
      </c>
      <c r="O155" s="1283">
        <f t="shared" si="100"/>
        <v>17965.800000000003</v>
      </c>
      <c r="P155" s="1283">
        <f t="shared" si="100"/>
        <v>18000.950000000004</v>
      </c>
      <c r="Q155" s="1283">
        <f t="shared" si="100"/>
        <v>212843.41000000009</v>
      </c>
    </row>
    <row r="156" spans="1:20" ht="12.75" thickTop="1">
      <c r="B156" s="527"/>
      <c r="C156" s="527"/>
      <c r="D156" s="522"/>
      <c r="E156" s="609"/>
      <c r="F156" s="609"/>
      <c r="G156" s="609"/>
      <c r="H156" s="609"/>
      <c r="I156" s="609"/>
      <c r="J156" s="609"/>
      <c r="K156" s="609"/>
      <c r="L156" s="609"/>
      <c r="M156" s="609"/>
      <c r="N156" s="609"/>
      <c r="O156" s="609"/>
      <c r="P156" s="609"/>
      <c r="Q156" s="609"/>
    </row>
    <row r="157" spans="1:20">
      <c r="B157" s="588"/>
      <c r="E157" s="609"/>
      <c r="F157" s="609"/>
      <c r="G157" s="609"/>
      <c r="H157" s="609"/>
      <c r="I157" s="609"/>
      <c r="J157" s="609"/>
      <c r="K157" s="609"/>
      <c r="L157" s="609"/>
      <c r="M157" s="609"/>
      <c r="N157" s="609"/>
      <c r="O157" s="609"/>
      <c r="P157" s="609"/>
      <c r="Q157" s="609"/>
    </row>
    <row r="158" spans="1:20">
      <c r="C158" s="519"/>
      <c r="E158" s="609"/>
      <c r="F158" s="609"/>
      <c r="G158" s="609"/>
      <c r="H158" s="609"/>
      <c r="I158" s="609"/>
      <c r="J158" s="609"/>
      <c r="K158" s="609"/>
      <c r="L158" s="609"/>
      <c r="M158" s="609"/>
      <c r="N158" s="609"/>
      <c r="O158" s="609"/>
      <c r="P158" s="609"/>
      <c r="Q158" s="609"/>
    </row>
    <row r="159" spans="1:20">
      <c r="B159" s="532"/>
      <c r="E159" s="609">
        <f>+E157-E155</f>
        <v>-16965.780000000002</v>
      </c>
      <c r="F159" s="609">
        <f t="shared" ref="F159:P159" si="101">+F157-F155</f>
        <v>-15996.57</v>
      </c>
      <c r="G159" s="609">
        <f t="shared" si="101"/>
        <v>-20975.460000000017</v>
      </c>
      <c r="H159" s="609">
        <f t="shared" si="101"/>
        <v>-16956.640000000007</v>
      </c>
      <c r="I159" s="609">
        <f t="shared" si="101"/>
        <v>-16585.700000000008</v>
      </c>
      <c r="J159" s="609">
        <f t="shared" si="101"/>
        <v>-16286.239999999994</v>
      </c>
      <c r="K159" s="609">
        <f t="shared" si="101"/>
        <v>-18616.610000000011</v>
      </c>
      <c r="L159" s="609">
        <f t="shared" si="101"/>
        <v>-18642.259999999998</v>
      </c>
      <c r="M159" s="609">
        <f t="shared" si="101"/>
        <v>-17860.220000000019</v>
      </c>
      <c r="N159" s="609">
        <f t="shared" si="101"/>
        <v>-17991.18</v>
      </c>
      <c r="O159" s="609">
        <f t="shared" si="101"/>
        <v>-17965.800000000003</v>
      </c>
      <c r="P159" s="609">
        <f t="shared" si="101"/>
        <v>-18000.950000000004</v>
      </c>
      <c r="Q159" s="609"/>
    </row>
    <row r="160" spans="1:20">
      <c r="B160" s="528"/>
      <c r="Q160" s="609"/>
    </row>
    <row r="161" spans="2:17">
      <c r="B161" s="528"/>
      <c r="Q161" s="609"/>
    </row>
    <row r="162" spans="2:17">
      <c r="B162" s="528"/>
      <c r="Q162" s="609"/>
    </row>
    <row r="163" spans="2:17">
      <c r="B163" s="528"/>
      <c r="Q163" s="609"/>
    </row>
    <row r="164" spans="2:17">
      <c r="Q164" s="609"/>
    </row>
    <row r="165" spans="2:17">
      <c r="Q165" s="609"/>
    </row>
    <row r="166" spans="2:17">
      <c r="Q166" s="609"/>
    </row>
    <row r="167" spans="2:17">
      <c r="Q167" s="609"/>
    </row>
    <row r="168" spans="2:17">
      <c r="Q168" s="609"/>
    </row>
    <row r="169" spans="2:17">
      <c r="Q169" s="609"/>
    </row>
    <row r="170" spans="2:17">
      <c r="Q170" s="609"/>
    </row>
    <row r="171" spans="2:17">
      <c r="Q171" s="609"/>
    </row>
    <row r="172" spans="2:17">
      <c r="Q172" s="609"/>
    </row>
    <row r="173" spans="2:17">
      <c r="Q173" s="609"/>
    </row>
    <row r="174" spans="2:17">
      <c r="Q174" s="609"/>
    </row>
    <row r="175" spans="2:17">
      <c r="Q175" s="609"/>
    </row>
    <row r="176" spans="2:17">
      <c r="Q176" s="609"/>
    </row>
    <row r="177" spans="17:17">
      <c r="Q177" s="609"/>
    </row>
    <row r="178" spans="17:17">
      <c r="Q178" s="609"/>
    </row>
    <row r="179" spans="17:17">
      <c r="Q179" s="609"/>
    </row>
    <row r="180" spans="17:17">
      <c r="Q180" s="609"/>
    </row>
    <row r="181" spans="17:17">
      <c r="Q181" s="609"/>
    </row>
    <row r="182" spans="17:17">
      <c r="Q182" s="609"/>
    </row>
    <row r="183" spans="17:17">
      <c r="Q183" s="609"/>
    </row>
    <row r="184" spans="17:17">
      <c r="Q184" s="609"/>
    </row>
    <row r="185" spans="17:17">
      <c r="Q185" s="609"/>
    </row>
    <row r="186" spans="17:17">
      <c r="Q186" s="609"/>
    </row>
    <row r="187" spans="17:17">
      <c r="Q187" s="609"/>
    </row>
    <row r="188" spans="17:17">
      <c r="Q188" s="609"/>
    </row>
    <row r="189" spans="17:17">
      <c r="Q189" s="609"/>
    </row>
    <row r="190" spans="17:17">
      <c r="Q190" s="609"/>
    </row>
    <row r="191" spans="17:17">
      <c r="Q191" s="609"/>
    </row>
    <row r="192" spans="17:17">
      <c r="Q192" s="609"/>
    </row>
    <row r="193" spans="17:17">
      <c r="Q193" s="609"/>
    </row>
    <row r="194" spans="17:17">
      <c r="Q194" s="609"/>
    </row>
    <row r="195" spans="17:17">
      <c r="Q195" s="609"/>
    </row>
    <row r="196" spans="17:17">
      <c r="Q196" s="609"/>
    </row>
    <row r="197" spans="17:17">
      <c r="Q197" s="609"/>
    </row>
    <row r="198" spans="17:17">
      <c r="Q198" s="609"/>
    </row>
    <row r="199" spans="17:17">
      <c r="Q199" s="609"/>
    </row>
    <row r="200" spans="17:17">
      <c r="Q200" s="609"/>
    </row>
    <row r="201" spans="17:17">
      <c r="Q201" s="609"/>
    </row>
    <row r="202" spans="17:17">
      <c r="Q202" s="609"/>
    </row>
    <row r="203" spans="17:17">
      <c r="Q203" s="609"/>
    </row>
    <row r="204" spans="17:17">
      <c r="Q204" s="609"/>
    </row>
    <row r="205" spans="17:17">
      <c r="Q205" s="609"/>
    </row>
    <row r="206" spans="17:17">
      <c r="Q206" s="609"/>
    </row>
    <row r="207" spans="17:17">
      <c r="Q207" s="609"/>
    </row>
    <row r="208" spans="17:17">
      <c r="Q208" s="609"/>
    </row>
    <row r="209" spans="17:17">
      <c r="Q209" s="609"/>
    </row>
    <row r="210" spans="17:17">
      <c r="Q210" s="609"/>
    </row>
    <row r="211" spans="17:17">
      <c r="Q211" s="609"/>
    </row>
    <row r="212" spans="17:17">
      <c r="Q212" s="609"/>
    </row>
    <row r="213" spans="17:17">
      <c r="Q213" s="609"/>
    </row>
    <row r="214" spans="17:17">
      <c r="Q214" s="609"/>
    </row>
    <row r="215" spans="17:17">
      <c r="Q215" s="609"/>
    </row>
    <row r="216" spans="17:17">
      <c r="Q216" s="609"/>
    </row>
    <row r="217" spans="17:17">
      <c r="Q217" s="609"/>
    </row>
    <row r="218" spans="17:17">
      <c r="Q218" s="609"/>
    </row>
    <row r="219" spans="17:17">
      <c r="Q219" s="609"/>
    </row>
    <row r="220" spans="17:17">
      <c r="Q220" s="609"/>
    </row>
    <row r="221" spans="17:17">
      <c r="Q221" s="609"/>
    </row>
    <row r="222" spans="17:17">
      <c r="Q222" s="609"/>
    </row>
    <row r="223" spans="17:17">
      <c r="Q223" s="609"/>
    </row>
    <row r="224" spans="17:17">
      <c r="Q224" s="609"/>
    </row>
    <row r="225" spans="17:17">
      <c r="Q225" s="609"/>
    </row>
    <row r="226" spans="17:17">
      <c r="Q226" s="609"/>
    </row>
    <row r="227" spans="17:17">
      <c r="Q227" s="609"/>
    </row>
    <row r="228" spans="17:17">
      <c r="Q228" s="609"/>
    </row>
    <row r="229" spans="17:17">
      <c r="Q229" s="609"/>
    </row>
    <row r="230" spans="17:17">
      <c r="Q230" s="609"/>
    </row>
    <row r="231" spans="17:17">
      <c r="Q231" s="609"/>
    </row>
    <row r="232" spans="17:17">
      <c r="Q232" s="609"/>
    </row>
    <row r="233" spans="17:17">
      <c r="Q233" s="609"/>
    </row>
    <row r="234" spans="17:17">
      <c r="Q234" s="609"/>
    </row>
    <row r="235" spans="17:17">
      <c r="Q235" s="609"/>
    </row>
    <row r="236" spans="17:17">
      <c r="Q236" s="609"/>
    </row>
    <row r="237" spans="17:17">
      <c r="Q237" s="609"/>
    </row>
    <row r="238" spans="17:17">
      <c r="Q238" s="609"/>
    </row>
    <row r="239" spans="17:17">
      <c r="Q239" s="609"/>
    </row>
    <row r="240" spans="17:17">
      <c r="Q240" s="609"/>
    </row>
    <row r="241" spans="17:17">
      <c r="Q241" s="609"/>
    </row>
    <row r="242" spans="17:17">
      <c r="Q242" s="609"/>
    </row>
    <row r="243" spans="17:17">
      <c r="Q243" s="609"/>
    </row>
    <row r="244" spans="17:17">
      <c r="Q244" s="609"/>
    </row>
    <row r="245" spans="17:17">
      <c r="Q245" s="609"/>
    </row>
    <row r="246" spans="17:17">
      <c r="Q246" s="609"/>
    </row>
    <row r="247" spans="17:17">
      <c r="Q247" s="609"/>
    </row>
    <row r="248" spans="17:17">
      <c r="Q248" s="609"/>
    </row>
    <row r="249" spans="17:17">
      <c r="Q249" s="609"/>
    </row>
    <row r="250" spans="17:17">
      <c r="Q250" s="609"/>
    </row>
    <row r="251" spans="17:17">
      <c r="Q251" s="609"/>
    </row>
    <row r="252" spans="17:17">
      <c r="Q252" s="609"/>
    </row>
    <row r="253" spans="17:17">
      <c r="Q253" s="609"/>
    </row>
    <row r="254" spans="17:17">
      <c r="Q254" s="609"/>
    </row>
    <row r="255" spans="17:17">
      <c r="Q255" s="609"/>
    </row>
  </sheetData>
  <sortState ref="A197:P199">
    <sortCondition ref="A197"/>
  </sortState>
  <phoneticPr fontId="2" type="noConversion"/>
  <printOptions horizontalCentered="1"/>
  <pageMargins left="0.25" right="0" top="0.75" bottom="0.75" header="0.5" footer="0.5"/>
  <pageSetup scale="75" firstPageNumber="71" orientation="landscape" r:id="rId1"/>
  <headerFooter alignWithMargins="0">
    <oddHeader>&amp;C&amp;"-,Regular"&amp;12Sanlando Utilities Corp</oddHeader>
    <oddFooter>&amp;C&amp;"-,Regular"Operations and Maintenance Expenses Per Annual Report&amp;R&amp;"-,Regular"Page &amp;P of &amp;N</oddFooter>
  </headerFooter>
  <ignoredErrors>
    <ignoredError sqref="Q124" formula="1"/>
    <ignoredError sqref="B146 B3" numberStoredAsText="1"/>
  </ignoredError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dimension ref="A1:O94"/>
  <sheetViews>
    <sheetView workbookViewId="0"/>
  </sheetViews>
  <sheetFormatPr defaultColWidth="9.140625" defaultRowHeight="12"/>
  <cols>
    <col min="1" max="1" width="6.42578125" style="120" customWidth="1"/>
    <col min="2" max="2" width="24.5703125" style="120" customWidth="1"/>
    <col min="3" max="3" width="2.28515625" style="158" customWidth="1"/>
    <col min="4" max="6" width="12.7109375" style="158" customWidth="1"/>
    <col min="7" max="7" width="12.42578125" style="120" customWidth="1"/>
    <col min="8" max="8" width="12.28515625" style="120" customWidth="1"/>
    <col min="9" max="9" width="2.7109375" style="158" customWidth="1"/>
    <col min="10" max="10" width="11.42578125" style="211" customWidth="1"/>
    <col min="11" max="11" width="12.28515625" style="158" customWidth="1"/>
    <col min="12" max="12" width="13" style="158" customWidth="1"/>
    <col min="13" max="14" width="11.7109375" style="158" customWidth="1"/>
    <col min="15" max="16384" width="9.140625" style="120"/>
  </cols>
  <sheetData>
    <row r="1" spans="1:14">
      <c r="B1" s="518" t="s">
        <v>349</v>
      </c>
      <c r="C1" s="588"/>
      <c r="D1" s="588"/>
      <c r="E1" s="1305">
        <v>11792</v>
      </c>
      <c r="F1" s="1306">
        <f>ROUND(E1/$G$3,11)</f>
        <v>0.55730422043000005</v>
      </c>
      <c r="G1" s="1305">
        <v>11827</v>
      </c>
      <c r="H1" s="1306">
        <f>ROUND(G1/$G$3,11)</f>
        <v>0.55895836287</v>
      </c>
      <c r="J1" s="1226"/>
      <c r="K1" s="569">
        <v>11827</v>
      </c>
      <c r="L1" s="879">
        <f>+K1/K3</f>
        <v>0.55895836287159129</v>
      </c>
    </row>
    <row r="2" spans="1:14">
      <c r="B2" s="518" t="s">
        <v>352</v>
      </c>
      <c r="C2" s="588"/>
      <c r="D2" s="588"/>
      <c r="E2" s="1305">
        <v>9290</v>
      </c>
      <c r="F2" s="1306">
        <f>ROUND(E2/$G$3,11)</f>
        <v>0.43905666619</v>
      </c>
      <c r="G2" s="1305">
        <v>9332</v>
      </c>
      <c r="H2" s="1306">
        <f>ROUND(G2/$G$3,11)</f>
        <v>0.44104163713</v>
      </c>
      <c r="J2" s="1226"/>
      <c r="K2" s="569">
        <v>9332</v>
      </c>
      <c r="L2" s="879">
        <f>+K2/K3</f>
        <v>0.44104163712840871</v>
      </c>
    </row>
    <row r="3" spans="1:14" ht="12.75" thickBot="1">
      <c r="B3" s="521" t="s">
        <v>348</v>
      </c>
      <c r="C3" s="883"/>
      <c r="D3" s="883"/>
      <c r="E3" s="974">
        <f>SUM(E1:E2)</f>
        <v>21082</v>
      </c>
      <c r="F3" s="120"/>
      <c r="G3" s="974">
        <f>SUM(G1:G2)</f>
        <v>21159</v>
      </c>
      <c r="J3" s="1226"/>
      <c r="K3" s="884">
        <f>SUM(K1:K2)</f>
        <v>21159</v>
      </c>
    </row>
    <row r="4" spans="1:14" ht="12" customHeight="1" thickTop="1">
      <c r="C4" s="880"/>
      <c r="D4" s="1302" t="s">
        <v>1397</v>
      </c>
      <c r="E4" s="1302"/>
      <c r="F4" s="887" t="s">
        <v>1823</v>
      </c>
      <c r="G4" s="886" t="s">
        <v>1726</v>
      </c>
      <c r="H4" s="885"/>
      <c r="I4" s="1235"/>
      <c r="J4" s="1234" t="s">
        <v>384</v>
      </c>
      <c r="K4" s="1236" t="s">
        <v>1727</v>
      </c>
      <c r="L4" s="1237"/>
      <c r="M4" s="1242" t="s">
        <v>560</v>
      </c>
      <c r="N4" s="314"/>
    </row>
    <row r="5" spans="1:14" s="486" customFormat="1" ht="24">
      <c r="C5" s="881"/>
      <c r="D5" s="1303">
        <v>41274</v>
      </c>
      <c r="E5" s="1303"/>
      <c r="F5" s="882" t="s">
        <v>1728</v>
      </c>
      <c r="G5" s="882" t="s">
        <v>498</v>
      </c>
      <c r="H5" s="881" t="s">
        <v>670</v>
      </c>
      <c r="I5" s="831"/>
      <c r="J5" s="1238" t="s">
        <v>1824</v>
      </c>
      <c r="K5" s="1239" t="s">
        <v>498</v>
      </c>
      <c r="L5" s="1240" t="s">
        <v>670</v>
      </c>
      <c r="M5" s="1243" t="s">
        <v>457</v>
      </c>
      <c r="N5" s="831"/>
    </row>
    <row r="6" spans="1:14">
      <c r="A6" s="701" t="s">
        <v>398</v>
      </c>
      <c r="B6" s="193"/>
      <c r="C6" s="588"/>
      <c r="D6" s="588"/>
      <c r="E6" s="588"/>
      <c r="F6" s="588"/>
      <c r="H6" s="518"/>
      <c r="I6" s="588"/>
      <c r="J6" s="1226"/>
      <c r="L6" s="588"/>
      <c r="M6" s="580"/>
      <c r="N6" s="580"/>
    </row>
    <row r="7" spans="1:14">
      <c r="A7" s="134"/>
      <c r="B7" s="134"/>
      <c r="C7" s="588"/>
      <c r="D7" s="588"/>
      <c r="E7" s="588"/>
      <c r="F7" s="588"/>
      <c r="H7" s="518"/>
      <c r="I7" s="588"/>
      <c r="J7" s="1226"/>
      <c r="K7" s="768"/>
      <c r="L7" s="588"/>
      <c r="M7" s="580"/>
      <c r="N7" s="580"/>
    </row>
    <row r="8" spans="1:14" ht="12" customHeight="1">
      <c r="A8" s="134">
        <v>303.5</v>
      </c>
      <c r="B8" s="111" t="s">
        <v>158</v>
      </c>
      <c r="C8" s="601"/>
      <c r="D8" s="699">
        <f>+'12-31-15 Plant Acc Bal_PerAR'!D38</f>
        <v>1180.1300000000001</v>
      </c>
      <c r="E8" s="699"/>
      <c r="F8" s="699">
        <f>+'12-31-15 Plant Acc Bal_PerAR'!S38</f>
        <v>1150.73</v>
      </c>
      <c r="G8" s="142">
        <f>+F8</f>
        <v>1150.73</v>
      </c>
      <c r="H8" s="608">
        <v>0</v>
      </c>
      <c r="I8" s="601"/>
      <c r="J8" s="1227">
        <f>+'12-31-15 Plant Acc Bal_PerAR'!T38</f>
        <v>1164.3853846153845</v>
      </c>
      <c r="K8" s="768"/>
      <c r="L8" s="768"/>
      <c r="M8" s="641"/>
      <c r="N8" s="641"/>
    </row>
    <row r="9" spans="1:14" ht="12" customHeight="1">
      <c r="A9" s="134"/>
      <c r="B9" s="111"/>
      <c r="C9" s="601"/>
      <c r="D9" s="699"/>
      <c r="E9" s="699"/>
      <c r="F9" s="699"/>
      <c r="G9" s="142"/>
      <c r="H9" s="608"/>
      <c r="I9" s="601"/>
      <c r="J9" s="1227"/>
      <c r="K9" s="768"/>
      <c r="L9" s="768"/>
      <c r="M9" s="641"/>
      <c r="N9" s="641"/>
    </row>
    <row r="10" spans="1:14" ht="12" customHeight="1">
      <c r="A10" s="134">
        <v>353.7</v>
      </c>
      <c r="B10" s="113" t="s">
        <v>1569</v>
      </c>
      <c r="C10" s="601"/>
      <c r="D10" s="699">
        <f>+'12-31-15 Plant Acc Bal_PerAR'!D124</f>
        <v>0</v>
      </c>
      <c r="E10" s="699"/>
      <c r="F10" s="699">
        <f>+'12-31-15 Plant Acc Bal_PerAR'!S124</f>
        <v>0</v>
      </c>
      <c r="G10" s="142">
        <f>ROUND(F10*$H$1,2)</f>
        <v>0</v>
      </c>
      <c r="H10" s="608">
        <f>ROUND(F10*$H$2,2)</f>
        <v>0</v>
      </c>
      <c r="I10" s="601"/>
      <c r="J10" s="1227">
        <f>+'12-31-15 Plant Acc Bal_PerAR'!T124</f>
        <v>0</v>
      </c>
      <c r="K10" s="768"/>
      <c r="L10" s="768"/>
      <c r="M10" s="641"/>
      <c r="N10" s="641"/>
    </row>
    <row r="11" spans="1:14" ht="12" customHeight="1">
      <c r="A11" s="134"/>
      <c r="B11" s="113"/>
      <c r="C11" s="601"/>
      <c r="D11" s="699"/>
      <c r="E11" s="699"/>
      <c r="F11" s="699"/>
      <c r="G11" s="142"/>
      <c r="H11" s="608"/>
      <c r="I11" s="601"/>
      <c r="J11" s="1227"/>
      <c r="K11" s="768"/>
      <c r="L11" s="768"/>
      <c r="M11" s="641"/>
      <c r="N11" s="641"/>
    </row>
    <row r="12" spans="1:14" ht="12" customHeight="1">
      <c r="A12" s="134">
        <v>304.5</v>
      </c>
      <c r="B12" s="111" t="s">
        <v>142</v>
      </c>
      <c r="C12" s="601"/>
      <c r="D12" s="699">
        <f>+'12-31-15 Plant Acc Bal_PerAR'!D41</f>
        <v>0</v>
      </c>
      <c r="E12" s="699"/>
      <c r="F12" s="699">
        <f>+'12-31-15 Plant Acc Bal_PerAR'!S41</f>
        <v>0</v>
      </c>
      <c r="G12" s="142">
        <f>+F12</f>
        <v>0</v>
      </c>
      <c r="H12" s="608"/>
      <c r="I12" s="601"/>
      <c r="J12" s="1227">
        <f>+'12-31-15 Plant Acc Bal_PerAR'!T41</f>
        <v>0</v>
      </c>
      <c r="K12" s="768"/>
      <c r="L12" s="768"/>
      <c r="M12" s="641"/>
      <c r="N12" s="641"/>
    </row>
    <row r="13" spans="1:14" ht="12" customHeight="1">
      <c r="A13" s="134">
        <v>304.5</v>
      </c>
      <c r="B13" s="111" t="s">
        <v>143</v>
      </c>
      <c r="C13" s="601"/>
      <c r="D13" s="699">
        <f>+'12-31-15 Plant Acc Bal_PerAR'!D42</f>
        <v>87159.05</v>
      </c>
      <c r="E13" s="699">
        <f>+D13*$F$2</f>
        <v>38267.761921287522</v>
      </c>
      <c r="F13" s="699">
        <f>+'12-31-15 Plant Acc Bal_PerAR'!S42</f>
        <v>86814.98</v>
      </c>
      <c r="G13" s="142">
        <f>+F13</f>
        <v>86814.98</v>
      </c>
      <c r="H13" s="608"/>
      <c r="I13" s="601"/>
      <c r="J13" s="1227">
        <f>+'12-31-15 Plant Acc Bal_PerAR'!T42</f>
        <v>86698.721538461527</v>
      </c>
      <c r="K13" s="768"/>
      <c r="L13" s="768"/>
      <c r="M13" s="641"/>
      <c r="N13" s="641"/>
    </row>
    <row r="14" spans="1:14" ht="12" customHeight="1">
      <c r="A14" s="134"/>
      <c r="B14" s="111"/>
      <c r="C14" s="601"/>
      <c r="D14" s="699"/>
      <c r="E14" s="699"/>
      <c r="F14" s="699"/>
      <c r="G14" s="142"/>
      <c r="H14" s="608"/>
      <c r="I14" s="601"/>
      <c r="J14" s="1232">
        <f>SUM(J12:J13)</f>
        <v>86698.721538461527</v>
      </c>
      <c r="K14" s="1232">
        <f>SUM(K12:K13)</f>
        <v>0</v>
      </c>
      <c r="L14" s="1232">
        <f>SUM(L12:L13)</f>
        <v>0</v>
      </c>
      <c r="M14" s="641"/>
      <c r="N14" s="641"/>
    </row>
    <row r="15" spans="1:14" ht="12" customHeight="1">
      <c r="A15" s="134"/>
      <c r="B15" s="111"/>
      <c r="C15" s="601"/>
      <c r="D15" s="699"/>
      <c r="E15" s="699"/>
      <c r="F15" s="699"/>
      <c r="G15" s="142"/>
      <c r="H15" s="608"/>
      <c r="I15" s="601"/>
      <c r="J15" s="1227"/>
      <c r="K15" s="1178"/>
      <c r="L15" s="1178"/>
      <c r="M15" s="641"/>
      <c r="N15" s="641"/>
    </row>
    <row r="16" spans="1:14" ht="12" customHeight="1">
      <c r="A16" s="134">
        <v>354.7</v>
      </c>
      <c r="B16" s="226" t="s">
        <v>1570</v>
      </c>
      <c r="C16" s="601"/>
      <c r="D16" s="699">
        <f>+'12-31-15 Plant Acc Bal_PerAR'!D125</f>
        <v>2392089.7799999998</v>
      </c>
      <c r="E16" s="699"/>
      <c r="F16" s="699">
        <f>+'12-31-15 Plant Acc Bal_PerAR'!S125</f>
        <v>2393729.9</v>
      </c>
      <c r="G16" s="142"/>
      <c r="H16" s="608">
        <f>+F16</f>
        <v>2393729.9</v>
      </c>
      <c r="I16" s="601"/>
      <c r="J16" s="1227">
        <f>+'12-31-15 Plant Acc Bal_PerAR'!T125</f>
        <v>2392496.5230769226</v>
      </c>
      <c r="K16" s="768"/>
      <c r="L16" s="768">
        <f>+J16</f>
        <v>2392496.5230769226</v>
      </c>
      <c r="M16" s="641"/>
      <c r="N16" s="641"/>
    </row>
    <row r="17" spans="1:14" ht="12" customHeight="1">
      <c r="A17" s="134"/>
      <c r="B17" s="226"/>
      <c r="C17" s="601"/>
      <c r="D17" s="503"/>
      <c r="E17" s="503"/>
      <c r="F17" s="503"/>
      <c r="G17" s="503"/>
      <c r="H17" s="503"/>
      <c r="I17" s="601"/>
      <c r="J17" s="1233"/>
      <c r="K17" s="503"/>
      <c r="L17" s="503"/>
      <c r="M17" s="503"/>
      <c r="N17" s="503"/>
    </row>
    <row r="18" spans="1:14" ht="12" customHeight="1">
      <c r="A18" s="134">
        <v>340.5</v>
      </c>
      <c r="B18" s="111" t="s">
        <v>144</v>
      </c>
      <c r="C18" s="601"/>
      <c r="D18" s="699">
        <f>+'12-31-15 Plant Acc Bal_PerAR'!D45</f>
        <v>29121.16</v>
      </c>
      <c r="E18" s="699"/>
      <c r="F18" s="699">
        <f>+'12-31-15 Plant Acc Bal_PerAR'!S45</f>
        <v>29027.1</v>
      </c>
      <c r="G18" s="142">
        <f>+F18</f>
        <v>29027.1</v>
      </c>
      <c r="H18" s="608"/>
      <c r="I18" s="601"/>
      <c r="J18" s="1227">
        <f>+'12-31-15 Plant Acc Bal_PerAR'!T45</f>
        <v>29052.961538461535</v>
      </c>
      <c r="K18" s="768"/>
      <c r="L18" s="768"/>
      <c r="M18" s="641"/>
      <c r="N18" s="641"/>
    </row>
    <row r="19" spans="1:14" ht="12" customHeight="1">
      <c r="A19" s="134">
        <v>340.5</v>
      </c>
      <c r="B19" s="686" t="s">
        <v>429</v>
      </c>
      <c r="C19" s="601"/>
      <c r="D19" s="699">
        <f>+'12-31-15 Plant Acc Bal_PerAR'!D52</f>
        <v>426332.74</v>
      </c>
      <c r="E19" s="699">
        <f>+D19*$F$2</f>
        <v>187184.23151204805</v>
      </c>
      <c r="F19" s="1307">
        <f>+'12-31-15 Plant Acc Bal_PerAR'!S52</f>
        <v>423698.04000000004</v>
      </c>
      <c r="G19" s="1308">
        <f>ROUND(F19*$H$1,11)-135.08</f>
        <v>236694.482789628</v>
      </c>
      <c r="H19" s="1304">
        <f>ROUND(F19*$H$2,11)+135.02</f>
        <v>187003.49721037198</v>
      </c>
      <c r="I19" s="601"/>
      <c r="J19" s="1227">
        <f>+'12-31-15 Plant Acc Bal_PerAR'!T52</f>
        <v>424292.8392307692</v>
      </c>
      <c r="K19" s="768">
        <f>ROUND(J19*$L$1,3)</f>
        <v>237162.03099999999</v>
      </c>
      <c r="L19" s="768">
        <f>ROUND(J19*$L$2,3)</f>
        <v>187130.80799999999</v>
      </c>
      <c r="M19" s="641"/>
      <c r="N19" s="641"/>
    </row>
    <row r="20" spans="1:14" ht="12" customHeight="1">
      <c r="A20" s="134"/>
      <c r="B20" s="686"/>
      <c r="C20" s="601"/>
      <c r="D20" s="699"/>
      <c r="E20" s="699"/>
      <c r="F20" s="699"/>
      <c r="G20" s="142"/>
      <c r="H20" s="608"/>
      <c r="I20" s="601"/>
      <c r="J20" s="1232">
        <f>SUM(J18:J19)</f>
        <v>453345.80076923076</v>
      </c>
      <c r="K20" s="1232">
        <f t="shared" ref="K20:L20" si="0">SUM(K18:K19)</f>
        <v>237162.03099999999</v>
      </c>
      <c r="L20" s="1232">
        <f t="shared" si="0"/>
        <v>187130.80799999999</v>
      </c>
      <c r="M20" s="1232"/>
      <c r="N20" s="1232"/>
    </row>
    <row r="21" spans="1:14" ht="12" customHeight="1">
      <c r="A21" s="134"/>
      <c r="B21" s="686"/>
      <c r="C21" s="601"/>
      <c r="D21" s="699"/>
      <c r="E21" s="699"/>
      <c r="F21" s="699"/>
      <c r="G21" s="142"/>
      <c r="H21" s="608"/>
      <c r="I21" s="601"/>
      <c r="J21" s="1227"/>
      <c r="K21" s="1178"/>
      <c r="L21" s="1178"/>
      <c r="M21" s="641"/>
      <c r="N21" s="641"/>
    </row>
    <row r="22" spans="1:14" ht="12" customHeight="1">
      <c r="A22" s="134">
        <v>390.7</v>
      </c>
      <c r="B22" s="111" t="s">
        <v>152</v>
      </c>
      <c r="C22" s="601"/>
      <c r="D22" s="699">
        <f>+'12-31-15 Plant Acc Bal_PerAR'!D127</f>
        <v>2872.58</v>
      </c>
      <c r="E22" s="699"/>
      <c r="F22" s="699">
        <f>+'12-31-15 Plant Acc Bal_PerAR'!S127</f>
        <v>2872.58</v>
      </c>
      <c r="G22" s="142"/>
      <c r="H22" s="608">
        <f>+F22</f>
        <v>2872.58</v>
      </c>
      <c r="I22" s="601"/>
      <c r="J22" s="1227">
        <f>+'12-31-15 Plant Acc Bal_PerAR'!T127</f>
        <v>2872.5800000000008</v>
      </c>
      <c r="K22" s="768"/>
      <c r="L22" s="768"/>
      <c r="M22" s="641"/>
      <c r="N22" s="641"/>
    </row>
    <row r="23" spans="1:14" ht="12" customHeight="1">
      <c r="A23" s="134"/>
      <c r="B23" s="111"/>
      <c r="C23" s="601"/>
      <c r="D23" s="699"/>
      <c r="E23" s="699"/>
      <c r="F23" s="699"/>
      <c r="G23" s="142"/>
      <c r="H23" s="608"/>
      <c r="I23" s="601"/>
      <c r="J23" s="1227"/>
      <c r="K23" s="768"/>
      <c r="L23" s="768"/>
      <c r="M23" s="641"/>
      <c r="N23" s="641"/>
    </row>
    <row r="24" spans="1:14" ht="12" customHeight="1">
      <c r="A24" s="134">
        <v>343.5</v>
      </c>
      <c r="B24" s="686" t="s">
        <v>146</v>
      </c>
      <c r="C24" s="601"/>
      <c r="D24" s="699">
        <f>+'12-31-15 Plant Acc Bal_PerAR'!D53</f>
        <v>152091.85</v>
      </c>
      <c r="E24" s="699">
        <f>+D24*$F$2</f>
        <v>66776.940615669548</v>
      </c>
      <c r="F24" s="699">
        <f>+'12-31-15 Plant Acc Bal_PerAR'!S53</f>
        <v>156433.26</v>
      </c>
      <c r="G24" s="1308">
        <f>ROUND(F24*$H$1,2)-60</f>
        <v>87379.68</v>
      </c>
      <c r="H24" s="1304">
        <f>ROUND(F24*$H$2,11)+60</f>
        <v>69053.581091982996</v>
      </c>
      <c r="I24" s="601"/>
      <c r="J24" s="1227">
        <f>+'12-31-15 Plant Acc Bal_PerAR'!T53</f>
        <v>156393.60230769229</v>
      </c>
      <c r="K24" s="768">
        <f>ROUND(J24*$L$1,3)</f>
        <v>87417.512000000002</v>
      </c>
      <c r="L24" s="768">
        <f>ROUND(J24*$L$2,3)</f>
        <v>68976.09</v>
      </c>
      <c r="M24" s="641"/>
      <c r="N24" s="641"/>
    </row>
    <row r="25" spans="1:14" ht="12" customHeight="1">
      <c r="A25" s="134"/>
      <c r="B25" s="686"/>
      <c r="C25" s="601"/>
      <c r="D25" s="699"/>
      <c r="E25" s="699"/>
      <c r="F25" s="699"/>
      <c r="G25" s="142"/>
      <c r="H25" s="608"/>
      <c r="I25" s="601"/>
      <c r="J25" s="1227"/>
      <c r="K25" s="768"/>
      <c r="L25" s="768"/>
      <c r="M25" s="641"/>
      <c r="N25" s="641"/>
    </row>
    <row r="26" spans="1:14" ht="12" customHeight="1">
      <c r="A26" s="134">
        <v>344.5</v>
      </c>
      <c r="B26" s="111" t="s">
        <v>159</v>
      </c>
      <c r="C26" s="601"/>
      <c r="D26" s="699">
        <f>+'12-31-15 Plant Acc Bal_PerAR'!D54</f>
        <v>11728.18</v>
      </c>
      <c r="E26" s="699">
        <f>+D26*$F$2</f>
        <v>5149.335611276234</v>
      </c>
      <c r="F26" s="699">
        <f>+'12-31-15 Plant Acc Bal_PerAR'!S54</f>
        <v>11554.13</v>
      </c>
      <c r="G26" s="142">
        <f>+F26</f>
        <v>11554.13</v>
      </c>
      <c r="H26" s="608"/>
      <c r="I26" s="601"/>
      <c r="J26" s="1227">
        <f>+'12-31-15 Plant Acc Bal_PerAR'!T54</f>
        <v>11628.409230769232</v>
      </c>
      <c r="K26" s="768"/>
      <c r="L26" s="768"/>
      <c r="M26" s="641"/>
      <c r="N26" s="641"/>
    </row>
    <row r="27" spans="1:14" ht="12" customHeight="1">
      <c r="A27" s="134"/>
      <c r="B27" s="111"/>
      <c r="C27" s="601"/>
      <c r="D27" s="699"/>
      <c r="E27" s="699"/>
      <c r="F27" s="699"/>
      <c r="G27" s="142"/>
      <c r="H27" s="608"/>
      <c r="I27" s="601"/>
      <c r="J27" s="1227"/>
      <c r="K27" s="768"/>
      <c r="L27" s="768"/>
      <c r="M27" s="641"/>
      <c r="N27" s="641"/>
    </row>
    <row r="28" spans="1:14" ht="12" customHeight="1">
      <c r="A28" s="134">
        <v>394.7</v>
      </c>
      <c r="B28" s="111" t="s">
        <v>399</v>
      </c>
      <c r="C28" s="601"/>
      <c r="D28" s="699">
        <f>+'12-31-15 Plant Acc Bal_PerAR'!D129</f>
        <v>36494.660000000003</v>
      </c>
      <c r="E28" s="699"/>
      <c r="F28" s="699">
        <f>+'12-31-15 Plant Acc Bal_PerAR'!S129</f>
        <v>36720.199999999997</v>
      </c>
      <c r="G28" s="142"/>
      <c r="H28" s="608"/>
      <c r="I28" s="601"/>
      <c r="J28" s="1227">
        <f>+'12-31-15 Plant Acc Bal_PerAR'!T129</f>
        <v>36668.213846153849</v>
      </c>
      <c r="K28" s="768">
        <f>ROUND(J28*$L$1,3)</f>
        <v>20496.005000000001</v>
      </c>
      <c r="L28" s="768">
        <f>ROUND(J28*$L$2,3)</f>
        <v>16172.209000000001</v>
      </c>
      <c r="M28" s="641"/>
      <c r="N28" s="641"/>
    </row>
    <row r="29" spans="1:14" ht="12" customHeight="1">
      <c r="A29" s="134"/>
      <c r="B29" s="111"/>
      <c r="C29" s="601"/>
      <c r="D29" s="503"/>
      <c r="E29" s="503"/>
      <c r="F29" s="503"/>
      <c r="G29" s="768"/>
      <c r="H29" s="601"/>
      <c r="I29" s="601"/>
      <c r="J29" s="1227"/>
      <c r="K29" s="768"/>
      <c r="L29" s="768"/>
      <c r="M29" s="641"/>
      <c r="N29" s="641"/>
    </row>
    <row r="30" spans="1:14" ht="12" customHeight="1">
      <c r="A30" s="134">
        <v>346.5</v>
      </c>
      <c r="B30" s="111" t="s">
        <v>147</v>
      </c>
      <c r="C30" s="601"/>
      <c r="D30" s="699">
        <f>+'12-31-15 Plant Acc Bal_PerAR'!D56</f>
        <v>0</v>
      </c>
      <c r="E30" s="699">
        <f>+D30*$F$2</f>
        <v>0</v>
      </c>
      <c r="F30" s="699">
        <f>+'12-31-15 Plant Acc Bal_PerAR'!S56</f>
        <v>0</v>
      </c>
      <c r="G30" s="142">
        <f>+F30</f>
        <v>0</v>
      </c>
      <c r="H30" s="608"/>
      <c r="I30" s="601"/>
      <c r="J30" s="1227">
        <f>+'12-31-15 Plant Acc Bal_PerAR'!T56</f>
        <v>0</v>
      </c>
      <c r="K30" s="768"/>
      <c r="L30" s="768"/>
      <c r="M30" s="641"/>
      <c r="N30" s="641"/>
    </row>
    <row r="31" spans="1:14" ht="12" customHeight="1">
      <c r="A31" s="134"/>
      <c r="B31" s="111"/>
      <c r="C31" s="601"/>
      <c r="D31" s="699"/>
      <c r="E31" s="699"/>
      <c r="F31" s="699"/>
      <c r="G31" s="142"/>
      <c r="H31" s="608"/>
      <c r="I31" s="601"/>
      <c r="J31" s="1227"/>
      <c r="K31" s="768"/>
      <c r="L31" s="768"/>
      <c r="M31" s="641"/>
      <c r="N31" s="641"/>
    </row>
    <row r="32" spans="1:14" ht="12" customHeight="1">
      <c r="A32" s="134">
        <v>397.7</v>
      </c>
      <c r="B32" s="111" t="s">
        <v>1546</v>
      </c>
      <c r="C32" s="601"/>
      <c r="D32" s="699">
        <f>+'12-31-15 Plant Acc Bal_PerAR'!D130</f>
        <v>23308.28</v>
      </c>
      <c r="E32" s="699"/>
      <c r="F32" s="699">
        <f>+'12-31-15 Plant Acc Bal_PerAR'!S130</f>
        <v>23508.28</v>
      </c>
      <c r="G32" s="142"/>
      <c r="H32" s="608">
        <f>+F32</f>
        <v>23508.28</v>
      </c>
      <c r="I32" s="601"/>
      <c r="J32" s="1227">
        <f>+'12-31-15 Plant Acc Bal_PerAR'!T130</f>
        <v>23369.818461538463</v>
      </c>
      <c r="K32" s="768"/>
      <c r="L32" s="768"/>
      <c r="M32" s="641"/>
      <c r="N32" s="641"/>
    </row>
    <row r="33" spans="1:14" ht="12" customHeight="1">
      <c r="A33" s="134"/>
      <c r="B33" s="111"/>
      <c r="C33" s="601"/>
      <c r="D33" s="503"/>
      <c r="E33" s="503"/>
      <c r="F33" s="503"/>
      <c r="G33" s="768"/>
      <c r="H33" s="601"/>
      <c r="I33" s="601"/>
      <c r="J33" s="1227"/>
      <c r="K33" s="768"/>
      <c r="L33" s="768"/>
      <c r="M33" s="641"/>
      <c r="N33" s="641"/>
    </row>
    <row r="34" spans="1:14" ht="12" customHeight="1">
      <c r="A34" s="134">
        <v>345.5</v>
      </c>
      <c r="B34" s="111" t="s">
        <v>156</v>
      </c>
      <c r="C34" s="601"/>
      <c r="D34" s="699">
        <f>+'12-31-15 Plant Acc Bal_PerAR'!D57</f>
        <v>0</v>
      </c>
      <c r="E34" s="699">
        <f>+D34*$F$2</f>
        <v>0</v>
      </c>
      <c r="F34" s="699">
        <f>+'12-31-15 Plant Acc Bal_PerAR'!S57</f>
        <v>0</v>
      </c>
      <c r="G34" s="142">
        <f>+F34</f>
        <v>0</v>
      </c>
      <c r="H34" s="608"/>
      <c r="I34" s="601"/>
      <c r="J34" s="1227">
        <f>+'12-31-15 Plant Acc Bal_PerAR'!T57</f>
        <v>0</v>
      </c>
      <c r="K34" s="768"/>
      <c r="L34" s="768"/>
      <c r="M34" s="641"/>
      <c r="N34" s="641"/>
    </row>
    <row r="35" spans="1:14" ht="12" customHeight="1">
      <c r="A35" s="134"/>
      <c r="B35" s="111"/>
      <c r="C35" s="601"/>
      <c r="D35" s="699"/>
      <c r="E35" s="699"/>
      <c r="F35" s="699"/>
      <c r="G35" s="142"/>
      <c r="H35" s="608"/>
      <c r="I35" s="601"/>
      <c r="J35" s="1227"/>
      <c r="K35" s="768"/>
      <c r="L35" s="768"/>
      <c r="M35" s="641"/>
      <c r="N35" s="641"/>
    </row>
    <row r="36" spans="1:14" ht="12" customHeight="1">
      <c r="A36" s="134">
        <v>395.7</v>
      </c>
      <c r="B36" s="111" t="s">
        <v>1547</v>
      </c>
      <c r="C36" s="601"/>
      <c r="D36" s="699">
        <f>+'12-31-15 Plant Acc Bal_PerAR'!D131</f>
        <v>1716.3</v>
      </c>
      <c r="E36" s="699"/>
      <c r="F36" s="699">
        <f>+'12-31-15 Plant Acc Bal_PerAR'!S131</f>
        <v>2869.64</v>
      </c>
      <c r="G36" s="142"/>
      <c r="H36" s="608">
        <f>+F36</f>
        <v>2869.64</v>
      </c>
      <c r="I36" s="601"/>
      <c r="J36" s="1227">
        <f>+'12-31-15 Plant Acc Bal_PerAR'!T131</f>
        <v>2711.2430769230768</v>
      </c>
      <c r="K36" s="768"/>
      <c r="L36" s="768"/>
      <c r="M36" s="641"/>
      <c r="N36" s="641"/>
    </row>
    <row r="37" spans="1:14" ht="12" customHeight="1">
      <c r="A37" s="134"/>
      <c r="B37" s="111"/>
      <c r="C37" s="601"/>
      <c r="D37" s="503"/>
      <c r="E37" s="503"/>
      <c r="F37" s="503"/>
      <c r="G37" s="768"/>
      <c r="H37" s="601"/>
      <c r="I37" s="601"/>
      <c r="J37" s="1227"/>
      <c r="K37" s="768"/>
      <c r="L37" s="768"/>
      <c r="M37" s="641"/>
      <c r="N37" s="641"/>
    </row>
    <row r="38" spans="1:14" ht="12" customHeight="1">
      <c r="A38" s="134">
        <v>346.5</v>
      </c>
      <c r="B38" s="111" t="s">
        <v>181</v>
      </c>
      <c r="C38" s="601"/>
      <c r="D38" s="699">
        <f>+'12-31-15 Plant Acc Bal_PerAR'!D58</f>
        <v>4407.46</v>
      </c>
      <c r="E38" s="699">
        <f>+D38*$F$2</f>
        <v>1935.1246939657774</v>
      </c>
      <c r="F38" s="699">
        <f>+'12-31-15 Plant Acc Bal_PerAR'!S58</f>
        <v>4297.6499999999996</v>
      </c>
      <c r="G38" s="142">
        <f>+F38</f>
        <v>4297.6499999999996</v>
      </c>
      <c r="H38" s="608"/>
      <c r="I38" s="601"/>
      <c r="J38" s="1227">
        <f>+'12-31-15 Plant Acc Bal_PerAR'!T58</f>
        <v>4348.6469230769235</v>
      </c>
      <c r="K38" s="768"/>
      <c r="L38" s="768"/>
      <c r="M38" s="641"/>
      <c r="N38" s="641"/>
    </row>
    <row r="39" spans="1:14" ht="12" customHeight="1">
      <c r="A39" s="134"/>
      <c r="B39" s="111"/>
      <c r="C39" s="601"/>
      <c r="D39" s="699"/>
      <c r="E39" s="699"/>
      <c r="F39" s="699"/>
      <c r="G39" s="142"/>
      <c r="H39" s="608"/>
      <c r="I39" s="601"/>
      <c r="J39" s="1227"/>
      <c r="K39" s="768"/>
      <c r="L39" s="768"/>
      <c r="M39" s="641"/>
      <c r="N39" s="641"/>
    </row>
    <row r="40" spans="1:14" ht="12" customHeight="1">
      <c r="A40" s="134">
        <v>396.5</v>
      </c>
      <c r="B40" s="111" t="s">
        <v>385</v>
      </c>
      <c r="C40" s="601"/>
      <c r="D40" s="699">
        <f>+'12-31-15 Plant Acc Bal_PerAR'!D132</f>
        <v>550.03</v>
      </c>
      <c r="E40" s="699"/>
      <c r="F40" s="699">
        <f>+'12-31-15 Plant Acc Bal_PerAR'!S132</f>
        <v>550.03</v>
      </c>
      <c r="G40" s="142"/>
      <c r="H40" s="608">
        <f>+F40</f>
        <v>550.03</v>
      </c>
      <c r="I40" s="601"/>
      <c r="J40" s="1227">
        <f>+'12-31-15 Plant Acc Bal_PerAR'!T132</f>
        <v>550.02999999999986</v>
      </c>
      <c r="K40" s="768"/>
      <c r="L40" s="768"/>
      <c r="M40" s="641"/>
      <c r="N40" s="641"/>
    </row>
    <row r="41" spans="1:14" ht="12" customHeight="1">
      <c r="A41" s="134"/>
      <c r="B41" s="111"/>
      <c r="C41" s="601"/>
      <c r="D41" s="503"/>
      <c r="E41" s="503"/>
      <c r="F41" s="503"/>
      <c r="G41" s="768"/>
      <c r="H41" s="601"/>
      <c r="I41" s="601"/>
      <c r="J41" s="1227"/>
      <c r="K41" s="768"/>
      <c r="L41" s="768"/>
      <c r="M41" s="641"/>
      <c r="N41" s="641"/>
    </row>
    <row r="42" spans="1:14" ht="12.75" customHeight="1">
      <c r="A42" s="134">
        <v>347.5</v>
      </c>
      <c r="B42" s="113" t="s">
        <v>269</v>
      </c>
      <c r="C42" s="601"/>
      <c r="D42" s="699">
        <f>+'12-31-15 Plant Acc Bal_PerAR'!D59</f>
        <v>0</v>
      </c>
      <c r="E42" s="699">
        <f>+D42*$F$2</f>
        <v>0</v>
      </c>
      <c r="F42" s="699">
        <f>+'12-31-15 Plant Acc Bal_PerAR'!S59</f>
        <v>0</v>
      </c>
      <c r="G42" s="142">
        <f>+F42</f>
        <v>0</v>
      </c>
      <c r="H42" s="608"/>
      <c r="I42" s="601"/>
      <c r="J42" s="1227">
        <f>+'12-31-15 Plant Acc Bal_PerAR'!T59</f>
        <v>0</v>
      </c>
      <c r="K42" s="768"/>
      <c r="L42" s="768"/>
      <c r="M42" s="641"/>
      <c r="N42" s="641"/>
    </row>
    <row r="43" spans="1:14" ht="12.75" customHeight="1">
      <c r="A43" s="134"/>
      <c r="B43" s="113"/>
      <c r="C43" s="601"/>
      <c r="D43" s="699"/>
      <c r="E43" s="699"/>
      <c r="F43" s="699"/>
      <c r="G43" s="142"/>
      <c r="H43" s="608"/>
      <c r="I43" s="601"/>
      <c r="J43" s="1227"/>
      <c r="K43" s="768"/>
      <c r="L43" s="768"/>
      <c r="M43" s="641"/>
      <c r="N43" s="641"/>
    </row>
    <row r="44" spans="1:14" ht="12" customHeight="1">
      <c r="A44" s="134">
        <v>397.7</v>
      </c>
      <c r="B44" s="111" t="s">
        <v>430</v>
      </c>
      <c r="C44" s="601"/>
      <c r="D44" s="699">
        <f>+'12-31-15 Plant Acc Bal_PerAR'!D133</f>
        <v>1369.21</v>
      </c>
      <c r="E44" s="699"/>
      <c r="F44" s="699">
        <f>+'12-31-15 Plant Acc Bal_PerAR'!S133</f>
        <v>1369.21</v>
      </c>
      <c r="G44" s="142"/>
      <c r="H44" s="608">
        <f>+F44</f>
        <v>1369.21</v>
      </c>
      <c r="I44" s="601"/>
      <c r="J44" s="1227">
        <f>+'12-31-15 Plant Acc Bal_PerAR'!T133</f>
        <v>1369.2099999999996</v>
      </c>
      <c r="K44" s="768"/>
      <c r="L44" s="768"/>
      <c r="M44" s="641"/>
      <c r="N44" s="641"/>
    </row>
    <row r="45" spans="1:14" ht="12" customHeight="1">
      <c r="A45" s="134"/>
      <c r="B45" s="111"/>
      <c r="C45" s="601"/>
      <c r="D45" s="503"/>
      <c r="E45" s="503"/>
      <c r="F45" s="503"/>
      <c r="G45" s="768"/>
      <c r="H45" s="601"/>
      <c r="I45" s="601"/>
      <c r="J45" s="1227"/>
      <c r="K45" s="768"/>
      <c r="L45" s="768"/>
      <c r="M45" s="641"/>
      <c r="N45" s="641"/>
    </row>
    <row r="46" spans="1:14" ht="12" customHeight="1">
      <c r="A46" s="134">
        <v>348.5</v>
      </c>
      <c r="B46" s="113" t="s">
        <v>148</v>
      </c>
      <c r="C46" s="601"/>
      <c r="D46" s="699">
        <f>+'12-31-15 Plant Acc Bal_PerAR'!D60</f>
        <v>0</v>
      </c>
      <c r="E46" s="699"/>
      <c r="F46" s="699">
        <f>+'12-31-15 Plant Acc Bal_PerAR'!S60</f>
        <v>0</v>
      </c>
      <c r="G46" s="142">
        <f>ROUND(F46*$H$1,2)</f>
        <v>0</v>
      </c>
      <c r="H46" s="608">
        <f>ROUND(F46*$H$2,2)</f>
        <v>0</v>
      </c>
      <c r="I46" s="601"/>
      <c r="J46" s="1227">
        <f>+'12-31-15 Plant Acc Bal_PerAR'!T60</f>
        <v>0</v>
      </c>
      <c r="K46" s="768">
        <f>+J46</f>
        <v>0</v>
      </c>
      <c r="L46" s="768"/>
      <c r="M46" s="641"/>
      <c r="N46" s="641"/>
    </row>
    <row r="47" spans="1:14" ht="12" customHeight="1">
      <c r="A47" s="134">
        <v>348.5</v>
      </c>
      <c r="B47" s="113" t="s">
        <v>270</v>
      </c>
      <c r="C47" s="601"/>
      <c r="D47" s="699">
        <f>+'12-31-15 Plant Acc Bal_PerAR'!D61</f>
        <v>0</v>
      </c>
      <c r="E47" s="699">
        <f>+D47*$F$2</f>
        <v>0</v>
      </c>
      <c r="F47" s="699">
        <f>+'12-31-15 Plant Acc Bal_PerAR'!S61</f>
        <v>0</v>
      </c>
      <c r="G47" s="142">
        <f>ROUND(F47*$H$1,2)</f>
        <v>0</v>
      </c>
      <c r="H47" s="608">
        <f>ROUND(F47*$H$2,11)</f>
        <v>0</v>
      </c>
      <c r="I47" s="601"/>
      <c r="J47" s="1227">
        <f>+'12-31-15 Plant Acc Bal_PerAR'!T61</f>
        <v>0</v>
      </c>
      <c r="K47" s="768">
        <f>ROUND(J47*$L$1,3)</f>
        <v>0</v>
      </c>
      <c r="L47" s="768">
        <f>ROUND(J47*$L$2,3)</f>
        <v>0</v>
      </c>
      <c r="M47" s="641"/>
      <c r="N47" s="641"/>
    </row>
    <row r="48" spans="1:14" ht="12" customHeight="1">
      <c r="A48" s="134">
        <v>348.5</v>
      </c>
      <c r="B48" s="111" t="s">
        <v>1565</v>
      </c>
      <c r="C48" s="601"/>
      <c r="D48" s="699">
        <f>+'12-31-15 Plant Acc Bal_PerAR'!D62</f>
        <v>0</v>
      </c>
      <c r="E48" s="699"/>
      <c r="F48" s="699">
        <f>+'12-31-15 Plant Acc Bal_PerAR'!S62</f>
        <v>0</v>
      </c>
      <c r="G48" s="142">
        <f>+F48</f>
        <v>0</v>
      </c>
      <c r="H48" s="608"/>
      <c r="I48" s="601"/>
      <c r="J48" s="1227" t="e">
        <f>+'12-31-15 Plant Acc Bal_PerAR'!#REF!+'12-31-15 Plant Acc Bal_PerAR'!T62</f>
        <v>#REF!</v>
      </c>
      <c r="K48" s="768" t="e">
        <f>+J48</f>
        <v>#REF!</v>
      </c>
      <c r="L48" s="768"/>
      <c r="M48" s="641"/>
      <c r="N48" s="641"/>
    </row>
    <row r="49" spans="1:14" ht="12" customHeight="1">
      <c r="A49" s="889"/>
      <c r="B49" s="888"/>
      <c r="C49" s="601"/>
      <c r="D49" s="699"/>
      <c r="E49" s="699"/>
      <c r="F49" s="699"/>
      <c r="G49" s="142"/>
      <c r="H49" s="608"/>
      <c r="I49" s="601"/>
      <c r="J49" s="1232" t="e">
        <f>SUM(J46:J48)</f>
        <v>#REF!</v>
      </c>
      <c r="K49" s="1232" t="e">
        <f t="shared" ref="K49:L49" si="1">SUM(K46:K48)</f>
        <v>#REF!</v>
      </c>
      <c r="L49" s="1232">
        <f t="shared" si="1"/>
        <v>0</v>
      </c>
      <c r="M49" s="641"/>
      <c r="N49" s="641"/>
    </row>
    <row r="50" spans="1:14">
      <c r="A50" s="701" t="s">
        <v>502</v>
      </c>
      <c r="J50" s="1226"/>
      <c r="L50" s="503"/>
    </row>
    <row r="51" spans="1:14">
      <c r="A51" s="698" t="s">
        <v>498</v>
      </c>
      <c r="J51" s="1226"/>
    </row>
    <row r="52" spans="1:14">
      <c r="A52" s="134"/>
      <c r="J52" s="1226"/>
      <c r="K52" s="768"/>
    </row>
    <row r="53" spans="1:14">
      <c r="A53" s="134">
        <v>304.5</v>
      </c>
      <c r="B53" s="111" t="s">
        <v>400</v>
      </c>
      <c r="C53" s="601"/>
      <c r="D53" s="699">
        <f>+'12-31-15 Plant Acc Bal_PerAR'!W41</f>
        <v>0</v>
      </c>
      <c r="E53" s="699"/>
      <c r="F53" s="699">
        <f>+'12-31-15 Plant Acc Bal_PerAR'!AL41</f>
        <v>0</v>
      </c>
      <c r="G53" s="142">
        <f t="shared" ref="G53:G63" si="2">ROUND(F53*$H$1,3)</f>
        <v>0</v>
      </c>
      <c r="H53" s="608">
        <f t="shared" ref="H53:H63" si="3">ROUND(F53*$H$2,3)</f>
        <v>0</v>
      </c>
      <c r="I53" s="601"/>
      <c r="J53" s="1227">
        <f>+'12-31-15 Plant Acc Bal_PerAR'!AM41</f>
        <v>0</v>
      </c>
      <c r="K53" s="768">
        <f>+J53</f>
        <v>0</v>
      </c>
      <c r="L53" s="768"/>
      <c r="M53" s="641"/>
      <c r="N53" s="641"/>
    </row>
    <row r="54" spans="1:14">
      <c r="A54" s="134">
        <v>304.5</v>
      </c>
      <c r="B54" s="111" t="s">
        <v>401</v>
      </c>
      <c r="C54" s="601"/>
      <c r="D54" s="699">
        <f>+'12-31-15 Plant Acc Bal_PerAR'!W42</f>
        <v>36841.06</v>
      </c>
      <c r="E54" s="699"/>
      <c r="F54" s="699">
        <f>+'12-31-15 Plant Acc Bal_PerAR'!AL42</f>
        <v>37881.11</v>
      </c>
      <c r="G54" s="142">
        <f t="shared" si="2"/>
        <v>21173.963</v>
      </c>
      <c r="H54" s="608">
        <f t="shared" si="3"/>
        <v>16707.147000000001</v>
      </c>
      <c r="I54" s="601"/>
      <c r="J54" s="1227">
        <f>+'12-31-15 Plant Acc Bal_PerAR'!AM42</f>
        <v>37327.092307692299</v>
      </c>
      <c r="K54" s="768">
        <f t="shared" ref="K54:K62" si="4">ROUND(J54*$L$1,3)</f>
        <v>20864.29</v>
      </c>
      <c r="L54" s="768">
        <f t="shared" ref="L54:L62" si="5">ROUND(J54*$L$2,3)</f>
        <v>16462.802</v>
      </c>
      <c r="M54" s="641"/>
      <c r="N54" s="641"/>
    </row>
    <row r="55" spans="1:14" ht="12" customHeight="1">
      <c r="A55" s="134">
        <v>340.5</v>
      </c>
      <c r="B55" s="111" t="s">
        <v>402</v>
      </c>
      <c r="C55" s="601"/>
      <c r="D55" s="699">
        <f>+'12-31-15 Plant Acc Bal_PerAR'!W45</f>
        <v>25158.47</v>
      </c>
      <c r="E55" s="699"/>
      <c r="F55" s="699">
        <f>+'12-31-15 Plant Acc Bal_PerAR'!AL45</f>
        <v>25714.16</v>
      </c>
      <c r="G55" s="142">
        <f t="shared" si="2"/>
        <v>14373.145</v>
      </c>
      <c r="H55" s="608">
        <f t="shared" si="3"/>
        <v>11341.014999999999</v>
      </c>
      <c r="I55" s="601"/>
      <c r="J55" s="1227">
        <f>+'12-31-15 Plant Acc Bal_PerAR'!AM45</f>
        <v>25412.377692307691</v>
      </c>
      <c r="K55" s="768">
        <f t="shared" si="4"/>
        <v>14204.460999999999</v>
      </c>
      <c r="L55" s="768">
        <f t="shared" si="5"/>
        <v>11207.916999999999</v>
      </c>
      <c r="M55" s="641"/>
      <c r="N55" s="641"/>
    </row>
    <row r="56" spans="1:14">
      <c r="A56" s="134">
        <v>340.5</v>
      </c>
      <c r="B56" s="686" t="s">
        <v>403</v>
      </c>
      <c r="C56" s="601"/>
      <c r="D56" s="699">
        <f>+'12-31-15 Plant Acc Bal_PerAR'!W52</f>
        <v>347255.77999999997</v>
      </c>
      <c r="E56" s="699"/>
      <c r="F56" s="699">
        <f>+'12-31-15 Plant Acc Bal_PerAR'!AL52</f>
        <v>385831.67999999999</v>
      </c>
      <c r="G56" s="142">
        <f t="shared" si="2"/>
        <v>215663.84400000001</v>
      </c>
      <c r="H56" s="608">
        <f t="shared" si="3"/>
        <v>170167.83600000001</v>
      </c>
      <c r="I56" s="601"/>
      <c r="J56" s="1227">
        <f>+'12-31-15 Plant Acc Bal_PerAR'!AM52</f>
        <v>366226.85999999993</v>
      </c>
      <c r="K56" s="768">
        <f t="shared" si="4"/>
        <v>204705.56599999999</v>
      </c>
      <c r="L56" s="768">
        <f t="shared" si="5"/>
        <v>161521.29399999999</v>
      </c>
      <c r="M56" s="641"/>
      <c r="N56" s="641"/>
    </row>
    <row r="57" spans="1:14">
      <c r="A57" s="134">
        <v>343.5</v>
      </c>
      <c r="B57" s="686" t="s">
        <v>404</v>
      </c>
      <c r="C57" s="601"/>
      <c r="D57" s="699">
        <f>+'12-31-15 Plant Acc Bal_PerAR'!W53</f>
        <v>122304.84</v>
      </c>
      <c r="E57" s="699"/>
      <c r="F57" s="699">
        <f>+'12-31-15 Plant Acc Bal_PerAR'!AL53</f>
        <v>123096.91</v>
      </c>
      <c r="G57" s="142">
        <f t="shared" si="2"/>
        <v>68806.047000000006</v>
      </c>
      <c r="H57" s="608">
        <f t="shared" si="3"/>
        <v>54290.862999999998</v>
      </c>
      <c r="I57" s="601"/>
      <c r="J57" s="1227">
        <f>+'12-31-15 Plant Acc Bal_PerAR'!AM53</f>
        <v>124101.57153846152</v>
      </c>
      <c r="K57" s="768">
        <f t="shared" si="4"/>
        <v>69367.611000000004</v>
      </c>
      <c r="L57" s="768">
        <f t="shared" si="5"/>
        <v>54733.96</v>
      </c>
      <c r="M57" s="641"/>
      <c r="N57" s="641"/>
    </row>
    <row r="58" spans="1:14">
      <c r="A58" s="134">
        <v>344.5</v>
      </c>
      <c r="B58" s="111" t="s">
        <v>405</v>
      </c>
      <c r="C58" s="601"/>
      <c r="D58" s="699">
        <f>+'12-31-15 Plant Acc Bal_PerAR'!W54</f>
        <v>12575.51</v>
      </c>
      <c r="E58" s="699"/>
      <c r="F58" s="699">
        <f>+'12-31-15 Plant Acc Bal_PerAR'!AL54</f>
        <v>13098.35</v>
      </c>
      <c r="G58" s="142">
        <f t="shared" si="2"/>
        <v>7321.4319999999998</v>
      </c>
      <c r="H58" s="608">
        <f t="shared" si="3"/>
        <v>5776.9179999999997</v>
      </c>
      <c r="I58" s="601"/>
      <c r="J58" s="1227">
        <f>+'12-31-15 Plant Acc Bal_PerAR'!AM54</f>
        <v>12824.128461538461</v>
      </c>
      <c r="K58" s="768">
        <f t="shared" si="4"/>
        <v>7168.1540000000005</v>
      </c>
      <c r="L58" s="768">
        <f t="shared" si="5"/>
        <v>5655.9750000000004</v>
      </c>
      <c r="M58" s="641"/>
      <c r="N58" s="641"/>
    </row>
    <row r="59" spans="1:14">
      <c r="A59" s="134">
        <v>346.5</v>
      </c>
      <c r="B59" s="111" t="s">
        <v>406</v>
      </c>
      <c r="C59" s="601"/>
      <c r="D59" s="699">
        <f>+'12-31-15 Plant Acc Bal_PerAR'!W56</f>
        <v>0</v>
      </c>
      <c r="E59" s="699"/>
      <c r="F59" s="699">
        <f>+'12-31-15 Plant Acc Bal_PerAR'!AL56</f>
        <v>0</v>
      </c>
      <c r="G59" s="142">
        <f t="shared" si="2"/>
        <v>0</v>
      </c>
      <c r="H59" s="608">
        <f t="shared" si="3"/>
        <v>0</v>
      </c>
      <c r="I59" s="601"/>
      <c r="J59" s="1227">
        <f>+'12-31-15 Plant Acc Bal_PerAR'!AM56</f>
        <v>0</v>
      </c>
      <c r="K59" s="768">
        <f t="shared" si="4"/>
        <v>0</v>
      </c>
      <c r="L59" s="768">
        <f t="shared" si="5"/>
        <v>0</v>
      </c>
      <c r="M59" s="641"/>
      <c r="N59" s="641"/>
    </row>
    <row r="60" spans="1:14">
      <c r="A60" s="134">
        <v>345.5</v>
      </c>
      <c r="B60" s="111" t="s">
        <v>156</v>
      </c>
      <c r="C60" s="601"/>
      <c r="D60" s="699">
        <f>+'12-31-15 Plant Acc Bal_PerAR'!W57</f>
        <v>0</v>
      </c>
      <c r="E60" s="699"/>
      <c r="F60" s="699">
        <f>+'12-31-15 Plant Acc Bal_PerAR'!AL57</f>
        <v>0</v>
      </c>
      <c r="G60" s="142">
        <f t="shared" si="2"/>
        <v>0</v>
      </c>
      <c r="H60" s="608">
        <f t="shared" si="3"/>
        <v>0</v>
      </c>
      <c r="I60" s="601"/>
      <c r="J60" s="1227">
        <f>+'12-31-15 Plant Acc Bal_PerAR'!AM57</f>
        <v>0</v>
      </c>
      <c r="K60" s="768">
        <f t="shared" si="4"/>
        <v>0</v>
      </c>
      <c r="L60" s="768">
        <f t="shared" si="5"/>
        <v>0</v>
      </c>
      <c r="M60" s="641"/>
      <c r="N60" s="641"/>
    </row>
    <row r="61" spans="1:14">
      <c r="A61" s="134">
        <v>346.5</v>
      </c>
      <c r="B61" s="111" t="s">
        <v>407</v>
      </c>
      <c r="C61" s="601"/>
      <c r="D61" s="699">
        <f>+'12-31-15 Plant Acc Bal_PerAR'!W58</f>
        <v>2135.73</v>
      </c>
      <c r="E61" s="699"/>
      <c r="F61" s="699">
        <f>+'12-31-15 Plant Acc Bal_PerAR'!AL58</f>
        <v>2512.2800000000002</v>
      </c>
      <c r="G61" s="142">
        <f t="shared" si="2"/>
        <v>1404.26</v>
      </c>
      <c r="H61" s="608">
        <f t="shared" si="3"/>
        <v>1108.02</v>
      </c>
      <c r="I61" s="601"/>
      <c r="J61" s="1227">
        <f>+'12-31-15 Plant Acc Bal_PerAR'!AM58</f>
        <v>2323.6561538461533</v>
      </c>
      <c r="K61" s="768">
        <f t="shared" si="4"/>
        <v>1298.827</v>
      </c>
      <c r="L61" s="768">
        <f t="shared" si="5"/>
        <v>1024.829</v>
      </c>
      <c r="M61" s="641"/>
      <c r="N61" s="641"/>
    </row>
    <row r="62" spans="1:14">
      <c r="A62" s="134">
        <v>347.5</v>
      </c>
      <c r="B62" s="113" t="s">
        <v>408</v>
      </c>
      <c r="C62" s="601"/>
      <c r="D62" s="699">
        <f>+'12-31-15 Plant Acc Bal_PerAR'!W59</f>
        <v>0</v>
      </c>
      <c r="E62" s="699"/>
      <c r="F62" s="699">
        <f>+'12-31-15 Plant Acc Bal_PerAR'!AL59</f>
        <v>0</v>
      </c>
      <c r="G62" s="142">
        <f t="shared" si="2"/>
        <v>0</v>
      </c>
      <c r="H62" s="608">
        <f t="shared" si="3"/>
        <v>0</v>
      </c>
      <c r="I62" s="601"/>
      <c r="J62" s="1227">
        <f>+'12-31-15 Plant Acc Bal_PerAR'!AM59</f>
        <v>0</v>
      </c>
      <c r="K62" s="768">
        <f t="shared" si="4"/>
        <v>0</v>
      </c>
      <c r="L62" s="768">
        <f t="shared" si="5"/>
        <v>0</v>
      </c>
      <c r="M62" s="641"/>
      <c r="N62" s="641"/>
    </row>
    <row r="63" spans="1:14">
      <c r="A63" s="134"/>
      <c r="B63" s="89" t="s">
        <v>433</v>
      </c>
      <c r="C63" s="601"/>
      <c r="D63" s="699">
        <f>+'12-31-15 Plant Acc Bal_PerAR'!W63</f>
        <v>0</v>
      </c>
      <c r="E63" s="699"/>
      <c r="F63" s="699">
        <f>+'12-31-15 Plant Acc Bal_PerAR'!AL63</f>
        <v>0</v>
      </c>
      <c r="G63" s="142">
        <f t="shared" si="2"/>
        <v>0</v>
      </c>
      <c r="H63" s="608">
        <f t="shared" si="3"/>
        <v>0</v>
      </c>
      <c r="I63" s="601"/>
      <c r="J63" s="1227">
        <f>+'12-31-15 Plant Acc Bal_PerAR'!AM63</f>
        <v>0</v>
      </c>
      <c r="K63" s="768">
        <f>+J63</f>
        <v>0</v>
      </c>
      <c r="L63" s="768"/>
      <c r="M63" s="641"/>
      <c r="N63" s="641"/>
    </row>
    <row r="64" spans="1:14">
      <c r="A64" s="698" t="s">
        <v>670</v>
      </c>
      <c r="B64" s="113"/>
      <c r="C64" s="601"/>
      <c r="D64" s="120"/>
      <c r="E64" s="120"/>
      <c r="F64" s="120"/>
      <c r="J64" s="1226"/>
      <c r="K64" s="768"/>
      <c r="L64" s="768"/>
      <c r="M64" s="641"/>
      <c r="N64" s="641"/>
    </row>
    <row r="65" spans="1:14" s="211" customFormat="1">
      <c r="A65" s="232">
        <v>354.7</v>
      </c>
      <c r="B65" s="113" t="s">
        <v>1566</v>
      </c>
      <c r="C65" s="607"/>
      <c r="D65" s="975">
        <f>+'12-31-15 Plant Acc Bal_PerAR'!W125</f>
        <v>1579995.37</v>
      </c>
      <c r="E65" s="975"/>
      <c r="F65" s="975">
        <f>+'12-31-15 Plant Acc Bal_PerAR'!AL125</f>
        <v>1654957</v>
      </c>
      <c r="G65" s="720">
        <f t="shared" ref="G65:G71" si="6">ROUND(F65*$H$1,3)</f>
        <v>925052.05500000005</v>
      </c>
      <c r="H65" s="1230">
        <f t="shared" ref="H65:H71" si="7">ROUND(F65*$H$2,3)</f>
        <v>729904.94499999995</v>
      </c>
      <c r="I65" s="607"/>
      <c r="J65" s="1227">
        <f>+'12-31-15 Plant Acc Bal_PerAR'!AM125</f>
        <v>1617473.3776923078</v>
      </c>
      <c r="K65" s="1231"/>
      <c r="L65" s="1231">
        <f>+J65</f>
        <v>1617473.3776923078</v>
      </c>
      <c r="M65" s="641"/>
      <c r="N65" s="641"/>
    </row>
    <row r="66" spans="1:14" ht="12" customHeight="1">
      <c r="A66" s="134">
        <v>390.7</v>
      </c>
      <c r="B66" s="111" t="s">
        <v>409</v>
      </c>
      <c r="C66" s="601"/>
      <c r="D66" s="699">
        <f>+'12-31-15 Plant Acc Bal_PerAR'!W127</f>
        <v>3275.29</v>
      </c>
      <c r="E66" s="699"/>
      <c r="F66" s="699">
        <f>+'12-31-15 Plant Acc Bal_PerAR'!AL127</f>
        <v>3466.69</v>
      </c>
      <c r="G66" s="142">
        <f t="shared" si="6"/>
        <v>1937.7349999999999</v>
      </c>
      <c r="H66" s="608">
        <f t="shared" si="7"/>
        <v>1528.9549999999999</v>
      </c>
      <c r="I66" s="601"/>
      <c r="J66" s="1227">
        <f>+'12-31-15 Plant Acc Bal_PerAR'!AM127</f>
        <v>3370.99</v>
      </c>
      <c r="K66" s="768">
        <f t="shared" ref="K66:K71" si="8">ROUND(J66*$L$1,3)</f>
        <v>1884.2429999999999</v>
      </c>
      <c r="L66" s="768">
        <f t="shared" ref="L66:L71" si="9">ROUND(J66*$L$2,3)</f>
        <v>1486.7470000000001</v>
      </c>
      <c r="M66" s="641"/>
      <c r="N66" s="641"/>
    </row>
    <row r="67" spans="1:14">
      <c r="A67" s="134">
        <v>394.7</v>
      </c>
      <c r="B67" s="111" t="s">
        <v>410</v>
      </c>
      <c r="C67" s="601"/>
      <c r="D67" s="699">
        <f>+'12-31-15 Plant Acc Bal_PerAR'!W129</f>
        <v>30415.56</v>
      </c>
      <c r="E67" s="699"/>
      <c r="F67" s="699">
        <f>+'12-31-15 Plant Acc Bal_PerAR'!AL129</f>
        <v>32708.06</v>
      </c>
      <c r="G67" s="142">
        <f t="shared" si="6"/>
        <v>18282.444</v>
      </c>
      <c r="H67" s="608">
        <f t="shared" si="7"/>
        <v>14425.616</v>
      </c>
      <c r="I67" s="601"/>
      <c r="J67" s="1227">
        <f>+'12-31-15 Plant Acc Bal_PerAR'!AM129</f>
        <v>31560.896923076922</v>
      </c>
      <c r="K67" s="768">
        <f t="shared" si="8"/>
        <v>17641.226999999999</v>
      </c>
      <c r="L67" s="768">
        <f t="shared" si="9"/>
        <v>13919.67</v>
      </c>
      <c r="M67" s="641"/>
      <c r="N67" s="641"/>
    </row>
    <row r="68" spans="1:14">
      <c r="A68" s="134">
        <v>346.7</v>
      </c>
      <c r="B68" s="111" t="s">
        <v>1567</v>
      </c>
      <c r="C68" s="601"/>
      <c r="D68" s="699">
        <f>+'12-31-15 Plant Acc Bal_PerAR'!W130</f>
        <v>12575.17</v>
      </c>
      <c r="E68" s="699"/>
      <c r="F68" s="699">
        <f>+'12-31-15 Plant Acc Bal_PerAR'!AL130</f>
        <v>14133.49</v>
      </c>
      <c r="G68" s="142">
        <f t="shared" si="6"/>
        <v>7900.0320000000002</v>
      </c>
      <c r="H68" s="608">
        <f t="shared" si="7"/>
        <v>6233.4579999999996</v>
      </c>
      <c r="I68" s="601"/>
      <c r="J68" s="1227">
        <f>+'12-31-15 Plant Acc Bal_PerAR'!AM130</f>
        <v>13352.963846153843</v>
      </c>
      <c r="K68" s="768">
        <f t="shared" si="8"/>
        <v>7463.7510000000002</v>
      </c>
      <c r="L68" s="768">
        <f t="shared" si="9"/>
        <v>5889.2129999999997</v>
      </c>
      <c r="M68" s="641"/>
      <c r="N68" s="641"/>
    </row>
    <row r="69" spans="1:14">
      <c r="A69" s="134">
        <v>345.7</v>
      </c>
      <c r="B69" s="111" t="s">
        <v>1568</v>
      </c>
      <c r="C69" s="601"/>
      <c r="D69" s="699">
        <f>+'12-31-15 Plant Acc Bal_PerAR'!W131</f>
        <v>1595.22</v>
      </c>
      <c r="E69" s="699"/>
      <c r="F69" s="699">
        <f>+'12-31-15 Plant Acc Bal_PerAR'!AL131</f>
        <v>-1071.83</v>
      </c>
      <c r="G69" s="142">
        <f t="shared" si="6"/>
        <v>-599.10799999999995</v>
      </c>
      <c r="H69" s="608">
        <f t="shared" si="7"/>
        <v>-472.72199999999998</v>
      </c>
      <c r="I69" s="601"/>
      <c r="J69" s="1227">
        <f>+'12-31-15 Plant Acc Bal_PerAR'!AM131</f>
        <v>-726.00923076923073</v>
      </c>
      <c r="K69" s="768">
        <f t="shared" si="8"/>
        <v>-405.80900000000003</v>
      </c>
      <c r="L69" s="768">
        <f t="shared" si="9"/>
        <v>-320.2</v>
      </c>
      <c r="M69" s="641"/>
      <c r="N69" s="641"/>
    </row>
    <row r="70" spans="1:14">
      <c r="A70" s="134">
        <v>396.5</v>
      </c>
      <c r="B70" s="111" t="s">
        <v>411</v>
      </c>
      <c r="C70" s="601"/>
      <c r="D70" s="699">
        <f>+'12-31-15 Plant Acc Bal_PerAR'!W132</f>
        <v>654.16999999999996</v>
      </c>
      <c r="E70" s="699"/>
      <c r="F70" s="699">
        <f>+'12-31-15 Plant Acc Bal_PerAR'!AL132</f>
        <v>695.39</v>
      </c>
      <c r="G70" s="142">
        <f t="shared" si="6"/>
        <v>388.69400000000002</v>
      </c>
      <c r="H70" s="608">
        <f t="shared" si="7"/>
        <v>306.69600000000003</v>
      </c>
      <c r="I70" s="601"/>
      <c r="J70" s="1227">
        <f>+'12-31-15 Plant Acc Bal_PerAR'!AM132</f>
        <v>670.02384615384597</v>
      </c>
      <c r="K70" s="768">
        <f t="shared" si="8"/>
        <v>374.51499999999999</v>
      </c>
      <c r="L70" s="768">
        <f t="shared" si="9"/>
        <v>295.50799999999998</v>
      </c>
      <c r="M70" s="641"/>
      <c r="N70" s="641"/>
    </row>
    <row r="71" spans="1:14">
      <c r="A71" s="134">
        <v>397.7</v>
      </c>
      <c r="B71" s="111" t="s">
        <v>431</v>
      </c>
      <c r="C71" s="601"/>
      <c r="D71" s="699">
        <f>+'12-31-15 Plant Acc Bal_PerAR'!W133</f>
        <v>170.68</v>
      </c>
      <c r="E71" s="699"/>
      <c r="F71" s="699">
        <f>+'12-31-15 Plant Acc Bal_PerAR'!AL133</f>
        <v>262</v>
      </c>
      <c r="G71" s="142">
        <f t="shared" si="6"/>
        <v>146.447</v>
      </c>
      <c r="H71" s="608">
        <f t="shared" si="7"/>
        <v>115.553</v>
      </c>
      <c r="I71" s="601"/>
      <c r="J71" s="1227">
        <f>+'12-31-15 Plant Acc Bal_PerAR'!AM133</f>
        <v>216.34</v>
      </c>
      <c r="K71" s="768">
        <f t="shared" si="8"/>
        <v>120.925</v>
      </c>
      <c r="L71" s="768">
        <f t="shared" si="9"/>
        <v>95.415000000000006</v>
      </c>
      <c r="M71" s="641"/>
      <c r="N71" s="641"/>
    </row>
    <row r="72" spans="1:14" ht="15" customHeight="1" thickBot="1">
      <c r="B72" s="367" t="s">
        <v>412</v>
      </c>
      <c r="C72" s="878"/>
      <c r="D72" s="702">
        <f>SUM(D50:D71)</f>
        <v>2174952.85</v>
      </c>
      <c r="E72" s="702"/>
      <c r="F72" s="702">
        <f>SUM(F50:F71)</f>
        <v>2293285.2900000005</v>
      </c>
      <c r="G72" s="702">
        <f>SUM(G50:G71)</f>
        <v>1281850.9899999998</v>
      </c>
      <c r="H72" s="702">
        <f>SUM(H50:H71)</f>
        <v>1011434.2999999999</v>
      </c>
      <c r="I72" s="878"/>
      <c r="J72" s="1228">
        <f t="shared" ref="J72:L72" si="10">SUM(J50:J71)</f>
        <v>2234134.2692307695</v>
      </c>
      <c r="K72" s="702">
        <f>SUM(K50:K71)</f>
        <v>344687.76099999994</v>
      </c>
      <c r="L72" s="702">
        <f t="shared" si="10"/>
        <v>1889446.5076923077</v>
      </c>
      <c r="M72" s="702"/>
      <c r="N72" s="702"/>
    </row>
    <row r="73" spans="1:14" ht="12.75" thickTop="1">
      <c r="A73" s="698" t="s">
        <v>379</v>
      </c>
      <c r="J73" s="1226"/>
      <c r="L73" s="503"/>
    </row>
    <row r="74" spans="1:14">
      <c r="A74" s="698" t="s">
        <v>498</v>
      </c>
      <c r="J74" s="1226"/>
    </row>
    <row r="75" spans="1:14">
      <c r="A75" s="134">
        <v>304.5</v>
      </c>
      <c r="B75" s="111" t="s">
        <v>414</v>
      </c>
      <c r="C75" s="601"/>
      <c r="D75" s="601"/>
      <c r="E75" s="601"/>
      <c r="F75" s="142">
        <f>+'12-31-15 Depreciation Exp_PerAR'!P41</f>
        <v>0</v>
      </c>
      <c r="G75" s="142">
        <f t="shared" ref="G75:G84" si="11">ROUND(F75*$H$1,3)</f>
        <v>0</v>
      </c>
      <c r="H75" s="608">
        <f t="shared" ref="H75:H84" si="12">ROUND(F75*$H$2,3)</f>
        <v>0</v>
      </c>
      <c r="I75" s="601"/>
      <c r="J75" s="1229">
        <f>+'12-31-15 Depreciation Exp_PerAR'!P41</f>
        <v>0</v>
      </c>
      <c r="K75" s="768">
        <f>+J75</f>
        <v>0</v>
      </c>
      <c r="L75" s="768"/>
      <c r="M75" s="641"/>
      <c r="N75" s="641"/>
    </row>
    <row r="76" spans="1:14">
      <c r="A76" s="134">
        <v>304.5</v>
      </c>
      <c r="B76" s="111" t="s">
        <v>415</v>
      </c>
      <c r="C76" s="601"/>
      <c r="D76" s="601"/>
      <c r="E76" s="601"/>
      <c r="F76" s="142">
        <f>+'12-31-15 Depreciation Exp_PerAR'!P42</f>
        <v>0</v>
      </c>
      <c r="G76" s="142">
        <f t="shared" si="11"/>
        <v>0</v>
      </c>
      <c r="H76" s="608">
        <f t="shared" si="12"/>
        <v>0</v>
      </c>
      <c r="I76" s="601"/>
      <c r="J76" s="1229">
        <f>+'12-31-15 Depreciation Exp_PerAR'!P42</f>
        <v>0</v>
      </c>
      <c r="K76" s="768">
        <f t="shared" ref="K76:K81" si="13">ROUND(J76*$L$1,3)</f>
        <v>0</v>
      </c>
      <c r="L76" s="768">
        <f t="shared" ref="L76:L84" si="14">ROUND(J76*$L$2,3)</f>
        <v>0</v>
      </c>
      <c r="M76" s="641">
        <f>+K76-G76</f>
        <v>0</v>
      </c>
      <c r="N76" s="641">
        <f t="shared" ref="N76:N84" si="15">-M76</f>
        <v>0</v>
      </c>
    </row>
    <row r="77" spans="1:14" ht="12" customHeight="1">
      <c r="A77" s="134">
        <v>340.5</v>
      </c>
      <c r="B77" s="111" t="s">
        <v>416</v>
      </c>
      <c r="C77" s="601"/>
      <c r="D77" s="601"/>
      <c r="E77" s="601"/>
      <c r="F77" s="142">
        <f>+'12-31-15 Depreciation Exp_PerAR'!P47</f>
        <v>0</v>
      </c>
      <c r="G77" s="142">
        <f t="shared" si="11"/>
        <v>0</v>
      </c>
      <c r="H77" s="608">
        <f t="shared" si="12"/>
        <v>0</v>
      </c>
      <c r="I77" s="601"/>
      <c r="J77" s="1229">
        <f>+'12-31-15 Depreciation Exp_PerAR'!P47</f>
        <v>0</v>
      </c>
      <c r="K77" s="768">
        <f t="shared" si="13"/>
        <v>0</v>
      </c>
      <c r="L77" s="768">
        <f t="shared" si="14"/>
        <v>0</v>
      </c>
      <c r="M77" s="641">
        <f t="shared" ref="M77:M84" si="16">+K77-G77</f>
        <v>0</v>
      </c>
      <c r="N77" s="641">
        <f t="shared" si="15"/>
        <v>0</v>
      </c>
    </row>
    <row r="78" spans="1:14">
      <c r="A78" s="134">
        <v>340.5</v>
      </c>
      <c r="B78" s="686" t="s">
        <v>417</v>
      </c>
      <c r="C78" s="601"/>
      <c r="D78" s="601"/>
      <c r="E78" s="601"/>
      <c r="F78" s="142">
        <f>+'12-31-15 Depreciation Exp_PerAR'!P48</f>
        <v>0</v>
      </c>
      <c r="G78" s="142">
        <f t="shared" si="11"/>
        <v>0</v>
      </c>
      <c r="H78" s="608">
        <f t="shared" si="12"/>
        <v>0</v>
      </c>
      <c r="I78" s="601"/>
      <c r="J78" s="1229">
        <f>+'12-31-15 Depreciation Exp_PerAR'!P48</f>
        <v>0</v>
      </c>
      <c r="K78" s="768">
        <f t="shared" si="13"/>
        <v>0</v>
      </c>
      <c r="L78" s="768">
        <f t="shared" si="14"/>
        <v>0</v>
      </c>
      <c r="M78" s="641">
        <f t="shared" si="16"/>
        <v>0</v>
      </c>
      <c r="N78" s="641">
        <f t="shared" si="15"/>
        <v>0</v>
      </c>
    </row>
    <row r="79" spans="1:14">
      <c r="A79" s="134">
        <v>341.5</v>
      </c>
      <c r="B79" s="686" t="s">
        <v>418</v>
      </c>
      <c r="C79" s="601"/>
      <c r="D79" s="601"/>
      <c r="E79" s="601"/>
      <c r="F79" s="142">
        <f>+'12-31-15 Depreciation Exp_PerAR'!P53</f>
        <v>0</v>
      </c>
      <c r="G79" s="142">
        <f t="shared" si="11"/>
        <v>0</v>
      </c>
      <c r="H79" s="608">
        <f t="shared" si="12"/>
        <v>0</v>
      </c>
      <c r="I79" s="601"/>
      <c r="J79" s="1229">
        <f>+'12-31-15 Depreciation Exp_PerAR'!P53</f>
        <v>0</v>
      </c>
      <c r="K79" s="768">
        <f t="shared" si="13"/>
        <v>0</v>
      </c>
      <c r="L79" s="768">
        <f t="shared" si="14"/>
        <v>0</v>
      </c>
      <c r="M79" s="641">
        <f t="shared" si="16"/>
        <v>0</v>
      </c>
      <c r="N79" s="641">
        <f t="shared" si="15"/>
        <v>0</v>
      </c>
    </row>
    <row r="80" spans="1:14">
      <c r="A80" s="134">
        <v>343.5</v>
      </c>
      <c r="B80" s="111" t="s">
        <v>419</v>
      </c>
      <c r="C80" s="601"/>
      <c r="D80" s="601"/>
      <c r="E80" s="601"/>
      <c r="F80" s="142">
        <f>+'12-31-15 Depreciation Exp_PerAR'!P57</f>
        <v>0</v>
      </c>
      <c r="G80" s="142">
        <f t="shared" si="11"/>
        <v>0</v>
      </c>
      <c r="H80" s="608">
        <f t="shared" si="12"/>
        <v>0</v>
      </c>
      <c r="I80" s="601"/>
      <c r="J80" s="1229">
        <f>+'12-31-15 Depreciation Exp_PerAR'!P57</f>
        <v>0</v>
      </c>
      <c r="K80" s="768">
        <f t="shared" si="13"/>
        <v>0</v>
      </c>
      <c r="L80" s="768">
        <f t="shared" si="14"/>
        <v>0</v>
      </c>
      <c r="M80" s="641">
        <f t="shared" si="16"/>
        <v>0</v>
      </c>
      <c r="N80" s="641">
        <f t="shared" si="15"/>
        <v>0</v>
      </c>
    </row>
    <row r="81" spans="1:15">
      <c r="A81" s="134">
        <v>344.5</v>
      </c>
      <c r="B81" s="111" t="s">
        <v>420</v>
      </c>
      <c r="C81" s="601"/>
      <c r="D81" s="601"/>
      <c r="E81" s="601"/>
      <c r="F81" s="142">
        <f>+'12-31-15 Depreciation Exp_PerAR'!P65</f>
        <v>0</v>
      </c>
      <c r="G81" s="142">
        <f t="shared" si="11"/>
        <v>0</v>
      </c>
      <c r="H81" s="608">
        <f t="shared" si="12"/>
        <v>0</v>
      </c>
      <c r="I81" s="601"/>
      <c r="J81" s="1229">
        <f>+'12-31-15 Depreciation Exp_PerAR'!P65</f>
        <v>0</v>
      </c>
      <c r="K81" s="768">
        <f t="shared" si="13"/>
        <v>0</v>
      </c>
      <c r="L81" s="768">
        <f t="shared" si="14"/>
        <v>0</v>
      </c>
      <c r="M81" s="641">
        <f t="shared" si="16"/>
        <v>0</v>
      </c>
      <c r="N81" s="641">
        <f t="shared" si="15"/>
        <v>0</v>
      </c>
    </row>
    <row r="82" spans="1:15">
      <c r="A82" s="134">
        <v>345.5</v>
      </c>
      <c r="B82" s="111" t="s">
        <v>421</v>
      </c>
      <c r="C82" s="601"/>
      <c r="D82" s="601"/>
      <c r="E82" s="601"/>
      <c r="F82" s="142"/>
      <c r="G82" s="142">
        <f t="shared" si="11"/>
        <v>0</v>
      </c>
      <c r="H82" s="608">
        <f t="shared" si="12"/>
        <v>0</v>
      </c>
      <c r="I82" s="601"/>
      <c r="J82" s="1229"/>
      <c r="K82" s="768">
        <f t="shared" ref="K82" si="17">ROUND(J82*$L$1,3)</f>
        <v>0</v>
      </c>
      <c r="L82" s="768">
        <f t="shared" ref="L82" si="18">ROUND(J82*$L$2,3)</f>
        <v>0</v>
      </c>
      <c r="M82" s="641">
        <f t="shared" si="16"/>
        <v>0</v>
      </c>
      <c r="N82" s="641">
        <f t="shared" si="15"/>
        <v>0</v>
      </c>
    </row>
    <row r="83" spans="1:15">
      <c r="A83" s="134">
        <v>346.5</v>
      </c>
      <c r="B83" s="111" t="s">
        <v>422</v>
      </c>
      <c r="C83" s="601"/>
      <c r="D83" s="601"/>
      <c r="E83" s="601"/>
      <c r="F83" s="142">
        <f>+'12-31-15 Depreciation Exp_PerAR'!P69</f>
        <v>0</v>
      </c>
      <c r="G83" s="142">
        <f t="shared" si="11"/>
        <v>0</v>
      </c>
      <c r="H83" s="608">
        <f t="shared" si="12"/>
        <v>0</v>
      </c>
      <c r="I83" s="601"/>
      <c r="J83" s="1229">
        <f>+'12-31-15 Depreciation Exp_PerAR'!P69</f>
        <v>0</v>
      </c>
      <c r="K83" s="768">
        <f t="shared" ref="K83:K84" si="19">ROUND(J83*$L$1,3)</f>
        <v>0</v>
      </c>
      <c r="L83" s="768">
        <f t="shared" si="14"/>
        <v>0</v>
      </c>
      <c r="M83" s="641">
        <f t="shared" si="16"/>
        <v>0</v>
      </c>
      <c r="N83" s="641">
        <f t="shared" si="15"/>
        <v>0</v>
      </c>
    </row>
    <row r="84" spans="1:15">
      <c r="A84" s="134">
        <v>397.7</v>
      </c>
      <c r="B84" s="113" t="s">
        <v>423</v>
      </c>
      <c r="C84" s="601"/>
      <c r="D84" s="601"/>
      <c r="E84" s="601"/>
      <c r="F84" s="142">
        <f>+'12-31-15 Depreciation Exp_PerAR'!P73</f>
        <v>0</v>
      </c>
      <c r="G84" s="142">
        <f t="shared" si="11"/>
        <v>0</v>
      </c>
      <c r="H84" s="608">
        <f t="shared" si="12"/>
        <v>0</v>
      </c>
      <c r="I84" s="601"/>
      <c r="J84" s="1229">
        <f>+'12-31-15 Depreciation Exp_PerAR'!P73</f>
        <v>0</v>
      </c>
      <c r="K84" s="768">
        <f t="shared" si="19"/>
        <v>0</v>
      </c>
      <c r="L84" s="768">
        <f t="shared" si="14"/>
        <v>0</v>
      </c>
      <c r="M84" s="641">
        <f t="shared" si="16"/>
        <v>0</v>
      </c>
      <c r="N84" s="641">
        <f t="shared" si="15"/>
        <v>0</v>
      </c>
    </row>
    <row r="85" spans="1:15">
      <c r="A85" s="698" t="s">
        <v>670</v>
      </c>
      <c r="B85" s="113"/>
      <c r="C85" s="601"/>
      <c r="D85" s="601"/>
      <c r="E85" s="601"/>
      <c r="F85" s="142"/>
      <c r="J85" s="1229"/>
      <c r="K85" s="768"/>
      <c r="L85" s="768"/>
      <c r="M85" s="641"/>
      <c r="N85" s="641"/>
    </row>
    <row r="86" spans="1:15" ht="12" customHeight="1">
      <c r="A86" s="134">
        <v>390.7</v>
      </c>
      <c r="B86" s="111" t="s">
        <v>424</v>
      </c>
      <c r="C86" s="601"/>
      <c r="D86" s="601"/>
      <c r="E86" s="601"/>
      <c r="F86" s="142">
        <f>+'12-31-15 Depreciation Exp_PerAR'!P142</f>
        <v>191.4</v>
      </c>
      <c r="G86" s="142">
        <f>ROUND(F86*$H$1,3)</f>
        <v>106.985</v>
      </c>
      <c r="H86" s="608">
        <f>ROUND(F86*$H$2,3)</f>
        <v>84.415000000000006</v>
      </c>
      <c r="I86" s="601"/>
      <c r="J86" s="1229">
        <f>+'12-31-15 Depreciation Exp_PerAR'!P142</f>
        <v>191.4</v>
      </c>
      <c r="K86" s="768">
        <f t="shared" ref="K86:K91" si="20">ROUND(J86*$L$1,3)</f>
        <v>106.985</v>
      </c>
      <c r="L86" s="768">
        <f t="shared" ref="L86:L91" si="21">ROUND(J86*$L$2,3)</f>
        <v>84.415000000000006</v>
      </c>
      <c r="M86" s="641">
        <f t="shared" ref="M86:M91" si="22">+K86-G86</f>
        <v>0</v>
      </c>
      <c r="N86" s="641">
        <f t="shared" ref="N86:N91" si="23">-M86</f>
        <v>0</v>
      </c>
    </row>
    <row r="87" spans="1:15" ht="12" customHeight="1">
      <c r="A87" s="134">
        <v>393.7</v>
      </c>
      <c r="B87" s="111" t="s">
        <v>425</v>
      </c>
      <c r="C87" s="601"/>
      <c r="D87" s="601"/>
      <c r="E87" s="601"/>
      <c r="F87" s="142">
        <f>+'12-31-15 Depreciation Exp_PerAR'!P150</f>
        <v>2294.08</v>
      </c>
      <c r="G87" s="142">
        <f>ROUND(F87*$H$1,3)</f>
        <v>1282.2950000000001</v>
      </c>
      <c r="H87" s="608">
        <f>ROUND(F87*$H$2,3)</f>
        <v>1011.785</v>
      </c>
      <c r="I87" s="601"/>
      <c r="J87" s="1229">
        <f>+'12-31-15 Depreciation Exp_PerAR'!P150</f>
        <v>2294.08</v>
      </c>
      <c r="K87" s="768">
        <f t="shared" si="20"/>
        <v>1282.2950000000001</v>
      </c>
      <c r="L87" s="768">
        <f t="shared" si="21"/>
        <v>1011.785</v>
      </c>
      <c r="M87" s="641">
        <f t="shared" si="22"/>
        <v>0</v>
      </c>
      <c r="N87" s="641">
        <f t="shared" si="23"/>
        <v>0</v>
      </c>
    </row>
    <row r="88" spans="1:15" ht="12" customHeight="1">
      <c r="A88" s="134">
        <v>394.7</v>
      </c>
      <c r="B88" s="111" t="s">
        <v>1781</v>
      </c>
      <c r="C88" s="601"/>
      <c r="D88" s="601"/>
      <c r="E88" s="601"/>
      <c r="F88" s="142"/>
      <c r="G88" s="142"/>
      <c r="H88" s="608"/>
      <c r="I88" s="601"/>
      <c r="J88" s="1229"/>
      <c r="K88" s="768">
        <f t="shared" ref="K88" si="24">ROUND(J88*$L$1,3)</f>
        <v>0</v>
      </c>
      <c r="L88" s="768">
        <f t="shared" ref="L88" si="25">ROUND(J88*$L$2,3)</f>
        <v>0</v>
      </c>
      <c r="M88" s="641">
        <f t="shared" si="22"/>
        <v>0</v>
      </c>
      <c r="N88" s="641">
        <f t="shared" si="23"/>
        <v>0</v>
      </c>
    </row>
    <row r="89" spans="1:15" ht="12" customHeight="1">
      <c r="A89" s="134">
        <v>395.7</v>
      </c>
      <c r="B89" s="111" t="s">
        <v>1782</v>
      </c>
      <c r="C89" s="601"/>
      <c r="D89" s="601"/>
      <c r="E89" s="601"/>
      <c r="F89" s="142"/>
      <c r="G89" s="142"/>
      <c r="H89" s="608"/>
      <c r="I89" s="601"/>
      <c r="J89" s="1229"/>
      <c r="K89" s="768">
        <f t="shared" ref="K89" si="26">ROUND(J89*$L$1,3)</f>
        <v>0</v>
      </c>
      <c r="L89" s="768">
        <f t="shared" ref="L89" si="27">ROUND(J89*$L$2,3)</f>
        <v>0</v>
      </c>
      <c r="M89" s="641">
        <f t="shared" si="22"/>
        <v>0</v>
      </c>
      <c r="N89" s="641">
        <f t="shared" si="23"/>
        <v>0</v>
      </c>
    </row>
    <row r="90" spans="1:15">
      <c r="A90" s="134">
        <v>396.5</v>
      </c>
      <c r="B90" s="111" t="s">
        <v>426</v>
      </c>
      <c r="C90" s="601"/>
      <c r="D90" s="601"/>
      <c r="E90" s="601"/>
      <c r="F90" s="142">
        <f>+'12-31-15 Depreciation Exp_PerAR'!P160</f>
        <v>41.22</v>
      </c>
      <c r="G90" s="142">
        <f>ROUND(F90*$H$1,3)</f>
        <v>23.04</v>
      </c>
      <c r="H90" s="608">
        <f>ROUND(F90*$H$2,3)</f>
        <v>18.18</v>
      </c>
      <c r="I90" s="601"/>
      <c r="J90" s="1229">
        <f>+'12-31-15 Depreciation Exp_PerAR'!P160</f>
        <v>41.22</v>
      </c>
      <c r="K90" s="768">
        <f t="shared" si="20"/>
        <v>23.04</v>
      </c>
      <c r="L90" s="768">
        <f t="shared" si="21"/>
        <v>18.18</v>
      </c>
      <c r="M90" s="641">
        <f t="shared" si="22"/>
        <v>0</v>
      </c>
      <c r="N90" s="641">
        <f t="shared" si="23"/>
        <v>0</v>
      </c>
      <c r="O90" s="158"/>
    </row>
    <row r="91" spans="1:15">
      <c r="A91" s="134">
        <v>397.7</v>
      </c>
      <c r="B91" s="111" t="s">
        <v>432</v>
      </c>
      <c r="C91" s="601"/>
      <c r="D91" s="601"/>
      <c r="E91" s="601"/>
      <c r="F91" s="142">
        <f>+'12-31-15 Depreciation Exp_PerAR'!P164</f>
        <v>91.32</v>
      </c>
      <c r="G91" s="142">
        <f>ROUND(F91*$H$1,3)</f>
        <v>51.043999999999997</v>
      </c>
      <c r="H91" s="608">
        <f>ROUND(F91*$H$2,3)</f>
        <v>40.276000000000003</v>
      </c>
      <c r="I91" s="601"/>
      <c r="J91" s="1229">
        <f>+'12-31-15 Depreciation Exp_PerAR'!P164</f>
        <v>91.32</v>
      </c>
      <c r="K91" s="768">
        <f t="shared" si="20"/>
        <v>51.043999999999997</v>
      </c>
      <c r="L91" s="768">
        <f t="shared" si="21"/>
        <v>40.276000000000003</v>
      </c>
      <c r="M91" s="641">
        <f t="shared" si="22"/>
        <v>0</v>
      </c>
      <c r="N91" s="641">
        <f t="shared" si="23"/>
        <v>0</v>
      </c>
      <c r="O91" s="158"/>
    </row>
    <row r="92" spans="1:15" ht="12.75" thickBot="1">
      <c r="B92" s="117" t="s">
        <v>413</v>
      </c>
      <c r="C92" s="878"/>
      <c r="D92" s="878"/>
      <c r="E92" s="878"/>
      <c r="F92" s="702">
        <f>SUM(F73:F91)</f>
        <v>2618.02</v>
      </c>
      <c r="G92" s="702">
        <f>SUM(G73:G91)</f>
        <v>1463.364</v>
      </c>
      <c r="H92" s="702">
        <f>SUM(H73:H91)</f>
        <v>1154.6560000000002</v>
      </c>
      <c r="I92" s="878"/>
      <c r="J92" s="1228">
        <f t="shared" ref="J92:N92" si="28">SUM(J73:J91)</f>
        <v>2618.02</v>
      </c>
      <c r="K92" s="702">
        <f t="shared" si="28"/>
        <v>1463.364</v>
      </c>
      <c r="L92" s="702">
        <f t="shared" si="28"/>
        <v>1154.6560000000002</v>
      </c>
      <c r="M92" s="1228">
        <f t="shared" si="28"/>
        <v>0</v>
      </c>
      <c r="N92" s="702">
        <f t="shared" si="28"/>
        <v>0</v>
      </c>
      <c r="O92" s="878"/>
    </row>
    <row r="93" spans="1:15" ht="12.75" thickTop="1">
      <c r="L93" s="503"/>
      <c r="O93" s="158"/>
    </row>
    <row r="94" spans="1:15">
      <c r="O94" s="158"/>
    </row>
  </sheetData>
  <phoneticPr fontId="27" type="noConversion"/>
  <printOptions horizontalCentered="1"/>
  <pageMargins left="0.75" right="0" top="0.75" bottom="0.75" header="0.3" footer="0.3"/>
  <pageSetup scale="75" orientation="landscape" r:id="rId1"/>
  <headerFooter>
    <oddFooter>&amp;LSanlando Uitlities Corp&amp;C&amp;A&amp;RPage &amp;P of &amp;N</oddFooter>
  </headerFooter>
  <rowBreaks count="2" manualBreakCount="2">
    <brk id="49" max="16383" man="1"/>
    <brk id="72" max="16383"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dimension ref="A1:M70"/>
  <sheetViews>
    <sheetView workbookViewId="0"/>
  </sheetViews>
  <sheetFormatPr defaultColWidth="9.140625" defaultRowHeight="12"/>
  <cols>
    <col min="1" max="1" width="4.85546875" style="991" customWidth="1"/>
    <col min="2" max="2" width="29.28515625" style="991" customWidth="1"/>
    <col min="3" max="3" width="14.42578125" style="991" customWidth="1"/>
    <col min="4" max="6" width="9.140625" style="991"/>
    <col min="7" max="7" width="1.5703125" style="991" customWidth="1"/>
    <col min="8" max="8" width="12.140625" style="991" customWidth="1"/>
    <col min="9" max="9" width="9.85546875" style="991" customWidth="1"/>
    <col min="10" max="10" width="10.5703125" style="991" customWidth="1"/>
    <col min="11" max="11" width="4.7109375" style="991" customWidth="1"/>
    <col min="12" max="12" width="9.140625" style="991"/>
    <col min="13" max="13" width="12.42578125" style="991" bestFit="1" customWidth="1"/>
    <col min="14" max="16384" width="9.140625" style="991"/>
  </cols>
  <sheetData>
    <row r="1" spans="2:10">
      <c r="B1" s="991" t="s">
        <v>23</v>
      </c>
      <c r="D1" s="1002"/>
      <c r="E1" s="1002"/>
      <c r="F1" s="1002"/>
    </row>
    <row r="2" spans="2:10">
      <c r="B2" s="991" t="s">
        <v>1790</v>
      </c>
      <c r="D2" s="1002"/>
      <c r="E2" s="1002"/>
      <c r="F2" s="1002"/>
      <c r="H2" s="1000"/>
    </row>
    <row r="3" spans="2:10">
      <c r="D3" s="1002"/>
      <c r="E3" s="1002"/>
      <c r="F3" s="1002"/>
    </row>
    <row r="4" spans="2:10">
      <c r="C4" s="1000"/>
      <c r="D4" s="1001"/>
      <c r="E4" s="1001" t="s">
        <v>615</v>
      </c>
      <c r="F4" s="1001" t="s">
        <v>616</v>
      </c>
    </row>
    <row r="5" spans="2:10">
      <c r="B5" s="991" t="s">
        <v>911</v>
      </c>
      <c r="C5" s="1000" t="s">
        <v>16</v>
      </c>
      <c r="D5" s="1001" t="s">
        <v>587</v>
      </c>
      <c r="E5" s="1001" t="s">
        <v>658</v>
      </c>
      <c r="F5" s="1001" t="s">
        <v>615</v>
      </c>
      <c r="H5" s="1000" t="s">
        <v>81</v>
      </c>
      <c r="I5" s="1000" t="s">
        <v>498</v>
      </c>
      <c r="J5" s="1000" t="s">
        <v>670</v>
      </c>
    </row>
    <row r="6" spans="2:10">
      <c r="D6" s="1002"/>
      <c r="E6" s="1003"/>
      <c r="F6" s="1003"/>
      <c r="G6" s="995"/>
      <c r="H6" s="995"/>
    </row>
    <row r="7" spans="2:10">
      <c r="B7" s="991" t="s">
        <v>514</v>
      </c>
      <c r="C7" s="1004">
        <f>+'D 1'!E15</f>
        <v>2618259.1997000002</v>
      </c>
      <c r="D7" s="1002">
        <f>ROUND(C7/C$17,5)</f>
        <v>0.46329999999999999</v>
      </c>
      <c r="E7" s="1003">
        <f>+'D 1'!I15</f>
        <v>6.6959321087948331E-2</v>
      </c>
      <c r="F7" s="1005">
        <f>ROUND((E7*D7),4)</f>
        <v>3.1E-2</v>
      </c>
      <c r="G7" s="995"/>
      <c r="H7" s="1006">
        <f>+E7*C7</f>
        <v>175316.85844418695</v>
      </c>
      <c r="I7" s="992">
        <f>+H7*$D$25</f>
        <v>0</v>
      </c>
      <c r="J7" s="992">
        <f>+H7*D26</f>
        <v>175316.85844418695</v>
      </c>
    </row>
    <row r="8" spans="2:10">
      <c r="B8" s="991" t="s">
        <v>660</v>
      </c>
      <c r="C8" s="1004">
        <f>+'D 1'!E16</f>
        <v>248658.33110000001</v>
      </c>
      <c r="D8" s="1002">
        <f>ROUND(C8/C$17,5)</f>
        <v>4.3999999999999997E-2</v>
      </c>
      <c r="E8" s="1003">
        <f>+'D 1'!I16</f>
        <v>2.3220060000000001E-2</v>
      </c>
      <c r="F8" s="1005">
        <f>ROUND((E8*D8),4)</f>
        <v>1E-3</v>
      </c>
      <c r="G8" s="995"/>
      <c r="H8" s="1007">
        <f>+E8*C8</f>
        <v>5773.8613676418663</v>
      </c>
      <c r="I8" s="992">
        <f>+H8*$D$25</f>
        <v>0</v>
      </c>
      <c r="J8" s="992">
        <f>+H8*D26</f>
        <v>5773.8613676418663</v>
      </c>
    </row>
    <row r="9" spans="2:10">
      <c r="B9" s="991" t="s">
        <v>661</v>
      </c>
      <c r="C9" s="1004">
        <f>+'D 1'!E17</f>
        <v>0</v>
      </c>
      <c r="D9" s="1002" t="s">
        <v>560</v>
      </c>
      <c r="E9" s="1003">
        <f>+'D 1'!I17</f>
        <v>0</v>
      </c>
      <c r="F9" s="1003" t="s">
        <v>560</v>
      </c>
      <c r="G9" s="995"/>
      <c r="H9" s="1007"/>
      <c r="I9" s="992"/>
      <c r="J9" s="992"/>
    </row>
    <row r="10" spans="2:10">
      <c r="B10" s="991" t="s">
        <v>1118</v>
      </c>
      <c r="C10" s="1004">
        <f>+'D 1'!E19</f>
        <v>0</v>
      </c>
      <c r="D10" s="1002">
        <f>ROUND(C10/C$17,5)</f>
        <v>0</v>
      </c>
      <c r="E10" s="1003">
        <f>+'D 1'!I19</f>
        <v>0.02</v>
      </c>
      <c r="F10" s="1005">
        <f>ROUND((E10*D10),4)</f>
        <v>0</v>
      </c>
      <c r="G10" s="995"/>
      <c r="H10" s="1007">
        <f>+E10*C10</f>
        <v>0</v>
      </c>
      <c r="I10" s="992">
        <f>+H10*$D$31</f>
        <v>0</v>
      </c>
      <c r="J10" s="992">
        <f>+H10*D32</f>
        <v>0</v>
      </c>
    </row>
    <row r="11" spans="2:10">
      <c r="B11" s="991" t="s">
        <v>591</v>
      </c>
      <c r="C11" s="1004">
        <f>+'D 1'!E18</f>
        <v>2784408.1754999999</v>
      </c>
      <c r="D11" s="1002">
        <f>ROUND(C11/C$17,5)</f>
        <v>0.49270000000000003</v>
      </c>
      <c r="E11" s="1003">
        <f>+'D 1'!I18</f>
        <v>0.10397708544753399</v>
      </c>
      <c r="F11" s="1005">
        <f>ROUND((E11*D11),4)</f>
        <v>5.1200000000000002E-2</v>
      </c>
      <c r="G11" s="995"/>
      <c r="H11" s="1007">
        <f>+E11*C11</f>
        <v>289514.64678477572</v>
      </c>
      <c r="I11" s="992"/>
      <c r="J11" s="992"/>
    </row>
    <row r="12" spans="2:10">
      <c r="B12" s="991" t="s">
        <v>1133</v>
      </c>
      <c r="C12" s="1004">
        <f>+'D 1'!E20</f>
        <v>0</v>
      </c>
      <c r="D12" s="1002">
        <f>ROUND(C12/C$17,5)</f>
        <v>0</v>
      </c>
      <c r="E12" s="1003">
        <f>+'D 1'!I20</f>
        <v>0</v>
      </c>
      <c r="F12" s="1005">
        <f>ROUND((E12*D12),4)</f>
        <v>0</v>
      </c>
      <c r="G12" s="995"/>
      <c r="H12" s="1007">
        <f>+E12*C12</f>
        <v>0</v>
      </c>
      <c r="I12" s="992"/>
      <c r="J12" s="992"/>
    </row>
    <row r="13" spans="2:10">
      <c r="B13" s="1018" t="s">
        <v>986</v>
      </c>
      <c r="C13" s="1004">
        <f>+'D 1'!E21</f>
        <v>0</v>
      </c>
      <c r="D13" s="1002">
        <f>ROUND(C13/C$17,5)</f>
        <v>0</v>
      </c>
      <c r="E13" s="1003">
        <f>+'D 1'!I21</f>
        <v>0</v>
      </c>
      <c r="F13" s="1005">
        <f>ROUND((E13*D13),4)</f>
        <v>0</v>
      </c>
      <c r="G13" s="995"/>
      <c r="H13" s="1007">
        <f>+E13*C13</f>
        <v>0</v>
      </c>
      <c r="I13" s="992"/>
      <c r="J13" s="992"/>
    </row>
    <row r="14" spans="2:10">
      <c r="B14" s="991" t="s">
        <v>790</v>
      </c>
      <c r="C14" s="1004">
        <f>+'D 1'!E22</f>
        <v>0</v>
      </c>
      <c r="D14" s="1002">
        <f>ROUND(C14/C$17,5)</f>
        <v>0</v>
      </c>
      <c r="E14" s="1003">
        <f>+'D 1'!I22</f>
        <v>0</v>
      </c>
      <c r="F14" s="1005">
        <f>ROUND((E14*D14),4)</f>
        <v>0</v>
      </c>
      <c r="G14" s="995"/>
      <c r="H14" s="1007">
        <f>+E14*C14</f>
        <v>0</v>
      </c>
      <c r="I14" s="992"/>
      <c r="J14" s="992"/>
    </row>
    <row r="15" spans="2:10">
      <c r="B15" s="991" t="s">
        <v>1298</v>
      </c>
      <c r="C15" s="1004">
        <f>+'D 1'!E23</f>
        <v>0</v>
      </c>
      <c r="D15" s="1002" t="s">
        <v>560</v>
      </c>
      <c r="E15" s="1003"/>
      <c r="F15" s="1003" t="s">
        <v>560</v>
      </c>
      <c r="G15" s="995"/>
      <c r="H15" s="995"/>
      <c r="I15" s="992"/>
      <c r="J15" s="992"/>
    </row>
    <row r="16" spans="2:10">
      <c r="C16" s="1008" t="s">
        <v>911</v>
      </c>
      <c r="D16" s="1009"/>
      <c r="E16" s="1009"/>
      <c r="F16" s="1009" t="s">
        <v>911</v>
      </c>
      <c r="G16" s="995"/>
      <c r="H16" s="1010"/>
    </row>
    <row r="17" spans="1:13" ht="12.75" thickBot="1">
      <c r="B17" s="1011" t="s">
        <v>17</v>
      </c>
      <c r="C17" s="1012">
        <f>SUM(C7:C16)</f>
        <v>5651325.7062999997</v>
      </c>
      <c r="D17" s="1013">
        <f>SUM(D6:D16)</f>
        <v>1</v>
      </c>
      <c r="E17" s="1013"/>
      <c r="F17" s="1013">
        <f>SUM(F6:F16)</f>
        <v>8.3199999999999996E-2</v>
      </c>
      <c r="H17" s="992"/>
      <c r="I17" s="1000"/>
      <c r="J17" s="1000"/>
    </row>
    <row r="18" spans="1:13" ht="12.75" thickTop="1">
      <c r="D18" s="1002"/>
      <c r="E18" s="1002"/>
      <c r="F18" s="1002"/>
    </row>
    <row r="19" spans="1:13">
      <c r="A19" s="992"/>
      <c r="B19" s="1014" t="s">
        <v>18</v>
      </c>
      <c r="C19" s="992"/>
      <c r="D19" s="992"/>
      <c r="E19" s="992"/>
      <c r="F19" s="992"/>
      <c r="G19" s="992"/>
      <c r="H19" s="992">
        <f>SUM(H7:H10)</f>
        <v>181090.71981182881</v>
      </c>
      <c r="I19" s="992">
        <f t="shared" ref="I19:J19" si="0">SUM(I7:I10)</f>
        <v>0</v>
      </c>
      <c r="J19" s="992">
        <f t="shared" si="0"/>
        <v>181090.71981182881</v>
      </c>
    </row>
    <row r="20" spans="1:13">
      <c r="B20" s="1015"/>
      <c r="D20" s="1002"/>
      <c r="E20" s="1002"/>
      <c r="F20" s="1002"/>
    </row>
    <row r="21" spans="1:13">
      <c r="B21" s="1015" t="s">
        <v>19</v>
      </c>
      <c r="D21" s="1002"/>
      <c r="E21" s="1002"/>
      <c r="F21" s="1002"/>
      <c r="H21" s="992">
        <f>+'Rev &amp; other exp'!Q133+'Rev &amp; other exp'!Q139</f>
        <v>112000.09999999999</v>
      </c>
      <c r="I21" s="1016" t="e">
        <f>+#REF!+#REF!</f>
        <v>#REF!</v>
      </c>
      <c r="J21" s="1016">
        <f>+H21</f>
        <v>112000.09999999999</v>
      </c>
      <c r="L21" s="1016" t="e">
        <f>+I21+J21</f>
        <v>#REF!</v>
      </c>
      <c r="M21" s="1387" t="e">
        <f>+H21-L21</f>
        <v>#REF!</v>
      </c>
    </row>
    <row r="22" spans="1:13">
      <c r="D22" s="1002"/>
      <c r="E22" s="1002"/>
      <c r="F22" s="1002"/>
      <c r="I22" s="995"/>
      <c r="J22" s="995"/>
    </row>
    <row r="23" spans="1:13" ht="12.75" thickBot="1">
      <c r="B23" s="1011" t="s">
        <v>733</v>
      </c>
      <c r="D23" s="1002"/>
      <c r="E23" s="1002"/>
      <c r="F23" s="1002"/>
      <c r="H23" s="1017">
        <f>+H19-H21</f>
        <v>69090.619811828816</v>
      </c>
      <c r="I23" s="1006" t="e">
        <f>+I19-I21</f>
        <v>#REF!</v>
      </c>
      <c r="J23" s="1006">
        <f>+J19-J21</f>
        <v>69090.619811828816</v>
      </c>
    </row>
    <row r="24" spans="1:13" ht="12.75" thickTop="1">
      <c r="D24" s="1002"/>
      <c r="E24" s="1002"/>
      <c r="F24" s="1002"/>
      <c r="I24" s="995"/>
      <c r="J24" s="995"/>
    </row>
    <row r="25" spans="1:13">
      <c r="B25" s="1011" t="s">
        <v>20</v>
      </c>
      <c r="C25" s="992"/>
      <c r="D25" s="1002"/>
      <c r="E25" s="1002"/>
      <c r="F25" s="1002"/>
    </row>
    <row r="26" spans="1:13">
      <c r="B26" s="1011" t="s">
        <v>21</v>
      </c>
      <c r="C26" s="992">
        <f>+'A 2'!F38</f>
        <v>5651325.7062393166</v>
      </c>
      <c r="D26" s="1002">
        <f>+C26/C27</f>
        <v>1</v>
      </c>
      <c r="E26" s="1002"/>
      <c r="F26" s="1002"/>
    </row>
    <row r="27" spans="1:13">
      <c r="C27" s="1222">
        <f>SUM(C25:C26)</f>
        <v>5651325.7062393166</v>
      </c>
      <c r="D27" s="1002"/>
      <c r="E27" s="1002"/>
      <c r="F27" s="1002"/>
    </row>
    <row r="28" spans="1:13">
      <c r="C28" s="1006"/>
      <c r="D28" s="1002"/>
      <c r="E28" s="1002"/>
      <c r="F28" s="1002"/>
    </row>
    <row r="29" spans="1:13">
      <c r="B29" s="995"/>
      <c r="C29" s="635"/>
      <c r="D29" s="635"/>
      <c r="E29" s="635"/>
      <c r="F29" s="995"/>
    </row>
    <row r="30" spans="1:13">
      <c r="B30" s="995"/>
      <c r="C30" s="641" t="s">
        <v>347</v>
      </c>
      <c r="D30" s="635"/>
      <c r="E30" s="635"/>
      <c r="F30" s="995"/>
    </row>
    <row r="31" spans="1:13">
      <c r="B31" s="1326" t="s">
        <v>498</v>
      </c>
      <c r="C31" s="1305"/>
      <c r="D31" s="589"/>
      <c r="F31" s="995"/>
    </row>
    <row r="32" spans="1:13">
      <c r="B32" s="1326" t="s">
        <v>670</v>
      </c>
      <c r="C32" s="1305">
        <v>9332</v>
      </c>
      <c r="D32" s="589">
        <f>+C32/C33</f>
        <v>1</v>
      </c>
      <c r="F32" s="995"/>
    </row>
    <row r="33" spans="2:10">
      <c r="B33" s="995"/>
      <c r="C33" s="1223">
        <f>SUM(C31:C32)</f>
        <v>9332</v>
      </c>
      <c r="D33" s="589"/>
      <c r="F33" s="995"/>
    </row>
    <row r="34" spans="2:10">
      <c r="B34" s="971" t="s">
        <v>22</v>
      </c>
      <c r="C34" s="995"/>
      <c r="D34" s="995"/>
      <c r="E34" s="995"/>
      <c r="F34" s="995"/>
    </row>
    <row r="35" spans="2:10">
      <c r="D35" s="1002"/>
      <c r="E35" s="1002"/>
      <c r="F35" s="1002"/>
    </row>
    <row r="36" spans="2:10">
      <c r="B36" s="991" t="s">
        <v>23</v>
      </c>
      <c r="D36" s="1002"/>
      <c r="E36" s="1002"/>
      <c r="F36" s="1002"/>
    </row>
    <row r="37" spans="2:10">
      <c r="B37" s="991" t="s">
        <v>1791</v>
      </c>
      <c r="D37" s="1002"/>
      <c r="E37" s="1002"/>
      <c r="F37" s="1002"/>
      <c r="H37" s="1000"/>
    </row>
    <row r="38" spans="2:10">
      <c r="D38" s="1002"/>
      <c r="E38" s="1002"/>
      <c r="F38" s="1002"/>
    </row>
    <row r="39" spans="2:10">
      <c r="C39" s="1000"/>
      <c r="D39" s="1001"/>
      <c r="E39" s="1001" t="s">
        <v>615</v>
      </c>
      <c r="F39" s="1001" t="s">
        <v>616</v>
      </c>
    </row>
    <row r="40" spans="2:10">
      <c r="B40" s="991" t="s">
        <v>911</v>
      </c>
      <c r="C40" s="1000" t="s">
        <v>16</v>
      </c>
      <c r="D40" s="1001" t="s">
        <v>587</v>
      </c>
      <c r="E40" s="1001" t="s">
        <v>658</v>
      </c>
      <c r="F40" s="1001" t="s">
        <v>615</v>
      </c>
      <c r="H40" s="1000" t="s">
        <v>81</v>
      </c>
      <c r="I40" s="1000" t="s">
        <v>498</v>
      </c>
      <c r="J40" s="1000" t="s">
        <v>670</v>
      </c>
    </row>
    <row r="41" spans="2:10">
      <c r="D41" s="1002"/>
      <c r="E41" s="1003"/>
      <c r="F41" s="1003"/>
      <c r="G41" s="995"/>
      <c r="H41" s="995"/>
    </row>
    <row r="42" spans="2:10">
      <c r="B42" s="991" t="s">
        <v>514</v>
      </c>
      <c r="C42" s="1004" t="e">
        <f>+#REF!</f>
        <v>#REF!</v>
      </c>
      <c r="D42" s="1002" t="e">
        <f>ROUND(C42/C$52,5)</f>
        <v>#REF!</v>
      </c>
      <c r="E42" s="1003" t="e">
        <f>+#REF!</f>
        <v>#REF!</v>
      </c>
      <c r="F42" s="1005" t="e">
        <f>ROUND((E42*D42),4)</f>
        <v>#REF!</v>
      </c>
      <c r="G42" s="995"/>
      <c r="H42" s="1006" t="e">
        <f>+E42*C42</f>
        <v>#REF!</v>
      </c>
      <c r="I42" s="992"/>
      <c r="J42" s="992" t="e">
        <f>+H42*D61</f>
        <v>#REF!</v>
      </c>
    </row>
    <row r="43" spans="2:10">
      <c r="B43" s="991" t="s">
        <v>660</v>
      </c>
      <c r="C43" s="1004" t="e">
        <f>+#REF!</f>
        <v>#REF!</v>
      </c>
      <c r="D43" s="1002" t="e">
        <f>ROUND(C43/C$52,5)</f>
        <v>#REF!</v>
      </c>
      <c r="E43" s="1003" t="e">
        <f>+#REF!</f>
        <v>#REF!</v>
      </c>
      <c r="F43" s="1005" t="e">
        <f>ROUND((E43*D43),4)</f>
        <v>#REF!</v>
      </c>
      <c r="G43" s="995"/>
      <c r="H43" s="1007" t="e">
        <f>+E43*C43</f>
        <v>#REF!</v>
      </c>
      <c r="I43" s="992"/>
      <c r="J43" s="992" t="e">
        <f>+H43*D61</f>
        <v>#REF!</v>
      </c>
    </row>
    <row r="44" spans="2:10">
      <c r="B44" s="991" t="s">
        <v>661</v>
      </c>
      <c r="C44" s="1004" t="e">
        <f>+#REF!</f>
        <v>#REF!</v>
      </c>
      <c r="D44" s="1002" t="s">
        <v>560</v>
      </c>
      <c r="E44" s="1003" t="e">
        <f>+#REF!</f>
        <v>#REF!</v>
      </c>
      <c r="F44" s="1003" t="s">
        <v>560</v>
      </c>
      <c r="G44" s="995"/>
      <c r="H44" s="1007"/>
      <c r="I44" s="992"/>
      <c r="J44" s="992"/>
    </row>
    <row r="45" spans="2:10">
      <c r="B45" s="991" t="s">
        <v>1118</v>
      </c>
      <c r="C45" s="1004" t="e">
        <f>+#REF!</f>
        <v>#REF!</v>
      </c>
      <c r="D45" s="1002" t="e">
        <f t="shared" ref="D45:D49" si="1">ROUND(C45/C$52,5)</f>
        <v>#REF!</v>
      </c>
      <c r="E45" s="1003">
        <v>0.02</v>
      </c>
      <c r="F45" s="1005" t="e">
        <f>ROUND((E45*D45),4)</f>
        <v>#REF!</v>
      </c>
      <c r="G45" s="995"/>
      <c r="H45" s="1007" t="e">
        <f>+E45*C45</f>
        <v>#REF!</v>
      </c>
      <c r="I45" s="992" t="e">
        <f>+H45*$D$66</f>
        <v>#REF!</v>
      </c>
      <c r="J45" s="992" t="e">
        <f>+H45*D61</f>
        <v>#REF!</v>
      </c>
    </row>
    <row r="46" spans="2:10">
      <c r="B46" s="991" t="s">
        <v>591</v>
      </c>
      <c r="C46" s="1004" t="e">
        <f>+#REF!</f>
        <v>#REF!</v>
      </c>
      <c r="D46" s="1002" t="e">
        <f t="shared" si="1"/>
        <v>#REF!</v>
      </c>
      <c r="E46" s="1003" t="e">
        <f>+#REF!</f>
        <v>#REF!</v>
      </c>
      <c r="F46" s="1005" t="e">
        <f>ROUND((E46*D46),4)</f>
        <v>#REF!</v>
      </c>
      <c r="G46" s="995"/>
      <c r="H46" s="1007" t="e">
        <f>+E46*C46</f>
        <v>#REF!</v>
      </c>
      <c r="I46" s="992"/>
      <c r="J46" s="992"/>
    </row>
    <row r="47" spans="2:10">
      <c r="B47" s="991" t="s">
        <v>1133</v>
      </c>
      <c r="C47" s="1004" t="e">
        <f>+#REF!</f>
        <v>#REF!</v>
      </c>
      <c r="D47" s="1002" t="e">
        <f t="shared" si="1"/>
        <v>#REF!</v>
      </c>
      <c r="E47" s="1003" t="e">
        <f>+#REF!</f>
        <v>#REF!</v>
      </c>
      <c r="F47" s="1005" t="e">
        <f>ROUND((E47*D47),4)</f>
        <v>#REF!</v>
      </c>
      <c r="G47" s="995"/>
      <c r="H47" s="1007" t="e">
        <f>+E47*C47</f>
        <v>#REF!</v>
      </c>
      <c r="I47" s="992"/>
      <c r="J47" s="992"/>
    </row>
    <row r="48" spans="2:10">
      <c r="B48" s="1018" t="s">
        <v>986</v>
      </c>
      <c r="C48" s="1004" t="e">
        <f>+#REF!</f>
        <v>#REF!</v>
      </c>
      <c r="D48" s="1002" t="e">
        <f t="shared" si="1"/>
        <v>#REF!</v>
      </c>
      <c r="E48" s="1003" t="e">
        <f>+#REF!</f>
        <v>#REF!</v>
      </c>
      <c r="F48" s="1005" t="e">
        <f>ROUND((E48*D48),4)</f>
        <v>#REF!</v>
      </c>
      <c r="G48" s="995"/>
      <c r="H48" s="1007" t="e">
        <f>+E48*C48</f>
        <v>#REF!</v>
      </c>
      <c r="I48" s="992"/>
      <c r="J48" s="992"/>
    </row>
    <row r="49" spans="2:12">
      <c r="B49" s="991" t="s">
        <v>790</v>
      </c>
      <c r="C49" s="1004" t="e">
        <f>+#REF!</f>
        <v>#REF!</v>
      </c>
      <c r="D49" s="1002" t="e">
        <f t="shared" si="1"/>
        <v>#REF!</v>
      </c>
      <c r="E49" s="1003" t="e">
        <f>+#REF!</f>
        <v>#REF!</v>
      </c>
      <c r="F49" s="1005" t="e">
        <f>ROUND((E49*D49),4)</f>
        <v>#REF!</v>
      </c>
      <c r="G49" s="995"/>
      <c r="H49" s="1007" t="e">
        <f>+E49*C49</f>
        <v>#REF!</v>
      </c>
      <c r="I49" s="992"/>
      <c r="J49" s="992"/>
    </row>
    <row r="50" spans="2:12">
      <c r="B50" s="991" t="s">
        <v>1298</v>
      </c>
      <c r="C50" s="1004" t="e">
        <f>+#REF!</f>
        <v>#REF!</v>
      </c>
      <c r="D50" s="1002" t="s">
        <v>560</v>
      </c>
      <c r="E50" s="1003"/>
      <c r="F50" s="1003" t="s">
        <v>560</v>
      </c>
      <c r="G50" s="995"/>
      <c r="H50" s="995"/>
      <c r="I50" s="992"/>
      <c r="J50" s="992"/>
    </row>
    <row r="51" spans="2:12">
      <c r="C51" s="1008" t="s">
        <v>911</v>
      </c>
      <c r="D51" s="1009"/>
      <c r="E51" s="1009"/>
      <c r="F51" s="1009" t="s">
        <v>911</v>
      </c>
      <c r="G51" s="995"/>
      <c r="H51" s="1010"/>
    </row>
    <row r="52" spans="2:12" ht="12.75" thickBot="1">
      <c r="B52" s="1011" t="s">
        <v>17</v>
      </c>
      <c r="C52" s="1012" t="e">
        <f>SUM(C42:C51)</f>
        <v>#REF!</v>
      </c>
      <c r="D52" s="1013" t="e">
        <f>SUM(D41:D51)</f>
        <v>#REF!</v>
      </c>
      <c r="E52" s="1013"/>
      <c r="F52" s="1013" t="e">
        <f>SUM(F41:F51)</f>
        <v>#REF!</v>
      </c>
      <c r="H52" s="992"/>
      <c r="I52" s="1000"/>
      <c r="J52" s="1000"/>
    </row>
    <row r="53" spans="2:12" ht="12.75" thickTop="1">
      <c r="D53" s="1002"/>
      <c r="E53" s="1002"/>
      <c r="F53" s="1002"/>
    </row>
    <row r="54" spans="2:12">
      <c r="B54" s="1014" t="s">
        <v>18</v>
      </c>
      <c r="C54" s="992"/>
      <c r="D54" s="992"/>
      <c r="E54" s="992"/>
      <c r="F54" s="992"/>
      <c r="G54" s="992"/>
      <c r="H54" s="992" t="e">
        <f>SUM(H42:H45)</f>
        <v>#REF!</v>
      </c>
      <c r="I54" s="992" t="e">
        <f>SUM(I42:I45)</f>
        <v>#REF!</v>
      </c>
      <c r="J54" s="992" t="e">
        <f t="shared" ref="J54" si="2">SUM(J42:J45)</f>
        <v>#REF!</v>
      </c>
    </row>
    <row r="55" spans="2:12">
      <c r="B55" s="1015"/>
      <c r="D55" s="1002"/>
      <c r="E55" s="1002"/>
      <c r="F55" s="1002"/>
    </row>
    <row r="56" spans="2:12">
      <c r="B56" s="1015" t="s">
        <v>19</v>
      </c>
      <c r="D56" s="1002"/>
      <c r="E56" s="1002"/>
      <c r="F56" s="1002"/>
      <c r="H56" s="992">
        <f>+H21</f>
        <v>112000.09999999999</v>
      </c>
      <c r="I56" s="1016" t="e">
        <f>+I21</f>
        <v>#REF!</v>
      </c>
      <c r="J56" s="1016">
        <f>+J21</f>
        <v>112000.09999999999</v>
      </c>
      <c r="L56" s="1016" t="e">
        <f>+I56+J56</f>
        <v>#REF!</v>
      </c>
    </row>
    <row r="57" spans="2:12">
      <c r="D57" s="1002"/>
      <c r="E57" s="1002"/>
      <c r="F57" s="1002"/>
      <c r="I57" s="995"/>
      <c r="J57" s="995"/>
    </row>
    <row r="58" spans="2:12" ht="12.75" thickBot="1">
      <c r="B58" s="1011" t="s">
        <v>733</v>
      </c>
      <c r="D58" s="1002"/>
      <c r="E58" s="1002"/>
      <c r="F58" s="1002"/>
      <c r="H58" s="1017" t="e">
        <f>+H54-H56</f>
        <v>#REF!</v>
      </c>
      <c r="I58" s="1006" t="e">
        <f>+I54-I56</f>
        <v>#REF!</v>
      </c>
      <c r="J58" s="1006" t="e">
        <f>+J54-J56</f>
        <v>#REF!</v>
      </c>
    </row>
    <row r="59" spans="2:12" ht="12.75" thickTop="1">
      <c r="D59" s="1002"/>
      <c r="E59" s="1002"/>
      <c r="F59" s="1002"/>
      <c r="I59" s="995"/>
      <c r="J59" s="995"/>
    </row>
    <row r="60" spans="2:12">
      <c r="B60" s="1011" t="s">
        <v>20</v>
      </c>
      <c r="C60" s="992"/>
      <c r="D60" s="1002"/>
      <c r="E60" s="1002"/>
      <c r="F60" s="1002"/>
    </row>
    <row r="61" spans="2:12">
      <c r="B61" s="1011" t="s">
        <v>21</v>
      </c>
      <c r="C61" s="992" t="e">
        <f>+#REF!</f>
        <v>#REF!</v>
      </c>
      <c r="D61" s="1002" t="e">
        <f>+C61/C62</f>
        <v>#REF!</v>
      </c>
      <c r="E61" s="1002"/>
      <c r="F61" s="1002"/>
    </row>
    <row r="62" spans="2:12">
      <c r="C62" s="1222" t="e">
        <f>SUM(C60:C61)</f>
        <v>#REF!</v>
      </c>
      <c r="D62" s="1002"/>
      <c r="E62" s="1002"/>
      <c r="F62" s="1002"/>
    </row>
    <row r="63" spans="2:12">
      <c r="C63" s="1006"/>
      <c r="D63" s="1002"/>
      <c r="E63" s="1002"/>
      <c r="F63" s="1002"/>
    </row>
    <row r="64" spans="2:12">
      <c r="B64" s="995"/>
      <c r="C64" s="635"/>
      <c r="D64" s="635"/>
      <c r="E64" s="635"/>
      <c r="F64" s="995"/>
    </row>
    <row r="65" spans="2:6">
      <c r="B65" s="995"/>
      <c r="C65" s="641" t="s">
        <v>347</v>
      </c>
      <c r="D65" s="635"/>
      <c r="E65" s="635"/>
      <c r="F65" s="995"/>
    </row>
    <row r="66" spans="2:6">
      <c r="B66" s="995"/>
      <c r="C66" s="1305"/>
      <c r="D66" s="589"/>
      <c r="F66" s="995"/>
    </row>
    <row r="67" spans="2:6">
      <c r="B67" s="995"/>
      <c r="C67" s="1305">
        <v>9332</v>
      </c>
      <c r="D67" s="589">
        <f>+C67/C68</f>
        <v>1</v>
      </c>
      <c r="F67" s="995"/>
    </row>
    <row r="68" spans="2:6">
      <c r="B68" s="995"/>
      <c r="C68" s="1223">
        <f>SUM(C66:C67)</f>
        <v>9332</v>
      </c>
      <c r="D68" s="589"/>
      <c r="F68" s="995"/>
    </row>
    <row r="70" spans="2:6">
      <c r="B70" s="971" t="s">
        <v>22</v>
      </c>
    </row>
  </sheetData>
  <phoneticPr fontId="27" type="noConversion"/>
  <pageMargins left="0.75" right="0.75" top="1" bottom="1" header="0.5" footer="0.5"/>
  <pageSetup orientation="landscape" r:id="rId1"/>
  <headerFooter alignWithMargins="0"/>
  <rowBreaks count="1" manualBreakCount="1">
    <brk id="34" max="16383"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6"/>
  <dimension ref="B2:F48"/>
  <sheetViews>
    <sheetView topLeftCell="A16" workbookViewId="0">
      <selection activeCell="C27" sqref="C27"/>
    </sheetView>
  </sheetViews>
  <sheetFormatPr defaultColWidth="9.140625" defaultRowHeight="12.75"/>
  <cols>
    <col min="1" max="1" width="4.42578125" style="921" customWidth="1"/>
    <col min="2" max="2" width="47.28515625" style="921" customWidth="1"/>
    <col min="3" max="3" width="13.7109375" style="921" customWidth="1"/>
    <col min="4" max="4" width="3" style="921" customWidth="1"/>
    <col min="5" max="5" width="11" style="921" bestFit="1" customWidth="1"/>
    <col min="6" max="6" width="11.140625" style="921" customWidth="1"/>
    <col min="7" max="16384" width="9.140625" style="921"/>
  </cols>
  <sheetData>
    <row r="2" spans="2:6">
      <c r="B2" s="1365" t="s">
        <v>1852</v>
      </c>
      <c r="C2" s="1366"/>
    </row>
    <row r="3" spans="2:6">
      <c r="B3" s="1366" t="s">
        <v>1853</v>
      </c>
      <c r="C3" s="1367" t="e">
        <f>+#REF!</f>
        <v>#REF!</v>
      </c>
    </row>
    <row r="4" spans="2:6">
      <c r="B4" s="1366" t="s">
        <v>1854</v>
      </c>
      <c r="C4" s="1368">
        <f>+'D 1'!K25</f>
        <v>8.3199999999999996E-2</v>
      </c>
    </row>
    <row r="5" spans="2:6">
      <c r="B5" s="1366" t="s">
        <v>1855</v>
      </c>
      <c r="C5" s="1367" t="e">
        <f>ROUND(C3*C4,0)</f>
        <v>#REF!</v>
      </c>
    </row>
    <row r="6" spans="2:6">
      <c r="B6" s="1366" t="s">
        <v>1856</v>
      </c>
      <c r="C6" s="1369" t="e">
        <f>+#REF!</f>
        <v>#REF!</v>
      </c>
    </row>
    <row r="7" spans="2:6">
      <c r="B7" s="1366" t="s">
        <v>1857</v>
      </c>
      <c r="C7" s="1370" t="e">
        <f>+C5-C6</f>
        <v>#REF!</v>
      </c>
    </row>
    <row r="8" spans="2:6">
      <c r="B8" s="1366" t="s">
        <v>1858</v>
      </c>
      <c r="C8" s="1371">
        <v>0.95499999999999996</v>
      </c>
    </row>
    <row r="9" spans="2:6">
      <c r="B9" s="1366" t="s">
        <v>1859</v>
      </c>
      <c r="C9" s="1367" t="e">
        <f>+C7/C8</f>
        <v>#REF!</v>
      </c>
      <c r="E9" s="1386"/>
    </row>
    <row r="10" spans="2:6">
      <c r="B10" s="1366" t="s">
        <v>1860</v>
      </c>
      <c r="C10" s="1371">
        <v>0.62370000000000003</v>
      </c>
      <c r="E10" s="1391"/>
    </row>
    <row r="11" spans="2:6">
      <c r="B11" s="1366" t="s">
        <v>1861</v>
      </c>
      <c r="C11" s="1367" t="e">
        <f>+C9/C10</f>
        <v>#REF!</v>
      </c>
      <c r="E11" s="1392"/>
      <c r="F11" s="1372"/>
    </row>
    <row r="12" spans="2:6">
      <c r="B12" s="1366"/>
      <c r="C12" s="1371"/>
      <c r="E12" s="1386"/>
    </row>
    <row r="13" spans="2:6">
      <c r="B13" s="1373" t="s">
        <v>1862</v>
      </c>
      <c r="C13" s="1374" t="e">
        <f>+C11/#REF!</f>
        <v>#REF!</v>
      </c>
    </row>
    <row r="14" spans="2:6">
      <c r="B14" s="1366"/>
      <c r="C14" s="1366"/>
    </row>
    <row r="15" spans="2:6">
      <c r="B15" s="1366" t="s">
        <v>1863</v>
      </c>
      <c r="C15" s="1367" t="e">
        <f>+C11</f>
        <v>#REF!</v>
      </c>
    </row>
    <row r="16" spans="2:6">
      <c r="B16" s="1375" t="s">
        <v>1873</v>
      </c>
      <c r="C16" s="1367" t="e">
        <f>-C37</f>
        <v>#REF!</v>
      </c>
      <c r="E16" s="1372" t="e">
        <f>+C15+C16</f>
        <v>#REF!</v>
      </c>
    </row>
    <row r="17" spans="2:6">
      <c r="B17" s="1366" t="s">
        <v>1864</v>
      </c>
      <c r="C17" s="1376" t="e">
        <f>(+C15+C16)*0.045</f>
        <v>#REF!</v>
      </c>
    </row>
    <row r="18" spans="2:6">
      <c r="B18" s="1366" t="s">
        <v>1865</v>
      </c>
      <c r="C18" s="1367" t="e">
        <f>+C15+C16-C17</f>
        <v>#REF!</v>
      </c>
    </row>
    <row r="19" spans="2:6">
      <c r="B19" s="1366" t="s">
        <v>1866</v>
      </c>
      <c r="C19" s="1376" t="e">
        <f>+C18*0.3763</f>
        <v>#REF!</v>
      </c>
    </row>
    <row r="20" spans="2:6">
      <c r="B20" s="1366" t="s">
        <v>1857</v>
      </c>
      <c r="C20" s="1367" t="e">
        <f>+C18-C19</f>
        <v>#REF!</v>
      </c>
    </row>
    <row r="23" spans="2:6">
      <c r="B23" s="1365" t="s">
        <v>1867</v>
      </c>
      <c r="C23" s="1366"/>
    </row>
    <row r="24" spans="2:6">
      <c r="B24" s="1366" t="s">
        <v>1868</v>
      </c>
      <c r="C24" s="1367">
        <f>+'B 2'!I34</f>
        <v>5651325.7062393166</v>
      </c>
    </row>
    <row r="25" spans="2:6">
      <c r="B25" s="1366" t="s">
        <v>1854</v>
      </c>
      <c r="C25" s="1368">
        <f>+'D 1'!K25</f>
        <v>8.3199999999999996E-2</v>
      </c>
    </row>
    <row r="26" spans="2:6">
      <c r="B26" s="1366" t="s">
        <v>1855</v>
      </c>
      <c r="C26" s="1367">
        <f>ROUND(C24*C25,0)</f>
        <v>470190</v>
      </c>
    </row>
    <row r="27" spans="2:6">
      <c r="B27" s="1366" t="s">
        <v>1856</v>
      </c>
      <c r="C27" s="1369">
        <f>+'B 2'!F31</f>
        <v>193098.14489122946</v>
      </c>
    </row>
    <row r="28" spans="2:6">
      <c r="B28" s="1366" t="s">
        <v>1857</v>
      </c>
      <c r="C28" s="1370">
        <f>+C26-C27</f>
        <v>277091.85510877054</v>
      </c>
    </row>
    <row r="29" spans="2:6">
      <c r="B29" s="1366" t="s">
        <v>1858</v>
      </c>
      <c r="C29" s="1371">
        <v>0.95499999999999996</v>
      </c>
    </row>
    <row r="30" spans="2:6">
      <c r="B30" s="1366" t="s">
        <v>1859</v>
      </c>
      <c r="C30" s="1367">
        <f>+C28/C29</f>
        <v>290148.53938091156</v>
      </c>
      <c r="E30" s="1386"/>
    </row>
    <row r="31" spans="2:6">
      <c r="B31" s="1366" t="s">
        <v>1860</v>
      </c>
      <c r="C31" s="1371">
        <v>0.62370000000000003</v>
      </c>
      <c r="E31" s="1391"/>
    </row>
    <row r="32" spans="2:6">
      <c r="B32" s="1366" t="s">
        <v>1861</v>
      </c>
      <c r="C32" s="1367">
        <f>+C30/C31</f>
        <v>465205.29001268488</v>
      </c>
      <c r="E32" s="1392"/>
      <c r="F32" s="1372"/>
    </row>
    <row r="33" spans="2:5">
      <c r="B33" s="1366"/>
      <c r="C33" s="1371"/>
    </row>
    <row r="34" spans="2:5">
      <c r="B34" s="1373" t="s">
        <v>1862</v>
      </c>
      <c r="C34" s="1374"/>
    </row>
    <row r="35" spans="2:5">
      <c r="B35" s="1366"/>
      <c r="C35" s="1366"/>
    </row>
    <row r="36" spans="2:5">
      <c r="B36" s="1366" t="s">
        <v>1863</v>
      </c>
      <c r="C36" s="1367">
        <f>+C32</f>
        <v>465205.29001268488</v>
      </c>
    </row>
    <row r="37" spans="2:5">
      <c r="B37" s="1375" t="s">
        <v>1874</v>
      </c>
      <c r="C37" s="1377" t="e">
        <f>-C48</f>
        <v>#REF!</v>
      </c>
      <c r="E37" s="1372" t="e">
        <f>+C36+C37</f>
        <v>#REF!</v>
      </c>
    </row>
    <row r="38" spans="2:5">
      <c r="B38" s="1366" t="s">
        <v>1869</v>
      </c>
      <c r="C38" s="1367" t="e">
        <f>+C36+C37</f>
        <v>#REF!</v>
      </c>
    </row>
    <row r="39" spans="2:5">
      <c r="B39" s="1366" t="s">
        <v>1864</v>
      </c>
      <c r="C39" s="1376" t="e">
        <f>+C38*0.045</f>
        <v>#REF!</v>
      </c>
    </row>
    <row r="40" spans="2:5">
      <c r="B40" s="1366" t="s">
        <v>1865</v>
      </c>
      <c r="C40" s="1367" t="e">
        <f>+C38-C39</f>
        <v>#REF!</v>
      </c>
    </row>
    <row r="41" spans="2:5">
      <c r="B41" s="1366" t="s">
        <v>1866</v>
      </c>
      <c r="C41" s="1376" t="e">
        <f>+C40*0.3763</f>
        <v>#REF!</v>
      </c>
    </row>
    <row r="42" spans="2:5">
      <c r="B42" s="1366" t="s">
        <v>1857</v>
      </c>
      <c r="C42" s="1367" t="e">
        <f>+C40-C41</f>
        <v>#REF!</v>
      </c>
    </row>
    <row r="43" spans="2:5">
      <c r="E43" s="1390" t="e">
        <f>+E16+E37</f>
        <v>#REF!</v>
      </c>
    </row>
    <row r="46" spans="2:5">
      <c r="B46" s="1378" t="s">
        <v>1870</v>
      </c>
      <c r="C46" s="1379" t="e">
        <f>+#REF!</f>
        <v>#REF!</v>
      </c>
    </row>
    <row r="47" spans="2:5">
      <c r="B47" s="1380" t="s">
        <v>1871</v>
      </c>
      <c r="C47" s="1381">
        <f>+C25</f>
        <v>8.3199999999999996E-2</v>
      </c>
    </row>
    <row r="48" spans="2:5">
      <c r="B48" s="1382" t="s">
        <v>1872</v>
      </c>
      <c r="C48" s="1383" t="e">
        <f>+C46*C47</f>
        <v>#REF!</v>
      </c>
    </row>
  </sheetData>
  <pageMargins left="0.75" right="0.75" top="1" bottom="1" header="0.5" footer="0.5"/>
  <pageSetup orientation="portrait" horizontalDpi="4294967293" verticalDpi="4294967293"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104</vt:i4>
      </vt:variant>
      <vt:variant>
        <vt:lpstr>Named Ranges</vt:lpstr>
      </vt:variant>
      <vt:variant>
        <vt:i4>122</vt:i4>
      </vt:variant>
    </vt:vector>
  </HeadingPairs>
  <TitlesOfParts>
    <vt:vector size="226" baseType="lpstr">
      <vt:lpstr>Cover</vt:lpstr>
      <vt:lpstr>CONTENTS vol 1</vt:lpstr>
      <vt:lpstr>A 2</vt:lpstr>
      <vt:lpstr>A 3</vt:lpstr>
      <vt:lpstr>A 4</vt:lpstr>
      <vt:lpstr>A 6</vt:lpstr>
      <vt:lpstr>A 6 (a)</vt:lpstr>
      <vt:lpstr>A 7</vt:lpstr>
      <vt:lpstr>A 8</vt:lpstr>
      <vt:lpstr>A 10</vt:lpstr>
      <vt:lpstr>A 10 (a)</vt:lpstr>
      <vt:lpstr>A 11</vt:lpstr>
      <vt:lpstr>A 12</vt:lpstr>
      <vt:lpstr>A 12 (a)</vt:lpstr>
      <vt:lpstr>A 13</vt:lpstr>
      <vt:lpstr>A 14</vt:lpstr>
      <vt:lpstr>A 14 (a)</vt:lpstr>
      <vt:lpstr>A 15</vt:lpstr>
      <vt:lpstr>A 16</vt:lpstr>
      <vt:lpstr>A 17</vt:lpstr>
      <vt:lpstr>A 18</vt:lpstr>
      <vt:lpstr>A 18 (a)</vt:lpstr>
      <vt:lpstr>A 19</vt:lpstr>
      <vt:lpstr>A 19 (a)</vt:lpstr>
      <vt:lpstr>B 2</vt:lpstr>
      <vt:lpstr>B 3</vt:lpstr>
      <vt:lpstr>B 4</vt:lpstr>
      <vt:lpstr>B 6</vt:lpstr>
      <vt:lpstr>B 8</vt:lpstr>
      <vt:lpstr>B 9</vt:lpstr>
      <vt:lpstr>B 10</vt:lpstr>
      <vt:lpstr>B 11</vt:lpstr>
      <vt:lpstr>B 12</vt:lpstr>
      <vt:lpstr>B 12 (2)</vt:lpstr>
      <vt:lpstr>B 12 (3)</vt:lpstr>
      <vt:lpstr>B 12 (4)</vt:lpstr>
      <vt:lpstr>B 12 (5)</vt:lpstr>
      <vt:lpstr>B 12 (6)</vt:lpstr>
      <vt:lpstr>B 12 (7)</vt:lpstr>
      <vt:lpstr>B 12 (8)</vt:lpstr>
      <vt:lpstr>B 12 (9)</vt:lpstr>
      <vt:lpstr>B 12 (10)</vt:lpstr>
      <vt:lpstr>B 12 (11)</vt:lpstr>
      <vt:lpstr>B 12 (12)</vt:lpstr>
      <vt:lpstr>B 12 (13)</vt:lpstr>
      <vt:lpstr>B 14</vt:lpstr>
      <vt:lpstr>B 15</vt:lpstr>
      <vt:lpstr>C 1</vt:lpstr>
      <vt:lpstr>C 2 (s)</vt:lpstr>
      <vt:lpstr>C 3</vt:lpstr>
      <vt:lpstr>C 4</vt:lpstr>
      <vt:lpstr>C 5 (s)</vt:lpstr>
      <vt:lpstr>C 6</vt:lpstr>
      <vt:lpstr>C 7</vt:lpstr>
      <vt:lpstr>C 8</vt:lpstr>
      <vt:lpstr>C 9</vt:lpstr>
      <vt:lpstr>C 10</vt:lpstr>
      <vt:lpstr>D 1</vt:lpstr>
      <vt:lpstr>D 2</vt:lpstr>
      <vt:lpstr>D 3</vt:lpstr>
      <vt:lpstr>D 4</vt:lpstr>
      <vt:lpstr>D 5</vt:lpstr>
      <vt:lpstr>D 6</vt:lpstr>
      <vt:lpstr>D 7</vt:lpstr>
      <vt:lpstr>E 1 (s)</vt:lpstr>
      <vt:lpstr>E 2 (s)</vt:lpstr>
      <vt:lpstr>E 3</vt:lpstr>
      <vt:lpstr>E 4 (s)</vt:lpstr>
      <vt:lpstr>E 5 (s)</vt:lpstr>
      <vt:lpstr>E 6</vt:lpstr>
      <vt:lpstr>E 7</vt:lpstr>
      <vt:lpstr>E 8</vt:lpstr>
      <vt:lpstr>E 9</vt:lpstr>
      <vt:lpstr>E 10</vt:lpstr>
      <vt:lpstr>E 11</vt:lpstr>
      <vt:lpstr>E 12</vt:lpstr>
      <vt:lpstr>E 13</vt:lpstr>
      <vt:lpstr>E 14</vt:lpstr>
      <vt:lpstr>F 2</vt:lpstr>
      <vt:lpstr>F 4</vt:lpstr>
      <vt:lpstr>F 6</vt:lpstr>
      <vt:lpstr>F 6(2)</vt:lpstr>
      <vt:lpstr>F 7</vt:lpstr>
      <vt:lpstr>F 8</vt:lpstr>
      <vt:lpstr>F 10</vt:lpstr>
      <vt:lpstr>Trial Blc</vt:lpstr>
      <vt:lpstr>O&amp;M per TB</vt:lpstr>
      <vt:lpstr>12-31-15 Plant Acc Bal_PerAR</vt:lpstr>
      <vt:lpstr>12-31-15 CIAC Bal &amp; Proj_PerAR</vt:lpstr>
      <vt:lpstr>Working Capital_PerAR</vt:lpstr>
      <vt:lpstr>Other BalSheet Acct_PerAR</vt:lpstr>
      <vt:lpstr>O&amp;M</vt:lpstr>
      <vt:lpstr>12-31-15 Depreciation Exp_PerAR</vt:lpstr>
      <vt:lpstr>12-31-15 CIAC Amort Exp_PerAR</vt:lpstr>
      <vt:lpstr>Rev &amp; other exp</vt:lpstr>
      <vt:lpstr>IncomeAccountsAllocationPerAR </vt:lpstr>
      <vt:lpstr>CommonPlant_PerAR</vt:lpstr>
      <vt:lpstr>Interest Expense Adj_PerAR</vt:lpstr>
      <vt:lpstr>Rev Requirements Final</vt:lpstr>
      <vt:lpstr>PROFORMA YEAR</vt:lpstr>
      <vt:lpstr>AR to MFR</vt:lpstr>
      <vt:lpstr>Chemicals</vt:lpstr>
      <vt:lpstr>ProformaAdd</vt:lpstr>
      <vt:lpstr>ProformaExp</vt:lpstr>
      <vt:lpstr>'A 10 (a)'!A_10</vt:lpstr>
      <vt:lpstr>A_10</vt:lpstr>
      <vt:lpstr>A_11</vt:lpstr>
      <vt:lpstr>'A 12 (a)'!A_12</vt:lpstr>
      <vt:lpstr>A_12</vt:lpstr>
      <vt:lpstr>A_13</vt:lpstr>
      <vt:lpstr>'A 14 (a)'!A_14</vt:lpstr>
      <vt:lpstr>A_14</vt:lpstr>
      <vt:lpstr>A_15</vt:lpstr>
      <vt:lpstr>A_16</vt:lpstr>
      <vt:lpstr>A_2</vt:lpstr>
      <vt:lpstr>A_3</vt:lpstr>
      <vt:lpstr>A_4</vt:lpstr>
      <vt:lpstr>'A 6 (a)'!A_6</vt:lpstr>
      <vt:lpstr>A_6</vt:lpstr>
      <vt:lpstr>A_7</vt:lpstr>
      <vt:lpstr>A_8</vt:lpstr>
      <vt:lpstr>'B 10'!B_10</vt:lpstr>
      <vt:lpstr>B_11</vt:lpstr>
      <vt:lpstr>B_14</vt:lpstr>
      <vt:lpstr>B_15</vt:lpstr>
      <vt:lpstr>B_2</vt:lpstr>
      <vt:lpstr>'B 3'!B_3</vt:lpstr>
      <vt:lpstr>B_4</vt:lpstr>
      <vt:lpstr>'B 8'!B_8</vt:lpstr>
      <vt:lpstr>B_9</vt:lpstr>
      <vt:lpstr>C_1</vt:lpstr>
      <vt:lpstr>C_10</vt:lpstr>
      <vt:lpstr>C_2</vt:lpstr>
      <vt:lpstr>'C 3'!C_3</vt:lpstr>
      <vt:lpstr>C_4</vt:lpstr>
      <vt:lpstr>'C 5 (s)'!C_5</vt:lpstr>
      <vt:lpstr>C_7</vt:lpstr>
      <vt:lpstr>C_8</vt:lpstr>
      <vt:lpstr>C_9</vt:lpstr>
      <vt:lpstr>CONTENTS</vt:lpstr>
      <vt:lpstr>'E 1 (s)'!E_1</vt:lpstr>
      <vt:lpstr>'E 11'!E_11</vt:lpstr>
      <vt:lpstr>'E 12'!E_12</vt:lpstr>
      <vt:lpstr>'E 13'!E_13</vt:lpstr>
      <vt:lpstr>'E 14'!E_14</vt:lpstr>
      <vt:lpstr>'E 6'!E_6</vt:lpstr>
      <vt:lpstr>'E 7'!E_7</vt:lpstr>
      <vt:lpstr>'E 8'!E_8</vt:lpstr>
      <vt:lpstr>'E 9'!E_9</vt:lpstr>
      <vt:lpstr>'12-31-15 CIAC Amort Exp_PerAR'!Print_Area</vt:lpstr>
      <vt:lpstr>'12-31-15 CIAC Bal &amp; Proj_PerAR'!Print_Area</vt:lpstr>
      <vt:lpstr>'12-31-15 Depreciation Exp_PerAR'!Print_Area</vt:lpstr>
      <vt:lpstr>'12-31-15 Plant Acc Bal_PerAR'!Print_Area</vt:lpstr>
      <vt:lpstr>'A 10'!Print_Area</vt:lpstr>
      <vt:lpstr>'A 10 (a)'!Print_Area</vt:lpstr>
      <vt:lpstr>'A 11'!Print_Area</vt:lpstr>
      <vt:lpstr>'A 12'!Print_Area</vt:lpstr>
      <vt:lpstr>'A 12 (a)'!Print_Area</vt:lpstr>
      <vt:lpstr>'A 13'!Print_Area</vt:lpstr>
      <vt:lpstr>'A 14'!Print_Area</vt:lpstr>
      <vt:lpstr>'A 14 (a)'!Print_Area</vt:lpstr>
      <vt:lpstr>'A 15'!Print_Area</vt:lpstr>
      <vt:lpstr>'A 16'!Print_Area</vt:lpstr>
      <vt:lpstr>'A 17'!Print_Area</vt:lpstr>
      <vt:lpstr>'A 18'!Print_Area</vt:lpstr>
      <vt:lpstr>'A 18 (a)'!Print_Area</vt:lpstr>
      <vt:lpstr>'A 19'!Print_Area</vt:lpstr>
      <vt:lpstr>'A 19 (a)'!Print_Area</vt:lpstr>
      <vt:lpstr>'A 2'!Print_Area</vt:lpstr>
      <vt:lpstr>'A 3'!Print_Area</vt:lpstr>
      <vt:lpstr>'A 4'!Print_Area</vt:lpstr>
      <vt:lpstr>'A 6'!Print_Area</vt:lpstr>
      <vt:lpstr>'A 6 (a)'!Print_Area</vt:lpstr>
      <vt:lpstr>'A 7'!Print_Area</vt:lpstr>
      <vt:lpstr>'A 8'!Print_Area</vt:lpstr>
      <vt:lpstr>'AR to MFR'!Print_Area</vt:lpstr>
      <vt:lpstr>'B 10'!Print_Area</vt:lpstr>
      <vt:lpstr>'B 11'!Print_Area</vt:lpstr>
      <vt:lpstr>'B 12'!Print_Area</vt:lpstr>
      <vt:lpstr>'B 14'!Print_Area</vt:lpstr>
      <vt:lpstr>'B 15'!Print_Area</vt:lpstr>
      <vt:lpstr>'B 2'!Print_Area</vt:lpstr>
      <vt:lpstr>'B 3'!Print_Area</vt:lpstr>
      <vt:lpstr>'B 4'!Print_Area</vt:lpstr>
      <vt:lpstr>'B 8'!Print_Area</vt:lpstr>
      <vt:lpstr>'B 9'!Print_Area</vt:lpstr>
      <vt:lpstr>'C 1'!Print_Area</vt:lpstr>
      <vt:lpstr>'C 10'!Print_Area</vt:lpstr>
      <vt:lpstr>'C 2 (s)'!Print_Area</vt:lpstr>
      <vt:lpstr>'C 3'!Print_Area</vt:lpstr>
      <vt:lpstr>'C 4'!Print_Area</vt:lpstr>
      <vt:lpstr>'C 5 (s)'!Print_Area</vt:lpstr>
      <vt:lpstr>'C 6'!Print_Area</vt:lpstr>
      <vt:lpstr>'C 7'!Print_Area</vt:lpstr>
      <vt:lpstr>'C 8'!Print_Area</vt:lpstr>
      <vt:lpstr>'C 9'!Print_Area</vt:lpstr>
      <vt:lpstr>CommonPlant_PerAR!Print_Area</vt:lpstr>
      <vt:lpstr>'CONTENTS vol 1'!Print_Area</vt:lpstr>
      <vt:lpstr>'D 2'!Print_Area</vt:lpstr>
      <vt:lpstr>'D 7'!Print_Area</vt:lpstr>
      <vt:lpstr>'E 1 (s)'!Print_Area</vt:lpstr>
      <vt:lpstr>'E 10'!Print_Area</vt:lpstr>
      <vt:lpstr>'E 11'!Print_Area</vt:lpstr>
      <vt:lpstr>'E 12'!Print_Area</vt:lpstr>
      <vt:lpstr>'E 13'!Print_Area</vt:lpstr>
      <vt:lpstr>'E 14'!Print_Area</vt:lpstr>
      <vt:lpstr>'E 2 (s)'!Print_Area</vt:lpstr>
      <vt:lpstr>'E 3'!Print_Area</vt:lpstr>
      <vt:lpstr>'E 4 (s)'!Print_Area</vt:lpstr>
      <vt:lpstr>'E 5 (s)'!Print_Area</vt:lpstr>
      <vt:lpstr>'E 6'!Print_Area</vt:lpstr>
      <vt:lpstr>'E 7'!Print_Area</vt:lpstr>
      <vt:lpstr>'E 8'!Print_Area</vt:lpstr>
      <vt:lpstr>'E 9'!Print_Area</vt:lpstr>
      <vt:lpstr>'F 6'!Print_Area</vt:lpstr>
      <vt:lpstr>'IncomeAccountsAllocationPerAR '!Print_Area</vt:lpstr>
      <vt:lpstr>'Interest Expense Adj_PerAR'!Print_Area</vt:lpstr>
      <vt:lpstr>'Other BalSheet Acct_PerAR'!Print_Area</vt:lpstr>
      <vt:lpstr>ProformaAdd!Print_Area</vt:lpstr>
      <vt:lpstr>'Rev Requirements Final'!Print_Area</vt:lpstr>
      <vt:lpstr>'Working Capital_PerAR'!Print_Area</vt:lpstr>
      <vt:lpstr>'AR to MFR'!Print_Titles</vt:lpstr>
      <vt:lpstr>CommonPlant_PerAR!Print_Titles</vt:lpstr>
      <vt:lpstr>'CONTENTS vol 1'!Print_Titles</vt:lpstr>
      <vt:lpstr>'Other BalSheet Acct_PerAR'!Print_Titles</vt:lpstr>
      <vt:lpstr>ProformaAdd!Print_Titles</vt:lpstr>
    </vt:vector>
  </TitlesOfParts>
  <Company>Milian, Swain &amp; Associates, Inc.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Sanlando Utilities Corp TY 12/31/08</dc:title>
  <dc:creator>Cynthia Yapp</dc:creator>
  <cp:lastModifiedBy>Home</cp:lastModifiedBy>
  <cp:lastPrinted>2016-09-24T20:43:22Z</cp:lastPrinted>
  <dcterms:created xsi:type="dcterms:W3CDTF">1999-03-04T13:23:51Z</dcterms:created>
  <dcterms:modified xsi:type="dcterms:W3CDTF">2016-09-25T00:27:20Z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lient">
    <vt:lpwstr>Alafaya Utilities, Inc.</vt:lpwstr>
  </property>
  <property fmtid="{D5CDD505-2E9C-101B-9397-08002B2CF9AE}" pid="3" name="_NewReviewCycle">
    <vt:lpwstr/>
  </property>
</Properties>
</file>