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ctive_Cases\UtilitiesInc\Testimony\Workpapers\Staff_POD2and3_WPs\"/>
    </mc:Choice>
  </mc:AlternateContent>
  <bookViews>
    <workbookView xWindow="120" yWindow="1845" windowWidth="9405" windowHeight="2760" tabRatio="510"/>
  </bookViews>
  <sheets>
    <sheet name="ExhDR2" sheetId="30" r:id="rId1"/>
    <sheet name="ExhDR3_CL_TOC" sheetId="29" r:id="rId2"/>
    <sheet name="CL_wRR" sheetId="1" r:id="rId3"/>
    <sheet name="CL_wwRR" sheetId="26" r:id="rId4"/>
    <sheet name="CL_NOIadj" sheetId="2" r:id="rId5"/>
    <sheet name="CL_wRB" sheetId="4" r:id="rId6"/>
    <sheet name="CL_wwRB" sheetId="27" r:id="rId7"/>
    <sheet name="CL_RBadj" sheetId="5" r:id="rId8"/>
    <sheet name="CL_ROR" sheetId="144" r:id="rId9"/>
    <sheet name="ExhDR4_ER_TOC" sheetId="31" r:id="rId10"/>
    <sheet name="ER_wwRR" sheetId="33" r:id="rId11"/>
    <sheet name="ER_NOIadj" sheetId="34" r:id="rId12"/>
    <sheet name="ER_wwRB" sheetId="35" r:id="rId13"/>
    <sheet name="ER_RBadj" sheetId="36" r:id="rId14"/>
    <sheet name="ER_ROR" sheetId="131" r:id="rId15"/>
    <sheet name="ER_Plant" sheetId="163" r:id="rId16"/>
    <sheet name="ExhDR5_LAB_TOC" sheetId="37" r:id="rId17"/>
    <sheet name="LABwRR" sheetId="38" r:id="rId18"/>
    <sheet name="LABwwRR" sheetId="39" r:id="rId19"/>
    <sheet name="LAB_NOIadj" sheetId="40" r:id="rId20"/>
    <sheet name="LAB_wRB" sheetId="41" r:id="rId21"/>
    <sheet name="LAB_wwRB" sheetId="42" r:id="rId22"/>
    <sheet name="LAB_RBadj" sheetId="43" r:id="rId23"/>
    <sheet name="LAB_ROR" sheetId="145" r:id="rId24"/>
    <sheet name="LAB_UandU" sheetId="146" r:id="rId25"/>
    <sheet name="ExhDR6_LP_TOC" sheetId="44" r:id="rId26"/>
    <sheet name="LP_wRR" sheetId="45" r:id="rId27"/>
    <sheet name="LP_wwRR" sheetId="46" r:id="rId28"/>
    <sheet name="LP_NOIadj" sheetId="47" r:id="rId29"/>
    <sheet name="LP_wRB" sheetId="48" r:id="rId30"/>
    <sheet name="LP_wwRB" sheetId="49" r:id="rId31"/>
    <sheet name="LP_RBadj" sheetId="50" r:id="rId32"/>
    <sheet name="LP_ROR" sheetId="126" r:id="rId33"/>
    <sheet name="LP_UandU" sheetId="147" r:id="rId34"/>
    <sheet name="ExhDR7_LW_TOC" sheetId="51" r:id="rId35"/>
    <sheet name="LW_wwRR" sheetId="52" r:id="rId36"/>
    <sheet name="LW_NOIadj" sheetId="53" r:id="rId37"/>
    <sheet name="LW_wwRB" sheetId="54" r:id="rId38"/>
    <sheet name="LW_RBadj" sheetId="55" r:id="rId39"/>
    <sheet name="LW_ROR" sheetId="125" r:id="rId40"/>
    <sheet name="ExhDR8_LUS_TOC" sheetId="56" r:id="rId41"/>
    <sheet name="LUS_wRR" sheetId="57" r:id="rId42"/>
    <sheet name="LUS_wwRR" sheetId="58" r:id="rId43"/>
    <sheet name="LUS_NOIadj" sheetId="59" r:id="rId44"/>
    <sheet name="LUS_wRB" sheetId="61" r:id="rId45"/>
    <sheet name="LUS_wwRB" sheetId="60" r:id="rId46"/>
    <sheet name="LUS_RBadj" sheetId="62" r:id="rId47"/>
    <sheet name="LUS_ROR" sheetId="152" r:id="rId48"/>
    <sheet name="LUS_PlantA" sheetId="153" r:id="rId49"/>
    <sheet name="LUS_PlantB" sheetId="154" r:id="rId50"/>
    <sheet name="LUS_PlantC" sheetId="155" r:id="rId51"/>
    <sheet name="LUS_UandU" sheetId="156" r:id="rId52"/>
    <sheet name="ExhDR9_MC_TOC" sheetId="63" r:id="rId53"/>
    <sheet name="MC_wwRR" sheetId="66" r:id="rId54"/>
    <sheet name="MC_NOIadj" sheetId="65" r:id="rId55"/>
    <sheet name="MC_wwRB" sheetId="64" r:id="rId56"/>
    <sheet name="MC_RBadj" sheetId="67" r:id="rId57"/>
    <sheet name="MC_ROR" sheetId="133" r:id="rId58"/>
    <sheet name="MC_UandU" sheetId="134" r:id="rId59"/>
    <sheet name="MC_PlantA" sheetId="165" r:id="rId60"/>
    <sheet name="MC_PlantB" sheetId="164" r:id="rId61"/>
    <sheet name="ExhDR10_PB" sheetId="68" r:id="rId62"/>
    <sheet name="PB_wRR" sheetId="69" r:id="rId63"/>
    <sheet name="PB_wwRR" sheetId="70" r:id="rId64"/>
    <sheet name="PB_NOIadj" sheetId="71" r:id="rId65"/>
    <sheet name="PB_wRB" sheetId="72" r:id="rId66"/>
    <sheet name="PB_wwRB" sheetId="73" r:id="rId67"/>
    <sheet name="PB_RBadj" sheetId="74" r:id="rId68"/>
    <sheet name="PB_ROR" sheetId="137" r:id="rId69"/>
    <sheet name="ExhDR11_SH" sheetId="75" r:id="rId70"/>
    <sheet name="SH_wwRR" sheetId="76" r:id="rId71"/>
    <sheet name="SH_NOIadj" sheetId="77" r:id="rId72"/>
    <sheet name="SH_wwRB" sheetId="78" r:id="rId73"/>
    <sheet name="SH_RBadj" sheetId="79" r:id="rId74"/>
    <sheet name="SH_ROR" sheetId="124" r:id="rId75"/>
    <sheet name="SH_IandI" sheetId="123" r:id="rId76"/>
    <sheet name="SH_UandU" sheetId="128" r:id="rId77"/>
    <sheet name="SH_Plant" sheetId="166" r:id="rId78"/>
    <sheet name="ExhDR_12_SL" sheetId="80" r:id="rId79"/>
    <sheet name="SL_wRR" sheetId="81" r:id="rId80"/>
    <sheet name="SL_wwRR" sheetId="82" r:id="rId81"/>
    <sheet name="SL_NOIadj" sheetId="83" r:id="rId82"/>
    <sheet name="SL_wRB" sheetId="84" r:id="rId83"/>
    <sheet name="SL_wwRB" sheetId="85" r:id="rId84"/>
    <sheet name="SL_RBadj" sheetId="86" r:id="rId85"/>
    <sheet name="SL_ROR" sheetId="162" r:id="rId86"/>
    <sheet name="SL_Plant" sheetId="168" r:id="rId87"/>
    <sheet name="ExhDR_13_TV" sheetId="87" r:id="rId88"/>
    <sheet name="TV_wwRR" sheetId="88" r:id="rId89"/>
    <sheet name="TV_NOIadj" sheetId="89" r:id="rId90"/>
    <sheet name="TV_wwRB" sheetId="90" r:id="rId91"/>
    <sheet name="TV_RBadj" sheetId="91" r:id="rId92"/>
    <sheet name="TV_ROR" sheetId="141" r:id="rId93"/>
    <sheet name="ExhDR_14_SEM" sheetId="92" r:id="rId94"/>
    <sheet name="SEM_wRR" sheetId="93" r:id="rId95"/>
    <sheet name="SEM_wwRR" sheetId="94" r:id="rId96"/>
    <sheet name="SEM_NOIadj" sheetId="95" r:id="rId97"/>
    <sheet name="SEM_wRB" sheetId="96" r:id="rId98"/>
    <sheet name="SEM_wwRB" sheetId="97" r:id="rId99"/>
    <sheet name="SEM_RBadj" sheetId="98" r:id="rId100"/>
    <sheet name="SEM_ROR" sheetId="161" r:id="rId101"/>
    <sheet name="SEM_RetCap" sheetId="160" r:id="rId102"/>
    <sheet name="SEM_Plant" sheetId="169" r:id="rId103"/>
    <sheet name="SEM_PlantB" sheetId="170" r:id="rId104"/>
    <sheet name="ExhDR_15_OC" sheetId="99" r:id="rId105"/>
    <sheet name="OC_wRR" sheetId="100" r:id="rId106"/>
    <sheet name="OC_NOIadj" sheetId="101" r:id="rId107"/>
    <sheet name="OC_wRB" sheetId="102" r:id="rId108"/>
    <sheet name="OC_RBadj" sheetId="103" r:id="rId109"/>
    <sheet name="OC_ROR" sheetId="149" r:id="rId110"/>
    <sheet name="OC_Plant" sheetId="150" r:id="rId111"/>
    <sheet name="Exh_DR_16_PAS" sheetId="104" r:id="rId112"/>
    <sheet name="PAS_wRR" sheetId="105" r:id="rId113"/>
    <sheet name="PAS_wwRR" sheetId="106" r:id="rId114"/>
    <sheet name="PAS_NOIadj" sheetId="107" r:id="rId115"/>
    <sheet name="PAS_wRB" sheetId="108" r:id="rId116"/>
    <sheet name="PAS_wwRB" sheetId="109" r:id="rId117"/>
    <sheet name="PAS_RBadj" sheetId="110" r:id="rId118"/>
    <sheet name="PAS_ROR" sheetId="157" r:id="rId119"/>
    <sheet name="PAS_PurWtr" sheetId="158" r:id="rId120"/>
    <sheet name="PAS_Decom" sheetId="159" r:id="rId121"/>
    <sheet name="Exh_DR_17_PIN" sheetId="111" r:id="rId122"/>
    <sheet name="PIN_wRR" sheetId="112" r:id="rId123"/>
    <sheet name="PIN_NOIadj" sheetId="113" r:id="rId124"/>
    <sheet name="PIN_wRB" sheetId="114" r:id="rId125"/>
    <sheet name="PIN_RBadj" sheetId="115" r:id="rId126"/>
    <sheet name="PIN_ROR" sheetId="142" r:id="rId127"/>
    <sheet name="Exh_DR_18_MAR" sheetId="116" r:id="rId128"/>
    <sheet name="MAR_wRR" sheetId="117" r:id="rId129"/>
    <sheet name="MAR_wwRR" sheetId="118" r:id="rId130"/>
    <sheet name="MAR_NOIadj" sheetId="119" r:id="rId131"/>
    <sheet name="MAR_wRB" sheetId="120" r:id="rId132"/>
    <sheet name="MAR_wwRB" sheetId="121" r:id="rId133"/>
    <sheet name="MAR_RBadj" sheetId="122" r:id="rId134"/>
    <sheet name="MAR_UandU" sheetId="138" r:id="rId135"/>
    <sheet name="MAR_ROR" sheetId="139" r:id="rId136"/>
    <sheet name="WSC-Ins" sheetId="129" r:id="rId137"/>
    <sheet name="WSCs_Dep" sheetId="130" r:id="rId138"/>
    <sheet name="GIS_Proj" sheetId="167" r:id="rId139"/>
  </sheets>
  <calcPr calcId="152511" calcMode="autoNoTable" iterate="1" iterateCount="1" iterateDelta="0"/>
</workbook>
</file>

<file path=xl/calcChain.xml><?xml version="1.0" encoding="utf-8"?>
<calcChain xmlns="http://schemas.openxmlformats.org/spreadsheetml/2006/main">
  <c r="G13" i="74" l="1"/>
  <c r="C19" i="92" l="1"/>
  <c r="A19" i="92"/>
  <c r="C18" i="92"/>
  <c r="A18" i="92"/>
  <c r="J34" i="95"/>
  <c r="K28" i="98"/>
  <c r="K16" i="98"/>
  <c r="E43" i="170"/>
  <c r="G15" i="170" s="1"/>
  <c r="G21" i="170" s="1"/>
  <c r="J4" i="170"/>
  <c r="J3" i="170"/>
  <c r="A3" i="170"/>
  <c r="J2" i="170"/>
  <c r="J1" i="170"/>
  <c r="A1" i="170"/>
  <c r="K27" i="98"/>
  <c r="K15" i="98"/>
  <c r="J33" i="95"/>
  <c r="G18" i="169"/>
  <c r="G27" i="169" s="1"/>
  <c r="E27" i="169"/>
  <c r="C17" i="80"/>
  <c r="A17" i="80"/>
  <c r="G21" i="169"/>
  <c r="E16" i="169"/>
  <c r="E21" i="169" s="1"/>
  <c r="E24" i="169" s="1"/>
  <c r="J4" i="169"/>
  <c r="J3" i="169"/>
  <c r="A3" i="169"/>
  <c r="J2" i="169"/>
  <c r="J1" i="169"/>
  <c r="A1" i="169"/>
  <c r="G15" i="160"/>
  <c r="I18" i="86"/>
  <c r="H35" i="83" s="1"/>
  <c r="I34" i="86" s="1"/>
  <c r="J34" i="83"/>
  <c r="K33" i="86"/>
  <c r="K17" i="86"/>
  <c r="E27" i="168"/>
  <c r="J4" i="168"/>
  <c r="J3" i="168"/>
  <c r="A3" i="168"/>
  <c r="J2" i="168"/>
  <c r="J1" i="168"/>
  <c r="A1" i="168"/>
  <c r="G16" i="168"/>
  <c r="G21" i="168" s="1"/>
  <c r="E16" i="168"/>
  <c r="E18" i="168" s="1"/>
  <c r="H32" i="83"/>
  <c r="I31" i="86"/>
  <c r="I15" i="86"/>
  <c r="I16" i="86"/>
  <c r="I14" i="86"/>
  <c r="E25" i="53"/>
  <c r="F14" i="55"/>
  <c r="F27" i="55" s="1"/>
  <c r="G24" i="62"/>
  <c r="E19" i="156"/>
  <c r="I28" i="62"/>
  <c r="G19" i="156" s="1"/>
  <c r="H29" i="59"/>
  <c r="I19" i="156" s="1"/>
  <c r="H18" i="59"/>
  <c r="E29" i="113"/>
  <c r="E23" i="113"/>
  <c r="F23" i="115" s="1"/>
  <c r="F13" i="115"/>
  <c r="I43" i="170" l="1"/>
  <c r="G25" i="170"/>
  <c r="I25" i="170" s="1"/>
  <c r="G35" i="170"/>
  <c r="G41" i="170" s="1"/>
  <c r="I41" i="170" s="1"/>
  <c r="G31" i="170"/>
  <c r="G28" i="170" s="1"/>
  <c r="I28" i="170" s="1"/>
  <c r="I15" i="170"/>
  <c r="G18" i="170"/>
  <c r="I21" i="170"/>
  <c r="E18" i="169"/>
  <c r="I18" i="169" s="1"/>
  <c r="I15" i="98" s="1"/>
  <c r="G18" i="168"/>
  <c r="E21" i="168"/>
  <c r="E24" i="168" s="1"/>
  <c r="J24" i="119"/>
  <c r="K12" i="122"/>
  <c r="G25" i="113"/>
  <c r="H14" i="115"/>
  <c r="J31" i="107"/>
  <c r="K13" i="110"/>
  <c r="G25" i="101"/>
  <c r="H14" i="103"/>
  <c r="K14" i="98"/>
  <c r="J35" i="95"/>
  <c r="G27" i="168" l="1"/>
  <c r="G22" i="168" s="1"/>
  <c r="G24" i="168" s="1"/>
  <c r="I24" i="168" s="1"/>
  <c r="G33" i="86" s="1"/>
  <c r="G16" i="98"/>
  <c r="I31" i="170"/>
  <c r="F34" i="95" s="1"/>
  <c r="I35" i="170"/>
  <c r="G38" i="170"/>
  <c r="I38" i="170" s="1"/>
  <c r="I18" i="170"/>
  <c r="G28" i="98" s="1"/>
  <c r="I27" i="169"/>
  <c r="H33" i="95" s="1"/>
  <c r="G22" i="169"/>
  <c r="G24" i="169" s="1"/>
  <c r="I24" i="169" s="1"/>
  <c r="I27" i="98" s="1"/>
  <c r="I18" i="168"/>
  <c r="G17" i="86" s="1"/>
  <c r="I27" i="168"/>
  <c r="F34" i="83" s="1"/>
  <c r="H12" i="91"/>
  <c r="G23" i="89"/>
  <c r="K19" i="86"/>
  <c r="J36" i="83"/>
  <c r="K28" i="167"/>
  <c r="G31" i="77"/>
  <c r="H12" i="79"/>
  <c r="I13" i="74" l="1"/>
  <c r="H24" i="71"/>
  <c r="I22" i="74" s="1"/>
  <c r="F24" i="71"/>
  <c r="K13" i="74"/>
  <c r="J24" i="71"/>
  <c r="H26" i="71"/>
  <c r="H20" i="67"/>
  <c r="G27" i="65"/>
  <c r="K12" i="62"/>
  <c r="J26" i="59"/>
  <c r="G22" i="74" l="1"/>
  <c r="H12" i="55"/>
  <c r="G23" i="53"/>
  <c r="K12" i="50"/>
  <c r="J25" i="47"/>
  <c r="F28" i="40"/>
  <c r="I20" i="43"/>
  <c r="G20" i="43"/>
  <c r="I12" i="43"/>
  <c r="G12" i="43"/>
  <c r="K12" i="43"/>
  <c r="J28" i="40"/>
  <c r="G25" i="34"/>
  <c r="G12" i="36"/>
  <c r="J25" i="2"/>
  <c r="K12" i="5"/>
  <c r="K18" i="167"/>
  <c r="K16" i="167"/>
  <c r="K14" i="167"/>
  <c r="O14" i="167" s="1"/>
  <c r="E23" i="53" s="1"/>
  <c r="F25" i="55" s="1"/>
  <c r="G17" i="167"/>
  <c r="E12" i="167"/>
  <c r="G25" i="167"/>
  <c r="E25" i="167"/>
  <c r="E24" i="167"/>
  <c r="G23" i="167"/>
  <c r="K23" i="167" s="1"/>
  <c r="E23" i="167"/>
  <c r="E22" i="167"/>
  <c r="I22" i="167" s="1"/>
  <c r="G21" i="167"/>
  <c r="E21" i="167"/>
  <c r="I21" i="167" s="1"/>
  <c r="I13" i="110" l="1"/>
  <c r="O23" i="167"/>
  <c r="H31" i="107" s="1"/>
  <c r="I25" i="110" s="1"/>
  <c r="M21" i="167"/>
  <c r="F35" i="95" s="1"/>
  <c r="G26" i="98" s="1"/>
  <c r="G14" i="98"/>
  <c r="F14" i="103"/>
  <c r="M22" i="167"/>
  <c r="E25" i="101" s="1"/>
  <c r="F24" i="103" s="1"/>
  <c r="F12" i="55"/>
  <c r="O16" i="167"/>
  <c r="E27" i="65" s="1"/>
  <c r="F20" i="67"/>
  <c r="O18" i="167"/>
  <c r="E31" i="77" s="1"/>
  <c r="F12" i="79"/>
  <c r="K11" i="167"/>
  <c r="O11" i="167" s="1"/>
  <c r="E25" i="34" s="1"/>
  <c r="E22" i="36" s="1"/>
  <c r="K25" i="167"/>
  <c r="I23" i="167"/>
  <c r="K20" i="167"/>
  <c r="I12" i="167"/>
  <c r="M12" i="167" s="1"/>
  <c r="F30" i="40" s="1"/>
  <c r="I25" i="167"/>
  <c r="K17" i="167"/>
  <c r="O17" i="167" s="1"/>
  <c r="K21" i="167"/>
  <c r="I24" i="167"/>
  <c r="O10" i="167"/>
  <c r="E17" i="167"/>
  <c r="I17" i="167" s="1"/>
  <c r="M17" i="167" s="1"/>
  <c r="G12" i="167"/>
  <c r="K12" i="167" s="1"/>
  <c r="O12" i="167" s="1"/>
  <c r="G19" i="167"/>
  <c r="K19" i="167" s="1"/>
  <c r="E19" i="167"/>
  <c r="I19" i="167" s="1"/>
  <c r="G15" i="167"/>
  <c r="K15" i="167" s="1"/>
  <c r="E15" i="167"/>
  <c r="I15" i="167" s="1"/>
  <c r="M15" i="167" s="1"/>
  <c r="F26" i="59" s="1"/>
  <c r="G10" i="167"/>
  <c r="K10" i="167" s="1"/>
  <c r="I12" i="5" s="1"/>
  <c r="E10" i="167"/>
  <c r="I10" i="167" s="1"/>
  <c r="G13" i="167"/>
  <c r="K13" i="167" s="1"/>
  <c r="E13" i="167"/>
  <c r="I13" i="167" s="1"/>
  <c r="C17" i="75"/>
  <c r="A17" i="75"/>
  <c r="I31" i="128"/>
  <c r="G31" i="128"/>
  <c r="M10" i="167" l="1"/>
  <c r="F25" i="2" s="1"/>
  <c r="G20" i="5" s="1"/>
  <c r="G12" i="5"/>
  <c r="O19" i="167"/>
  <c r="H36" i="83" s="1"/>
  <c r="I35" i="86" s="1"/>
  <c r="I19" i="86"/>
  <c r="O21" i="167"/>
  <c r="H35" i="95" s="1"/>
  <c r="I26" i="98" s="1"/>
  <c r="I14" i="98"/>
  <c r="M19" i="167"/>
  <c r="F36" i="83" s="1"/>
  <c r="G35" i="86" s="1"/>
  <c r="G19" i="86"/>
  <c r="F14" i="115"/>
  <c r="M24" i="167"/>
  <c r="E25" i="113" s="1"/>
  <c r="O20" i="167"/>
  <c r="E23" i="89" s="1"/>
  <c r="F20" i="91" s="1"/>
  <c r="F12" i="91"/>
  <c r="G12" i="62"/>
  <c r="M23" i="167"/>
  <c r="F31" i="107" s="1"/>
  <c r="G25" i="110" s="1"/>
  <c r="G13" i="110"/>
  <c r="M25" i="167"/>
  <c r="F24" i="119" s="1"/>
  <c r="G22" i="122" s="1"/>
  <c r="G25" i="122" s="1"/>
  <c r="G12" i="122"/>
  <c r="I12" i="122"/>
  <c r="O25" i="167"/>
  <c r="H24" i="119" s="1"/>
  <c r="I22" i="122" s="1"/>
  <c r="I25" i="122" s="1"/>
  <c r="E12" i="36"/>
  <c r="F36" i="67"/>
  <c r="O13" i="167"/>
  <c r="H25" i="47" s="1"/>
  <c r="I12" i="50"/>
  <c r="I16" i="50" s="1"/>
  <c r="F22" i="79"/>
  <c r="M13" i="167"/>
  <c r="F25" i="47" s="1"/>
  <c r="G12" i="50"/>
  <c r="G16" i="50" s="1"/>
  <c r="O15" i="167"/>
  <c r="H26" i="59" s="1"/>
  <c r="I12" i="62"/>
  <c r="G27" i="62"/>
  <c r="K27" i="167"/>
  <c r="H25" i="2"/>
  <c r="I20" i="5" s="1"/>
  <c r="I27" i="167"/>
  <c r="E27" i="167"/>
  <c r="G28" i="167" s="1"/>
  <c r="G27" i="167"/>
  <c r="G32" i="77"/>
  <c r="H23" i="79"/>
  <c r="H13" i="79"/>
  <c r="F24" i="115" l="1"/>
  <c r="O27" i="167"/>
  <c r="F28" i="47"/>
  <c r="G23" i="50"/>
  <c r="G27" i="50" s="1"/>
  <c r="I23" i="50"/>
  <c r="I27" i="50" s="1"/>
  <c r="M27" i="167"/>
  <c r="I27" i="62"/>
  <c r="J4" i="166"/>
  <c r="J3" i="166"/>
  <c r="A3" i="166"/>
  <c r="J2" i="166"/>
  <c r="J1" i="166"/>
  <c r="A1" i="166"/>
  <c r="G16" i="166"/>
  <c r="G18" i="166" s="1"/>
  <c r="G27" i="166" s="1"/>
  <c r="E16" i="166"/>
  <c r="E21" i="166" s="1"/>
  <c r="E24" i="166" s="1"/>
  <c r="O28" i="167" l="1"/>
  <c r="E18" i="166"/>
  <c r="G21" i="166"/>
  <c r="G21" i="74"/>
  <c r="G16" i="48"/>
  <c r="C19" i="63"/>
  <c r="C18" i="63"/>
  <c r="A18" i="63"/>
  <c r="C17" i="63"/>
  <c r="C16" i="63"/>
  <c r="A16" i="63"/>
  <c r="I20" i="134"/>
  <c r="I19" i="134"/>
  <c r="G19" i="134"/>
  <c r="E19" i="134"/>
  <c r="F34" i="67"/>
  <c r="G33" i="65"/>
  <c r="G32" i="65"/>
  <c r="G30" i="65"/>
  <c r="H16" i="67"/>
  <c r="H32" i="67" s="1"/>
  <c r="G16" i="164"/>
  <c r="G18" i="164" s="1"/>
  <c r="G27" i="164" s="1"/>
  <c r="G32" i="164"/>
  <c r="G37" i="164" s="1"/>
  <c r="E27" i="164"/>
  <c r="H30" i="67"/>
  <c r="H14" i="67"/>
  <c r="F31" i="67"/>
  <c r="G20" i="134" s="1"/>
  <c r="F28" i="67"/>
  <c r="E27" i="165"/>
  <c r="G16" i="165"/>
  <c r="G21" i="165" s="1"/>
  <c r="E16" i="165"/>
  <c r="E18" i="165" s="1"/>
  <c r="J4" i="165"/>
  <c r="J3" i="165"/>
  <c r="A3" i="165"/>
  <c r="J2" i="165"/>
  <c r="J1" i="165"/>
  <c r="A1" i="165"/>
  <c r="J4" i="164"/>
  <c r="J3" i="164"/>
  <c r="A3" i="164"/>
  <c r="J2" i="164"/>
  <c r="J1" i="164"/>
  <c r="A1" i="164"/>
  <c r="G34" i="164"/>
  <c r="G43" i="164" s="1"/>
  <c r="E32" i="164"/>
  <c r="E34" i="164" s="1"/>
  <c r="G21" i="164"/>
  <c r="E16" i="164"/>
  <c r="E21" i="164" s="1"/>
  <c r="E24" i="164" s="1"/>
  <c r="F15" i="67"/>
  <c r="E20" i="134" s="1"/>
  <c r="G26" i="34"/>
  <c r="G27" i="34" s="1"/>
  <c r="G13" i="36"/>
  <c r="G23" i="36" s="1"/>
  <c r="E27" i="163"/>
  <c r="E43" i="163"/>
  <c r="G34" i="163"/>
  <c r="G43" i="163" s="1"/>
  <c r="E32" i="163"/>
  <c r="E34" i="163" s="1"/>
  <c r="I18" i="166" l="1"/>
  <c r="E27" i="166"/>
  <c r="I27" i="166" s="1"/>
  <c r="G18" i="134"/>
  <c r="G14" i="36"/>
  <c r="G24" i="36"/>
  <c r="G22" i="166"/>
  <c r="G24" i="166" s="1"/>
  <c r="I24" i="166" s="1"/>
  <c r="H17" i="67"/>
  <c r="H33" i="67"/>
  <c r="E18" i="164"/>
  <c r="I18" i="164" s="1"/>
  <c r="F16" i="67" s="1"/>
  <c r="G18" i="165"/>
  <c r="E21" i="165"/>
  <c r="E24" i="165" s="1"/>
  <c r="G38" i="164"/>
  <c r="G40" i="164" s="1"/>
  <c r="I43" i="164"/>
  <c r="E33" i="65" s="1"/>
  <c r="E37" i="164"/>
  <c r="E40" i="164" s="1"/>
  <c r="I34" i="164"/>
  <c r="F17" i="67" s="1"/>
  <c r="I34" i="163"/>
  <c r="E14" i="36" s="1"/>
  <c r="E37" i="163"/>
  <c r="E40" i="163" s="1"/>
  <c r="G37" i="163"/>
  <c r="I29" i="128" l="1"/>
  <c r="I30" i="128" s="1"/>
  <c r="I32" i="128" s="1"/>
  <c r="E32" i="77"/>
  <c r="F23" i="79"/>
  <c r="F25" i="79" s="1"/>
  <c r="G29" i="128"/>
  <c r="G30" i="128" s="1"/>
  <c r="G32" i="128" s="1"/>
  <c r="E29" i="128"/>
  <c r="E30" i="128" s="1"/>
  <c r="F13" i="79"/>
  <c r="F15" i="79" s="1"/>
  <c r="I40" i="164"/>
  <c r="F33" i="67" s="1"/>
  <c r="G27" i="165"/>
  <c r="I18" i="165"/>
  <c r="F14" i="67" s="1"/>
  <c r="I27" i="164"/>
  <c r="E32" i="65" s="1"/>
  <c r="G22" i="164"/>
  <c r="G24" i="164" s="1"/>
  <c r="I24" i="164" s="1"/>
  <c r="F32" i="67" s="1"/>
  <c r="G38" i="163"/>
  <c r="G40" i="163" s="1"/>
  <c r="I40" i="163" s="1"/>
  <c r="E24" i="36" s="1"/>
  <c r="I43" i="163"/>
  <c r="E27" i="34" s="1"/>
  <c r="I27" i="165" l="1"/>
  <c r="E30" i="65" s="1"/>
  <c r="G22" i="165"/>
  <c r="G24" i="165" s="1"/>
  <c r="I24" i="165" s="1"/>
  <c r="F30" i="67" s="1"/>
  <c r="F37" i="67" s="1"/>
  <c r="J4" i="163" l="1"/>
  <c r="J3" i="163"/>
  <c r="A3" i="163"/>
  <c r="J2" i="163"/>
  <c r="J1" i="163"/>
  <c r="A1" i="163"/>
  <c r="G18" i="163"/>
  <c r="G27" i="163" s="1"/>
  <c r="G16" i="163"/>
  <c r="G21" i="163" s="1"/>
  <c r="E16" i="163"/>
  <c r="E21" i="163" s="1"/>
  <c r="E24" i="163" s="1"/>
  <c r="H18" i="2"/>
  <c r="I24" i="5"/>
  <c r="E18" i="163" l="1"/>
  <c r="I27" i="163" s="1"/>
  <c r="E26" i="34" s="1"/>
  <c r="G22" i="163"/>
  <c r="G24" i="163" s="1"/>
  <c r="I24" i="163" s="1"/>
  <c r="E23" i="36" s="1"/>
  <c r="C16" i="29"/>
  <c r="A16" i="29"/>
  <c r="I18" i="163" l="1"/>
  <c r="E13" i="36" s="1"/>
  <c r="E15" i="36" s="1"/>
  <c r="G16" i="35"/>
  <c r="E25" i="36"/>
  <c r="H31" i="83"/>
  <c r="H30" i="83"/>
  <c r="I29" i="86"/>
  <c r="I13" i="86"/>
  <c r="H20" i="83"/>
  <c r="F19" i="83"/>
  <c r="I30" i="86" l="1"/>
  <c r="I36" i="86" s="1"/>
  <c r="G12" i="86"/>
  <c r="F17" i="83"/>
  <c r="H17" i="83" s="1"/>
  <c r="F16" i="83"/>
  <c r="H16" i="83" l="1"/>
  <c r="H41" i="83" s="1"/>
  <c r="F41" i="83"/>
  <c r="C16" i="80"/>
  <c r="A16" i="80"/>
  <c r="N25" i="82"/>
  <c r="N25" i="81"/>
  <c r="R4" i="162"/>
  <c r="R3" i="162"/>
  <c r="A3" i="162"/>
  <c r="R2" i="162"/>
  <c r="R1" i="162"/>
  <c r="A1" i="162"/>
  <c r="E20" i="162"/>
  <c r="G15" i="162" s="1"/>
  <c r="K18" i="162"/>
  <c r="K17" i="162"/>
  <c r="K16" i="162"/>
  <c r="F22" i="95"/>
  <c r="F21" i="95"/>
  <c r="F20" i="95"/>
  <c r="F19" i="95"/>
  <c r="F18" i="95"/>
  <c r="H17" i="95"/>
  <c r="G18" i="162" l="1"/>
  <c r="G14" i="162"/>
  <c r="G17" i="162"/>
  <c r="G16" i="162"/>
  <c r="G13" i="162"/>
  <c r="I37" i="98"/>
  <c r="G18" i="97" s="1"/>
  <c r="G37" i="98"/>
  <c r="G18" i="96" s="1"/>
  <c r="I33" i="98"/>
  <c r="G17" i="97" s="1"/>
  <c r="G33" i="98"/>
  <c r="G17" i="96" s="1"/>
  <c r="G20" i="162" l="1"/>
  <c r="C18" i="104" l="1"/>
  <c r="A18" i="104"/>
  <c r="C17" i="104"/>
  <c r="A17" i="104"/>
  <c r="C16" i="104"/>
  <c r="A16" i="104"/>
  <c r="C17" i="92"/>
  <c r="A17" i="92"/>
  <c r="C16" i="92"/>
  <c r="A16" i="92"/>
  <c r="K24" i="98"/>
  <c r="K12" i="98"/>
  <c r="J31" i="95"/>
  <c r="E16" i="160"/>
  <c r="E18" i="160" s="1"/>
  <c r="N25" i="94"/>
  <c r="N25" i="93"/>
  <c r="G21" i="160" l="1"/>
  <c r="E21" i="160"/>
  <c r="E24" i="160" s="1"/>
  <c r="G18" i="160" l="1"/>
  <c r="G27" i="160" s="1"/>
  <c r="I18" i="160" l="1"/>
  <c r="G12" i="98" s="1"/>
  <c r="I27" i="160" l="1"/>
  <c r="F31" i="95" s="1"/>
  <c r="G22" i="160"/>
  <c r="G24" i="160" s="1"/>
  <c r="I24" i="160" s="1"/>
  <c r="G24" i="98" s="1"/>
  <c r="R4" i="161"/>
  <c r="R3" i="161"/>
  <c r="A3" i="161"/>
  <c r="R2" i="161"/>
  <c r="R1" i="161"/>
  <c r="A1" i="161"/>
  <c r="E20" i="161"/>
  <c r="G13" i="161" s="1"/>
  <c r="K18" i="161"/>
  <c r="K17" i="161"/>
  <c r="K16" i="161"/>
  <c r="J4" i="160"/>
  <c r="J3" i="160"/>
  <c r="A3" i="160"/>
  <c r="J2" i="160"/>
  <c r="J1" i="160"/>
  <c r="A1" i="160"/>
  <c r="G17" i="161" l="1"/>
  <c r="G15" i="161"/>
  <c r="G16" i="161"/>
  <c r="G14" i="161"/>
  <c r="G18" i="161"/>
  <c r="F23" i="95"/>
  <c r="G20" i="161" l="1"/>
  <c r="F21" i="107" l="1"/>
  <c r="H20" i="107"/>
  <c r="I42" i="110" l="1"/>
  <c r="G18" i="109" s="1"/>
  <c r="I36" i="110"/>
  <c r="G17" i="109" s="1"/>
  <c r="I30" i="110"/>
  <c r="G16" i="109" s="1"/>
  <c r="I17" i="110"/>
  <c r="H32" i="107"/>
  <c r="F36" i="107" l="1"/>
  <c r="F28" i="107"/>
  <c r="G41" i="110"/>
  <c r="G42" i="110" s="1"/>
  <c r="G18" i="108" s="1"/>
  <c r="G36" i="110"/>
  <c r="G17" i="108" s="1"/>
  <c r="G32" i="159"/>
  <c r="G34" i="159" s="1"/>
  <c r="G14" i="159" s="1"/>
  <c r="J19" i="107"/>
  <c r="E21" i="159"/>
  <c r="E17" i="159"/>
  <c r="H4" i="159"/>
  <c r="H3" i="159"/>
  <c r="A3" i="159"/>
  <c r="H2" i="159"/>
  <c r="H1" i="159"/>
  <c r="A1" i="159"/>
  <c r="J17" i="107"/>
  <c r="G13" i="158"/>
  <c r="G12" i="158"/>
  <c r="H4" i="158"/>
  <c r="H3" i="158"/>
  <c r="A3" i="158"/>
  <c r="H2" i="158"/>
  <c r="H1" i="158"/>
  <c r="A1" i="158"/>
  <c r="G14" i="158" l="1"/>
  <c r="G15" i="158" s="1"/>
  <c r="G18" i="158" s="1"/>
  <c r="F17" i="107" s="1"/>
  <c r="G21" i="159"/>
  <c r="G17" i="159"/>
  <c r="E24" i="159"/>
  <c r="E26" i="159" s="1"/>
  <c r="G26" i="110"/>
  <c r="G30" i="110" s="1"/>
  <c r="G14" i="110"/>
  <c r="G17" i="110" s="1"/>
  <c r="N25" i="106"/>
  <c r="N25" i="105"/>
  <c r="R4" i="157"/>
  <c r="R3" i="157"/>
  <c r="A3" i="157"/>
  <c r="R2" i="157"/>
  <c r="R1" i="157"/>
  <c r="A1" i="157"/>
  <c r="E20" i="157"/>
  <c r="G13" i="157" s="1"/>
  <c r="K18" i="157"/>
  <c r="K17" i="157"/>
  <c r="K16" i="157"/>
  <c r="F17" i="55"/>
  <c r="F30" i="55" s="1"/>
  <c r="G24" i="159" l="1"/>
  <c r="G26" i="159" s="1"/>
  <c r="G28" i="159" s="1"/>
  <c r="F19" i="107" s="1"/>
  <c r="G17" i="157"/>
  <c r="G16" i="157"/>
  <c r="G14" i="157"/>
  <c r="G15" i="157"/>
  <c r="G18" i="157"/>
  <c r="G16" i="120"/>
  <c r="G15" i="122"/>
  <c r="G20" i="157" l="1"/>
  <c r="E24" i="113"/>
  <c r="E26" i="113" s="1"/>
  <c r="E28" i="53" l="1"/>
  <c r="F31" i="55" s="1"/>
  <c r="C23" i="56" l="1"/>
  <c r="A23" i="56"/>
  <c r="C22" i="56"/>
  <c r="C21" i="56"/>
  <c r="A21" i="56"/>
  <c r="C20" i="56"/>
  <c r="C19" i="56"/>
  <c r="A19" i="56"/>
  <c r="C18" i="56"/>
  <c r="C17" i="56"/>
  <c r="A17" i="56"/>
  <c r="C16" i="56"/>
  <c r="A16" i="56"/>
  <c r="J27" i="59"/>
  <c r="K21" i="62"/>
  <c r="G14" i="156"/>
  <c r="I23" i="156"/>
  <c r="G23" i="156"/>
  <c r="E23" i="156"/>
  <c r="J4" i="156"/>
  <c r="J3" i="156"/>
  <c r="A3" i="156"/>
  <c r="J2" i="156"/>
  <c r="J1" i="156"/>
  <c r="A1" i="156"/>
  <c r="J32" i="59"/>
  <c r="J33" i="59" s="1"/>
  <c r="K16" i="62"/>
  <c r="K31" i="62" s="1"/>
  <c r="E53" i="155"/>
  <c r="E48" i="155"/>
  <c r="E50" i="155" s="1"/>
  <c r="E45" i="155"/>
  <c r="G44" i="155"/>
  <c r="G45" i="155" s="1"/>
  <c r="E34" i="155"/>
  <c r="E36" i="155" s="1"/>
  <c r="E31" i="155"/>
  <c r="G30" i="155"/>
  <c r="G34" i="155" s="1"/>
  <c r="G16" i="155"/>
  <c r="K17" i="62" l="1"/>
  <c r="K32" i="62" s="1"/>
  <c r="G53" i="155"/>
  <c r="I45" i="155"/>
  <c r="I17" i="62" s="1"/>
  <c r="G48" i="155"/>
  <c r="G31" i="155"/>
  <c r="G39" i="155" s="1"/>
  <c r="I53" i="155" l="1"/>
  <c r="H33" i="59" s="1"/>
  <c r="G49" i="155"/>
  <c r="G50" i="155" s="1"/>
  <c r="I50" i="155" s="1"/>
  <c r="I32" i="62" s="1"/>
  <c r="I31" i="155"/>
  <c r="I16" i="62" s="1"/>
  <c r="I39" i="155" l="1"/>
  <c r="H32" i="59" s="1"/>
  <c r="G35" i="155"/>
  <c r="G36" i="155" s="1"/>
  <c r="I36" i="155" s="1"/>
  <c r="I31" i="62" s="1"/>
  <c r="J4" i="155" l="1"/>
  <c r="J3" i="155"/>
  <c r="A3" i="155"/>
  <c r="J2" i="155"/>
  <c r="J1" i="155"/>
  <c r="A1" i="155"/>
  <c r="G17" i="155"/>
  <c r="G25" i="155" s="1"/>
  <c r="E17" i="155"/>
  <c r="E25" i="155" s="1"/>
  <c r="E31" i="128"/>
  <c r="E32" i="128" s="1"/>
  <c r="E18" i="147"/>
  <c r="E16" i="138"/>
  <c r="I25" i="134"/>
  <c r="G25" i="134"/>
  <c r="E25" i="134"/>
  <c r="I19" i="147"/>
  <c r="G19" i="147"/>
  <c r="E19" i="147"/>
  <c r="I19" i="146"/>
  <c r="G19" i="146"/>
  <c r="E19" i="146"/>
  <c r="I17" i="138"/>
  <c r="G17" i="138"/>
  <c r="E17" i="138"/>
  <c r="E20" i="155" l="1"/>
  <c r="E22" i="155" s="1"/>
  <c r="I17" i="155"/>
  <c r="G16" i="62" s="1"/>
  <c r="G20" i="155"/>
  <c r="J31" i="59"/>
  <c r="K30" i="62"/>
  <c r="K15" i="62"/>
  <c r="G16" i="154"/>
  <c r="G18" i="154" s="1"/>
  <c r="G27" i="154" s="1"/>
  <c r="E16" i="154"/>
  <c r="E21" i="154" s="1"/>
  <c r="J4" i="154"/>
  <c r="J3" i="154"/>
  <c r="A3" i="154"/>
  <c r="J2" i="154"/>
  <c r="J1" i="154"/>
  <c r="A1" i="154"/>
  <c r="K29" i="62"/>
  <c r="J30" i="59"/>
  <c r="K14" i="62"/>
  <c r="G25" i="153"/>
  <c r="I25" i="153" s="1"/>
  <c r="I14" i="62" s="1"/>
  <c r="E31" i="153"/>
  <c r="E28" i="153" s="1"/>
  <c r="G15" i="153"/>
  <c r="E21" i="153"/>
  <c r="J4" i="153"/>
  <c r="J3" i="153"/>
  <c r="A3" i="153"/>
  <c r="J2" i="153"/>
  <c r="J1" i="153"/>
  <c r="A1" i="153"/>
  <c r="G21" i="155" l="1"/>
  <c r="G22" i="155" s="1"/>
  <c r="I22" i="155" s="1"/>
  <c r="G31" i="62" s="1"/>
  <c r="I25" i="155"/>
  <c r="F32" i="59" s="1"/>
  <c r="G21" i="154"/>
  <c r="E18" i="154"/>
  <c r="I18" i="154"/>
  <c r="I15" i="62" s="1"/>
  <c r="E18" i="156" s="1"/>
  <c r="E22" i="156" s="1"/>
  <c r="E24" i="156" s="1"/>
  <c r="E26" i="156" s="1"/>
  <c r="G31" i="153"/>
  <c r="E18" i="153"/>
  <c r="E24" i="154" l="1"/>
  <c r="E27" i="154"/>
  <c r="I27" i="154" s="1"/>
  <c r="H31" i="59" s="1"/>
  <c r="I18" i="156" s="1"/>
  <c r="I22" i="156" s="1"/>
  <c r="I24" i="156" s="1"/>
  <c r="I26" i="156" s="1"/>
  <c r="I30" i="156" s="1"/>
  <c r="H27" i="59" s="1"/>
  <c r="G22" i="154"/>
  <c r="G24" i="154" s="1"/>
  <c r="I24" i="154" s="1"/>
  <c r="I30" i="62" s="1"/>
  <c r="G18" i="156" s="1"/>
  <c r="G22" i="156" s="1"/>
  <c r="G24" i="156" s="1"/>
  <c r="G26" i="156" s="1"/>
  <c r="G28" i="156" s="1"/>
  <c r="I21" i="62" s="1"/>
  <c r="I24" i="62" s="1"/>
  <c r="I31" i="153"/>
  <c r="H30" i="59" s="1"/>
  <c r="G28" i="153"/>
  <c r="I28" i="153" s="1"/>
  <c r="G21" i="153"/>
  <c r="I15" i="153"/>
  <c r="G14" i="62" s="1"/>
  <c r="I29" i="62" l="1"/>
  <c r="I33" i="62" s="1"/>
  <c r="G16" i="60" s="1"/>
  <c r="H34" i="59"/>
  <c r="I21" i="153"/>
  <c r="F30" i="59" s="1"/>
  <c r="F34" i="59" s="1"/>
  <c r="G18" i="153"/>
  <c r="I18" i="153" s="1"/>
  <c r="G29" i="62" l="1"/>
  <c r="G33" i="62" s="1"/>
  <c r="G16" i="61" s="1"/>
  <c r="H38" i="59"/>
  <c r="N25" i="58" l="1"/>
  <c r="N25" i="57"/>
  <c r="R4" i="152"/>
  <c r="R3" i="152"/>
  <c r="A3" i="152"/>
  <c r="R2" i="152"/>
  <c r="R1" i="152"/>
  <c r="A1" i="152"/>
  <c r="E20" i="152"/>
  <c r="G15" i="152" s="1"/>
  <c r="K18" i="152"/>
  <c r="K17" i="152"/>
  <c r="K16" i="152"/>
  <c r="G17" i="152" l="1"/>
  <c r="G13" i="152"/>
  <c r="G16" i="152"/>
  <c r="G18" i="152"/>
  <c r="G14" i="152"/>
  <c r="C14" i="111"/>
  <c r="A14" i="111"/>
  <c r="C15" i="99"/>
  <c r="A15" i="99"/>
  <c r="C14" i="99"/>
  <c r="A14" i="99"/>
  <c r="C15" i="63"/>
  <c r="A15" i="63"/>
  <c r="C17" i="44"/>
  <c r="A17" i="44"/>
  <c r="C17" i="37"/>
  <c r="A17" i="37"/>
  <c r="C16" i="37"/>
  <c r="A16" i="37"/>
  <c r="G24" i="101"/>
  <c r="H23" i="103"/>
  <c r="H13" i="103"/>
  <c r="E26" i="150"/>
  <c r="G15" i="150"/>
  <c r="G20" i="150" s="1"/>
  <c r="J4" i="150"/>
  <c r="J3" i="150"/>
  <c r="A3" i="150"/>
  <c r="J2" i="150"/>
  <c r="J1" i="150"/>
  <c r="A1" i="150"/>
  <c r="E15" i="150"/>
  <c r="E17" i="150" s="1"/>
  <c r="G17" i="150" l="1"/>
  <c r="G26" i="150" s="1"/>
  <c r="G20" i="152"/>
  <c r="I17" i="150"/>
  <c r="F13" i="103" s="1"/>
  <c r="G21" i="150"/>
  <c r="G23" i="150" s="1"/>
  <c r="I26" i="150"/>
  <c r="E24" i="101" s="1"/>
  <c r="E20" i="150"/>
  <c r="E23" i="150" s="1"/>
  <c r="I23" i="150" l="1"/>
  <c r="F23" i="103" s="1"/>
  <c r="N25" i="100"/>
  <c r="R4" i="149"/>
  <c r="R3" i="149"/>
  <c r="A3" i="149"/>
  <c r="R2" i="149"/>
  <c r="R1" i="149"/>
  <c r="A1" i="149"/>
  <c r="E20" i="149"/>
  <c r="G18" i="149" s="1"/>
  <c r="K18" i="149"/>
  <c r="K17" i="149"/>
  <c r="K16" i="149"/>
  <c r="G17" i="149" l="1"/>
  <c r="G14" i="149"/>
  <c r="G15" i="149"/>
  <c r="G13" i="149"/>
  <c r="G16" i="149"/>
  <c r="E27" i="53"/>
  <c r="F29" i="55" s="1"/>
  <c r="F32" i="55" s="1"/>
  <c r="E26" i="53"/>
  <c r="F15" i="55"/>
  <c r="F18" i="55" s="1"/>
  <c r="J27" i="47"/>
  <c r="K19" i="50"/>
  <c r="J4" i="147"/>
  <c r="J3" i="147"/>
  <c r="A3" i="147"/>
  <c r="J2" i="147"/>
  <c r="J1" i="147"/>
  <c r="A1" i="147"/>
  <c r="I18" i="147"/>
  <c r="G18" i="147"/>
  <c r="F16" i="47"/>
  <c r="H26" i="47"/>
  <c r="E29" i="53" l="1"/>
  <c r="G20" i="149"/>
  <c r="I20" i="147"/>
  <c r="I24" i="147" s="1"/>
  <c r="H27" i="47" s="1"/>
  <c r="H28" i="47" s="1"/>
  <c r="G20" i="147"/>
  <c r="E20" i="147"/>
  <c r="H25" i="95"/>
  <c r="F25" i="95"/>
  <c r="H24" i="95"/>
  <c r="F24" i="95"/>
  <c r="H22" i="107"/>
  <c r="F22" i="107"/>
  <c r="H16" i="119"/>
  <c r="F16" i="119"/>
  <c r="E17" i="101"/>
  <c r="E16" i="113"/>
  <c r="H18" i="47"/>
  <c r="F18" i="47"/>
  <c r="H17" i="71"/>
  <c r="F17" i="71"/>
  <c r="H21" i="40"/>
  <c r="F21" i="40"/>
  <c r="E23" i="77"/>
  <c r="H22" i="83"/>
  <c r="F22" i="83"/>
  <c r="F21" i="83"/>
  <c r="H16" i="2"/>
  <c r="H17" i="2"/>
  <c r="F17" i="2"/>
  <c r="G22" i="147" l="1"/>
  <c r="I19" i="50" s="1"/>
  <c r="F18" i="40"/>
  <c r="J29" i="40"/>
  <c r="K16" i="43"/>
  <c r="J4" i="146"/>
  <c r="J3" i="146"/>
  <c r="A3" i="146"/>
  <c r="J2" i="146"/>
  <c r="J1" i="146"/>
  <c r="A1" i="146"/>
  <c r="I18" i="146"/>
  <c r="G18" i="146"/>
  <c r="E18" i="146"/>
  <c r="E20" i="146" s="1"/>
  <c r="F16" i="40"/>
  <c r="H17" i="40"/>
  <c r="F17" i="40"/>
  <c r="H19" i="40"/>
  <c r="F19" i="40"/>
  <c r="N25" i="39"/>
  <c r="N25" i="38"/>
  <c r="R4" i="145"/>
  <c r="R3" i="145"/>
  <c r="A3" i="145"/>
  <c r="R2" i="145"/>
  <c r="R1" i="145"/>
  <c r="A1" i="145"/>
  <c r="E20" i="145"/>
  <c r="G15" i="145" s="1"/>
  <c r="K18" i="145"/>
  <c r="K17" i="145"/>
  <c r="K16" i="145"/>
  <c r="I20" i="146" l="1"/>
  <c r="I24" i="146" s="1"/>
  <c r="H29" i="40" s="1"/>
  <c r="H30" i="40" s="1"/>
  <c r="G20" i="146"/>
  <c r="G22" i="146" s="1"/>
  <c r="I16" i="43" s="1"/>
  <c r="G17" i="145"/>
  <c r="G14" i="145"/>
  <c r="G16" i="145"/>
  <c r="G18" i="145"/>
  <c r="G13" i="145"/>
  <c r="N25" i="70"/>
  <c r="N25" i="26"/>
  <c r="N25" i="1"/>
  <c r="R4" i="144"/>
  <c r="R3" i="144"/>
  <c r="A3" i="144"/>
  <c r="R2" i="144"/>
  <c r="A2" i="144"/>
  <c r="R1" i="144"/>
  <c r="A1" i="144"/>
  <c r="E20" i="144"/>
  <c r="G13" i="144" s="1"/>
  <c r="K18" i="144"/>
  <c r="K17" i="144"/>
  <c r="K16" i="144"/>
  <c r="G20" i="145" l="1"/>
  <c r="G15" i="144"/>
  <c r="G14" i="144"/>
  <c r="G17" i="144"/>
  <c r="G16" i="144"/>
  <c r="G18" i="144"/>
  <c r="G20" i="144" l="1"/>
  <c r="E17" i="113" l="1"/>
  <c r="F28" i="115"/>
  <c r="N25" i="112" l="1"/>
  <c r="R4" i="142"/>
  <c r="R3" i="142"/>
  <c r="A3" i="142"/>
  <c r="R2" i="142"/>
  <c r="R1" i="142"/>
  <c r="A1" i="142"/>
  <c r="E20" i="142"/>
  <c r="G15" i="142" s="1"/>
  <c r="K18" i="142"/>
  <c r="K17" i="142"/>
  <c r="K16" i="142"/>
  <c r="C14" i="87"/>
  <c r="A14" i="87"/>
  <c r="N25" i="88"/>
  <c r="R4" i="141"/>
  <c r="R3" i="141"/>
  <c r="A3" i="141"/>
  <c r="R2" i="141"/>
  <c r="R1" i="141"/>
  <c r="A1" i="141"/>
  <c r="E20" i="141"/>
  <c r="G15" i="141" s="1"/>
  <c r="K18" i="141"/>
  <c r="K17" i="141"/>
  <c r="K16" i="141"/>
  <c r="G18" i="142" l="1"/>
  <c r="G14" i="142"/>
  <c r="G17" i="142"/>
  <c r="G13" i="142"/>
  <c r="G16" i="142"/>
  <c r="G17" i="141"/>
  <c r="G16" i="141"/>
  <c r="G14" i="141"/>
  <c r="G18" i="141"/>
  <c r="G13" i="141"/>
  <c r="N25" i="46"/>
  <c r="N25" i="118"/>
  <c r="C17" i="116"/>
  <c r="A17" i="116"/>
  <c r="C16" i="116"/>
  <c r="A16" i="116"/>
  <c r="N25" i="117"/>
  <c r="R4" i="139"/>
  <c r="R3" i="139"/>
  <c r="A3" i="139"/>
  <c r="R2" i="139"/>
  <c r="R1" i="139"/>
  <c r="A1" i="139"/>
  <c r="E20" i="139"/>
  <c r="G15" i="139" s="1"/>
  <c r="K18" i="139"/>
  <c r="K17" i="139"/>
  <c r="K16" i="139"/>
  <c r="J23" i="119"/>
  <c r="K18" i="122"/>
  <c r="J4" i="138"/>
  <c r="J3" i="138"/>
  <c r="A3" i="138"/>
  <c r="J2" i="138"/>
  <c r="J1" i="138"/>
  <c r="A1" i="138"/>
  <c r="I16" i="138"/>
  <c r="I18" i="138" s="1"/>
  <c r="I22" i="138" s="1"/>
  <c r="H23" i="119" s="1"/>
  <c r="G16" i="138"/>
  <c r="G18" i="138" s="1"/>
  <c r="E18" i="138"/>
  <c r="G20" i="142" l="1"/>
  <c r="G20" i="141"/>
  <c r="G17" i="139"/>
  <c r="G14" i="139"/>
  <c r="G18" i="139"/>
  <c r="G16" i="139"/>
  <c r="G13" i="139"/>
  <c r="G20" i="138"/>
  <c r="I18" i="122" s="1"/>
  <c r="G20" i="139" l="1"/>
  <c r="F29" i="71"/>
  <c r="H29" i="71" s="1"/>
  <c r="F25" i="71" l="1"/>
  <c r="F26" i="71" s="1"/>
  <c r="G12" i="74"/>
  <c r="N25" i="69"/>
  <c r="C16" i="68"/>
  <c r="A16" i="68"/>
  <c r="R4" i="137"/>
  <c r="R3" i="137"/>
  <c r="A3" i="137"/>
  <c r="R2" i="137"/>
  <c r="R1" i="137"/>
  <c r="A1" i="137"/>
  <c r="E20" i="137"/>
  <c r="G13" i="137" s="1"/>
  <c r="K18" i="137"/>
  <c r="K17" i="137"/>
  <c r="K16" i="137"/>
  <c r="G16" i="137" l="1"/>
  <c r="G18" i="137"/>
  <c r="G14" i="137"/>
  <c r="G15" i="137"/>
  <c r="G17" i="137"/>
  <c r="F17" i="119"/>
  <c r="G20" i="137" l="1"/>
  <c r="G36" i="65"/>
  <c r="H24" i="67"/>
  <c r="I18" i="134"/>
  <c r="I24" i="134" s="1"/>
  <c r="J4" i="134"/>
  <c r="J3" i="134"/>
  <c r="A3" i="134"/>
  <c r="J2" i="134"/>
  <c r="J1" i="134"/>
  <c r="A1" i="134"/>
  <c r="I26" i="134" l="1"/>
  <c r="E18" i="65"/>
  <c r="I30" i="134" l="1"/>
  <c r="E36" i="65" s="1"/>
  <c r="E37" i="65" s="1"/>
  <c r="E16" i="65"/>
  <c r="E41" i="65" s="1"/>
  <c r="F13" i="67"/>
  <c r="C16" i="75"/>
  <c r="A16" i="75"/>
  <c r="C15" i="75"/>
  <c r="A15" i="75"/>
  <c r="C14" i="75"/>
  <c r="A14" i="75"/>
  <c r="C14" i="63"/>
  <c r="A14" i="63"/>
  <c r="C14" i="51"/>
  <c r="A14" i="51"/>
  <c r="C16" i="44"/>
  <c r="A16" i="44"/>
  <c r="A14" i="31"/>
  <c r="C14" i="31"/>
  <c r="N25" i="45"/>
  <c r="N25" i="66"/>
  <c r="R4" i="133"/>
  <c r="R3" i="133"/>
  <c r="A3" i="133"/>
  <c r="R2" i="133"/>
  <c r="R1" i="133"/>
  <c r="A1" i="133"/>
  <c r="E20" i="133"/>
  <c r="G14" i="133" s="1"/>
  <c r="K18" i="133"/>
  <c r="K17" i="133"/>
  <c r="K16" i="133"/>
  <c r="G24" i="134"/>
  <c r="G26" i="134" s="1"/>
  <c r="F12" i="67"/>
  <c r="I24" i="128"/>
  <c r="I25" i="128" s="1"/>
  <c r="G24" i="128"/>
  <c r="G25" i="128" s="1"/>
  <c r="E24" i="128"/>
  <c r="E25" i="128" s="1"/>
  <c r="I19" i="128"/>
  <c r="I20" i="128" s="1"/>
  <c r="G19" i="128"/>
  <c r="G20" i="128" s="1"/>
  <c r="E19" i="128"/>
  <c r="E20" i="128" s="1"/>
  <c r="I14" i="128"/>
  <c r="I15" i="128" s="1"/>
  <c r="G14" i="128"/>
  <c r="G15" i="128" s="1"/>
  <c r="E14" i="128"/>
  <c r="E15" i="128" s="1"/>
  <c r="E18" i="134" l="1"/>
  <c r="F21" i="67"/>
  <c r="E24" i="134"/>
  <c r="E26" i="134" s="1"/>
  <c r="G28" i="134" s="1"/>
  <c r="F24" i="67" s="1"/>
  <c r="G17" i="133"/>
  <c r="G16" i="133"/>
  <c r="G18" i="133"/>
  <c r="G15" i="133"/>
  <c r="G13" i="133"/>
  <c r="G20" i="133" s="1"/>
  <c r="I34" i="128"/>
  <c r="E34" i="128"/>
  <c r="G34" i="128"/>
  <c r="E17" i="34"/>
  <c r="G14" i="35" l="1"/>
  <c r="N25" i="33" l="1"/>
  <c r="R4" i="131"/>
  <c r="R3" i="131"/>
  <c r="A3" i="131"/>
  <c r="R2" i="131"/>
  <c r="R1" i="131"/>
  <c r="A1" i="131"/>
  <c r="E20" i="131"/>
  <c r="G15" i="131" s="1"/>
  <c r="K18" i="131"/>
  <c r="K17" i="131"/>
  <c r="K16" i="131"/>
  <c r="G17" i="131" l="1"/>
  <c r="G14" i="131"/>
  <c r="G18" i="131"/>
  <c r="G16" i="131"/>
  <c r="G13" i="131"/>
  <c r="E16" i="34"/>
  <c r="G20" i="131" l="1"/>
  <c r="F28" i="79"/>
  <c r="H23" i="83" l="1"/>
  <c r="F23" i="83"/>
  <c r="H18" i="71"/>
  <c r="F18" i="71"/>
  <c r="H20" i="59"/>
  <c r="F20" i="59"/>
  <c r="H19" i="47"/>
  <c r="F19" i="47"/>
  <c r="H22" i="40"/>
  <c r="F22" i="40"/>
  <c r="E19" i="34"/>
  <c r="H19" i="2"/>
  <c r="F19" i="2"/>
  <c r="J19" i="119"/>
  <c r="J18" i="119"/>
  <c r="G19" i="113"/>
  <c r="G18" i="113"/>
  <c r="J24" i="107"/>
  <c r="J23" i="107"/>
  <c r="G19" i="101"/>
  <c r="G18" i="101"/>
  <c r="J27" i="95"/>
  <c r="J26" i="95"/>
  <c r="G19" i="89"/>
  <c r="G18" i="89"/>
  <c r="J25" i="83"/>
  <c r="J24" i="83"/>
  <c r="G27" i="77"/>
  <c r="G26" i="77"/>
  <c r="J20" i="71"/>
  <c r="J19" i="71"/>
  <c r="G23" i="65"/>
  <c r="G22" i="65"/>
  <c r="J22" i="59"/>
  <c r="J21" i="59"/>
  <c r="G19" i="53"/>
  <c r="G18" i="53"/>
  <c r="J21" i="47"/>
  <c r="J20" i="47"/>
  <c r="J24" i="40"/>
  <c r="J23" i="40"/>
  <c r="G21" i="34"/>
  <c r="G20" i="34"/>
  <c r="J21" i="2"/>
  <c r="J20" i="2"/>
  <c r="I27" i="130" l="1"/>
  <c r="I26" i="130"/>
  <c r="E19" i="113" s="1"/>
  <c r="I25" i="130"/>
  <c r="I24" i="130"/>
  <c r="E19" i="101" s="1"/>
  <c r="I23" i="130"/>
  <c r="I22" i="130"/>
  <c r="E19" i="89" s="1"/>
  <c r="I21" i="130"/>
  <c r="I20" i="130"/>
  <c r="E27" i="77" s="1"/>
  <c r="I19" i="130"/>
  <c r="I18" i="130"/>
  <c r="E23" i="65" s="1"/>
  <c r="I17" i="130"/>
  <c r="I16" i="130"/>
  <c r="E19" i="53" s="1"/>
  <c r="I15" i="130"/>
  <c r="I14" i="130"/>
  <c r="I13" i="130"/>
  <c r="E21" i="34" s="1"/>
  <c r="I12" i="130"/>
  <c r="G29" i="130"/>
  <c r="G29" i="129"/>
  <c r="I26" i="129"/>
  <c r="E18" i="113" s="1"/>
  <c r="E20" i="113" s="1"/>
  <c r="I22" i="129"/>
  <c r="E18" i="89" s="1"/>
  <c r="I18" i="129"/>
  <c r="E22" i="65" s="1"/>
  <c r="I14" i="129"/>
  <c r="I10" i="129"/>
  <c r="I25" i="129" s="1"/>
  <c r="H23" i="107" l="1"/>
  <c r="F23" i="107"/>
  <c r="H20" i="71"/>
  <c r="F20" i="71"/>
  <c r="I15" i="129"/>
  <c r="I19" i="129"/>
  <c r="I23" i="129"/>
  <c r="I27" i="129"/>
  <c r="F21" i="2"/>
  <c r="H21" i="2"/>
  <c r="I29" i="130"/>
  <c r="H27" i="95"/>
  <c r="F27" i="95"/>
  <c r="I12" i="129"/>
  <c r="I16" i="129"/>
  <c r="E18" i="53" s="1"/>
  <c r="I20" i="129"/>
  <c r="E26" i="77" s="1"/>
  <c r="I24" i="129"/>
  <c r="E18" i="101" s="1"/>
  <c r="F22" i="59"/>
  <c r="H22" i="59"/>
  <c r="F25" i="83"/>
  <c r="H25" i="83"/>
  <c r="F24" i="107"/>
  <c r="H24" i="107"/>
  <c r="H23" i="40"/>
  <c r="F23" i="40"/>
  <c r="H21" i="47"/>
  <c r="F21" i="47"/>
  <c r="H19" i="119"/>
  <c r="F19" i="119"/>
  <c r="I13" i="129"/>
  <c r="E20" i="34" s="1"/>
  <c r="I17" i="129"/>
  <c r="I21" i="129"/>
  <c r="F24" i="40"/>
  <c r="H24" i="40"/>
  <c r="E21" i="77"/>
  <c r="G12" i="123"/>
  <c r="G22" i="123"/>
  <c r="G21" i="123"/>
  <c r="H21" i="59" l="1"/>
  <c r="F21" i="59"/>
  <c r="F26" i="95"/>
  <c r="H26" i="95"/>
  <c r="F18" i="119"/>
  <c r="F20" i="119" s="1"/>
  <c r="H18" i="119"/>
  <c r="H20" i="2"/>
  <c r="F20" i="2"/>
  <c r="I29" i="129"/>
  <c r="F19" i="71"/>
  <c r="F21" i="71" s="1"/>
  <c r="H19" i="71"/>
  <c r="H21" i="71" s="1"/>
  <c r="H24" i="83"/>
  <c r="F24" i="83"/>
  <c r="F20" i="47"/>
  <c r="H20" i="47"/>
  <c r="G33" i="77"/>
  <c r="H18" i="79"/>
  <c r="I38" i="128"/>
  <c r="E33" i="77" s="1"/>
  <c r="E34" i="77" s="1"/>
  <c r="J4" i="128"/>
  <c r="J3" i="128"/>
  <c r="A3" i="128"/>
  <c r="J2" i="128"/>
  <c r="J1" i="128"/>
  <c r="A1" i="128"/>
  <c r="G24" i="77"/>
  <c r="G14" i="123"/>
  <c r="G17" i="123" s="1"/>
  <c r="E24" i="77" s="1"/>
  <c r="E18" i="77"/>
  <c r="E17" i="77"/>
  <c r="E38" i="77" s="1"/>
  <c r="G36" i="128" l="1"/>
  <c r="F18" i="79" s="1"/>
  <c r="E20" i="126"/>
  <c r="G18" i="126" s="1"/>
  <c r="K18" i="126"/>
  <c r="K17" i="126"/>
  <c r="K16" i="126"/>
  <c r="G13" i="126"/>
  <c r="R4" i="126"/>
  <c r="R3" i="126"/>
  <c r="A3" i="126"/>
  <c r="R2" i="126"/>
  <c r="R1" i="126"/>
  <c r="A1" i="126"/>
  <c r="E20" i="125"/>
  <c r="G18" i="125" s="1"/>
  <c r="K18" i="125"/>
  <c r="K17" i="125"/>
  <c r="K16" i="125"/>
  <c r="G13" i="125"/>
  <c r="R4" i="125"/>
  <c r="R3" i="125"/>
  <c r="A3" i="125"/>
  <c r="R2" i="125"/>
  <c r="R1" i="125"/>
  <c r="A1" i="125"/>
  <c r="K16" i="124"/>
  <c r="K17" i="124"/>
  <c r="K18" i="124"/>
  <c r="G15" i="126" l="1"/>
  <c r="G16" i="126"/>
  <c r="G14" i="126"/>
  <c r="G17" i="126"/>
  <c r="G14" i="125"/>
  <c r="G16" i="125"/>
  <c r="G15" i="125"/>
  <c r="G17" i="125"/>
  <c r="G20" i="126" l="1"/>
  <c r="G20" i="125"/>
  <c r="E20" i="124"/>
  <c r="G17" i="124" s="1"/>
  <c r="R4" i="124"/>
  <c r="R3" i="124"/>
  <c r="A3" i="124"/>
  <c r="R2" i="124"/>
  <c r="R1" i="124"/>
  <c r="A1" i="124"/>
  <c r="G14" i="124" l="1"/>
  <c r="G18" i="124"/>
  <c r="G15" i="124"/>
  <c r="G16" i="124"/>
  <c r="G13" i="124"/>
  <c r="H4" i="123"/>
  <c r="H3" i="123"/>
  <c r="A3" i="123"/>
  <c r="H2" i="123"/>
  <c r="H1" i="123"/>
  <c r="A1" i="123"/>
  <c r="G20" i="124" l="1"/>
  <c r="E39" i="30"/>
  <c r="E38" i="30"/>
  <c r="E36" i="30"/>
  <c r="I34" i="30"/>
  <c r="I33" i="30"/>
  <c r="H33" i="30"/>
  <c r="N23" i="118"/>
  <c r="N12" i="118"/>
  <c r="N17" i="118" s="1"/>
  <c r="N23" i="117"/>
  <c r="N12" i="117"/>
  <c r="N15" i="117" s="1"/>
  <c r="L4" i="122"/>
  <c r="L3" i="122"/>
  <c r="L2" i="122"/>
  <c r="L1" i="122"/>
  <c r="J4" i="121"/>
  <c r="J3" i="121"/>
  <c r="J2" i="121"/>
  <c r="J1" i="121"/>
  <c r="J4" i="120"/>
  <c r="J3" i="120"/>
  <c r="J2" i="120"/>
  <c r="J1" i="120"/>
  <c r="K4" i="119"/>
  <c r="K3" i="119"/>
  <c r="K2" i="119"/>
  <c r="K1" i="119"/>
  <c r="O4" i="118"/>
  <c r="O3" i="118"/>
  <c r="O2" i="118"/>
  <c r="H34" i="30" s="1"/>
  <c r="O1" i="118"/>
  <c r="O4" i="117"/>
  <c r="O3" i="117"/>
  <c r="O2" i="117"/>
  <c r="O1" i="117"/>
  <c r="C15" i="116"/>
  <c r="C14" i="116"/>
  <c r="C13" i="116"/>
  <c r="C12" i="116"/>
  <c r="C11" i="116"/>
  <c r="C10" i="116"/>
  <c r="A15" i="116"/>
  <c r="A14" i="116"/>
  <c r="A13" i="116"/>
  <c r="A12" i="116"/>
  <c r="A11" i="116"/>
  <c r="A10" i="116"/>
  <c r="I29" i="122"/>
  <c r="G21" i="121" s="1"/>
  <c r="I21" i="121" s="1"/>
  <c r="G29" i="122"/>
  <c r="G21" i="120" s="1"/>
  <c r="I21" i="120" s="1"/>
  <c r="I16" i="120"/>
  <c r="I19" i="122"/>
  <c r="G14" i="121" s="1"/>
  <c r="I14" i="121" s="1"/>
  <c r="G19" i="122"/>
  <c r="I15" i="122"/>
  <c r="G12" i="121" s="1"/>
  <c r="G12" i="120"/>
  <c r="G23" i="120" s="1"/>
  <c r="A3" i="122"/>
  <c r="A1" i="122"/>
  <c r="E23" i="121"/>
  <c r="D23" i="118" s="1"/>
  <c r="I20" i="121"/>
  <c r="I19" i="121"/>
  <c r="I18" i="121"/>
  <c r="I17" i="121"/>
  <c r="I15" i="121"/>
  <c r="I13" i="121"/>
  <c r="A3" i="121"/>
  <c r="A1" i="121"/>
  <c r="E23" i="120"/>
  <c r="D23" i="117" s="1"/>
  <c r="I20" i="120"/>
  <c r="I19" i="120"/>
  <c r="I18" i="120"/>
  <c r="I17" i="120"/>
  <c r="I15" i="120"/>
  <c r="I14" i="120"/>
  <c r="I13" i="120"/>
  <c r="A3" i="120"/>
  <c r="A1" i="120"/>
  <c r="H27" i="119"/>
  <c r="F15" i="118" s="1"/>
  <c r="H15" i="118" s="1"/>
  <c r="L15" i="118" s="1"/>
  <c r="F27" i="119"/>
  <c r="F15" i="117" s="1"/>
  <c r="H15" i="117" s="1"/>
  <c r="L15" i="117" s="1"/>
  <c r="H20" i="119"/>
  <c r="F14" i="118" s="1"/>
  <c r="H14" i="118" s="1"/>
  <c r="L14" i="118" s="1"/>
  <c r="F14" i="117"/>
  <c r="H14" i="117" s="1"/>
  <c r="H13" i="119"/>
  <c r="F12" i="118" s="1"/>
  <c r="H12" i="118" s="1"/>
  <c r="F13" i="119"/>
  <c r="F12" i="117" s="1"/>
  <c r="H12" i="117" s="1"/>
  <c r="A3" i="119"/>
  <c r="A1" i="119"/>
  <c r="D19" i="118"/>
  <c r="D21" i="118" s="1"/>
  <c r="L16" i="118"/>
  <c r="H16" i="118"/>
  <c r="O1" i="26"/>
  <c r="O2" i="26"/>
  <c r="O3" i="26"/>
  <c r="O4" i="26"/>
  <c r="N12" i="26"/>
  <c r="N17" i="26" s="1"/>
  <c r="H16" i="26"/>
  <c r="L16" i="26" s="1"/>
  <c r="D19" i="26"/>
  <c r="D21" i="26" s="1"/>
  <c r="N23" i="26"/>
  <c r="D19" i="117"/>
  <c r="D21" i="117" s="1"/>
  <c r="H16" i="117"/>
  <c r="L16" i="117" s="1"/>
  <c r="I32" i="30"/>
  <c r="N23" i="112"/>
  <c r="N12" i="112"/>
  <c r="N15" i="112" s="1"/>
  <c r="I4" i="115"/>
  <c r="I3" i="115"/>
  <c r="I2" i="115"/>
  <c r="I1" i="115"/>
  <c r="J4" i="114"/>
  <c r="J3" i="114"/>
  <c r="J2" i="114"/>
  <c r="J1" i="114"/>
  <c r="H4" i="113"/>
  <c r="H3" i="113"/>
  <c r="H2" i="113"/>
  <c r="H1" i="113"/>
  <c r="O4" i="112"/>
  <c r="O3" i="112"/>
  <c r="O2" i="112"/>
  <c r="H32" i="30" s="1"/>
  <c r="O1" i="112"/>
  <c r="C13" i="111"/>
  <c r="C12" i="111"/>
  <c r="C11" i="111"/>
  <c r="C10" i="111"/>
  <c r="A13" i="111"/>
  <c r="A12" i="111"/>
  <c r="A11" i="111"/>
  <c r="A10" i="111"/>
  <c r="F30" i="115"/>
  <c r="G21" i="114" s="1"/>
  <c r="I21" i="114" s="1"/>
  <c r="F25" i="115"/>
  <c r="F19" i="115"/>
  <c r="F15" i="115"/>
  <c r="G12" i="114" s="1"/>
  <c r="A3" i="115"/>
  <c r="A1" i="115"/>
  <c r="E23" i="114"/>
  <c r="D23" i="112" s="1"/>
  <c r="I20" i="114"/>
  <c r="I19" i="114"/>
  <c r="I18" i="114"/>
  <c r="I17" i="114"/>
  <c r="I15" i="114"/>
  <c r="I14" i="114"/>
  <c r="I13" i="114"/>
  <c r="A3" i="114"/>
  <c r="A1" i="114"/>
  <c r="F15" i="112"/>
  <c r="H15" i="112" s="1"/>
  <c r="L15" i="112" s="1"/>
  <c r="F14" i="112"/>
  <c r="H14" i="112" s="1"/>
  <c r="E13" i="113"/>
  <c r="E30" i="113" s="1"/>
  <c r="A3" i="113"/>
  <c r="A1" i="113"/>
  <c r="D19" i="112"/>
  <c r="D21" i="112" s="1"/>
  <c r="H16" i="112"/>
  <c r="L16" i="112" s="1"/>
  <c r="I31" i="30"/>
  <c r="I30" i="30"/>
  <c r="N23" i="106"/>
  <c r="N12" i="106"/>
  <c r="N23" i="105"/>
  <c r="N12" i="105"/>
  <c r="E31" i="113" l="1"/>
  <c r="F17" i="112" s="1"/>
  <c r="H17" i="112" s="1"/>
  <c r="N17" i="117"/>
  <c r="G16" i="121"/>
  <c r="I16" i="121" s="1"/>
  <c r="G16" i="114"/>
  <c r="I16" i="114" s="1"/>
  <c r="N14" i="26"/>
  <c r="N15" i="26"/>
  <c r="I12" i="121"/>
  <c r="F31" i="119"/>
  <c r="F32" i="119" s="1"/>
  <c r="F17" i="117" s="1"/>
  <c r="H17" i="117" s="1"/>
  <c r="F12" i="112"/>
  <c r="H12" i="112" s="1"/>
  <c r="D25" i="118"/>
  <c r="D25" i="117"/>
  <c r="I12" i="120"/>
  <c r="I23" i="120" s="1"/>
  <c r="H23" i="117" s="1"/>
  <c r="L23" i="117" s="1"/>
  <c r="H31" i="119"/>
  <c r="H32" i="119" s="1"/>
  <c r="F17" i="118" s="1"/>
  <c r="H17" i="118" s="1"/>
  <c r="N14" i="118"/>
  <c r="N15" i="118"/>
  <c r="L14" i="117"/>
  <c r="N14" i="117"/>
  <c r="D25" i="112"/>
  <c r="N17" i="112"/>
  <c r="I12" i="114"/>
  <c r="E35" i="113"/>
  <c r="L14" i="112"/>
  <c r="N14" i="112"/>
  <c r="C15" i="104"/>
  <c r="C14" i="104"/>
  <c r="C13" i="104"/>
  <c r="C12" i="104"/>
  <c r="C11" i="104"/>
  <c r="C10" i="104"/>
  <c r="A15" i="104"/>
  <c r="A14" i="104"/>
  <c r="A13" i="104"/>
  <c r="A12" i="104"/>
  <c r="A11" i="104"/>
  <c r="A10" i="104"/>
  <c r="L4" i="110"/>
  <c r="L3" i="110"/>
  <c r="L2" i="110"/>
  <c r="L1" i="110"/>
  <c r="J4" i="109"/>
  <c r="J3" i="109"/>
  <c r="J2" i="109"/>
  <c r="J1" i="109"/>
  <c r="J4" i="108"/>
  <c r="J3" i="108"/>
  <c r="J2" i="108"/>
  <c r="J1" i="108"/>
  <c r="K4" i="107"/>
  <c r="K3" i="107"/>
  <c r="K2" i="107"/>
  <c r="K1" i="107"/>
  <c r="O4" i="106"/>
  <c r="O3" i="106"/>
  <c r="O2" i="106"/>
  <c r="H31" i="30" s="1"/>
  <c r="O1" i="106"/>
  <c r="O4" i="105"/>
  <c r="O3" i="105"/>
  <c r="O2" i="105"/>
  <c r="H30" i="30" s="1"/>
  <c r="O1" i="105"/>
  <c r="I46" i="110"/>
  <c r="G21" i="109" s="1"/>
  <c r="I21" i="109" s="1"/>
  <c r="G46" i="110"/>
  <c r="G21" i="108" s="1"/>
  <c r="I21" i="108" s="1"/>
  <c r="I21" i="110"/>
  <c r="G21" i="110"/>
  <c r="G12" i="109"/>
  <c r="I12" i="109" s="1"/>
  <c r="G12" i="108"/>
  <c r="I12" i="108" s="1"/>
  <c r="A3" i="110"/>
  <c r="A1" i="110"/>
  <c r="E23" i="109"/>
  <c r="D23" i="106" s="1"/>
  <c r="I20" i="109"/>
  <c r="I19" i="109"/>
  <c r="I18" i="109"/>
  <c r="I17" i="109"/>
  <c r="I16" i="109"/>
  <c r="I15" i="109"/>
  <c r="I14" i="109"/>
  <c r="I13" i="109"/>
  <c r="A3" i="109"/>
  <c r="A1" i="109"/>
  <c r="E23" i="108"/>
  <c r="D23" i="105" s="1"/>
  <c r="I20" i="108"/>
  <c r="I19" i="108"/>
  <c r="I18" i="108"/>
  <c r="I17" i="108"/>
  <c r="I15" i="108"/>
  <c r="I14" i="108"/>
  <c r="I13" i="108"/>
  <c r="A3" i="108"/>
  <c r="A1" i="108"/>
  <c r="H33" i="107"/>
  <c r="F15" i="106" s="1"/>
  <c r="H15" i="106" s="1"/>
  <c r="L15" i="106" s="1"/>
  <c r="F33" i="107"/>
  <c r="F15" i="105" s="1"/>
  <c r="H15" i="105" s="1"/>
  <c r="L15" i="105" s="1"/>
  <c r="H25" i="107"/>
  <c r="F14" i="106" s="1"/>
  <c r="H14" i="106" s="1"/>
  <c r="L14" i="106" s="1"/>
  <c r="F25" i="107"/>
  <c r="F14" i="105" s="1"/>
  <c r="H14" i="105" s="1"/>
  <c r="L14" i="105" s="1"/>
  <c r="H13" i="107"/>
  <c r="F12" i="106" s="1"/>
  <c r="H12" i="106" s="1"/>
  <c r="F13" i="107"/>
  <c r="F12" i="105" s="1"/>
  <c r="H12" i="105" s="1"/>
  <c r="A3" i="107"/>
  <c r="A1" i="107"/>
  <c r="D19" i="106"/>
  <c r="D21" i="106" s="1"/>
  <c r="L16" i="106"/>
  <c r="H16" i="106"/>
  <c r="N17" i="106"/>
  <c r="D19" i="105"/>
  <c r="D21" i="105" s="1"/>
  <c r="H16" i="105"/>
  <c r="L16" i="105" s="1"/>
  <c r="N17" i="105"/>
  <c r="I29" i="30"/>
  <c r="N23" i="100"/>
  <c r="N12" i="100"/>
  <c r="N15" i="100" s="1"/>
  <c r="I4" i="103"/>
  <c r="I3" i="103"/>
  <c r="I2" i="103"/>
  <c r="I1" i="103"/>
  <c r="J4" i="102"/>
  <c r="J3" i="102"/>
  <c r="J2" i="102"/>
  <c r="J1" i="102"/>
  <c r="H4" i="101"/>
  <c r="H3" i="101"/>
  <c r="H2" i="101"/>
  <c r="H1" i="101"/>
  <c r="O4" i="100"/>
  <c r="O3" i="100"/>
  <c r="O2" i="100"/>
  <c r="H29" i="30" s="1"/>
  <c r="O1" i="100"/>
  <c r="C13" i="99"/>
  <c r="C12" i="99"/>
  <c r="C11" i="99"/>
  <c r="C10" i="99"/>
  <c r="A13" i="99"/>
  <c r="A12" i="99"/>
  <c r="A11" i="99"/>
  <c r="A10" i="99"/>
  <c r="F29" i="103"/>
  <c r="G21" i="102" s="1"/>
  <c r="I21" i="102" s="1"/>
  <c r="F25" i="103"/>
  <c r="F19" i="103"/>
  <c r="F15" i="103"/>
  <c r="G12" i="102" s="1"/>
  <c r="I12" i="102" s="1"/>
  <c r="A3" i="103"/>
  <c r="A1" i="103"/>
  <c r="E23" i="102"/>
  <c r="D23" i="100" s="1"/>
  <c r="I20" i="102"/>
  <c r="I19" i="102"/>
  <c r="I18" i="102"/>
  <c r="I17" i="102"/>
  <c r="I15" i="102"/>
  <c r="I14" i="102"/>
  <c r="I13" i="102"/>
  <c r="A3" i="102"/>
  <c r="A1" i="102"/>
  <c r="E26" i="101"/>
  <c r="F15" i="100" s="1"/>
  <c r="H15" i="100" s="1"/>
  <c r="L15" i="100" s="1"/>
  <c r="E20" i="101"/>
  <c r="F14" i="100" s="1"/>
  <c r="H14" i="100" s="1"/>
  <c r="E13" i="101"/>
  <c r="F12" i="100" s="1"/>
  <c r="H12" i="100" s="1"/>
  <c r="A3" i="101"/>
  <c r="A1" i="101"/>
  <c r="D19" i="100"/>
  <c r="D21" i="100" s="1"/>
  <c r="H16" i="100"/>
  <c r="L16" i="100" s="1"/>
  <c r="I28" i="30"/>
  <c r="I27" i="30"/>
  <c r="F44" i="95"/>
  <c r="I21" i="96"/>
  <c r="N23" i="94"/>
  <c r="N12" i="94"/>
  <c r="N17" i="94" s="1"/>
  <c r="N23" i="93"/>
  <c r="N12" i="93"/>
  <c r="N17" i="93" s="1"/>
  <c r="L4" i="98"/>
  <c r="L3" i="98"/>
  <c r="L2" i="98"/>
  <c r="L1" i="98"/>
  <c r="J4" i="97"/>
  <c r="J3" i="97"/>
  <c r="J2" i="97"/>
  <c r="J1" i="97"/>
  <c r="J4" i="96"/>
  <c r="J3" i="96"/>
  <c r="J2" i="96"/>
  <c r="J1" i="96"/>
  <c r="K4" i="95"/>
  <c r="K3" i="95"/>
  <c r="K2" i="95"/>
  <c r="K1" i="95"/>
  <c r="O4" i="94"/>
  <c r="O3" i="94"/>
  <c r="O2" i="94"/>
  <c r="H28" i="30" s="1"/>
  <c r="O1" i="94"/>
  <c r="O4" i="93"/>
  <c r="O3" i="93"/>
  <c r="O2" i="93"/>
  <c r="H27" i="30" s="1"/>
  <c r="O1" i="93"/>
  <c r="C15" i="92"/>
  <c r="C14" i="92"/>
  <c r="C13" i="92"/>
  <c r="C12" i="92"/>
  <c r="C11" i="92"/>
  <c r="C10" i="92"/>
  <c r="A15" i="92"/>
  <c r="A14" i="92"/>
  <c r="A13" i="92"/>
  <c r="A12" i="92"/>
  <c r="A11" i="92"/>
  <c r="A10" i="92"/>
  <c r="I41" i="98"/>
  <c r="G21" i="97" s="1"/>
  <c r="I21" i="97" s="1"/>
  <c r="G41" i="98"/>
  <c r="G22" i="96" s="1"/>
  <c r="I22" i="96" s="1"/>
  <c r="I29" i="98"/>
  <c r="G29" i="98"/>
  <c r="I21" i="98"/>
  <c r="G21" i="98"/>
  <c r="I17" i="98"/>
  <c r="G12" i="97" s="1"/>
  <c r="I12" i="97" s="1"/>
  <c r="G17" i="98"/>
  <c r="G12" i="96" s="1"/>
  <c r="I12" i="96" s="1"/>
  <c r="A3" i="98"/>
  <c r="A1" i="98"/>
  <c r="E23" i="97"/>
  <c r="D23" i="94" s="1"/>
  <c r="I20" i="97"/>
  <c r="I19" i="97"/>
  <c r="I18" i="97"/>
  <c r="I17" i="97"/>
  <c r="I15" i="97"/>
  <c r="I14" i="97"/>
  <c r="I13" i="97"/>
  <c r="A3" i="97"/>
  <c r="A1" i="97"/>
  <c r="E24" i="96"/>
  <c r="D23" i="93" s="1"/>
  <c r="I20" i="96"/>
  <c r="I19" i="96"/>
  <c r="I18" i="96"/>
  <c r="I17" i="96"/>
  <c r="I15" i="96"/>
  <c r="I14" i="96"/>
  <c r="I13" i="96"/>
  <c r="A3" i="96"/>
  <c r="A1" i="96"/>
  <c r="H36" i="95"/>
  <c r="F15" i="94" s="1"/>
  <c r="H15" i="94" s="1"/>
  <c r="L15" i="94" s="1"/>
  <c r="F36" i="95"/>
  <c r="F15" i="93" s="1"/>
  <c r="H15" i="93" s="1"/>
  <c r="L15" i="93" s="1"/>
  <c r="H28" i="95"/>
  <c r="F14" i="94" s="1"/>
  <c r="H14" i="94" s="1"/>
  <c r="F28" i="95"/>
  <c r="F14" i="93" s="1"/>
  <c r="H14" i="93" s="1"/>
  <c r="H13" i="95"/>
  <c r="H40" i="95" s="1"/>
  <c r="H41" i="95" s="1"/>
  <c r="F17" i="94" s="1"/>
  <c r="H17" i="94" s="1"/>
  <c r="F13" i="95"/>
  <c r="F12" i="93" s="1"/>
  <c r="H12" i="93" s="1"/>
  <c r="A3" i="95"/>
  <c r="A1" i="95"/>
  <c r="D19" i="94"/>
  <c r="D21" i="94" s="1"/>
  <c r="H16" i="94"/>
  <c r="L16" i="94" s="1"/>
  <c r="D19" i="93"/>
  <c r="D21" i="93" s="1"/>
  <c r="H16" i="93"/>
  <c r="L16" i="93" s="1"/>
  <c r="I26" i="30"/>
  <c r="N23" i="88"/>
  <c r="N12" i="88"/>
  <c r="N17" i="88" s="1"/>
  <c r="I4" i="91"/>
  <c r="I3" i="91"/>
  <c r="I2" i="91"/>
  <c r="I1" i="91"/>
  <c r="J4" i="90"/>
  <c r="J3" i="90"/>
  <c r="J2" i="90"/>
  <c r="J1" i="90"/>
  <c r="H4" i="89"/>
  <c r="H3" i="89"/>
  <c r="H2" i="89"/>
  <c r="H1" i="89"/>
  <c r="O4" i="88"/>
  <c r="O3" i="88"/>
  <c r="O2" i="88"/>
  <c r="H26" i="30" s="1"/>
  <c r="O1" i="88"/>
  <c r="C13" i="87"/>
  <c r="C12" i="87"/>
  <c r="C11" i="87"/>
  <c r="C10" i="87"/>
  <c r="A13" i="87"/>
  <c r="A12" i="87"/>
  <c r="A11" i="87"/>
  <c r="A10" i="87"/>
  <c r="F25" i="91"/>
  <c r="G21" i="90" s="1"/>
  <c r="I21" i="90" s="1"/>
  <c r="F21" i="91"/>
  <c r="F17" i="91"/>
  <c r="F13" i="91"/>
  <c r="G12" i="90" s="1"/>
  <c r="I12" i="90" s="1"/>
  <c r="A3" i="91"/>
  <c r="A1" i="91"/>
  <c r="E23" i="90"/>
  <c r="D23" i="88" s="1"/>
  <c r="I20" i="90"/>
  <c r="I19" i="90"/>
  <c r="I18" i="90"/>
  <c r="I17" i="90"/>
  <c r="I15" i="90"/>
  <c r="I14" i="90"/>
  <c r="I13" i="90"/>
  <c r="A3" i="90"/>
  <c r="A1" i="90"/>
  <c r="E24" i="89"/>
  <c r="F15" i="88" s="1"/>
  <c r="H15" i="88" s="1"/>
  <c r="L15" i="88" s="1"/>
  <c r="E20" i="89"/>
  <c r="F14" i="88" s="1"/>
  <c r="H14" i="88" s="1"/>
  <c r="E13" i="89"/>
  <c r="E27" i="89" s="1"/>
  <c r="E28" i="89" s="1"/>
  <c r="F17" i="88" s="1"/>
  <c r="H17" i="88" s="1"/>
  <c r="A3" i="89"/>
  <c r="A1" i="89"/>
  <c r="D19" i="88"/>
  <c r="D21" i="88" s="1"/>
  <c r="H16" i="88"/>
  <c r="L16" i="88" s="1"/>
  <c r="I25" i="30"/>
  <c r="I24" i="30"/>
  <c r="N23" i="82"/>
  <c r="N12" i="82"/>
  <c r="N17" i="82" s="1"/>
  <c r="N23" i="81"/>
  <c r="N12" i="81"/>
  <c r="N17" i="81" s="1"/>
  <c r="L4" i="86"/>
  <c r="L3" i="86"/>
  <c r="L2" i="86"/>
  <c r="L1" i="86"/>
  <c r="J4" i="85"/>
  <c r="J3" i="85"/>
  <c r="J2" i="85"/>
  <c r="J1" i="85"/>
  <c r="J4" i="84"/>
  <c r="J3" i="84"/>
  <c r="J2" i="84"/>
  <c r="J1" i="84"/>
  <c r="K4" i="83"/>
  <c r="K3" i="83"/>
  <c r="K2" i="83"/>
  <c r="K1" i="83"/>
  <c r="O4" i="82"/>
  <c r="O3" i="82"/>
  <c r="O2" i="82"/>
  <c r="H25" i="30" s="1"/>
  <c r="O1" i="82"/>
  <c r="O4" i="81"/>
  <c r="O3" i="81"/>
  <c r="O2" i="81"/>
  <c r="H24" i="30" s="1"/>
  <c r="O1" i="81"/>
  <c r="C15" i="80"/>
  <c r="C14" i="80"/>
  <c r="C13" i="80"/>
  <c r="C12" i="80"/>
  <c r="C11" i="80"/>
  <c r="C10" i="80"/>
  <c r="A15" i="80"/>
  <c r="A14" i="80"/>
  <c r="A13" i="80"/>
  <c r="A12" i="80"/>
  <c r="A11" i="80"/>
  <c r="A10" i="80"/>
  <c r="C13" i="75"/>
  <c r="C12" i="75"/>
  <c r="C11" i="75"/>
  <c r="C10" i="75"/>
  <c r="A13" i="75"/>
  <c r="A12" i="75"/>
  <c r="A11" i="75"/>
  <c r="A10" i="75"/>
  <c r="I40" i="86"/>
  <c r="G21" i="85" s="1"/>
  <c r="I21" i="85" s="1"/>
  <c r="G40" i="86"/>
  <c r="G21" i="84" s="1"/>
  <c r="I21" i="84" s="1"/>
  <c r="G16" i="85"/>
  <c r="G36" i="86"/>
  <c r="G16" i="84" s="1"/>
  <c r="I25" i="86"/>
  <c r="G25" i="86"/>
  <c r="I20" i="86"/>
  <c r="G12" i="85" s="1"/>
  <c r="I12" i="85" s="1"/>
  <c r="G20" i="86"/>
  <c r="G12" i="84" s="1"/>
  <c r="I12" i="84" s="1"/>
  <c r="A3" i="86"/>
  <c r="A1" i="86"/>
  <c r="E23" i="85"/>
  <c r="D23" i="82" s="1"/>
  <c r="I20" i="85"/>
  <c r="I19" i="85"/>
  <c r="I18" i="85"/>
  <c r="I17" i="85"/>
  <c r="I15" i="85"/>
  <c r="I14" i="85"/>
  <c r="I13" i="85"/>
  <c r="A3" i="85"/>
  <c r="A1" i="85"/>
  <c r="E23" i="84"/>
  <c r="D23" i="81" s="1"/>
  <c r="I20" i="84"/>
  <c r="I19" i="84"/>
  <c r="I18" i="84"/>
  <c r="I17" i="84"/>
  <c r="I15" i="84"/>
  <c r="I14" i="84"/>
  <c r="I13" i="84"/>
  <c r="A3" i="84"/>
  <c r="A1" i="84"/>
  <c r="H37" i="83"/>
  <c r="F15" i="82" s="1"/>
  <c r="H15" i="82" s="1"/>
  <c r="L15" i="82" s="1"/>
  <c r="F37" i="83"/>
  <c r="F15" i="81" s="1"/>
  <c r="H15" i="81" s="1"/>
  <c r="L15" i="81" s="1"/>
  <c r="H26" i="83"/>
  <c r="F14" i="82" s="1"/>
  <c r="H14" i="82" s="1"/>
  <c r="L14" i="82" s="1"/>
  <c r="F26" i="83"/>
  <c r="F14" i="81" s="1"/>
  <c r="H14" i="81" s="1"/>
  <c r="L14" i="81" s="1"/>
  <c r="H13" i="83"/>
  <c r="F12" i="82" s="1"/>
  <c r="H12" i="82" s="1"/>
  <c r="F13" i="83"/>
  <c r="F42" i="83" s="1"/>
  <c r="A3" i="83"/>
  <c r="A1" i="83"/>
  <c r="D19" i="82"/>
  <c r="D21" i="82" s="1"/>
  <c r="H16" i="82"/>
  <c r="L16" i="82" s="1"/>
  <c r="D19" i="81"/>
  <c r="D21" i="81" s="1"/>
  <c r="L16" i="81"/>
  <c r="H16" i="81"/>
  <c r="N23" i="76"/>
  <c r="N12" i="76"/>
  <c r="N17" i="76" s="1"/>
  <c r="I23" i="30"/>
  <c r="I4" i="79"/>
  <c r="I3" i="79"/>
  <c r="I2" i="79"/>
  <c r="I1" i="79"/>
  <c r="J4" i="78"/>
  <c r="J3" i="78"/>
  <c r="J2" i="78"/>
  <c r="J1" i="78"/>
  <c r="H4" i="77"/>
  <c r="H3" i="77"/>
  <c r="H2" i="77"/>
  <c r="H1" i="77"/>
  <c r="O4" i="76"/>
  <c r="O3" i="76"/>
  <c r="O2" i="76"/>
  <c r="H23" i="30" s="1"/>
  <c r="O1" i="76"/>
  <c r="F30" i="79"/>
  <c r="G21" i="78" s="1"/>
  <c r="I21" i="78" s="1"/>
  <c r="F19" i="79"/>
  <c r="G14" i="78" s="1"/>
  <c r="I14" i="78" s="1"/>
  <c r="G12" i="78"/>
  <c r="A3" i="79"/>
  <c r="A1" i="79"/>
  <c r="E23" i="78"/>
  <c r="D23" i="76" s="1"/>
  <c r="I20" i="78"/>
  <c r="I19" i="78"/>
  <c r="I18" i="78"/>
  <c r="I17" i="78"/>
  <c r="I15" i="78"/>
  <c r="I13" i="78"/>
  <c r="A3" i="78"/>
  <c r="A1" i="78"/>
  <c r="F15" i="76"/>
  <c r="H15" i="76" s="1"/>
  <c r="L15" i="76" s="1"/>
  <c r="E28" i="77"/>
  <c r="F14" i="76" s="1"/>
  <c r="H14" i="76" s="1"/>
  <c r="E13" i="77"/>
  <c r="F12" i="76" s="1"/>
  <c r="H12" i="76" s="1"/>
  <c r="A3" i="77"/>
  <c r="A1" i="77"/>
  <c r="D19" i="76"/>
  <c r="D21" i="76" s="1"/>
  <c r="H16" i="76"/>
  <c r="L16" i="76" s="1"/>
  <c r="I22" i="30"/>
  <c r="I21" i="30"/>
  <c r="C15" i="68"/>
  <c r="A15" i="68"/>
  <c r="A14" i="68"/>
  <c r="C14" i="68"/>
  <c r="C13" i="68"/>
  <c r="A13" i="68"/>
  <c r="C12" i="68"/>
  <c r="A12" i="68"/>
  <c r="A11" i="68"/>
  <c r="C11" i="68"/>
  <c r="C10" i="68"/>
  <c r="A10" i="68"/>
  <c r="N23" i="70"/>
  <c r="N12" i="70"/>
  <c r="N17" i="70" s="1"/>
  <c r="N23" i="69"/>
  <c r="N12" i="69"/>
  <c r="N17" i="69" s="1"/>
  <c r="L4" i="74"/>
  <c r="L3" i="74"/>
  <c r="L2" i="74"/>
  <c r="L1" i="74"/>
  <c r="J4" i="73"/>
  <c r="J3" i="73"/>
  <c r="J2" i="73"/>
  <c r="J1" i="73"/>
  <c r="J4" i="72"/>
  <c r="J3" i="72"/>
  <c r="J2" i="72"/>
  <c r="J1" i="72"/>
  <c r="K4" i="71"/>
  <c r="K3" i="71"/>
  <c r="K2" i="71"/>
  <c r="K1" i="71"/>
  <c r="O4" i="70"/>
  <c r="O3" i="70"/>
  <c r="O2" i="70"/>
  <c r="H22" i="30" s="1"/>
  <c r="O1" i="70"/>
  <c r="O4" i="69"/>
  <c r="O3" i="69"/>
  <c r="O2" i="69"/>
  <c r="H21" i="30" s="1"/>
  <c r="O1" i="69"/>
  <c r="I27" i="74"/>
  <c r="G21" i="73" s="1"/>
  <c r="G27" i="74"/>
  <c r="G21" i="72" s="1"/>
  <c r="I21" i="72" s="1"/>
  <c r="I23" i="74"/>
  <c r="G23" i="74"/>
  <c r="I18" i="74"/>
  <c r="G18" i="74"/>
  <c r="I14" i="74"/>
  <c r="G12" i="73" s="1"/>
  <c r="I12" i="73" s="1"/>
  <c r="G14" i="74"/>
  <c r="G12" i="72" s="1"/>
  <c r="I12" i="72" s="1"/>
  <c r="A3" i="74"/>
  <c r="A1" i="74"/>
  <c r="E23" i="73"/>
  <c r="D23" i="70" s="1"/>
  <c r="I20" i="73"/>
  <c r="I19" i="73"/>
  <c r="I18" i="73"/>
  <c r="I17" i="73"/>
  <c r="I15" i="73"/>
  <c r="I14" i="73"/>
  <c r="I13" i="73"/>
  <c r="A3" i="73"/>
  <c r="A1" i="73"/>
  <c r="E23" i="72"/>
  <c r="D23" i="69" s="1"/>
  <c r="I20" i="72"/>
  <c r="I19" i="72"/>
  <c r="I18" i="72"/>
  <c r="I17" i="72"/>
  <c r="I15" i="72"/>
  <c r="I14" i="72"/>
  <c r="I13" i="72"/>
  <c r="A3" i="72"/>
  <c r="A1" i="72"/>
  <c r="F15" i="70"/>
  <c r="H15" i="70" s="1"/>
  <c r="L15" i="70" s="1"/>
  <c r="F15" i="69"/>
  <c r="H15" i="69" s="1"/>
  <c r="L15" i="69" s="1"/>
  <c r="F14" i="70"/>
  <c r="H14" i="70" s="1"/>
  <c r="F14" i="69"/>
  <c r="H14" i="69" s="1"/>
  <c r="H13" i="71"/>
  <c r="F12" i="70" s="1"/>
  <c r="H12" i="70" s="1"/>
  <c r="F13" i="71"/>
  <c r="F31" i="71" s="1"/>
  <c r="A3" i="71"/>
  <c r="A1" i="71"/>
  <c r="D19" i="70"/>
  <c r="D21" i="70" s="1"/>
  <c r="H16" i="70"/>
  <c r="L16" i="70" s="1"/>
  <c r="D19" i="69"/>
  <c r="D21" i="69" s="1"/>
  <c r="H16" i="69"/>
  <c r="L16" i="69" s="1"/>
  <c r="F40" i="83" l="1"/>
  <c r="F43" i="83" s="1"/>
  <c r="I16" i="85"/>
  <c r="H40" i="83"/>
  <c r="I23" i="121"/>
  <c r="H23" i="118" s="1"/>
  <c r="F23" i="118" s="1"/>
  <c r="G23" i="121"/>
  <c r="G23" i="114"/>
  <c r="E34" i="113" s="1"/>
  <c r="E36" i="113" s="1"/>
  <c r="F18" i="112" s="1"/>
  <c r="H18" i="112" s="1"/>
  <c r="H19" i="112" s="1"/>
  <c r="H21" i="112" s="1"/>
  <c r="I23" i="114"/>
  <c r="H23" i="112" s="1"/>
  <c r="G16" i="102"/>
  <c r="I16" i="102" s="1"/>
  <c r="I23" i="102" s="1"/>
  <c r="G16" i="90"/>
  <c r="I16" i="90" s="1"/>
  <c r="I23" i="90" s="1"/>
  <c r="I12" i="78"/>
  <c r="G16" i="73"/>
  <c r="I16" i="73" s="1"/>
  <c r="G16" i="72"/>
  <c r="I16" i="72" s="1"/>
  <c r="I23" i="72" s="1"/>
  <c r="G16" i="78"/>
  <c r="I16" i="78" s="1"/>
  <c r="I23" i="78" s="1"/>
  <c r="F12" i="81"/>
  <c r="H12" i="81" s="1"/>
  <c r="F40" i="95"/>
  <c r="F41" i="95" s="1"/>
  <c r="F17" i="93" s="1"/>
  <c r="H17" i="93" s="1"/>
  <c r="F12" i="94"/>
  <c r="H12" i="94" s="1"/>
  <c r="G16" i="97"/>
  <c r="I16" i="97" s="1"/>
  <c r="I23" i="97" s="1"/>
  <c r="H23" i="94" s="1"/>
  <c r="G16" i="96"/>
  <c r="G24" i="96" s="1"/>
  <c r="F37" i="107"/>
  <c r="F38" i="107" s="1"/>
  <c r="F17" i="105" s="1"/>
  <c r="H17" i="105" s="1"/>
  <c r="H37" i="107"/>
  <c r="H38" i="107" s="1"/>
  <c r="F17" i="106" s="1"/>
  <c r="H17" i="106" s="1"/>
  <c r="G23" i="109"/>
  <c r="H41" i="107" s="1"/>
  <c r="G16" i="108"/>
  <c r="I16" i="108" s="1"/>
  <c r="I23" i="108" s="1"/>
  <c r="E29" i="101"/>
  <c r="E30" i="101" s="1"/>
  <c r="F17" i="100" s="1"/>
  <c r="H17" i="100" s="1"/>
  <c r="G23" i="73"/>
  <c r="I21" i="73"/>
  <c r="F12" i="88"/>
  <c r="H12" i="88" s="1"/>
  <c r="F12" i="69"/>
  <c r="H12" i="69" s="1"/>
  <c r="H36" i="119"/>
  <c r="F36" i="119"/>
  <c r="N15" i="76"/>
  <c r="H45" i="95"/>
  <c r="E39" i="77"/>
  <c r="F23" i="117"/>
  <c r="D25" i="106"/>
  <c r="I23" i="109"/>
  <c r="H23" i="106" s="1"/>
  <c r="F23" i="106" s="1"/>
  <c r="D25" i="105"/>
  <c r="N15" i="106"/>
  <c r="N14" i="106"/>
  <c r="N14" i="105"/>
  <c r="N15" i="105"/>
  <c r="N17" i="100"/>
  <c r="D25" i="100"/>
  <c r="L14" i="100"/>
  <c r="N14" i="100"/>
  <c r="D25" i="94"/>
  <c r="D25" i="93"/>
  <c r="N15" i="94"/>
  <c r="L14" i="94"/>
  <c r="N14" i="94"/>
  <c r="L14" i="93"/>
  <c r="N14" i="93"/>
  <c r="N15" i="93"/>
  <c r="G23" i="90"/>
  <c r="E31" i="89" s="1"/>
  <c r="D25" i="88"/>
  <c r="N15" i="88"/>
  <c r="E32" i="89"/>
  <c r="L14" i="88"/>
  <c r="N14" i="88"/>
  <c r="G23" i="85"/>
  <c r="H46" i="83" s="1"/>
  <c r="I23" i="85"/>
  <c r="H23" i="82" s="1"/>
  <c r="F23" i="82" s="1"/>
  <c r="D25" i="82"/>
  <c r="G23" i="84"/>
  <c r="F46" i="83" s="1"/>
  <c r="I16" i="84"/>
  <c r="I23" i="84" s="1"/>
  <c r="D25" i="81"/>
  <c r="H42" i="83"/>
  <c r="N14" i="82"/>
  <c r="N15" i="82"/>
  <c r="N15" i="81"/>
  <c r="N14" i="81"/>
  <c r="D25" i="76"/>
  <c r="L14" i="76"/>
  <c r="N14" i="76"/>
  <c r="D25" i="70"/>
  <c r="D25" i="69"/>
  <c r="N15" i="69"/>
  <c r="H31" i="71"/>
  <c r="L14" i="70"/>
  <c r="N14" i="70"/>
  <c r="N15" i="70"/>
  <c r="L14" i="69"/>
  <c r="N14" i="69"/>
  <c r="I20" i="30"/>
  <c r="I4" i="67"/>
  <c r="I3" i="67"/>
  <c r="I2" i="67"/>
  <c r="I1" i="67"/>
  <c r="J4" i="64"/>
  <c r="J3" i="64"/>
  <c r="J2" i="64"/>
  <c r="J1" i="64"/>
  <c r="H4" i="65"/>
  <c r="H3" i="65"/>
  <c r="H2" i="65"/>
  <c r="H1" i="65"/>
  <c r="C13" i="63"/>
  <c r="A13" i="63"/>
  <c r="C12" i="63"/>
  <c r="A12" i="63"/>
  <c r="C11" i="63"/>
  <c r="A11" i="63"/>
  <c r="C10" i="63"/>
  <c r="A10" i="63"/>
  <c r="N23" i="66"/>
  <c r="N12" i="66"/>
  <c r="N15" i="66" s="1"/>
  <c r="O4" i="66"/>
  <c r="O3" i="66"/>
  <c r="O2" i="66"/>
  <c r="H20" i="30" s="1"/>
  <c r="O1" i="66"/>
  <c r="F41" i="67"/>
  <c r="G21" i="64" s="1"/>
  <c r="I21" i="64" s="1"/>
  <c r="F25" i="67"/>
  <c r="G14" i="64" s="1"/>
  <c r="I14" i="64" s="1"/>
  <c r="G12" i="64"/>
  <c r="A3" i="67"/>
  <c r="A1" i="67"/>
  <c r="E23" i="64"/>
  <c r="D23" i="66" s="1"/>
  <c r="I20" i="64"/>
  <c r="I19" i="64"/>
  <c r="I18" i="64"/>
  <c r="I17" i="64"/>
  <c r="I15" i="64"/>
  <c r="I13" i="64"/>
  <c r="A3" i="64"/>
  <c r="A1" i="64"/>
  <c r="F15" i="66"/>
  <c r="H15" i="66" s="1"/>
  <c r="L15" i="66" s="1"/>
  <c r="E24" i="65"/>
  <c r="F14" i="66" s="1"/>
  <c r="H14" i="66" s="1"/>
  <c r="E13" i="65"/>
  <c r="E42" i="65" s="1"/>
  <c r="A3" i="65"/>
  <c r="A1" i="65"/>
  <c r="D19" i="66"/>
  <c r="D21" i="66" s="1"/>
  <c r="H16" i="66"/>
  <c r="L16" i="66" s="1"/>
  <c r="I23" i="73" l="1"/>
  <c r="H23" i="70" s="1"/>
  <c r="F23" i="70" s="1"/>
  <c r="K20" i="139"/>
  <c r="F17" i="81"/>
  <c r="H17" i="81" s="1"/>
  <c r="F47" i="83"/>
  <c r="F48" i="83" s="1"/>
  <c r="F18" i="81" s="1"/>
  <c r="H18" i="81" s="1"/>
  <c r="H19" i="81" s="1"/>
  <c r="H21" i="81" s="1"/>
  <c r="H43" i="83"/>
  <c r="H47" i="83" s="1"/>
  <c r="H48" i="83" s="1"/>
  <c r="F18" i="82" s="1"/>
  <c r="H18" i="82" s="1"/>
  <c r="G23" i="102"/>
  <c r="E33" i="101" s="1"/>
  <c r="K20" i="142"/>
  <c r="L23" i="112"/>
  <c r="F23" i="112"/>
  <c r="E37" i="77"/>
  <c r="E40" i="77" s="1"/>
  <c r="F17" i="76" s="1"/>
  <c r="H17" i="76" s="1"/>
  <c r="G23" i="72"/>
  <c r="H35" i="71"/>
  <c r="H30" i="71"/>
  <c r="H32" i="71" s="1"/>
  <c r="F35" i="71"/>
  <c r="F30" i="71"/>
  <c r="F32" i="71" s="1"/>
  <c r="G23" i="78"/>
  <c r="E43" i="77" s="1"/>
  <c r="G16" i="64"/>
  <c r="F45" i="95"/>
  <c r="F46" i="95" s="1"/>
  <c r="F18" i="93" s="1"/>
  <c r="H18" i="93" s="1"/>
  <c r="H19" i="93" s="1"/>
  <c r="H21" i="93" s="1"/>
  <c r="H23" i="81"/>
  <c r="F23" i="81" s="1"/>
  <c r="K20" i="162"/>
  <c r="I16" i="96"/>
  <c r="I24" i="96" s="1"/>
  <c r="H23" i="93" s="1"/>
  <c r="G23" i="97"/>
  <c r="H44" i="95" s="1"/>
  <c r="H46" i="95" s="1"/>
  <c r="F18" i="94" s="1"/>
  <c r="H18" i="94" s="1"/>
  <c r="H19" i="94" s="1"/>
  <c r="H21" i="94" s="1"/>
  <c r="H42" i="107"/>
  <c r="H43" i="107" s="1"/>
  <c r="F18" i="106" s="1"/>
  <c r="H18" i="106" s="1"/>
  <c r="H19" i="106" s="1"/>
  <c r="H21" i="106" s="1"/>
  <c r="F42" i="107"/>
  <c r="G23" i="108"/>
  <c r="F41" i="107" s="1"/>
  <c r="H23" i="105"/>
  <c r="K20" i="157"/>
  <c r="H23" i="88"/>
  <c r="F23" i="88" s="1"/>
  <c r="K20" i="141"/>
  <c r="L23" i="118"/>
  <c r="M18" i="139"/>
  <c r="Q18" i="139" s="1"/>
  <c r="K13" i="139"/>
  <c r="K14" i="139"/>
  <c r="M17" i="139"/>
  <c r="Q17" i="139" s="1"/>
  <c r="K15" i="139"/>
  <c r="M16" i="139"/>
  <c r="Q16" i="139" s="1"/>
  <c r="E34" i="101"/>
  <c r="H23" i="100"/>
  <c r="L23" i="100" s="1"/>
  <c r="K20" i="149"/>
  <c r="K14" i="142"/>
  <c r="K15" i="142"/>
  <c r="M18" i="142"/>
  <c r="Q18" i="142" s="1"/>
  <c r="K13" i="142"/>
  <c r="M17" i="142"/>
  <c r="Q17" i="142" s="1"/>
  <c r="M16" i="142"/>
  <c r="Q16" i="142" s="1"/>
  <c r="E33" i="89"/>
  <c r="F18" i="88" s="1"/>
  <c r="H18" i="88" s="1"/>
  <c r="H19" i="88" s="1"/>
  <c r="H21" i="88" s="1"/>
  <c r="H23" i="69"/>
  <c r="L23" i="69" s="1"/>
  <c r="K20" i="137"/>
  <c r="F12" i="66"/>
  <c r="H12" i="66" s="1"/>
  <c r="H23" i="76"/>
  <c r="F23" i="76" s="1"/>
  <c r="K20" i="124"/>
  <c r="L23" i="106"/>
  <c r="L23" i="94"/>
  <c r="F23" i="94"/>
  <c r="L23" i="82"/>
  <c r="L23" i="70"/>
  <c r="N17" i="66"/>
  <c r="D25" i="66"/>
  <c r="I12" i="64"/>
  <c r="L14" i="66"/>
  <c r="N14" i="66"/>
  <c r="C15" i="56"/>
  <c r="A15" i="56"/>
  <c r="A14" i="56"/>
  <c r="C14" i="56"/>
  <c r="C13" i="56"/>
  <c r="A13" i="56"/>
  <c r="C12" i="56"/>
  <c r="A12" i="56"/>
  <c r="C11" i="56"/>
  <c r="A11" i="56"/>
  <c r="C10" i="56"/>
  <c r="A10" i="56"/>
  <c r="N23" i="46"/>
  <c r="N23" i="39"/>
  <c r="N23" i="58"/>
  <c r="N12" i="58"/>
  <c r="N17" i="58" s="1"/>
  <c r="I19" i="30"/>
  <c r="I18" i="30"/>
  <c r="F43" i="59"/>
  <c r="I21" i="61"/>
  <c r="N23" i="57"/>
  <c r="N12" i="57"/>
  <c r="N15" i="57" s="1"/>
  <c r="L4" i="62"/>
  <c r="L3" i="62"/>
  <c r="L2" i="62"/>
  <c r="L1" i="62"/>
  <c r="J4" i="60"/>
  <c r="J3" i="60"/>
  <c r="J2" i="60"/>
  <c r="J1" i="60"/>
  <c r="J4" i="61"/>
  <c r="J3" i="61"/>
  <c r="J2" i="61"/>
  <c r="J1" i="61"/>
  <c r="K4" i="59"/>
  <c r="K3" i="59"/>
  <c r="K2" i="59"/>
  <c r="K1" i="59"/>
  <c r="O4" i="58"/>
  <c r="O3" i="58"/>
  <c r="O2" i="58"/>
  <c r="H19" i="30" s="1"/>
  <c r="O1" i="58"/>
  <c r="O4" i="57"/>
  <c r="O3" i="57"/>
  <c r="O2" i="57"/>
  <c r="H18" i="30" s="1"/>
  <c r="O1" i="57"/>
  <c r="C13" i="51"/>
  <c r="A13" i="51"/>
  <c r="C12" i="51"/>
  <c r="A12" i="51"/>
  <c r="C11" i="51"/>
  <c r="A11" i="51"/>
  <c r="C10" i="51"/>
  <c r="A10" i="51"/>
  <c r="I38" i="62"/>
  <c r="G21" i="60" s="1"/>
  <c r="I21" i="60" s="1"/>
  <c r="G38" i="62"/>
  <c r="G22" i="61" s="1"/>
  <c r="I22" i="61" s="1"/>
  <c r="I16" i="60"/>
  <c r="I16" i="61"/>
  <c r="G14" i="60"/>
  <c r="I18" i="62"/>
  <c r="G12" i="60" s="1"/>
  <c r="G18" i="62"/>
  <c r="G12" i="61" s="1"/>
  <c r="A3" i="62"/>
  <c r="A1" i="62"/>
  <c r="E23" i="60"/>
  <c r="D23" i="58" s="1"/>
  <c r="I20" i="60"/>
  <c r="I19" i="60"/>
  <c r="I18" i="60"/>
  <c r="I17" i="60"/>
  <c r="I15" i="60"/>
  <c r="I13" i="60"/>
  <c r="A3" i="60"/>
  <c r="A1" i="60"/>
  <c r="E24" i="61"/>
  <c r="D23" i="57" s="1"/>
  <c r="I20" i="61"/>
  <c r="I19" i="61"/>
  <c r="I18" i="61"/>
  <c r="I17" i="61"/>
  <c r="I15" i="61"/>
  <c r="I14" i="61"/>
  <c r="I13" i="61"/>
  <c r="A3" i="61"/>
  <c r="A1" i="61"/>
  <c r="F15" i="58"/>
  <c r="H15" i="58" s="1"/>
  <c r="L15" i="58" s="1"/>
  <c r="F15" i="57"/>
  <c r="H15" i="57" s="1"/>
  <c r="L15" i="57" s="1"/>
  <c r="H23" i="59"/>
  <c r="F14" i="58" s="1"/>
  <c r="H14" i="58" s="1"/>
  <c r="F23" i="59"/>
  <c r="F14" i="57" s="1"/>
  <c r="H14" i="57" s="1"/>
  <c r="H13" i="59"/>
  <c r="H39" i="59" s="1"/>
  <c r="F13" i="59"/>
  <c r="F39" i="59" s="1"/>
  <c r="A3" i="59"/>
  <c r="A1" i="59"/>
  <c r="D19" i="58"/>
  <c r="D21" i="58" s="1"/>
  <c r="H16" i="58"/>
  <c r="L16" i="58" s="1"/>
  <c r="D19" i="57"/>
  <c r="D21" i="57" s="1"/>
  <c r="H16" i="57"/>
  <c r="L16" i="57" s="1"/>
  <c r="I17" i="30"/>
  <c r="N23" i="52"/>
  <c r="N12" i="52"/>
  <c r="N17" i="52" s="1"/>
  <c r="I4" i="55"/>
  <c r="I3" i="55"/>
  <c r="I2" i="55"/>
  <c r="I1" i="55"/>
  <c r="J4" i="54"/>
  <c r="J3" i="54"/>
  <c r="J2" i="54"/>
  <c r="J1" i="54"/>
  <c r="H4" i="53"/>
  <c r="H3" i="53"/>
  <c r="H2" i="53"/>
  <c r="H1" i="53"/>
  <c r="O4" i="52"/>
  <c r="O3" i="52"/>
  <c r="O2" i="52"/>
  <c r="H17" i="30" s="1"/>
  <c r="O1" i="52"/>
  <c r="F36" i="55"/>
  <c r="G21" i="54" s="1"/>
  <c r="G16" i="54"/>
  <c r="F22" i="55"/>
  <c r="G12" i="54"/>
  <c r="I12" i="54" s="1"/>
  <c r="A3" i="55"/>
  <c r="A1" i="55"/>
  <c r="E23" i="54"/>
  <c r="D23" i="52" s="1"/>
  <c r="I20" i="54"/>
  <c r="I19" i="54"/>
  <c r="I18" i="54"/>
  <c r="I17" i="54"/>
  <c r="I15" i="54"/>
  <c r="I14" i="54"/>
  <c r="I13" i="54"/>
  <c r="A3" i="54"/>
  <c r="A1" i="54"/>
  <c r="F15" i="52"/>
  <c r="H15" i="52" s="1"/>
  <c r="L15" i="52" s="1"/>
  <c r="E20" i="53"/>
  <c r="F14" i="52" s="1"/>
  <c r="H14" i="52" s="1"/>
  <c r="L14" i="52" s="1"/>
  <c r="E13" i="53"/>
  <c r="E33" i="53" s="1"/>
  <c r="A3" i="53"/>
  <c r="A1" i="53"/>
  <c r="D19" i="52"/>
  <c r="D21" i="52" s="1"/>
  <c r="L16" i="52"/>
  <c r="H16" i="52"/>
  <c r="L23" i="88" l="1"/>
  <c r="F17" i="82"/>
  <c r="H17" i="82" s="1"/>
  <c r="I12" i="61"/>
  <c r="F37" i="59"/>
  <c r="F40" i="59" s="1"/>
  <c r="F17" i="57" s="1"/>
  <c r="H17" i="57" s="1"/>
  <c r="E35" i="101"/>
  <c r="F18" i="100" s="1"/>
  <c r="H18" i="100" s="1"/>
  <c r="H19" i="100" s="1"/>
  <c r="H21" i="100" s="1"/>
  <c r="I12" i="60"/>
  <c r="H37" i="59"/>
  <c r="H40" i="59" s="1"/>
  <c r="H44" i="59" s="1"/>
  <c r="H19" i="82"/>
  <c r="H21" i="82" s="1"/>
  <c r="L23" i="81"/>
  <c r="F23" i="100"/>
  <c r="F17" i="70"/>
  <c r="H17" i="70" s="1"/>
  <c r="H36" i="71"/>
  <c r="H37" i="71" s="1"/>
  <c r="F18" i="70" s="1"/>
  <c r="H18" i="70" s="1"/>
  <c r="H19" i="70" s="1"/>
  <c r="H21" i="70" s="1"/>
  <c r="F17" i="69"/>
  <c r="H17" i="69" s="1"/>
  <c r="F36" i="71"/>
  <c r="I16" i="64"/>
  <c r="I23" i="64" s="1"/>
  <c r="H23" i="66" s="1"/>
  <c r="E40" i="65"/>
  <c r="E43" i="65" s="1"/>
  <c r="G23" i="64"/>
  <c r="E46" i="65" s="1"/>
  <c r="I16" i="54"/>
  <c r="E32" i="53"/>
  <c r="E34" i="53" s="1"/>
  <c r="F23" i="69"/>
  <c r="M18" i="162"/>
  <c r="Q18" i="162" s="1"/>
  <c r="K14" i="162"/>
  <c r="M16" i="162"/>
  <c r="Q16" i="162" s="1"/>
  <c r="M17" i="162"/>
  <c r="Q17" i="162" s="1"/>
  <c r="K13" i="162"/>
  <c r="K15" i="162"/>
  <c r="F23" i="93"/>
  <c r="L23" i="93"/>
  <c r="K20" i="161"/>
  <c r="K14" i="161" s="1"/>
  <c r="F43" i="107"/>
  <c r="F18" i="105" s="1"/>
  <c r="H18" i="105" s="1"/>
  <c r="H19" i="105" s="1"/>
  <c r="H21" i="105" s="1"/>
  <c r="K13" i="157"/>
  <c r="M16" i="157"/>
  <c r="Q16" i="157" s="1"/>
  <c r="K14" i="157"/>
  <c r="M17" i="157"/>
  <c r="Q17" i="157" s="1"/>
  <c r="K15" i="157"/>
  <c r="M18" i="157"/>
  <c r="Q18" i="157" s="1"/>
  <c r="F23" i="105"/>
  <c r="L23" i="105"/>
  <c r="M16" i="141"/>
  <c r="Q16" i="141" s="1"/>
  <c r="M17" i="141"/>
  <c r="Q17" i="141" s="1"/>
  <c r="M18" i="141"/>
  <c r="Q18" i="141" s="1"/>
  <c r="K13" i="141"/>
  <c r="K15" i="141"/>
  <c r="K14" i="141"/>
  <c r="I13" i="139"/>
  <c r="M13" i="139"/>
  <c r="I15" i="139"/>
  <c r="M15" i="139"/>
  <c r="Q15" i="139" s="1"/>
  <c r="I14" i="139"/>
  <c r="M14" i="139"/>
  <c r="Q14" i="139" s="1"/>
  <c r="F12" i="58"/>
  <c r="H12" i="58" s="1"/>
  <c r="F12" i="57"/>
  <c r="H12" i="57" s="1"/>
  <c r="I14" i="60"/>
  <c r="I23" i="60" s="1"/>
  <c r="G23" i="60"/>
  <c r="H43" i="59" s="1"/>
  <c r="M18" i="149"/>
  <c r="Q18" i="149" s="1"/>
  <c r="K13" i="149"/>
  <c r="M17" i="149"/>
  <c r="Q17" i="149" s="1"/>
  <c r="K15" i="149"/>
  <c r="K14" i="149"/>
  <c r="M16" i="149"/>
  <c r="Q16" i="149" s="1"/>
  <c r="G23" i="54"/>
  <c r="E37" i="53" s="1"/>
  <c r="N17" i="57"/>
  <c r="I13" i="142"/>
  <c r="M13" i="142"/>
  <c r="I15" i="142"/>
  <c r="M15" i="142"/>
  <c r="Q15" i="142" s="1"/>
  <c r="I14" i="142"/>
  <c r="M14" i="142"/>
  <c r="Q14" i="142" s="1"/>
  <c r="K15" i="137"/>
  <c r="M16" i="137"/>
  <c r="Q16" i="137" s="1"/>
  <c r="M18" i="137"/>
  <c r="Q18" i="137" s="1"/>
  <c r="K13" i="137"/>
  <c r="M17" i="137"/>
  <c r="Q17" i="137" s="1"/>
  <c r="K14" i="137"/>
  <c r="L23" i="76"/>
  <c r="F12" i="52"/>
  <c r="H12" i="52" s="1"/>
  <c r="E44" i="77"/>
  <c r="E45" i="77" s="1"/>
  <c r="F18" i="76" s="1"/>
  <c r="H18" i="76" s="1"/>
  <c r="H19" i="76" s="1"/>
  <c r="H21" i="76" s="1"/>
  <c r="K14" i="124"/>
  <c r="M17" i="124"/>
  <c r="Q17" i="124" s="1"/>
  <c r="M16" i="124"/>
  <c r="Q16" i="124" s="1"/>
  <c r="M18" i="124"/>
  <c r="Q18" i="124" s="1"/>
  <c r="K15" i="124"/>
  <c r="K13" i="124"/>
  <c r="D25" i="58"/>
  <c r="N15" i="58"/>
  <c r="G24" i="61"/>
  <c r="I24" i="61"/>
  <c r="H23" i="57" s="1"/>
  <c r="D25" i="57"/>
  <c r="L14" i="58"/>
  <c r="N14" i="58"/>
  <c r="L14" i="57"/>
  <c r="N14" i="57"/>
  <c r="I21" i="54"/>
  <c r="D25" i="52"/>
  <c r="N14" i="52"/>
  <c r="N15" i="52"/>
  <c r="I16" i="30"/>
  <c r="I15" i="30"/>
  <c r="I14" i="30"/>
  <c r="I13" i="30"/>
  <c r="H13" i="30"/>
  <c r="C15" i="44"/>
  <c r="A15" i="44"/>
  <c r="C14" i="44"/>
  <c r="A14" i="44"/>
  <c r="C13" i="44"/>
  <c r="A13" i="44"/>
  <c r="C12" i="44"/>
  <c r="A12" i="44"/>
  <c r="C11" i="44"/>
  <c r="A11" i="44"/>
  <c r="C10" i="44"/>
  <c r="A10" i="44"/>
  <c r="N12" i="39"/>
  <c r="N23" i="38"/>
  <c r="N12" i="38"/>
  <c r="N15" i="38" s="1"/>
  <c r="N12" i="46"/>
  <c r="N18" i="46" s="1"/>
  <c r="N23" i="45"/>
  <c r="N12" i="45"/>
  <c r="N18" i="45" s="1"/>
  <c r="A1" i="49"/>
  <c r="L4" i="50"/>
  <c r="L3" i="50"/>
  <c r="L2" i="50"/>
  <c r="L1" i="50"/>
  <c r="J4" i="49"/>
  <c r="J3" i="49"/>
  <c r="J2" i="49"/>
  <c r="J1" i="49"/>
  <c r="J4" i="48"/>
  <c r="J3" i="48"/>
  <c r="J2" i="48"/>
  <c r="J1" i="48"/>
  <c r="K4" i="47"/>
  <c r="K3" i="47"/>
  <c r="K2" i="47"/>
  <c r="K1" i="47"/>
  <c r="O4" i="46"/>
  <c r="O3" i="46"/>
  <c r="O2" i="46"/>
  <c r="H16" i="30" s="1"/>
  <c r="O1" i="46"/>
  <c r="O4" i="45"/>
  <c r="O3" i="45"/>
  <c r="O2" i="45"/>
  <c r="H15" i="30" s="1"/>
  <c r="O1" i="45"/>
  <c r="I31" i="50"/>
  <c r="G21" i="49" s="1"/>
  <c r="I21" i="49" s="1"/>
  <c r="G31" i="50"/>
  <c r="G21" i="48" s="1"/>
  <c r="I21" i="48" s="1"/>
  <c r="G16" i="49"/>
  <c r="I16" i="49" s="1"/>
  <c r="I16" i="48"/>
  <c r="I20" i="50"/>
  <c r="G14" i="49" s="1"/>
  <c r="G20" i="50"/>
  <c r="G12" i="49"/>
  <c r="I12" i="49" s="1"/>
  <c r="G12" i="48"/>
  <c r="A3" i="50"/>
  <c r="A1" i="50"/>
  <c r="E23" i="49"/>
  <c r="D23" i="46" s="1"/>
  <c r="I20" i="49"/>
  <c r="I19" i="49"/>
  <c r="I18" i="49"/>
  <c r="I17" i="49"/>
  <c r="I15" i="49"/>
  <c r="I14" i="49"/>
  <c r="I13" i="49"/>
  <c r="A3" i="49"/>
  <c r="E23" i="48"/>
  <c r="D23" i="45" s="1"/>
  <c r="I20" i="48"/>
  <c r="I19" i="48"/>
  <c r="I18" i="48"/>
  <c r="I17" i="48"/>
  <c r="I15" i="48"/>
  <c r="I14" i="48"/>
  <c r="I13" i="48"/>
  <c r="A3" i="48"/>
  <c r="A1" i="48"/>
  <c r="F15" i="46"/>
  <c r="H15" i="46" s="1"/>
  <c r="L15" i="46" s="1"/>
  <c r="F15" i="45"/>
  <c r="H15" i="45" s="1"/>
  <c r="L15" i="45" s="1"/>
  <c r="H22" i="47"/>
  <c r="F14" i="46" s="1"/>
  <c r="H14" i="46" s="1"/>
  <c r="F22" i="47"/>
  <c r="F14" i="45" s="1"/>
  <c r="H14" i="45" s="1"/>
  <c r="L14" i="45" s="1"/>
  <c r="H13" i="47"/>
  <c r="F12" i="46" s="1"/>
  <c r="H12" i="46" s="1"/>
  <c r="F13" i="47"/>
  <c r="F32" i="47" s="1"/>
  <c r="F33" i="47" s="1"/>
  <c r="F17" i="45" s="1"/>
  <c r="H17" i="45" s="1"/>
  <c r="A3" i="47"/>
  <c r="A1" i="47"/>
  <c r="D19" i="46"/>
  <c r="D21" i="46" s="1"/>
  <c r="H16" i="46"/>
  <c r="L16" i="46" s="1"/>
  <c r="D19" i="45"/>
  <c r="D21" i="45" s="1"/>
  <c r="H16" i="45"/>
  <c r="L16" i="45" s="1"/>
  <c r="C15" i="37"/>
  <c r="A15" i="37"/>
  <c r="C14" i="37"/>
  <c r="A14" i="37"/>
  <c r="C13" i="37"/>
  <c r="A13" i="37"/>
  <c r="C12" i="37"/>
  <c r="A12" i="37"/>
  <c r="C11" i="37"/>
  <c r="A11" i="37"/>
  <c r="C10" i="37"/>
  <c r="A10" i="37"/>
  <c r="D23" i="39"/>
  <c r="L4" i="43"/>
  <c r="L3" i="43"/>
  <c r="L2" i="43"/>
  <c r="L1" i="43"/>
  <c r="J4" i="42"/>
  <c r="J3" i="42"/>
  <c r="J2" i="42"/>
  <c r="J1" i="42"/>
  <c r="J4" i="41"/>
  <c r="J3" i="41"/>
  <c r="J2" i="41"/>
  <c r="J1" i="41"/>
  <c r="K4" i="40"/>
  <c r="K3" i="40"/>
  <c r="K2" i="40"/>
  <c r="K1" i="40"/>
  <c r="O4" i="39"/>
  <c r="O3" i="39"/>
  <c r="O2" i="39"/>
  <c r="H14" i="30" s="1"/>
  <c r="O1" i="39"/>
  <c r="O4" i="38"/>
  <c r="O3" i="38"/>
  <c r="O2" i="38"/>
  <c r="O1" i="38"/>
  <c r="I25" i="43"/>
  <c r="G21" i="42" s="1"/>
  <c r="G25" i="43"/>
  <c r="G21" i="41" s="1"/>
  <c r="I21" i="43"/>
  <c r="G21" i="43"/>
  <c r="G16" i="41" s="1"/>
  <c r="I17" i="43"/>
  <c r="G14" i="42" s="1"/>
  <c r="G17" i="43"/>
  <c r="I13" i="43"/>
  <c r="G12" i="42" s="1"/>
  <c r="I12" i="42" s="1"/>
  <c r="G13" i="43"/>
  <c r="G12" i="41" s="1"/>
  <c r="A3" i="43"/>
  <c r="A1" i="43"/>
  <c r="E23" i="42"/>
  <c r="I20" i="42"/>
  <c r="I19" i="42"/>
  <c r="I18" i="42"/>
  <c r="I17" i="42"/>
  <c r="I15" i="42"/>
  <c r="I14" i="42"/>
  <c r="I13" i="42"/>
  <c r="A3" i="42"/>
  <c r="A1" i="42"/>
  <c r="E23" i="41"/>
  <c r="D23" i="38" s="1"/>
  <c r="I20" i="41"/>
  <c r="I19" i="41"/>
  <c r="I18" i="41"/>
  <c r="I17" i="41"/>
  <c r="I15" i="41"/>
  <c r="I14" i="41"/>
  <c r="I13" i="41"/>
  <c r="A3" i="41"/>
  <c r="A1" i="41"/>
  <c r="F15" i="39"/>
  <c r="H15" i="39" s="1"/>
  <c r="L15" i="39" s="1"/>
  <c r="F15" i="38"/>
  <c r="H15" i="38" s="1"/>
  <c r="L15" i="38" s="1"/>
  <c r="H25" i="40"/>
  <c r="F14" i="39" s="1"/>
  <c r="H14" i="39" s="1"/>
  <c r="F25" i="40"/>
  <c r="F14" i="38" s="1"/>
  <c r="H14" i="38" s="1"/>
  <c r="H13" i="40"/>
  <c r="F12" i="39" s="1"/>
  <c r="H12" i="39" s="1"/>
  <c r="F13" i="40"/>
  <c r="F12" i="38" s="1"/>
  <c r="H12" i="38" s="1"/>
  <c r="A3" i="40"/>
  <c r="A1" i="40"/>
  <c r="D19" i="39"/>
  <c r="D21" i="39" s="1"/>
  <c r="H16" i="39"/>
  <c r="L16" i="39" s="1"/>
  <c r="N14" i="39"/>
  <c r="D19" i="38"/>
  <c r="D21" i="38" s="1"/>
  <c r="H16" i="38"/>
  <c r="L16" i="38" s="1"/>
  <c r="C13" i="31"/>
  <c r="A13" i="31"/>
  <c r="C12" i="31"/>
  <c r="A12" i="31"/>
  <c r="A11" i="31"/>
  <c r="C11" i="31"/>
  <c r="C10" i="31"/>
  <c r="A10" i="31"/>
  <c r="I12" i="30"/>
  <c r="H12" i="30"/>
  <c r="N23" i="33"/>
  <c r="N12" i="33"/>
  <c r="N14" i="33" s="1"/>
  <c r="H4" i="36"/>
  <c r="H3" i="36"/>
  <c r="H2" i="36"/>
  <c r="H1" i="36"/>
  <c r="E29" i="36"/>
  <c r="G21" i="35" s="1"/>
  <c r="I21" i="35" s="1"/>
  <c r="I16" i="35"/>
  <c r="E19" i="36"/>
  <c r="G12" i="35"/>
  <c r="E31" i="34" s="1"/>
  <c r="A3" i="36"/>
  <c r="A1" i="36"/>
  <c r="J4" i="35"/>
  <c r="J3" i="35"/>
  <c r="J2" i="35"/>
  <c r="J1" i="35"/>
  <c r="E23" i="35"/>
  <c r="D23" i="33" s="1"/>
  <c r="I20" i="35"/>
  <c r="I19" i="35"/>
  <c r="I18" i="35"/>
  <c r="I17" i="35"/>
  <c r="I15" i="35"/>
  <c r="I14" i="35"/>
  <c r="I13" i="35"/>
  <c r="A3" i="35"/>
  <c r="A1" i="35"/>
  <c r="H4" i="34"/>
  <c r="H3" i="34"/>
  <c r="H2" i="34"/>
  <c r="H1" i="34"/>
  <c r="E28" i="34"/>
  <c r="F15" i="33" s="1"/>
  <c r="E22" i="34"/>
  <c r="F14" i="33" s="1"/>
  <c r="E13" i="34"/>
  <c r="F12" i="33" s="1"/>
  <c r="A3" i="34"/>
  <c r="A1" i="34"/>
  <c r="O4" i="33"/>
  <c r="O3" i="33"/>
  <c r="O2" i="33"/>
  <c r="O1" i="33"/>
  <c r="D19" i="33"/>
  <c r="D21" i="33" s="1"/>
  <c r="H16" i="33"/>
  <c r="L16" i="33" s="1"/>
  <c r="I11" i="30"/>
  <c r="H11" i="30"/>
  <c r="I10" i="30"/>
  <c r="O4" i="1"/>
  <c r="O3" i="1"/>
  <c r="O2" i="1"/>
  <c r="H10" i="30" s="1"/>
  <c r="O1" i="1"/>
  <c r="K4" i="2"/>
  <c r="K3" i="2"/>
  <c r="K2" i="2"/>
  <c r="K1" i="2"/>
  <c r="L4" i="5"/>
  <c r="L3" i="5"/>
  <c r="L2" i="5"/>
  <c r="L1" i="5"/>
  <c r="J4" i="27"/>
  <c r="J3" i="27"/>
  <c r="J2" i="27"/>
  <c r="J1" i="27"/>
  <c r="J4" i="4"/>
  <c r="J3" i="4"/>
  <c r="J2" i="4"/>
  <c r="J1" i="4"/>
  <c r="A15" i="29"/>
  <c r="A14" i="29"/>
  <c r="A13" i="29"/>
  <c r="A12" i="29"/>
  <c r="A11" i="29"/>
  <c r="A10" i="29"/>
  <c r="C15" i="29"/>
  <c r="C14" i="29"/>
  <c r="C13" i="29"/>
  <c r="C12" i="29"/>
  <c r="C11" i="29"/>
  <c r="C10" i="29"/>
  <c r="D25" i="38" l="1"/>
  <c r="H33" i="40"/>
  <c r="I12" i="41"/>
  <c r="F33" i="40"/>
  <c r="N17" i="46"/>
  <c r="D25" i="33"/>
  <c r="F17" i="58"/>
  <c r="H17" i="58" s="1"/>
  <c r="F44" i="59"/>
  <c r="F45" i="59" s="1"/>
  <c r="F18" i="57" s="1"/>
  <c r="H18" i="57" s="1"/>
  <c r="H19" i="57" s="1"/>
  <c r="H21" i="57" s="1"/>
  <c r="F17" i="66"/>
  <c r="H17" i="66" s="1"/>
  <c r="E47" i="65"/>
  <c r="E48" i="65" s="1"/>
  <c r="F18" i="66" s="1"/>
  <c r="H18" i="66" s="1"/>
  <c r="I23" i="54"/>
  <c r="H23" i="52" s="1"/>
  <c r="L23" i="52" s="1"/>
  <c r="F17" i="52"/>
  <c r="H17" i="52" s="1"/>
  <c r="E38" i="53"/>
  <c r="E39" i="53" s="1"/>
  <c r="F18" i="52" s="1"/>
  <c r="H18" i="52" s="1"/>
  <c r="N15" i="46"/>
  <c r="G16" i="42"/>
  <c r="I16" i="42" s="1"/>
  <c r="I16" i="41"/>
  <c r="K20" i="133"/>
  <c r="M18" i="133" s="1"/>
  <c r="Q18" i="133" s="1"/>
  <c r="F23" i="66"/>
  <c r="L23" i="66"/>
  <c r="I15" i="162"/>
  <c r="M15" i="162"/>
  <c r="Q15" i="162" s="1"/>
  <c r="I14" i="162"/>
  <c r="M14" i="162"/>
  <c r="Q14" i="162" s="1"/>
  <c r="M13" i="162"/>
  <c r="I13" i="162"/>
  <c r="M16" i="161"/>
  <c r="Q16" i="161" s="1"/>
  <c r="K13" i="161"/>
  <c r="I13" i="161" s="1"/>
  <c r="M18" i="161"/>
  <c r="Q18" i="161" s="1"/>
  <c r="M17" i="161"/>
  <c r="Q17" i="161" s="1"/>
  <c r="K15" i="161"/>
  <c r="M15" i="161" s="1"/>
  <c r="Q15" i="161" s="1"/>
  <c r="I14" i="161"/>
  <c r="M14" i="161"/>
  <c r="Q14" i="161" s="1"/>
  <c r="I14" i="157"/>
  <c r="M14" i="157"/>
  <c r="Q14" i="157" s="1"/>
  <c r="I15" i="157"/>
  <c r="M15" i="157"/>
  <c r="Q15" i="157" s="1"/>
  <c r="M13" i="157"/>
  <c r="I13" i="157"/>
  <c r="I14" i="141"/>
  <c r="M14" i="141"/>
  <c r="Q14" i="141" s="1"/>
  <c r="M15" i="141"/>
  <c r="Q15" i="141" s="1"/>
  <c r="I15" i="141"/>
  <c r="M13" i="141"/>
  <c r="I13" i="141"/>
  <c r="Q13" i="139"/>
  <c r="Q20" i="139" s="1"/>
  <c r="M20" i="139"/>
  <c r="H23" i="58"/>
  <c r="L23" i="58" s="1"/>
  <c r="K20" i="152"/>
  <c r="H45" i="59"/>
  <c r="F18" i="58" s="1"/>
  <c r="H18" i="58" s="1"/>
  <c r="H19" i="58" s="1"/>
  <c r="H21" i="58" s="1"/>
  <c r="N17" i="45"/>
  <c r="I15" i="149"/>
  <c r="M15" i="149"/>
  <c r="Q15" i="149" s="1"/>
  <c r="M13" i="149"/>
  <c r="I13" i="149"/>
  <c r="I14" i="149"/>
  <c r="M14" i="149"/>
  <c r="Q14" i="149" s="1"/>
  <c r="I12" i="48"/>
  <c r="I23" i="48" s="1"/>
  <c r="G23" i="48"/>
  <c r="F36" i="47" s="1"/>
  <c r="H32" i="47"/>
  <c r="H33" i="47" s="1"/>
  <c r="F17" i="46" s="1"/>
  <c r="H17" i="46" s="1"/>
  <c r="F12" i="45"/>
  <c r="H12" i="45" s="1"/>
  <c r="I21" i="42"/>
  <c r="G23" i="42"/>
  <c r="H38" i="40" s="1"/>
  <c r="I21" i="41"/>
  <c r="G23" i="41"/>
  <c r="F38" i="40" s="1"/>
  <c r="F34" i="40"/>
  <c r="F35" i="40" s="1"/>
  <c r="F17" i="38" s="1"/>
  <c r="H17" i="38" s="1"/>
  <c r="H34" i="40"/>
  <c r="H35" i="40" s="1"/>
  <c r="F17" i="39" s="1"/>
  <c r="H17" i="39" s="1"/>
  <c r="D25" i="39"/>
  <c r="Q13" i="142"/>
  <c r="Q20" i="142" s="1"/>
  <c r="L25" i="112" s="1"/>
  <c r="M20" i="142"/>
  <c r="I13" i="137"/>
  <c r="M13" i="137"/>
  <c r="M14" i="137"/>
  <c r="Q14" i="137" s="1"/>
  <c r="I14" i="137"/>
  <c r="M15" i="137"/>
  <c r="Q15" i="137" s="1"/>
  <c r="I15" i="137"/>
  <c r="G23" i="35"/>
  <c r="E36" i="34" s="1"/>
  <c r="H37" i="47"/>
  <c r="I13" i="124"/>
  <c r="M13" i="124"/>
  <c r="I15" i="124"/>
  <c r="M15" i="124"/>
  <c r="Q15" i="124" s="1"/>
  <c r="I14" i="124"/>
  <c r="M14" i="124"/>
  <c r="Q14" i="124" s="1"/>
  <c r="F23" i="57"/>
  <c r="L23" i="57"/>
  <c r="G23" i="49"/>
  <c r="H36" i="47" s="1"/>
  <c r="D25" i="46"/>
  <c r="D25" i="45"/>
  <c r="I23" i="49"/>
  <c r="H23" i="46" s="1"/>
  <c r="F37" i="47"/>
  <c r="L14" i="46"/>
  <c r="N14" i="46"/>
  <c r="N14" i="45"/>
  <c r="N15" i="45"/>
  <c r="L14" i="39"/>
  <c r="N17" i="39"/>
  <c r="N15" i="39"/>
  <c r="L14" i="38"/>
  <c r="N17" i="38"/>
  <c r="N14" i="38"/>
  <c r="I12" i="35"/>
  <c r="I23" i="35" s="1"/>
  <c r="E32" i="34"/>
  <c r="E33" i="34" s="1"/>
  <c r="N17" i="33"/>
  <c r="N15" i="33"/>
  <c r="E23" i="27"/>
  <c r="D23" i="26" s="1"/>
  <c r="D25" i="26" s="1"/>
  <c r="I20" i="27"/>
  <c r="I19" i="27"/>
  <c r="I18" i="27"/>
  <c r="I17" i="27"/>
  <c r="I15" i="27"/>
  <c r="I14" i="27"/>
  <c r="I13" i="27"/>
  <c r="A3" i="27"/>
  <c r="A2" i="27"/>
  <c r="A1" i="27"/>
  <c r="N23" i="1"/>
  <c r="H19" i="66" l="1"/>
  <c r="H21" i="66" s="1"/>
  <c r="K20" i="125"/>
  <c r="M13" i="161"/>
  <c r="Q13" i="161" s="1"/>
  <c r="Q20" i="161" s="1"/>
  <c r="H19" i="52"/>
  <c r="H21" i="52" s="1"/>
  <c r="M17" i="133"/>
  <c r="Q17" i="133" s="1"/>
  <c r="K15" i="133"/>
  <c r="M15" i="133" s="1"/>
  <c r="Q15" i="133" s="1"/>
  <c r="I23" i="41"/>
  <c r="H23" i="38" s="1"/>
  <c r="F23" i="38" s="1"/>
  <c r="I23" i="42"/>
  <c r="H23" i="39" s="1"/>
  <c r="L23" i="39" s="1"/>
  <c r="K13" i="133"/>
  <c r="M13" i="133" s="1"/>
  <c r="K14" i="133"/>
  <c r="I14" i="133" s="1"/>
  <c r="M16" i="133"/>
  <c r="Q16" i="133" s="1"/>
  <c r="F39" i="40"/>
  <c r="F40" i="40" s="1"/>
  <c r="F18" i="38" s="1"/>
  <c r="H18" i="38" s="1"/>
  <c r="H19" i="38" s="1"/>
  <c r="H21" i="38" s="1"/>
  <c r="Q13" i="162"/>
  <c r="Q20" i="162" s="1"/>
  <c r="M20" i="162"/>
  <c r="I15" i="161"/>
  <c r="M20" i="157"/>
  <c r="Q13" i="157"/>
  <c r="Q20" i="157" s="1"/>
  <c r="F23" i="52"/>
  <c r="Q13" i="141"/>
  <c r="Q20" i="141" s="1"/>
  <c r="L25" i="88" s="1"/>
  <c r="M20" i="141"/>
  <c r="F23" i="58"/>
  <c r="L25" i="117"/>
  <c r="L21" i="117" s="1"/>
  <c r="L25" i="118"/>
  <c r="L21" i="118" s="1"/>
  <c r="M18" i="152"/>
  <c r="Q18" i="152" s="1"/>
  <c r="M16" i="152"/>
  <c r="Q16" i="152" s="1"/>
  <c r="M17" i="152"/>
  <c r="Q17" i="152" s="1"/>
  <c r="K15" i="152"/>
  <c r="K13" i="152"/>
  <c r="K14" i="152"/>
  <c r="F38" i="47"/>
  <c r="F18" i="45" s="1"/>
  <c r="H18" i="45" s="1"/>
  <c r="H19" i="45" s="1"/>
  <c r="H21" i="45" s="1"/>
  <c r="Q13" i="149"/>
  <c r="Q20" i="149" s="1"/>
  <c r="L25" i="100" s="1"/>
  <c r="M20" i="149"/>
  <c r="K15" i="125"/>
  <c r="M17" i="125"/>
  <c r="Q17" i="125" s="1"/>
  <c r="M16" i="125"/>
  <c r="Q16" i="125" s="1"/>
  <c r="M18" i="125"/>
  <c r="Q18" i="125" s="1"/>
  <c r="K13" i="125"/>
  <c r="K14" i="125"/>
  <c r="H38" i="47"/>
  <c r="F18" i="46" s="1"/>
  <c r="H18" i="46" s="1"/>
  <c r="H19" i="46" s="1"/>
  <c r="H21" i="46" s="1"/>
  <c r="K20" i="126"/>
  <c r="H23" i="45"/>
  <c r="F23" i="39"/>
  <c r="K20" i="145"/>
  <c r="H39" i="40"/>
  <c r="H40" i="40" s="1"/>
  <c r="F18" i="39" s="1"/>
  <c r="H18" i="39" s="1"/>
  <c r="H19" i="39" s="1"/>
  <c r="H21" i="39" s="1"/>
  <c r="J12" i="112"/>
  <c r="L21" i="112"/>
  <c r="Q13" i="137"/>
  <c r="Q20" i="137" s="1"/>
  <c r="M20" i="137"/>
  <c r="H23" i="33"/>
  <c r="L23" i="33" s="1"/>
  <c r="K20" i="131"/>
  <c r="E37" i="34"/>
  <c r="E38" i="34" s="1"/>
  <c r="F18" i="33" s="1"/>
  <c r="F17" i="33"/>
  <c r="Q13" i="124"/>
  <c r="Q20" i="124" s="1"/>
  <c r="L25" i="76" s="1"/>
  <c r="M20" i="124"/>
  <c r="F23" i="46"/>
  <c r="L23" i="46"/>
  <c r="M20" i="161" l="1"/>
  <c r="I15" i="133"/>
  <c r="I13" i="133"/>
  <c r="M14" i="133"/>
  <c r="Q14" i="133" s="1"/>
  <c r="L25" i="82"/>
  <c r="L25" i="81"/>
  <c r="L25" i="94"/>
  <c r="L25" i="93"/>
  <c r="L25" i="106"/>
  <c r="L25" i="105"/>
  <c r="L21" i="88"/>
  <c r="J12" i="88"/>
  <c r="I14" i="152"/>
  <c r="M14" i="152"/>
  <c r="Q14" i="152" s="1"/>
  <c r="I13" i="152"/>
  <c r="M13" i="152"/>
  <c r="M15" i="152"/>
  <c r="Q15" i="152" s="1"/>
  <c r="I15" i="152"/>
  <c r="L25" i="69"/>
  <c r="L21" i="69" s="1"/>
  <c r="L25" i="70"/>
  <c r="L21" i="100"/>
  <c r="J12" i="100"/>
  <c r="I14" i="125"/>
  <c r="M14" i="125"/>
  <c r="Q14" i="125" s="1"/>
  <c r="M13" i="125"/>
  <c r="I13" i="125"/>
  <c r="I15" i="125"/>
  <c r="M15" i="125"/>
  <c r="Q15" i="125" s="1"/>
  <c r="F23" i="45"/>
  <c r="L23" i="45"/>
  <c r="M17" i="126"/>
  <c r="Q17" i="126" s="1"/>
  <c r="K15" i="126"/>
  <c r="K13" i="126"/>
  <c r="M18" i="126"/>
  <c r="Q18" i="126" s="1"/>
  <c r="K14" i="126"/>
  <c r="M16" i="126"/>
  <c r="Q16" i="126" s="1"/>
  <c r="F23" i="33"/>
  <c r="L23" i="38"/>
  <c r="K13" i="145"/>
  <c r="K14" i="145"/>
  <c r="M16" i="145"/>
  <c r="Q16" i="145" s="1"/>
  <c r="M17" i="145"/>
  <c r="Q17" i="145" s="1"/>
  <c r="K15" i="145"/>
  <c r="M18" i="145"/>
  <c r="Q18" i="145" s="1"/>
  <c r="G32" i="30"/>
  <c r="J17" i="112"/>
  <c r="L17" i="112" s="1"/>
  <c r="L12" i="112"/>
  <c r="Q13" i="133"/>
  <c r="M18" i="131"/>
  <c r="Q18" i="131" s="1"/>
  <c r="K13" i="131"/>
  <c r="K15" i="131"/>
  <c r="M17" i="131"/>
  <c r="Q17" i="131" s="1"/>
  <c r="K14" i="131"/>
  <c r="M16" i="131"/>
  <c r="Q16" i="131" s="1"/>
  <c r="L21" i="76"/>
  <c r="J12" i="76"/>
  <c r="I25" i="5"/>
  <c r="G21" i="27" s="1"/>
  <c r="I21" i="5"/>
  <c r="G16" i="27" s="1"/>
  <c r="I17" i="5"/>
  <c r="I13" i="5"/>
  <c r="G12" i="27" s="1"/>
  <c r="I12" i="27" s="1"/>
  <c r="A3" i="5"/>
  <c r="A2" i="5"/>
  <c r="A3" i="4"/>
  <c r="A2" i="4"/>
  <c r="N12" i="1"/>
  <c r="N15" i="1" s="1"/>
  <c r="H26" i="2"/>
  <c r="F15" i="26" s="1"/>
  <c r="H15" i="26" s="1"/>
  <c r="L15" i="26" s="1"/>
  <c r="H22" i="2"/>
  <c r="F14" i="26" s="1"/>
  <c r="H14" i="26" s="1"/>
  <c r="H13" i="2"/>
  <c r="F12" i="26" s="1"/>
  <c r="H12" i="26" s="1"/>
  <c r="F22" i="2"/>
  <c r="H14" i="33" s="1"/>
  <c r="F13" i="2"/>
  <c r="H12" i="33" s="1"/>
  <c r="A3" i="2"/>
  <c r="A2" i="2"/>
  <c r="A1" i="2"/>
  <c r="Q20" i="133" l="1"/>
  <c r="L25" i="66" s="1"/>
  <c r="M20" i="133"/>
  <c r="I16" i="27"/>
  <c r="H30" i="2"/>
  <c r="J12" i="81"/>
  <c r="L21" i="81"/>
  <c r="J12" i="82"/>
  <c r="L21" i="82"/>
  <c r="L21" i="93"/>
  <c r="J12" i="93"/>
  <c r="J12" i="94"/>
  <c r="L21" i="94"/>
  <c r="J12" i="105"/>
  <c r="L21" i="105"/>
  <c r="J12" i="106"/>
  <c r="L21" i="106"/>
  <c r="L12" i="88"/>
  <c r="G26" i="30"/>
  <c r="J17" i="88"/>
  <c r="L17" i="88" s="1"/>
  <c r="Q13" i="152"/>
  <c r="Q20" i="152" s="1"/>
  <c r="M20" i="152"/>
  <c r="L21" i="70"/>
  <c r="J12" i="70"/>
  <c r="G29" i="30"/>
  <c r="L12" i="100"/>
  <c r="J17" i="100"/>
  <c r="L17" i="100" s="1"/>
  <c r="Q13" i="125"/>
  <c r="Q20" i="125" s="1"/>
  <c r="L25" i="52" s="1"/>
  <c r="M20" i="125"/>
  <c r="I13" i="126"/>
  <c r="M13" i="126"/>
  <c r="M15" i="126"/>
  <c r="Q15" i="126" s="1"/>
  <c r="I15" i="126"/>
  <c r="M14" i="126"/>
  <c r="Q14" i="126" s="1"/>
  <c r="I14" i="126"/>
  <c r="M15" i="145"/>
  <c r="Q15" i="145" s="1"/>
  <c r="I15" i="145"/>
  <c r="M13" i="145"/>
  <c r="I13" i="145"/>
  <c r="M14" i="145"/>
  <c r="Q14" i="145" s="1"/>
  <c r="I14" i="145"/>
  <c r="I21" i="27"/>
  <c r="G23" i="27"/>
  <c r="J18" i="112"/>
  <c r="L18" i="112" s="1"/>
  <c r="L19" i="112" s="1"/>
  <c r="L21" i="66"/>
  <c r="J12" i="66"/>
  <c r="M15" i="131"/>
  <c r="Q15" i="131" s="1"/>
  <c r="I15" i="131"/>
  <c r="M13" i="131"/>
  <c r="I13" i="131"/>
  <c r="I14" i="131"/>
  <c r="M14" i="131"/>
  <c r="Q14" i="131" s="1"/>
  <c r="L14" i="26"/>
  <c r="J17" i="76"/>
  <c r="L17" i="76" s="1"/>
  <c r="G23" i="30"/>
  <c r="L12" i="76"/>
  <c r="L14" i="33"/>
  <c r="H31" i="2"/>
  <c r="F12" i="1"/>
  <c r="H12" i="1" s="1"/>
  <c r="F31" i="2"/>
  <c r="N17" i="1"/>
  <c r="N14" i="1"/>
  <c r="G17" i="5"/>
  <c r="I14" i="4" s="1"/>
  <c r="H16" i="1"/>
  <c r="L16" i="1" s="1"/>
  <c r="A1" i="5"/>
  <c r="A1" i="4"/>
  <c r="I13" i="4"/>
  <c r="I15" i="4"/>
  <c r="I17" i="4"/>
  <c r="I18" i="4"/>
  <c r="I19" i="4"/>
  <c r="I20" i="4"/>
  <c r="E23" i="4"/>
  <c r="D23" i="1" s="1"/>
  <c r="D19" i="1"/>
  <c r="D21" i="1" s="1"/>
  <c r="D25" i="1" s="1"/>
  <c r="I23" i="27" l="1"/>
  <c r="H32" i="2"/>
  <c r="F17" i="26" s="1"/>
  <c r="H17" i="26" s="1"/>
  <c r="J17" i="82"/>
  <c r="L17" i="82" s="1"/>
  <c r="L12" i="82"/>
  <c r="G25" i="30"/>
  <c r="J17" i="81"/>
  <c r="L17" i="81" s="1"/>
  <c r="G24" i="30"/>
  <c r="L12" i="81"/>
  <c r="L12" i="94"/>
  <c r="G28" i="30"/>
  <c r="J17" i="94"/>
  <c r="L17" i="94" s="1"/>
  <c r="J17" i="93"/>
  <c r="L17" i="93" s="1"/>
  <c r="G27" i="30"/>
  <c r="L12" i="93"/>
  <c r="J17" i="106"/>
  <c r="L17" i="106" s="1"/>
  <c r="L12" i="106"/>
  <c r="G31" i="30"/>
  <c r="G30" i="30"/>
  <c r="J17" i="105"/>
  <c r="L17" i="105" s="1"/>
  <c r="L12" i="105"/>
  <c r="J18" i="88"/>
  <c r="L18" i="88" s="1"/>
  <c r="L19" i="88" s="1"/>
  <c r="L25" i="57"/>
  <c r="L25" i="58"/>
  <c r="G22" i="30"/>
  <c r="L12" i="70"/>
  <c r="J17" i="70"/>
  <c r="L17" i="70" s="1"/>
  <c r="J18" i="100"/>
  <c r="L18" i="100" s="1"/>
  <c r="L19" i="100" s="1"/>
  <c r="J12" i="52"/>
  <c r="L21" i="52"/>
  <c r="Q13" i="126"/>
  <c r="Q20" i="126" s="1"/>
  <c r="M20" i="126"/>
  <c r="H36" i="2"/>
  <c r="Q13" i="145"/>
  <c r="Q20" i="145" s="1"/>
  <c r="M20" i="145"/>
  <c r="H35" i="2"/>
  <c r="H35" i="119"/>
  <c r="H37" i="119" s="1"/>
  <c r="F18" i="118" s="1"/>
  <c r="H18" i="118" s="1"/>
  <c r="H19" i="118" s="1"/>
  <c r="H21" i="118" s="1"/>
  <c r="J12" i="118" s="1"/>
  <c r="H23" i="26"/>
  <c r="J17" i="66"/>
  <c r="L17" i="66" s="1"/>
  <c r="L12" i="66"/>
  <c r="G20" i="30"/>
  <c r="Q13" i="131"/>
  <c r="Q20" i="131" s="1"/>
  <c r="L25" i="33" s="1"/>
  <c r="L21" i="33" s="1"/>
  <c r="M20" i="131"/>
  <c r="J18" i="76"/>
  <c r="L18" i="76" s="1"/>
  <c r="L19" i="76" s="1"/>
  <c r="H17" i="33"/>
  <c r="G25" i="5"/>
  <c r="G21" i="4" s="1"/>
  <c r="I21" i="4" s="1"/>
  <c r="F14" i="1"/>
  <c r="H14" i="1" s="1"/>
  <c r="F26" i="2"/>
  <c r="J18" i="82" l="1"/>
  <c r="L18" i="82" s="1"/>
  <c r="L19" i="82" s="1"/>
  <c r="J18" i="81"/>
  <c r="L18" i="81" s="1"/>
  <c r="L19" i="81" s="1"/>
  <c r="J18" i="93"/>
  <c r="L18" i="93" s="1"/>
  <c r="L19" i="93" s="1"/>
  <c r="J18" i="94"/>
  <c r="L18" i="94" s="1"/>
  <c r="L19" i="94" s="1"/>
  <c r="J18" i="105"/>
  <c r="L18" i="105" s="1"/>
  <c r="L19" i="105" s="1"/>
  <c r="J18" i="106"/>
  <c r="L18" i="106" s="1"/>
  <c r="L19" i="106" s="1"/>
  <c r="L21" i="58"/>
  <c r="J12" i="58"/>
  <c r="J12" i="57"/>
  <c r="L21" i="57"/>
  <c r="J18" i="70"/>
  <c r="L18" i="70" s="1"/>
  <c r="L19" i="70" s="1"/>
  <c r="G17" i="30"/>
  <c r="L12" i="52"/>
  <c r="J17" i="52"/>
  <c r="L17" i="52" s="1"/>
  <c r="L25" i="46"/>
  <c r="L25" i="45"/>
  <c r="H37" i="2"/>
  <c r="F18" i="26" s="1"/>
  <c r="H18" i="26" s="1"/>
  <c r="H19" i="26" s="1"/>
  <c r="H21" i="26" s="1"/>
  <c r="L25" i="38"/>
  <c r="L25" i="39"/>
  <c r="J17" i="118"/>
  <c r="L17" i="118" s="1"/>
  <c r="G34" i="30"/>
  <c r="L12" i="118"/>
  <c r="L23" i="26"/>
  <c r="F23" i="26"/>
  <c r="J18" i="66"/>
  <c r="L18" i="66" s="1"/>
  <c r="L19" i="66" s="1"/>
  <c r="H18" i="33"/>
  <c r="F15" i="1"/>
  <c r="H15" i="1" s="1"/>
  <c r="L15" i="1" s="1"/>
  <c r="H15" i="33"/>
  <c r="L14" i="1"/>
  <c r="G13" i="5"/>
  <c r="G12" i="4" s="1"/>
  <c r="G21" i="5"/>
  <c r="G16" i="4" s="1"/>
  <c r="L12" i="57" l="1"/>
  <c r="J17" i="57"/>
  <c r="L17" i="57" s="1"/>
  <c r="G18" i="30"/>
  <c r="G19" i="30"/>
  <c r="J17" i="58"/>
  <c r="L17" i="58" s="1"/>
  <c r="L12" i="58"/>
  <c r="J18" i="52"/>
  <c r="L18" i="52" s="1"/>
  <c r="L19" i="52" s="1"/>
  <c r="J12" i="45"/>
  <c r="L21" i="45"/>
  <c r="L21" i="46"/>
  <c r="J12" i="46"/>
  <c r="J18" i="118"/>
  <c r="L18" i="118" s="1"/>
  <c r="L19" i="118" s="1"/>
  <c r="J12" i="38"/>
  <c r="L21" i="38"/>
  <c r="L21" i="39"/>
  <c r="J12" i="39"/>
  <c r="L15" i="33"/>
  <c r="H19" i="33"/>
  <c r="H21" i="33" s="1"/>
  <c r="J12" i="33" s="1"/>
  <c r="G12" i="30" s="1"/>
  <c r="I12" i="4"/>
  <c r="I16" i="4" l="1"/>
  <c r="I23" i="4" s="1"/>
  <c r="H23" i="1" s="1"/>
  <c r="F30" i="2"/>
  <c r="F32" i="2" s="1"/>
  <c r="J18" i="58"/>
  <c r="L18" i="58" s="1"/>
  <c r="L19" i="58" s="1"/>
  <c r="J18" i="57"/>
  <c r="L18" i="57" s="1"/>
  <c r="L19" i="57" s="1"/>
  <c r="L12" i="46"/>
  <c r="G16" i="30"/>
  <c r="J17" i="46"/>
  <c r="L17" i="46" s="1"/>
  <c r="G15" i="30"/>
  <c r="L12" i="45"/>
  <c r="J17" i="45"/>
  <c r="L17" i="45" s="1"/>
  <c r="G14" i="30"/>
  <c r="L12" i="39"/>
  <c r="J17" i="39"/>
  <c r="L17" i="39" s="1"/>
  <c r="G13" i="30"/>
  <c r="L12" i="38"/>
  <c r="J17" i="38"/>
  <c r="L17" i="38" s="1"/>
  <c r="G23" i="4"/>
  <c r="F35" i="119" s="1"/>
  <c r="F37" i="119" s="1"/>
  <c r="F18" i="117" s="1"/>
  <c r="H18" i="117" s="1"/>
  <c r="H19" i="117" s="1"/>
  <c r="H21" i="117" s="1"/>
  <c r="J12" i="117" s="1"/>
  <c r="J17" i="117" s="1"/>
  <c r="L17" i="117" s="1"/>
  <c r="F37" i="71"/>
  <c r="F18" i="69" s="1"/>
  <c r="H18" i="69" s="1"/>
  <c r="H19" i="69" s="1"/>
  <c r="H21" i="69" s="1"/>
  <c r="J12" i="69" s="1"/>
  <c r="G21" i="30" s="1"/>
  <c r="J17" i="33"/>
  <c r="L17" i="33" s="1"/>
  <c r="L12" i="33"/>
  <c r="F17" i="1" l="1"/>
  <c r="H17" i="1" s="1"/>
  <c r="F36" i="2"/>
  <c r="J18" i="45"/>
  <c r="L18" i="45" s="1"/>
  <c r="L19" i="45" s="1"/>
  <c r="J18" i="46"/>
  <c r="L18" i="46" s="1"/>
  <c r="L19" i="46" s="1"/>
  <c r="J18" i="38"/>
  <c r="L18" i="38" s="1"/>
  <c r="L19" i="38" s="1"/>
  <c r="J18" i="39"/>
  <c r="L18" i="39" s="1"/>
  <c r="L19" i="39" s="1"/>
  <c r="F35" i="2"/>
  <c r="L23" i="1"/>
  <c r="F23" i="1"/>
  <c r="K20" i="144"/>
  <c r="K15" i="144" s="1"/>
  <c r="G33" i="30"/>
  <c r="L12" i="117"/>
  <c r="J18" i="117"/>
  <c r="L18" i="117" s="1"/>
  <c r="L19" i="117" s="1"/>
  <c r="J17" i="69"/>
  <c r="L17" i="69" s="1"/>
  <c r="L12" i="69"/>
  <c r="J18" i="33"/>
  <c r="L18" i="33" s="1"/>
  <c r="L19" i="33" s="1"/>
  <c r="F37" i="2" l="1"/>
  <c r="F18" i="1" s="1"/>
  <c r="H18" i="1" s="1"/>
  <c r="H19" i="1" s="1"/>
  <c r="H21" i="1" s="1"/>
  <c r="K13" i="144"/>
  <c r="M13" i="144" s="1"/>
  <c r="M18" i="144"/>
  <c r="Q18" i="144" s="1"/>
  <c r="M17" i="144"/>
  <c r="Q17" i="144" s="1"/>
  <c r="M16" i="144"/>
  <c r="Q16" i="144" s="1"/>
  <c r="K14" i="144"/>
  <c r="M14" i="144" s="1"/>
  <c r="Q14" i="144" s="1"/>
  <c r="I15" i="144"/>
  <c r="M15" i="144"/>
  <c r="Q15" i="144" s="1"/>
  <c r="J18" i="69"/>
  <c r="L18" i="69" s="1"/>
  <c r="L19" i="69" s="1"/>
  <c r="I13" i="144" l="1"/>
  <c r="I14" i="144"/>
  <c r="Q13" i="144"/>
  <c r="Q20" i="144" s="1"/>
  <c r="M20" i="144"/>
  <c r="L25" i="26" l="1"/>
  <c r="L25" i="1"/>
  <c r="J12" i="1" l="1"/>
  <c r="L21" i="1"/>
  <c r="L21" i="26"/>
  <c r="J12" i="26"/>
  <c r="L12" i="26" l="1"/>
  <c r="J17" i="26"/>
  <c r="L17" i="26" s="1"/>
  <c r="G11" i="30"/>
  <c r="G39" i="30" s="1"/>
  <c r="G10" i="30"/>
  <c r="L12" i="1"/>
  <c r="J17" i="1"/>
  <c r="L17" i="1" s="1"/>
  <c r="J18" i="1" l="1"/>
  <c r="L18" i="1" s="1"/>
  <c r="L19" i="1" s="1"/>
  <c r="G38" i="30"/>
  <c r="G36" i="30"/>
  <c r="J18" i="26"/>
  <c r="L18" i="26" s="1"/>
  <c r="L19" i="26" s="1"/>
</calcChain>
</file>

<file path=xl/sharedStrings.xml><?xml version="1.0" encoding="utf-8"?>
<sst xmlns="http://schemas.openxmlformats.org/spreadsheetml/2006/main" count="4703" uniqueCount="756">
  <si>
    <t>Line</t>
  </si>
  <si>
    <t>No.</t>
  </si>
  <si>
    <t>Description</t>
  </si>
  <si>
    <t>Utility</t>
  </si>
  <si>
    <t>Adjusted</t>
  </si>
  <si>
    <t>Amount</t>
  </si>
  <si>
    <t>OPC</t>
  </si>
  <si>
    <t>Adjustments</t>
  </si>
  <si>
    <t>Per OPC</t>
  </si>
  <si>
    <t>Balance</t>
  </si>
  <si>
    <t>Increase</t>
  </si>
  <si>
    <t>Revenue</t>
  </si>
  <si>
    <t>Annual</t>
  </si>
  <si>
    <t xml:space="preserve">Revenue </t>
  </si>
  <si>
    <t>Requirement</t>
  </si>
  <si>
    <t>OPERATING REVENUE</t>
  </si>
  <si>
    <t>Operation &amp; Maintenance</t>
  </si>
  <si>
    <t>Depreciation, Net of CIAC Amort.</t>
  </si>
  <si>
    <t>Taxes Other Than Income</t>
  </si>
  <si>
    <t>Provision for Income Taxes</t>
  </si>
  <si>
    <t>OPERATING EXPENSES</t>
  </si>
  <si>
    <t>NET OPERATING INCOME</t>
  </si>
  <si>
    <t>RATE BASE</t>
  </si>
  <si>
    <t>Reference:</t>
  </si>
  <si>
    <t>(1)</t>
  </si>
  <si>
    <t>(2)</t>
  </si>
  <si>
    <t>(3)</t>
  </si>
  <si>
    <t>(4)</t>
  </si>
  <si>
    <t>(5)</t>
  </si>
  <si>
    <t>(6)</t>
  </si>
  <si>
    <t>(7)</t>
  </si>
  <si>
    <t>Column (3)</t>
  </si>
  <si>
    <t>Rate Base</t>
  </si>
  <si>
    <t>Utility Plant in Service</t>
  </si>
  <si>
    <t>Utility Land &amp; Land Rights</t>
  </si>
  <si>
    <t>Less:  Non-Used &amp; Useful Plant</t>
  </si>
  <si>
    <t>Construction Work in Progress</t>
  </si>
  <si>
    <t>Less:  Accumulated Depreciation</t>
  </si>
  <si>
    <t>Less:  CIAC</t>
  </si>
  <si>
    <t>Accumulated Amortization CIAC</t>
  </si>
  <si>
    <t>Working Capital Allowance</t>
  </si>
  <si>
    <t>Total Rate Base</t>
  </si>
  <si>
    <t>Schedule of Adjustments to Rate Base</t>
  </si>
  <si>
    <t>Adjustments to Accumulated Depreciation:</t>
  </si>
  <si>
    <t>Adjustments to Plant in Service</t>
  </si>
  <si>
    <t>Schedule of Adjustments to Operating Income</t>
  </si>
  <si>
    <t>Adjustments to Depreciation:</t>
  </si>
  <si>
    <t>Total Adjustments to Accumulated Depreciation</t>
  </si>
  <si>
    <t>Total Adjustments to Plant in Service</t>
  </si>
  <si>
    <t>Adjustments to O&amp;M Expense:</t>
  </si>
  <si>
    <t>Source/Notes:</t>
  </si>
  <si>
    <t>Adjustments to Working Capital:</t>
  </si>
  <si>
    <t>Total Adjustments to Working Capital</t>
  </si>
  <si>
    <t>RATE OF RETURN</t>
  </si>
  <si>
    <t xml:space="preserve"> </t>
  </si>
  <si>
    <t>Acquisition Adjustments</t>
  </si>
  <si>
    <t>Accum. Amort. Of Acq. Adjustments</t>
  </si>
  <si>
    <t>Test Year</t>
  </si>
  <si>
    <t>Adjustments to Non-Used and Useful Plant</t>
  </si>
  <si>
    <t>Total Net Non-Used and Useful Adjustment</t>
  </si>
  <si>
    <t>Adjustments to Taxes Other Than Income</t>
  </si>
  <si>
    <t>Utilities, Inc. of Florida</t>
  </si>
  <si>
    <t xml:space="preserve">  -  Cypress Lakes</t>
  </si>
  <si>
    <t>Test Year Ended December 31, 2015</t>
  </si>
  <si>
    <t>Docket No. 160101-WS</t>
  </si>
  <si>
    <t>Cypress Lakes Revenue Requirement</t>
  </si>
  <si>
    <t>Exhibit DMR-2</t>
  </si>
  <si>
    <t>Page 1</t>
  </si>
  <si>
    <t>Amortization, Acq. Adjustment</t>
  </si>
  <si>
    <t>Calculation of Revenue Requirement - Water</t>
  </si>
  <si>
    <t>Water</t>
  </si>
  <si>
    <t>Wastewater</t>
  </si>
  <si>
    <t>Reference</t>
  </si>
  <si>
    <t>Adjustments to O&amp;M Revenues:</t>
  </si>
  <si>
    <t>Rate Base - Water</t>
  </si>
  <si>
    <t>Per UIF</t>
  </si>
  <si>
    <t>Calculation of Revenue Requirement - Wastewater</t>
  </si>
  <si>
    <t>Page 2</t>
  </si>
  <si>
    <t>Rate Base - Wastewater</t>
  </si>
  <si>
    <t>Adjustments to Income Taxes</t>
  </si>
  <si>
    <t>Page 3</t>
  </si>
  <si>
    <t>Page 4</t>
  </si>
  <si>
    <t>Page 5</t>
  </si>
  <si>
    <t>Page 6</t>
  </si>
  <si>
    <t>Page #</t>
  </si>
  <si>
    <t>Title</t>
  </si>
  <si>
    <t>Index to Revenue Requirement Exhibit</t>
  </si>
  <si>
    <t>Page 7</t>
  </si>
  <si>
    <t>Source:</t>
  </si>
  <si>
    <t>Impact of Revenue Adjs. on Regulatory Assessment Fees (4.5%)</t>
  </si>
  <si>
    <t>Impact of Adjustments on Income Taxes (37.63% composite rate)</t>
  </si>
  <si>
    <t>Exhibit DMR-3</t>
  </si>
  <si>
    <t>Revenue Requirements by System</t>
  </si>
  <si>
    <t>System</t>
  </si>
  <si>
    <t>per UIF</t>
  </si>
  <si>
    <t>per OPC</t>
  </si>
  <si>
    <t>Cypress Lakes - Water</t>
  </si>
  <si>
    <t>Cypress Lakes - Wastewater</t>
  </si>
  <si>
    <t>Reference - per OPC Amount</t>
  </si>
  <si>
    <t>Page 1 of 1</t>
  </si>
  <si>
    <t>Revenue Requirement by System</t>
  </si>
  <si>
    <t>Col. (2):  Company MFR B-2</t>
  </si>
  <si>
    <t>Col. (2):  Company MFR B-1</t>
  </si>
  <si>
    <t>Col. (1):  Company MFR A-1</t>
  </si>
  <si>
    <t>Col. (2):  See Page 7</t>
  </si>
  <si>
    <t>Col. (1):  Company MFR A-2</t>
  </si>
  <si>
    <t xml:space="preserve">  -  Eagle Ridge</t>
  </si>
  <si>
    <t>Exhibit DMR-4</t>
  </si>
  <si>
    <t>Eagle Ridge Revenue Requirement</t>
  </si>
  <si>
    <t xml:space="preserve"> -  Eagle Ridge</t>
  </si>
  <si>
    <t xml:space="preserve">    Subtotal</t>
  </si>
  <si>
    <t xml:space="preserve">  Subtotal</t>
  </si>
  <si>
    <t>Col. (2):  See Page 5</t>
  </si>
  <si>
    <t>Eagle Ridge - Wastewater</t>
  </si>
  <si>
    <t>Exhibit DMR-5</t>
  </si>
  <si>
    <t>Impact of Rate Base Adjustments on Interest Deduction (a)</t>
  </si>
  <si>
    <t xml:space="preserve">      Company MFR Schedule D-1 x -consolidated tax rate of 37.63%.</t>
  </si>
  <si>
    <t>(a)  Calculated as total OPC rate base adjustments on page 4 x weighted cost of debt of 2.74% per</t>
  </si>
  <si>
    <t xml:space="preserve">  -  Labrador</t>
  </si>
  <si>
    <t>Labrador Revenue Requirement</t>
  </si>
  <si>
    <t>(a)  Calculated as total OPC rate base adjustments on pages 5 and 6 x weighted cost of debt of 3.16% per</t>
  </si>
  <si>
    <t xml:space="preserve">  -  Lake Placid</t>
  </si>
  <si>
    <t>Exhibit DMR-6</t>
  </si>
  <si>
    <t>Lake Placid Revenue Requirement</t>
  </si>
  <si>
    <t>(a)  Calculated as total OPC rate base adjustments on pages 5 and 6 x weighted cost of debt of 3.19% per</t>
  </si>
  <si>
    <t>Labrador - Water</t>
  </si>
  <si>
    <t>Labrador - Wastewater</t>
  </si>
  <si>
    <t>Lake Placid - Water</t>
  </si>
  <si>
    <t>Lake Placid - Wastewater</t>
  </si>
  <si>
    <t xml:space="preserve">  -  Longwood</t>
  </si>
  <si>
    <t>Exhibit DMR-7</t>
  </si>
  <si>
    <t>Longwood Revenue Requirement</t>
  </si>
  <si>
    <t>(a)  Calculated as total OPC rate base adjustments on page 4 x weighted cost of debt of 2.55% per</t>
  </si>
  <si>
    <t>Longwood - Wastewater</t>
  </si>
  <si>
    <t>Exhibit DMR-8</t>
  </si>
  <si>
    <t>Advances for Construction</t>
  </si>
  <si>
    <t>(a)  Calculated as total OPC rate base adjustments on pages 5 and 6 x weighted cost of debt of 2.90% per</t>
  </si>
  <si>
    <t>Lake Utility Services - Water</t>
  </si>
  <si>
    <t>Lake Utility Services - Wastewater</t>
  </si>
  <si>
    <t>Mid County Revenue Requirement</t>
  </si>
  <si>
    <t>Exhibit DMR-9</t>
  </si>
  <si>
    <t>(a)  Calculated as total OPC rate base adjustments on page 4 x weighted cost of debt of 3.20% per</t>
  </si>
  <si>
    <t>Exhibit DMR-10</t>
  </si>
  <si>
    <t xml:space="preserve">  -  Pennbrooke</t>
  </si>
  <si>
    <t>Pennbrooke Revenue Requirement</t>
  </si>
  <si>
    <t>(a)  Calculated as total OPC rate base adjustments on pages 5 and 6 x weighted cost of debt of 2.83% per</t>
  </si>
  <si>
    <t>Pennbrooke - Wastewater</t>
  </si>
  <si>
    <t>Pennbrooke - Water</t>
  </si>
  <si>
    <t xml:space="preserve">  -  Sandalhaven</t>
  </si>
  <si>
    <t>Exhibit DMR-11</t>
  </si>
  <si>
    <t>Sandalhaven Revenue Requirement</t>
  </si>
  <si>
    <t>Sandalhaven - Wastewater</t>
  </si>
  <si>
    <t>(a)  Calculated as total OPC rate base adjustments on page 4 x weighted cost of debt of 3.05% per</t>
  </si>
  <si>
    <t>Sanlando - Water</t>
  </si>
  <si>
    <t>Sanlando - Wastewater</t>
  </si>
  <si>
    <t xml:space="preserve">  -  Sanlando</t>
  </si>
  <si>
    <t>Sanlando Revenue Requirement</t>
  </si>
  <si>
    <t>Exhibit DMR-12</t>
  </si>
  <si>
    <t>Tierra Verde - Wastewater</t>
  </si>
  <si>
    <t xml:space="preserve">  -  Tierra Verde</t>
  </si>
  <si>
    <t>Exhibit DMR-13</t>
  </si>
  <si>
    <t>Tierra Verde Revenue Requirement</t>
  </si>
  <si>
    <t>(a)  Calculated as total OPC rate base adjustments on page 4 x weighted cost of debt of 2.84% per</t>
  </si>
  <si>
    <t>Seminole County - Water</t>
  </si>
  <si>
    <t>Seminole County - Wastewater</t>
  </si>
  <si>
    <t xml:space="preserve">  -  Seminole County</t>
  </si>
  <si>
    <t>Exhibit DMR-14</t>
  </si>
  <si>
    <t>Seminole County Revenue Requirement</t>
  </si>
  <si>
    <t>(a)  Calculated as total OPC rate base adjustments on pages 5 and 6 x weighted cost of debt of 3.07% per</t>
  </si>
  <si>
    <t xml:space="preserve">  -  Orange County</t>
  </si>
  <si>
    <t>Exhibit DMR-15</t>
  </si>
  <si>
    <t>Orange County Revenue Requirement</t>
  </si>
  <si>
    <t>Orange County - Water</t>
  </si>
  <si>
    <t>(a)  Calculated as total OPC rate base adjustments on page 4 x weighted cost of debt of 3.12% per</t>
  </si>
  <si>
    <t xml:space="preserve">  -  Pasco County</t>
  </si>
  <si>
    <t>Pasco County Revenue Requirement</t>
  </si>
  <si>
    <t>Exhibit DMR-16</t>
  </si>
  <si>
    <t>(a)  Calculated as total OPC rate base adjustments on pages 5 and 6 x weighted cost of debt of 2.89% per</t>
  </si>
  <si>
    <t>Pasco County - Water</t>
  </si>
  <si>
    <t>Pasco County - Wastewater</t>
  </si>
  <si>
    <t>Pinellas County - Water</t>
  </si>
  <si>
    <t xml:space="preserve">  -  Pinellas County</t>
  </si>
  <si>
    <t>Pinellas County Revenue Requirement</t>
  </si>
  <si>
    <t>Exhibit DMR-17</t>
  </si>
  <si>
    <t>Marion County - Water</t>
  </si>
  <si>
    <t>Marion County - Wastewater</t>
  </si>
  <si>
    <t xml:space="preserve">  -  Marion County</t>
  </si>
  <si>
    <t>Exhibit DMR-18</t>
  </si>
  <si>
    <t>Marion County Revenue Requirement</t>
  </si>
  <si>
    <t>Total</t>
  </si>
  <si>
    <t>Total - Water</t>
  </si>
  <si>
    <t>Total - Wastewater</t>
  </si>
  <si>
    <t>Change</t>
  </si>
  <si>
    <t xml:space="preserve">  -  Lake Utility Services</t>
  </si>
  <si>
    <t>Lake Utility Services Revenue Requirement</t>
  </si>
  <si>
    <t>Col. (2):  Company MFR B-1.  Amount on line 6 from Company MFR C-2.</t>
  </si>
  <si>
    <t>Col. (2):  Company MFR B-2.  Amount on line 6 from Company MFR C-2.</t>
  </si>
  <si>
    <t>Excessive Inflow &amp; Infiltration Expense</t>
  </si>
  <si>
    <t>Testimony</t>
  </si>
  <si>
    <t>Cost of Capital</t>
  </si>
  <si>
    <t>Class of Capital</t>
  </si>
  <si>
    <t>Amounts</t>
  </si>
  <si>
    <t>Ratio</t>
  </si>
  <si>
    <t xml:space="preserve">Per OPC </t>
  </si>
  <si>
    <t>Cost Rate</t>
  </si>
  <si>
    <t>Weighted Cost</t>
  </si>
  <si>
    <t>Long Term Debt</t>
  </si>
  <si>
    <t>Short Term Debt</t>
  </si>
  <si>
    <t>Common Equity</t>
  </si>
  <si>
    <t>Customer Deposits</t>
  </si>
  <si>
    <t>Tax Credits - Zero Cost</t>
  </si>
  <si>
    <t>ADIT</t>
  </si>
  <si>
    <t>(a)</t>
  </si>
  <si>
    <t>(b)</t>
  </si>
  <si>
    <t xml:space="preserve">(c) </t>
  </si>
  <si>
    <t>(d)</t>
  </si>
  <si>
    <t xml:space="preserve">(e) </t>
  </si>
  <si>
    <t>Col. (a), (b) and (f):  See Company MFR Sch. D-1</t>
  </si>
  <si>
    <t>(f)</t>
  </si>
  <si>
    <t>(g)</t>
  </si>
  <si>
    <t>Col. (d), line 7:  See page 4</t>
  </si>
  <si>
    <t>Col. (f), Line 3:  Corrected amount per Company response to Staff ROG 110.</t>
  </si>
  <si>
    <t>Page 8</t>
  </si>
  <si>
    <t>WWTP Plant Decommissioning Impacts:</t>
  </si>
  <si>
    <t xml:space="preserve">  -  Reduction to Salary and Wages Expense ($45,778 * 1.0375)</t>
  </si>
  <si>
    <t xml:space="preserve">  -  Reduction to Pensions &amp; Benefits Expense ($13,284 * 1.0375)</t>
  </si>
  <si>
    <t>Reduction to Payroll Tax Expense - WWTP Decommissioning (7.65%)</t>
  </si>
  <si>
    <t xml:space="preserve">  -  Remove Sludge Removal Expense</t>
  </si>
  <si>
    <t xml:space="preserve">  -  Remove Chemical Expense</t>
  </si>
  <si>
    <t>Account 715 - Purchased Power Expense</t>
  </si>
  <si>
    <t>Excessive Inflow &amp; Infiltration</t>
  </si>
  <si>
    <t>Reduction to Expense for Excessive I&amp;I</t>
  </si>
  <si>
    <t>Line 4:  Percentage Excessive I&amp;I recommended by Citizens' witness Andrew Woodcock.</t>
  </si>
  <si>
    <t xml:space="preserve">Weighted  </t>
  </si>
  <si>
    <t>Cost</t>
  </si>
  <si>
    <t>Excess Inflow &amp; Infiltration Expense</t>
  </si>
  <si>
    <t>Non-Used &amp; Useful Plant</t>
  </si>
  <si>
    <t>Account/Description</t>
  </si>
  <si>
    <t>389.1 - Other Plant &amp; Misc. Equipment (Interconnection)</t>
  </si>
  <si>
    <t>PIS</t>
  </si>
  <si>
    <t>Accum.</t>
  </si>
  <si>
    <t>Deprec.</t>
  </si>
  <si>
    <t>Expense</t>
  </si>
  <si>
    <t>360.2 - Collection Sewers - Force</t>
  </si>
  <si>
    <t>Reduction to Rate Base for Non-Used &amp; Useful</t>
  </si>
  <si>
    <t>Non-Used &amp; Useful, per Citizens</t>
  </si>
  <si>
    <t>Non-Used &amp; Useful Adjustment</t>
  </si>
  <si>
    <t>Reduction to Depreciation Expense for Non-Used &amp; Useful</t>
  </si>
  <si>
    <t>Account 710 - Purchased Sewage Treatment Expense, as Adjusted</t>
  </si>
  <si>
    <t>A.1</t>
  </si>
  <si>
    <t>A.2</t>
  </si>
  <si>
    <t>A.3</t>
  </si>
  <si>
    <t>Calculation of Adjusted Purchase Sewage Treatment Expense:</t>
  </si>
  <si>
    <t>Purchase Sewage Treatment Expense, per Company</t>
  </si>
  <si>
    <t>Adjustment to Remove 2014 Expenses</t>
  </si>
  <si>
    <t>Adjusted Sewage Treatment Expense, per OPC</t>
  </si>
  <si>
    <t>Remove 2014 Purchase Sewage Treatment Expense</t>
  </si>
  <si>
    <t>Lines 1 and A1:  Company MFR Sch. B-6.</t>
  </si>
  <si>
    <t>Exhibit DMR-19</t>
  </si>
  <si>
    <t>% Alloc.</t>
  </si>
  <si>
    <t>Adjustment</t>
  </si>
  <si>
    <t>WSC Charges - Health Insurance Reserve Adjustment</t>
  </si>
  <si>
    <t>Cypress Lakes</t>
  </si>
  <si>
    <t>System Allocation:</t>
  </si>
  <si>
    <t>WSC State - Depreciation Expense Adjustment</t>
  </si>
  <si>
    <t>Depreciation Expense Adjustment</t>
  </si>
  <si>
    <t xml:space="preserve">      MFR Schedule B-12, page 3 for each of the Systems.</t>
  </si>
  <si>
    <t>Line 1:  Citizens Interrogatory 88 - Fixed Asset Clean-up Adjustment booked</t>
  </si>
  <si>
    <t xml:space="preserve">    in March 2015.</t>
  </si>
  <si>
    <t>Remove Health Insurance Reserves Adjustment</t>
  </si>
  <si>
    <t xml:space="preserve">Percentage Allocations from the December 2015 allocation percentages on </t>
  </si>
  <si>
    <t>Percentage Allocations from the March 2015 allocation percentages on Company</t>
  </si>
  <si>
    <t xml:space="preserve">      Company MFR Schedule B-12, page 12 for each of the Systems.</t>
  </si>
  <si>
    <t>Eagle Ridge</t>
  </si>
  <si>
    <t>Lake Placid</t>
  </si>
  <si>
    <t xml:space="preserve">Longwood  </t>
  </si>
  <si>
    <t>Lake Utility Services</t>
  </si>
  <si>
    <t>Pennbrooke</t>
  </si>
  <si>
    <t xml:space="preserve">Sandalhaven  </t>
  </si>
  <si>
    <t>Sanlando</t>
  </si>
  <si>
    <t xml:space="preserve">Tierra Verde  </t>
  </si>
  <si>
    <t>Seminole County</t>
  </si>
  <si>
    <t xml:space="preserve">Orange County  </t>
  </si>
  <si>
    <t>Pasco County</t>
  </si>
  <si>
    <t xml:space="preserve">Pinellas County  </t>
  </si>
  <si>
    <t>Marion County</t>
  </si>
  <si>
    <t>Labrador</t>
  </si>
  <si>
    <t xml:space="preserve">    $110,000 was booked December 31, 2015.  The Company increased this by</t>
  </si>
  <si>
    <t xml:space="preserve">      3.75% in its pro forma employee benefits adjustments.</t>
  </si>
  <si>
    <t>Exhibit DMR-20</t>
  </si>
  <si>
    <t>WSC - Health Insurance Reserve Adjustment</t>
  </si>
  <si>
    <t>WSC - State - Depreciation Expense Adjustment</t>
  </si>
  <si>
    <t>Line 1:  Citizens Interrogatory 91 - A  "Health Insurance Reserves Adjustment" of</t>
  </si>
  <si>
    <t>Transportation Expense Allocation Correction</t>
  </si>
  <si>
    <t>Remove Accrued Income Taxes From WC</t>
  </si>
  <si>
    <t>Materials &amp; Supplies Expense Normalization</t>
  </si>
  <si>
    <t>Remove Accrued Federal Income Tax from WC</t>
  </si>
  <si>
    <t>OPC Adj.</t>
  </si>
  <si>
    <t>Chemical Expense Adjustment</t>
  </si>
  <si>
    <t>Englewood Water District Interconnection:</t>
  </si>
  <si>
    <t>Master Lift Station Structure:</t>
  </si>
  <si>
    <t>370.3 - Receiving Wells</t>
  </si>
  <si>
    <t>Pumping Plant:</t>
  </si>
  <si>
    <t>371.3 - Pumping Equipment</t>
  </si>
  <si>
    <t>Force Mains:</t>
  </si>
  <si>
    <t>Lines 1, 4, 7 and 10:  Company MFR Schedules A-6, A-10 and B-14.</t>
  </si>
  <si>
    <t>354.4 - Structures &amp; Improvements</t>
  </si>
  <si>
    <t>355.4 - Power Gen Equipment</t>
  </si>
  <si>
    <t>380.4 - Treatment &amp; Disposal Equipment</t>
  </si>
  <si>
    <t>381.4 - Plant Sewers</t>
  </si>
  <si>
    <t>382.4  Outfall Sewer Lines</t>
  </si>
  <si>
    <t>389.4 - Other Plant &amp; Misc. Equipment</t>
  </si>
  <si>
    <t>Treatment &amp; Disposal Plant:</t>
  </si>
  <si>
    <t xml:space="preserve">Non-Used &amp; Useful Net Plant </t>
  </si>
  <si>
    <t>Remove 361.2 - I&amp;I Deficiency Corrections</t>
  </si>
  <si>
    <t>Remove South Plant Blower Replacement Project (net of retirements)</t>
  </si>
  <si>
    <t>(b)  Adjustment sponsored by Citizens' Witness Andrew Woodcock</t>
  </si>
  <si>
    <t>Revised Methanol Pumps &amp; Nutrient Analyzer ($92,576 supported)</t>
  </si>
  <si>
    <t>Remove Unsupported Additional Employee - Salary &amp; Wages</t>
  </si>
  <si>
    <t>Remove Unsupported Additional Employee - Benefits</t>
  </si>
  <si>
    <t>Remove Unsupported Additional Employee - Payroll Taxes</t>
  </si>
  <si>
    <t>Cost Savings from Methanol Pump Post TY Project</t>
  </si>
  <si>
    <t>Adjustments to Pro Forma Account 380.4 Additions:</t>
  </si>
  <si>
    <t xml:space="preserve">  -  Remove Cancelled South Plant Blower Project</t>
  </si>
  <si>
    <t>Total Treatment &amp; Disposal Plant, As Adjusted</t>
  </si>
  <si>
    <t>Non-Used &amp; Useful Plant - Depreciation</t>
  </si>
  <si>
    <t>(a)  Adjustment sponsored by Citizens' Witness Woodcock.</t>
  </si>
  <si>
    <t>Remove Duplicate DEP WWTP permit expense</t>
  </si>
  <si>
    <t>Remove Account 304.2 Depreciation Exp. - Assets Fully Depreciated</t>
  </si>
  <si>
    <t>Remove Account 307.2 Depreciation Exp. - Assets Fully Depreciated</t>
  </si>
  <si>
    <t>Remove Excess Unaccounted for Water Expense</t>
  </si>
  <si>
    <t>Impact of Rate Base Adjustments on Interest Deduction</t>
  </si>
  <si>
    <t>(b)  Calculated as total OPC rate base adjustments on pages 5 and 6 x weighted cost of debt of 3.01% per</t>
  </si>
  <si>
    <t xml:space="preserve">      times the UAW water percentage recommended by Citizens' witness Woodcock of 1.35%. (($13,379 + $1,683) x -1.35%)</t>
  </si>
  <si>
    <t xml:space="preserve">(a)  Calculated as test year purchase power expense of $13,379 plus Company adjusted test year chemical expense of $1,683 </t>
  </si>
  <si>
    <t>Col. (d), line 7:  See pages 5 and 6</t>
  </si>
  <si>
    <t>Remove Pro Forma Electrical Plant Improvements, net of retirements</t>
  </si>
  <si>
    <t>(b), MFR Sch. B-3</t>
  </si>
  <si>
    <t>(a), MFR Sch. A-3</t>
  </si>
  <si>
    <t>(b)  Adjustment sponsored by Citizens' Witness Woodcock.</t>
  </si>
  <si>
    <t>Remove 2006 delinquent taxes (Staff Audit Report Finding 7)</t>
  </si>
  <si>
    <t>.0152 millage rate</t>
  </si>
  <si>
    <t>Lines 1 and 2:  Company MFR Schedules A-6, A-10 and B-14.</t>
  </si>
  <si>
    <t>Line 4:  Non-Used &amp; Useful percentage recommended by Citizens' witness Andrew Woodcock.</t>
  </si>
  <si>
    <t>Non-Used &amp; Useful Net Plant</t>
  </si>
  <si>
    <t>Page 9</t>
  </si>
  <si>
    <t>Amount in</t>
  </si>
  <si>
    <t>MFRs</t>
  </si>
  <si>
    <t>Amount per</t>
  </si>
  <si>
    <t>Plant Retirement (75% of Line 1)</t>
  </si>
  <si>
    <t>Plant In Service Adjustment:</t>
  </si>
  <si>
    <t>Accumulated Depreciation Adjustment</t>
  </si>
  <si>
    <t>Accumulated Depreciation on Plant Addition</t>
  </si>
  <si>
    <t>Depreciation Expense:</t>
  </si>
  <si>
    <t>Plant In Service Adjustment, Net of Retirements</t>
  </si>
  <si>
    <t>Pro Forma Plant Addition Adjustment</t>
  </si>
  <si>
    <t>Accumulated Depreciation, Net of Retirements</t>
  </si>
  <si>
    <t>Correct Error in Working Capital Calculation</t>
  </si>
  <si>
    <t>(b)  Calculated as total OPC rate base adjustments on page 4 x weighted cost of debt of 3.08% per</t>
  </si>
  <si>
    <t>Impact of Rate Base Adjustments on Interest Deduction (b)</t>
  </si>
  <si>
    <t xml:space="preserve">      of $1,310 times the UAW water percentage recommended by Citizens' witness Woodcock of 10.20%. </t>
  </si>
  <si>
    <t>(a)  Calculated as test year purchase power exp. of $2,223, purchase water exp. of $536 and chemical exp.</t>
  </si>
  <si>
    <t>Col. (d), line 7:  See pages 5 and 6.</t>
  </si>
  <si>
    <t>Remove 2013 Rate Case Legal Fees</t>
  </si>
  <si>
    <t>Remove Water System Alternatives Analysis Costs from Test Year</t>
  </si>
  <si>
    <t>Amortize Water System Alternative Analysis Costs over 5 Years</t>
  </si>
  <si>
    <t>Unamortized Water System Alternative Analysis Costs</t>
  </si>
  <si>
    <t>Remove Excessive Unaccount for Water Expense</t>
  </si>
  <si>
    <t>382.4 - Outfall Sewer Lines</t>
  </si>
  <si>
    <t>Remove Prior Rate Case Expense Amortization from TY</t>
  </si>
  <si>
    <t>Testimony, MFR B-6</t>
  </si>
  <si>
    <t>Remove Prior Rate Case Amortization Expense</t>
  </si>
  <si>
    <t>Testimony, (b)</t>
  </si>
  <si>
    <t>Testimony, (a)</t>
  </si>
  <si>
    <t>(a)  Amounts from MFR Schedules B-5 and B-6.</t>
  </si>
  <si>
    <t>Remove Prior Rate Case Costs from Current Rate Case Amortization Expense</t>
  </si>
  <si>
    <t>Testimony, MFR Sch. B-10</t>
  </si>
  <si>
    <t>(b)  Amounts from MFR Schedules B-5 and B-6.</t>
  </si>
  <si>
    <t>Remove Prior Rate Case Costs from Current Rate Case Amort. Exp</t>
  </si>
  <si>
    <t>Testimony, MFR B-10</t>
  </si>
  <si>
    <t>Testimony, (c)</t>
  </si>
  <si>
    <t>(c)  Amounts from MFR Schedule B-5 and B-6</t>
  </si>
  <si>
    <t>(c)  Amounts from Company MFR Schedules B-5 and B-6</t>
  </si>
  <si>
    <t>(b)  Amounts from Company MFR Schedules B-5 and B-6</t>
  </si>
  <si>
    <t>Remove All Rate Case Expense Amortization from Adj. Test Year</t>
  </si>
  <si>
    <t>Add Back Rate Case Expense for Current Rate Case (Co. Projected Amount)</t>
  </si>
  <si>
    <t>(b)  Amounts from Company Schedule B-5 and B-6</t>
  </si>
  <si>
    <t>Remove Depreciation Expense on Assets Fully Depreciated at Start of TY</t>
  </si>
  <si>
    <t>Remove Non-Used and Useful Plant</t>
  </si>
  <si>
    <t>Non-Used &amp; Useful Plant - Depreciation Expense</t>
  </si>
  <si>
    <t>Remove I&amp;I Remediation Pro Forma Addition</t>
  </si>
  <si>
    <t>Remove I&amp;I Remediation Pro Forma Addition - Depreciation Exp.</t>
  </si>
  <si>
    <t xml:space="preserve">Add back I&amp;I Study </t>
  </si>
  <si>
    <t>Add Back I&amp;I Study - Depreciation Expense (30 year life)</t>
  </si>
  <si>
    <t xml:space="preserve">(b), (c) </t>
  </si>
  <si>
    <t>(c)  Calculated as plant addition amount on page 5 divided by 30 year depreciation life.</t>
  </si>
  <si>
    <t>Add Back I&amp;I Study - Accumulated Depreciation</t>
  </si>
  <si>
    <t>50% of Dep Exp</t>
  </si>
  <si>
    <t>Column (c), line 6:  Reflects impact of Citizens' adjustments to the pro forma plant additions on the Company's ADIT adjustment.</t>
  </si>
  <si>
    <t>Col. (c), line 6:  Reflects impact of bonus depreciation on Company ADIT adjustment for pro forma water main replacement.</t>
  </si>
  <si>
    <t>Pro Forma Crescent Heights Water Main Replacement</t>
  </si>
  <si>
    <t>Retirements (75% capped at TY PIS balance)</t>
  </si>
  <si>
    <t>Pro Forma Depre. Exp. (43 yr. life)</t>
  </si>
  <si>
    <t>Pro Forma Depreciation Expense (43 yr. life)</t>
  </si>
  <si>
    <t>Pro Forma Retirement</t>
  </si>
  <si>
    <t>Column (a):  Company Orange County MFR Schedules A-3 and B-3.</t>
  </si>
  <si>
    <t>Crescent Heights Water Main Replacements Pro Forma</t>
  </si>
  <si>
    <t xml:space="preserve">    Plant Addition - Cap Retirements at TY Plant Balance</t>
  </si>
  <si>
    <t>Col. (d), line 7:  See pages 5 &amp; 6</t>
  </si>
  <si>
    <t>Remove Application of Non-Used &amp; Useful to CIAC</t>
  </si>
  <si>
    <t>Remove Application of Non-Used &amp; Useful to Accum. Amort. CIAC</t>
  </si>
  <si>
    <t>Remove Application of Non-Used &amp; Useful to Amortization of CIAC</t>
  </si>
  <si>
    <t>Testimony, MFR B-14</t>
  </si>
  <si>
    <t>Testimony, MFR A-3</t>
  </si>
  <si>
    <t>Remove Pro Forma Purchase Power Expense Adjustment</t>
  </si>
  <si>
    <t>Remove Pro Forma Deferred Debit from Working Capital</t>
  </si>
  <si>
    <t>(a) Adjustment sponsored by Citizens witness Woodcock.</t>
  </si>
  <si>
    <t>Pro forma Plant Addition</t>
  </si>
  <si>
    <t>Pro Forma Plant Retirement</t>
  </si>
  <si>
    <t>Scada System - Water Portion</t>
  </si>
  <si>
    <t>Pro Forma Depreciation Expense (10 yr. life)</t>
  </si>
  <si>
    <t>Scada System - Wastewater Portion</t>
  </si>
  <si>
    <t>Pro Forma Plant Addition Adjustments</t>
  </si>
  <si>
    <t>Column (a):  LUSI MFR Schedules A-3 and B-3</t>
  </si>
  <si>
    <t>Woodcock's recommended project cost for the SCADA System of $458,902 was allocated in above adjustment</t>
  </si>
  <si>
    <t>between water and wastewater system using percentage allocation of per Company split on MFR Schedule A-3.</t>
  </si>
  <si>
    <t>Per OPC recommended pro forma plant addition amounts recommended by Citizens' witness Woodcock.  Mr.</t>
  </si>
  <si>
    <t>Recommended Reduction in SCADA System Project Costs</t>
  </si>
  <si>
    <t>Page 10</t>
  </si>
  <si>
    <t>Account 380.4 - Lake Grove WWTP - Splitter Box Replacement</t>
  </si>
  <si>
    <t>Pro Forma Depreciation Expense (18 yr. life)</t>
  </si>
  <si>
    <t xml:space="preserve">Per OPC recommended pro forma plant addition amounts recommended by Citizens' witness Woodcock. </t>
  </si>
  <si>
    <t>Recommended Reduction in Splitter Box Replacement Project Cost</t>
  </si>
  <si>
    <t>Recommended Reduction to US 27 North Relocation Project Costs</t>
  </si>
  <si>
    <t>353.3 - Land and Land Rights</t>
  </si>
  <si>
    <t>353.4 - Land &amp; Land Rights</t>
  </si>
  <si>
    <t xml:space="preserve">  -  Lake Grove WWTP - Splitter Box Replacement</t>
  </si>
  <si>
    <t>Page 11</t>
  </si>
  <si>
    <t xml:space="preserve">  -  US 27 North - Utility Relocations</t>
  </si>
  <si>
    <t>Plant Retirement (per Company amount)</t>
  </si>
  <si>
    <t>Pro Forma Depreciation Expense (45 yr. life)</t>
  </si>
  <si>
    <t xml:space="preserve">      Utility Relocation Project, which is slightly below 75% due to exclusion of Phase III Engineering from retirements.</t>
  </si>
  <si>
    <t>OPC plant retirements based on per Company ratio of retirements to additions for the US 27 North</t>
  </si>
  <si>
    <t>Account 375.6 - US 27 North - Utility Relocations - Reuse Main</t>
  </si>
  <si>
    <t>Account 361.2 - US 27 North - Utility Relocations - Wastewater</t>
  </si>
  <si>
    <t>Account 331.4 - US 27 North - Utility Relocations - Water</t>
  </si>
  <si>
    <t>Recommended Reduction to US 27 North Relocation (Reuse Mains)</t>
  </si>
  <si>
    <t>Page 12</t>
  </si>
  <si>
    <t xml:space="preserve">  -  Revise Lake Grove Splitter Box Replacement Amount</t>
  </si>
  <si>
    <t>Non-Used &amp; Useful Percent, per Citizens</t>
  </si>
  <si>
    <t>Additional Non-U&amp;U Amount, Per Citizens</t>
  </si>
  <si>
    <t>Non-Used &amp; Useful, per Company (41%)</t>
  </si>
  <si>
    <t>Revise Non-Used &amp; Useful Percentage, Net Plant</t>
  </si>
  <si>
    <t>Revise Non-Used &amp; Useful Percentage, Depreciation Expense</t>
  </si>
  <si>
    <t>Non-Used &amp; Useful Plant, Revised Percentage</t>
  </si>
  <si>
    <t>Church Ave. Relocation Proj. - Retirement Cap</t>
  </si>
  <si>
    <t>Church Ave. Relocation Proj. - Retirement Cap (30 year life)</t>
  </si>
  <si>
    <t xml:space="preserve">    -  SCADA System</t>
  </si>
  <si>
    <t>Remove Retirements on Water Main Replacement Project</t>
  </si>
  <si>
    <t>Remove Retirements on Water Main Replacement Project (43 year life)</t>
  </si>
  <si>
    <t>(c) Calculated as the $750,000 increase in plant in service from the removal of the Company's retirement</t>
  </si>
  <si>
    <t xml:space="preserve">      adjustment show on page 5 divided by 43 year depreciation life.</t>
  </si>
  <si>
    <t>Remove Account 307.2 - Wells &amp; Springs (fully depreciated)</t>
  </si>
  <si>
    <t>Remove Account 304.2 - Structures &amp; Improvements (fully depreciated)</t>
  </si>
  <si>
    <t>Testimony, MFR A-5</t>
  </si>
  <si>
    <t>Testimony, MFR B-13</t>
  </si>
  <si>
    <t>Testimony, MFR A-9</t>
  </si>
  <si>
    <t xml:space="preserve">(b)  Company's filing included retirement to Account 360.2 of $127,500 based on 75% of pro forma </t>
  </si>
  <si>
    <t xml:space="preserve">      cost.  Actual plant in service balance in Account 360.2 as of 12/31/15 was $23,870.  Adjustment</t>
  </si>
  <si>
    <t>Church Ave. Relocation Proj. - Pro Forma</t>
  </si>
  <si>
    <t>(c)  50% of depreciation expense adjustment on page 3.</t>
  </si>
  <si>
    <t>MFR Sch. A-3</t>
  </si>
  <si>
    <t>Remove Pro Forma Water Main Replacements, Net of Retirements</t>
  </si>
  <si>
    <t>(a)  Adjustment recommended by Citizens' Witness Woodcock.</t>
  </si>
  <si>
    <t>Total Adjustment to Accumulated Amortization of CIAC</t>
  </si>
  <si>
    <t>Remove Cost to Decommission from Working Capital</t>
  </si>
  <si>
    <t>MFR Sch. A-17</t>
  </si>
  <si>
    <t>Remove Company Adjustment to Amortize Decommissioning Costs</t>
  </si>
  <si>
    <t>Reflect Purchase Water Expense</t>
  </si>
  <si>
    <t>Remove Non-Recurring Expenses - Well and Plant Decomissioning</t>
  </si>
  <si>
    <t>Remove 2016 Sludge Removal Expense Accrued in 2015</t>
  </si>
  <si>
    <t>Purchase Water Expense - Summertree</t>
  </si>
  <si>
    <t>Total Test Year Billable Gallons, per Company</t>
  </si>
  <si>
    <t>Line 1:  Pasco County MFR Schedule E-2, page 2, column (12), lines 9 and 22.</t>
  </si>
  <si>
    <t>Water Gallons for Flushing @ 10%</t>
  </si>
  <si>
    <t>Other Losses @ 10%</t>
  </si>
  <si>
    <t>Total Water from Pasco County</t>
  </si>
  <si>
    <t>Bulk Water Rate ($/Kgal)</t>
  </si>
  <si>
    <t>Total Purchase Water Expense</t>
  </si>
  <si>
    <t>Abandoned Summertree Wells Amortization Expense</t>
  </si>
  <si>
    <t>Net Cost to Retire</t>
  </si>
  <si>
    <t>Total Cost</t>
  </si>
  <si>
    <t>In Commission</t>
  </si>
  <si>
    <t>Order</t>
  </si>
  <si>
    <t>Recommended</t>
  </si>
  <si>
    <t>Revised</t>
  </si>
  <si>
    <t>Net Book Value</t>
  </si>
  <si>
    <t>Tank Salvage Value</t>
  </si>
  <si>
    <t>Rate of Return for Calculation</t>
  </si>
  <si>
    <t>Amortization Expense (L. 5 / L. 9)</t>
  </si>
  <si>
    <t>Return on Net Book Value ((L.1 + L.2 + L.3) x L. 6)</t>
  </si>
  <si>
    <t>Amortization Period (L. 5 / (L.7 + L.8))</t>
  </si>
  <si>
    <t>Recommended Abandoned Well Amortization Expense</t>
  </si>
  <si>
    <t>Col. (a):  Commission Order No. PSC-16-0505-PAA-WS at page 8.</t>
  </si>
  <si>
    <t>Calculation of Additional Depreciation:</t>
  </si>
  <si>
    <t>Annual Deprec. Exp., Net of CIAC Amort., per Commission Order</t>
  </si>
  <si>
    <t>Monthly Deprec. Exp., Net of CIAC Amort. (L. A.1 / 12)</t>
  </si>
  <si>
    <t>A.4</t>
  </si>
  <si>
    <t>Additional Depreciation Recovered in Rates</t>
  </si>
  <si>
    <t>Impact of Additional Depreciation on Assets (Line A.4)</t>
  </si>
  <si>
    <t>Depreciation Expense Used in Commission Calculation</t>
  </si>
  <si>
    <t>Line A.1:  Commission Order No. PSC-16-0505-PAA-WS at page 7.</t>
  </si>
  <si>
    <t>Remove Per Company Summertree Decommissioning Adjustment</t>
  </si>
  <si>
    <t>Remove Abandoned Summertree Water Supply Assets</t>
  </si>
  <si>
    <t>Remove Company Summertree Decommissioning Adjustments</t>
  </si>
  <si>
    <t>Adjustments to CIAC</t>
  </si>
  <si>
    <t>Total Adjustments to CIAC</t>
  </si>
  <si>
    <t>Adjustments to Accumulated Amortization of CIAC</t>
  </si>
  <si>
    <t>Remove Deprec. Exp. on Pro Forma Water Main Replacement Project</t>
  </si>
  <si>
    <t>(b)  Adjustment recommended by Citizens' witness Woodcock.</t>
  </si>
  <si>
    <t>Testimony, MFR B-3</t>
  </si>
  <si>
    <t>Remove Deprec. Exp. on Abandoned Summertree Assets</t>
  </si>
  <si>
    <t>MFR Sch. B-3</t>
  </si>
  <si>
    <t>Additional Months of Depreciation Expense (Dec. 2015 - Dec. 2016)</t>
  </si>
  <si>
    <t>Remove Property Taxes on Water Main Replacement Project (17.1026 mill rate)</t>
  </si>
  <si>
    <t>Staff Audit Finding 3 - Depreciation Expense Impact - Wastewater System</t>
  </si>
  <si>
    <t>Staff Audit Finding 3 - PIS Impact - Wastewater System</t>
  </si>
  <si>
    <t>Staff Audit Finding 3 - A/Dep. Impact - Wastewater System</t>
  </si>
  <si>
    <t>Staff Audit Finding 3 - CIAC Impact - Wastewater System</t>
  </si>
  <si>
    <t>Staff Audit Finding 3 - Accum. Amort. CIAC Impact - Wastewater System</t>
  </si>
  <si>
    <t>Excess Unaccounted for Water</t>
  </si>
  <si>
    <t>Remove Purchase Water Expense for Crystal Lake</t>
  </si>
  <si>
    <t>Column (b), Line 2:  Retirement capped at 12/31/00 balance in Account 331.4 - Transmission &amp; Distribution Mains.</t>
  </si>
  <si>
    <t>Recommended Cap on Water Main Replacement Retirements</t>
  </si>
  <si>
    <t xml:space="preserve">Staff Audit Finding 3 - PIS Impact </t>
  </si>
  <si>
    <t>Staff Audit Finding 3 - Accumulated Depreciation Impact</t>
  </si>
  <si>
    <t xml:space="preserve">Staff Audit Finding 3 - CIAC Impact </t>
  </si>
  <si>
    <t>Adjustments to Accum. Amortization of CIAC</t>
  </si>
  <si>
    <t xml:space="preserve">Staff Audit Finding 3 - Accum. Amort. Of CIAC Impact </t>
  </si>
  <si>
    <t>Staff Audit Finding 3 - Depreciation Expense Impact</t>
  </si>
  <si>
    <t>(c) Calculated based on Lincoln Heights purchase sewer and purchase power expense times excess I&amp;I percentage</t>
  </si>
  <si>
    <t xml:space="preserve">      recommended by Citizens witness Woodcock of 37.41%.</t>
  </si>
  <si>
    <t>Excess Unaccounted for Water - Ravenna Park (0.95%)</t>
  </si>
  <si>
    <t>Excess Unaccounted for Water - Little Wekiva (4.81%)</t>
  </si>
  <si>
    <t>Excess Unaccounted for Water - Oakland Shores (2.23%)</t>
  </si>
  <si>
    <t>Excess Unaccounted for Water - Phillips (1.56%)</t>
  </si>
  <si>
    <t>Excess Unaccounted for Water - Weathersfield (1.31%)</t>
  </si>
  <si>
    <t>Excess Inflow &amp; Infiltration Expense (37.41%)</t>
  </si>
  <si>
    <t>Remove Unsupported Purchase Power Expense Adjustment</t>
  </si>
  <si>
    <t>Remove Depreciation Expense on Myrtle Lake Hills Water Mains</t>
  </si>
  <si>
    <t>Remove Myrtle Lake Hills Water Main Pro forma Project</t>
  </si>
  <si>
    <t xml:space="preserve">Remove Prior Year Equipment Rental Expense </t>
  </si>
  <si>
    <t>Remove Reclassified Prior Period Costs from M&amp;S Expense</t>
  </si>
  <si>
    <t>Remove Wekiva WWTP Blower Replacement (Net of Retirements)</t>
  </si>
  <si>
    <t>(c)  Adjustment sponsored by Citizens witness Woodcock.</t>
  </si>
  <si>
    <t>Reduction to I&amp;I Study &amp; Remediation Project Amount</t>
  </si>
  <si>
    <t>Reduction I&amp;I Study &amp; Remediation Project Amount</t>
  </si>
  <si>
    <t>Reduction I&amp;I Study &amp; Remediation Project Amount (45 year)</t>
  </si>
  <si>
    <t>(c), calc. using 45 yr. rate</t>
  </si>
  <si>
    <t>of 8</t>
  </si>
  <si>
    <t>of 6</t>
  </si>
  <si>
    <t>of 9</t>
  </si>
  <si>
    <t>of 12</t>
  </si>
  <si>
    <t>of 7</t>
  </si>
  <si>
    <t>of 10</t>
  </si>
  <si>
    <t>Reduce Sediment Removal Project by $800 - 1 yr Amortization</t>
  </si>
  <si>
    <t>(a)  Citizens Witness Woodcock recommends project costs in filing be reduced from $51,000 to</t>
  </si>
  <si>
    <t xml:space="preserve">      $50,200, resulting in an $800 reduction to project costs.  Impact net of year 1 amortization is $720.</t>
  </si>
  <si>
    <t>(c)  Citizens Witness Woodcock recommends an $800 reduction to project costs resulting in an $80 reduction to amortization expense.</t>
  </si>
  <si>
    <t>Pro Forma Plant Addition Revision</t>
  </si>
  <si>
    <t xml:space="preserve">  -  WWTP EQ Tank and Headworks Project</t>
  </si>
  <si>
    <t>Col. (c), line 6:  Reflects impact on Company ADIT adjustment from Citizens' revision to pro forma plant addition.</t>
  </si>
  <si>
    <t>Account 380.4 - EQ Tank and Headworks Project - Plant Portion</t>
  </si>
  <si>
    <t>Pro Forma Depreciation Expense (40 yr. life)</t>
  </si>
  <si>
    <t>Plant Retirement (75%)</t>
  </si>
  <si>
    <t>Account 354.7 - EQ Tank and Headworks Project - Site Improvements Portion</t>
  </si>
  <si>
    <t>Plant Retirement (75% or PIS balance cap)</t>
  </si>
  <si>
    <t>Col. (b), Line 9:  Retirement capped at Account 354.7 plant in service balance at December 31, 2015.</t>
  </si>
  <si>
    <t>Column (a):  Eagle Ridge MFR Schedules A-3 and B-3</t>
  </si>
  <si>
    <t>EQ Tank and Headworks Project - Plant Portion</t>
  </si>
  <si>
    <t>EQ Tank and Headworks Project - Site Improvement Portion</t>
  </si>
  <si>
    <t>Remove Generator Replacement, Net of Retirements</t>
  </si>
  <si>
    <t>Pro Forma Plant Additions Revisions</t>
  </si>
  <si>
    <t xml:space="preserve">  -  Methanol Pumps and Nutrient Analyzer</t>
  </si>
  <si>
    <t>Account 371.3 - Replace Methanol Pumps, Add NO2 Analyzer</t>
  </si>
  <si>
    <t>Account 360.2 - US 19 FM Relocation</t>
  </si>
  <si>
    <t>Account 361.2 - US 19 GM Relocation</t>
  </si>
  <si>
    <t>Pro Forma Depreciation Expense (30 yr. life)</t>
  </si>
  <si>
    <t xml:space="preserve">  -  US Highway 19 Relocation Project</t>
  </si>
  <si>
    <t>Revise US 19 Road Relocation - FM</t>
  </si>
  <si>
    <t>Revise US 19 Road Relocation - GM</t>
  </si>
  <si>
    <t>Revise Flow Monitoring &amp; Analysis</t>
  </si>
  <si>
    <t>Reduction to Sediment Removal Project Amortization Expense</t>
  </si>
  <si>
    <t>(b)  Citizens Witness Woodcock recommends project costs in filing be reduced from $81,000 to</t>
  </si>
  <si>
    <t xml:space="preserve">      $80,000, resulting in an $1,000 reduction to project costs and $100 reduction to Accum. Amort.</t>
  </si>
  <si>
    <t>Remove Electrical Improvement Project</t>
  </si>
  <si>
    <t xml:space="preserve">  -  Remove Electrical Improvement Project</t>
  </si>
  <si>
    <t xml:space="preserve">  -  Remove Generator Replacement Project</t>
  </si>
  <si>
    <t>Line 6 - 8:  See pages 3 and 5.</t>
  </si>
  <si>
    <t>Line 13:  Non-Used &amp; Useful percentage recommended by Citizens' witness Andrew Woodcock.</t>
  </si>
  <si>
    <t>Lines 1 - 4, and 9 - 11:  Company MFR Schedules A-6, A-10 and B-14.</t>
  </si>
  <si>
    <t>Remove Account 304.3 - Structures &amp; Improvements (fully depreciated)</t>
  </si>
  <si>
    <t>Remove Account 352.1 - Franchises (fully depreciated)</t>
  </si>
  <si>
    <t>Remove Account 382.4 - Outfall Sewer Lines (fully depreciated)</t>
  </si>
  <si>
    <t>Remove Negative Accumulated Depreciation on Retired Plant</t>
  </si>
  <si>
    <t>Remove Treatment &amp; Disposal Plant, Acct 380.4, Balance</t>
  </si>
  <si>
    <t xml:space="preserve">  -  Placida Road Utility Relocation Project</t>
  </si>
  <si>
    <t>Account 360.2 - Collection System - Force</t>
  </si>
  <si>
    <t>Reduction to Pro forma Road Relocation Project</t>
  </si>
  <si>
    <t>Reduction to Pro Forma Road Relocation Project</t>
  </si>
  <si>
    <t>Account 360.2, as Adjusted</t>
  </si>
  <si>
    <t>Lines 2, 5, 8 and 13:  Non-Used &amp; Useful percentage recommended by Citizens' witness Andrew Woodcock.</t>
  </si>
  <si>
    <t>Line 11:  See page 9</t>
  </si>
  <si>
    <t>Column (a):  Sandalhaven MFR Schedules A-3 and B-3</t>
  </si>
  <si>
    <t>Pro Forma Plant Addition Revisions</t>
  </si>
  <si>
    <t>Impact of Net Plant Adj. on Property Tax Exp. (16.10 millage)</t>
  </si>
  <si>
    <t>Impact of Net Plant Adj. on Property Tax Exp. (17.1026 millage)</t>
  </si>
  <si>
    <t>Impact of Net Plant Adj. on Property Tax Exp. (18.5264 millage)</t>
  </si>
  <si>
    <t>Impact of Net Plant Adjustments on Property Taxes</t>
  </si>
  <si>
    <t>.0160 millage rate</t>
  </si>
  <si>
    <t>16.10 millage</t>
  </si>
  <si>
    <t>Col. (c), line 6:  Reflects impact on Company ADIT adjustment from pro forma plant addition adjustment.</t>
  </si>
  <si>
    <t>Reduction to GIS Pro Forma Plant Addition</t>
  </si>
  <si>
    <t>Per UIF Allocations</t>
  </si>
  <si>
    <t>Exhibit DMR-21</t>
  </si>
  <si>
    <t>Allocation percentages derived from Company workpapers provided in the supplemental response to Citizens'</t>
  </si>
  <si>
    <t>POD No. 4.</t>
  </si>
  <si>
    <t>Reduction to Plant Addition</t>
  </si>
  <si>
    <t>Total Combined Water/Wastewater</t>
  </si>
  <si>
    <t>Reduction to Depreciation  Exp.</t>
  </si>
  <si>
    <t>Reduction to GIS Pro Forma Project</t>
  </si>
  <si>
    <t>Impact of Net Plant Adj. on Property Tax Exp. (15.1521 millage)</t>
  </si>
  <si>
    <t>Labrador (Note 1)</t>
  </si>
  <si>
    <t>Pennbrooke (Note 2)</t>
  </si>
  <si>
    <t>(b)  Summertree decommissioning adjustments discussed in testimony.</t>
  </si>
  <si>
    <t>Col. (c), line 6:  Reflects impact on Company ADIT adjustment from Citizens pro forma plant addition adjustments.</t>
  </si>
  <si>
    <t>Reduction to Water Main Replacement Project Cost</t>
  </si>
  <si>
    <t>Reduction to Water Main Replacement Project Cost (43 year life)</t>
  </si>
  <si>
    <t>(d)  Recommended project cost reduction on page 5 divided by 43 year depreciation life.</t>
  </si>
  <si>
    <t>Reduction to Property Taxes from Reduction to Water Main Project</t>
  </si>
  <si>
    <t>16.9563 millage rate</t>
  </si>
  <si>
    <t>Sludge Dewatering Equipment Cost Savings</t>
  </si>
  <si>
    <t>Reduction to Sludge Dewatering Equipment Project</t>
  </si>
  <si>
    <t>Reduction to Sludge Dewatering Equipment Project (18 year life)</t>
  </si>
  <si>
    <t xml:space="preserve">  -  Revise Sludge Dewatering Equipment Amount</t>
  </si>
  <si>
    <t>Lines 1 - 4, 8 - 9 and 13:  Company MFR Schedules A-6, A-10 and B-14.</t>
  </si>
  <si>
    <t>Lines 6 and 7:  See pages 4 and 7.</t>
  </si>
  <si>
    <t>Line 11:  Non-Used &amp; Useful percentage recommended by Citizens' witness Andrew Woodcock.</t>
  </si>
  <si>
    <t>Impact of Net Plant Adj. on Property Tax Exp. (15.4121 millage)</t>
  </si>
  <si>
    <t>Remove Generator Plant Transfer Adjustment</t>
  </si>
  <si>
    <t>Remove WWTP Plant Retirement Adjustment</t>
  </si>
  <si>
    <t>Remove Shadow Hills Flow Diversion Project</t>
  </si>
  <si>
    <t>Remove Shadow Hills Generator Transfer</t>
  </si>
  <si>
    <t>Remove Shadow Hills Flow Diversion Project (net of retirements)</t>
  </si>
  <si>
    <t>Account 331.4 - Autumn Drive WM Replacement Project:</t>
  </si>
  <si>
    <t>Column (a):  Sanlando MFR Schedules A-3 and B-3</t>
  </si>
  <si>
    <t xml:space="preserve">  -  Autumn Drive WM Replacement</t>
  </si>
  <si>
    <t>Reduce Autumn Drive Water Main Replacement Project</t>
  </si>
  <si>
    <t>Reduce Wekiva WWTP Rehabilitation Project</t>
  </si>
  <si>
    <t>Reduce Wekiva WWTP Rehabilitation Project (18 year)</t>
  </si>
  <si>
    <t>(c), calc. using 18 yr. rate</t>
  </si>
  <si>
    <t>Impact of Net Plant Adjustments on Property Taxes  (15.4670 mill rate)</t>
  </si>
  <si>
    <t>Revise Water Main Replacement Projects</t>
  </si>
  <si>
    <t>Column (a):  Seminole MFR Schedules A-3 and B-3</t>
  </si>
  <si>
    <t>Column (b), Line 1:  Project amounts recommended by Citizens witness Woodcock.</t>
  </si>
  <si>
    <t>Revise Northwestern Force Main Replacement Project</t>
  </si>
  <si>
    <t>Account 360.2 - Northwestern FM Replacement Project</t>
  </si>
  <si>
    <t>Pro Forma Plant Retirement (75% or PIS balance cap)</t>
  </si>
  <si>
    <t>Column (b), Line 2:  Retirement capped at 12/31/15 balance in Account 360.2.</t>
  </si>
  <si>
    <t>Revise Ravenna Park / Crystal Lake Interconnection Project</t>
  </si>
  <si>
    <t>Account 311.4 - Electrical Equipment</t>
  </si>
  <si>
    <t>Account 330.4 - Reservoir</t>
  </si>
  <si>
    <t>Account 331.4 - Water Mains</t>
  </si>
  <si>
    <t>Pro Forma Depreciation Expense (20 yr. life)</t>
  </si>
  <si>
    <t>Total Plant Additions</t>
  </si>
  <si>
    <t>Pro Forma Depreciation Expense (37 yr. life)</t>
  </si>
  <si>
    <t>of 11</t>
  </si>
  <si>
    <t>Mid-County - Wastewater</t>
  </si>
  <si>
    <t xml:space="preserve">  -  Mid-County Services</t>
  </si>
  <si>
    <t>Column (a):  Mid-County MFR Schedules A-3 and B-3</t>
  </si>
  <si>
    <t>Col. (c), line 6:  Reflects bonus depreciation impact on Company ADIT adjustment and impact of Citizens' pro forma plant adjustments.</t>
  </si>
  <si>
    <t xml:space="preserve">(b)  Calculated as test year purchase power expense of $8,052 plus Company adjusted test year chemical expense of </t>
  </si>
  <si>
    <t xml:space="preserve">      (($8,052 + $1,952) x -4.60%)</t>
  </si>
  <si>
    <t xml:space="preserve">      $1,952 times the UAW water percentage recommended by Citizens' witness Woodcock of 4.60%.</t>
  </si>
  <si>
    <t>Remove Prior Rate Case Costs from Current Rate Case Amort. Exp.</t>
  </si>
  <si>
    <t xml:space="preserve">      (($3,117 + $399) x -3.06%)</t>
  </si>
  <si>
    <t xml:space="preserve">      $399 times the UAW water percentage recommended by Citizens' witness Woodcock of 3.06%.</t>
  </si>
  <si>
    <t xml:space="preserve">(c)  Calculated as test year purchase power expense of $3,117 plus Company adjusted test year chemical expense of </t>
  </si>
  <si>
    <t xml:space="preserve">      as the assets in Account 382.4 were fully depreciated by the start of the test year.</t>
  </si>
  <si>
    <t xml:space="preserve">(a)  Includes impact of recommended removal of balances and depreciation expense for Account 382.4 </t>
  </si>
  <si>
    <t xml:space="preserve">      service caused by retirement cap shown on page 5 divided by 30 year depreciation life.</t>
  </si>
  <si>
    <t xml:space="preserve">(d)  Impact of capping retirement on test year end plant balance.  Calculated as increase in plant in </t>
  </si>
  <si>
    <t xml:space="preserve">      caps the retirement at the $23,870 plant balance, resulting in $103,630 increase in plant in </t>
  </si>
  <si>
    <t xml:space="preserve">      service and accumulated depreciation.</t>
  </si>
  <si>
    <t xml:space="preserve">      and inclusion of bonus depreciation impacts on pro forma water and re-use projects, as adjusted.</t>
  </si>
  <si>
    <t>Col. (c), line 6:  Reflects impact on Company ADIT adjustment from Citizens' revisions to pro forma plant additions</t>
  </si>
  <si>
    <t xml:space="preserve">      $200 reduction to amortization expense.</t>
  </si>
  <si>
    <t>(c)  Citizens Witness Woodcock recommends an $1,000 reduction to project costs resulting in a</t>
  </si>
  <si>
    <t xml:space="preserve">      plant improvement project.</t>
  </si>
  <si>
    <t xml:space="preserve">Col. (c), line 6:  Reflects impact on Company ADIT adjustment from removing pro forma electrical </t>
  </si>
  <si>
    <t xml:space="preserve">      expense.</t>
  </si>
  <si>
    <t>Line A2:  Staff ROG 1.  Test year included 14 months of purchase sewage treatment</t>
  </si>
  <si>
    <t xml:space="preserve">      per Company MFR Schedule D-1 x -consolidated tax rate of 37.63%.</t>
  </si>
  <si>
    <t>(a)  Calculated as total OPC rate base adjustments on pages 5 and 6 x weighted cost of debt of 3.02%</t>
  </si>
  <si>
    <t xml:space="preserve">    recommendation and Sanlando MFR Schedule A-3.</t>
  </si>
  <si>
    <t xml:space="preserve">(a)  Adjustment sponsored by Citizens Witness Woodcock.  Amounts derived from Mr. Woodcock's </t>
  </si>
  <si>
    <t xml:space="preserve">Col. (c), line 6:  Reflects impact on Company ADIT adjustment from Citizens' revisions to pro forma plant additions </t>
  </si>
  <si>
    <t xml:space="preserve">      and inclusion of bonus depreciation impacts on pro forma water projects, as adjusted.</t>
  </si>
  <si>
    <t xml:space="preserve">      plant additions.</t>
  </si>
  <si>
    <t>Col. (c), line 6:  Reflects impact on Company ADIT adjustment from Citizens' revisions to pro forma</t>
  </si>
  <si>
    <t xml:space="preserve">      for water percentage recommended by Citizens witness Woodcock for each system.</t>
  </si>
  <si>
    <t xml:space="preserve">(d) Calculated based on purchased, water, purchase power and chemical expense by system times excess unaccounted </t>
  </si>
  <si>
    <t xml:space="preserve">      additions and impact of Citizens' recommended adjustments to pro forma plant additions.</t>
  </si>
  <si>
    <t xml:space="preserve">Col. (c), line 6:  Reflects impact of bonus depreciation on Company ADIT adjustment for pro forma water plant </t>
  </si>
  <si>
    <t xml:space="preserve">      plant in service account based on Company's spread of the costs between accounts in above adjustments.</t>
  </si>
  <si>
    <t xml:space="preserve">Column (b), Line 10:  Project amounts recommended by Citizens witness Woodcock.  Amount spread to specific </t>
  </si>
  <si>
    <t xml:space="preserve">Above adjustment also caps the retirement amount to the test year plant balance.  Test year end plant </t>
  </si>
  <si>
    <t xml:space="preserve">      balance in Account 331.4 - Transmission &amp; Distribution Mains per MFR Sch. A-5 of $495,494 less</t>
  </si>
  <si>
    <t xml:space="preserve">      adjustment to the account of ($296,301) shown on MFR Schedule A-3 to "remove T&amp;D Main booked</t>
  </si>
  <si>
    <t xml:space="preserve">      booked incorrectly to Orange County."</t>
  </si>
  <si>
    <t xml:space="preserve">(c) Calculated based on Orangewood/Buena Vista/Wisbar purchase sewer, purchase power and chemical expense </t>
  </si>
  <si>
    <t xml:space="preserve">      times excessive I&amp;I percentage recommended by Citizens witness Woodcock of 17.22%</t>
  </si>
  <si>
    <t xml:space="preserve">      unaccounted for water percentage recommended by Citizens witness Woodcock of 7.66%.</t>
  </si>
  <si>
    <t>(d) Calculated based on non-Summertree purchase power and chemical expense times excessive</t>
  </si>
  <si>
    <t xml:space="preserve">      October 31, 2016 at page 10, Table 3.</t>
  </si>
  <si>
    <t>Lines 2 and 3:  Percentages per Commission Order PSC-16-0505-PAA-WS issued</t>
  </si>
  <si>
    <t xml:space="preserve">      Attachment A to Commission Order PSC-16-0505-PAA-WS.</t>
  </si>
  <si>
    <t>Line 5:  Bulk Water Rate per Bulk Water Agreement with Pasco County provided as</t>
  </si>
  <si>
    <t xml:space="preserve">      the amount, per Citizens' Witness Woodcock.</t>
  </si>
  <si>
    <t xml:space="preserve">Line 4:  Net Cost to Retire excluded from Recommended Revised Amount as Company has not supported </t>
  </si>
  <si>
    <t>Line A.3:  Net Book Value in Commission Order based on net plant value as of November 30, 2015</t>
  </si>
  <si>
    <t xml:space="preserve">      based on Company's filing and revised filing dated December 30, 2015 and March 9, 2016 in</t>
  </si>
  <si>
    <t xml:space="preserve">      Docket No. 15-269-WS (Document Nos. 08053-15 and 01272-16) at Schedule 18 for Pasco</t>
  </si>
  <si>
    <t xml:space="preserve">      County Phase II.  </t>
  </si>
  <si>
    <t>Company's MFR Schedule A-3, sponsored by Citizens' witness Woodcock.</t>
  </si>
  <si>
    <t>(a)  Recommended project cost of $800,000, which is $200,000 less than the amount in the</t>
  </si>
  <si>
    <t xml:space="preserve">      project adjustments.</t>
  </si>
  <si>
    <t>Col. (c), line 6:  Reflects impact on Company ADIT adjustment from bonus depreciation and Citizens pro forma</t>
  </si>
  <si>
    <t xml:space="preserve">Reduction to pro forma GIS plant addition recommended by Citizens' witness Woodcock.  Calculated as </t>
  </si>
  <si>
    <t xml:space="preserve">    Mr. Woodcock's recommended project cost of $244,321 less amount flowing through Company filing </t>
  </si>
  <si>
    <t xml:space="preserve">    for the GIS project of $688,559.</t>
  </si>
  <si>
    <t xml:space="preserve">Depreciation Expense impact based on depreciation life used by UIF in filing.  For systems on lines  - 9 and 11, </t>
  </si>
  <si>
    <t xml:space="preserve">      the Company's MFRs included depreciation expense based on a 6-year life.  For systems on lines 10 and </t>
  </si>
  <si>
    <t xml:space="preserve">      12 - 16, the Company's filing used a 15-year depreciation life.</t>
  </si>
  <si>
    <t>Note 1:  The Labrador MFR Schedules reflected the Labrador allocation of the GIS system cost based on</t>
  </si>
  <si>
    <t xml:space="preserve">      $350,000 total project cost instead of the $688,529 used for the remaining systems.  Thus, the Labrador</t>
  </si>
  <si>
    <t xml:space="preserve">      adjustment in Exhibit DMR-5 differs from the amounts on line 3, above.  The adjustments to the Labrador</t>
  </si>
  <si>
    <t xml:space="preserve">      system are:  reduction to Water PIS of $1,148; reduction to Wastewater PIS of $1,139; reduction to</t>
  </si>
  <si>
    <t xml:space="preserve">      water depreciation expense of $191, and reduction to wastewater depreciation expense of $190.</t>
  </si>
  <si>
    <t>Note 2:  There is an error in the Company's allocation of costs to Pennbrooke system.  It appears Company</t>
  </si>
  <si>
    <t xml:space="preserve">      applied the combined water and wastewater Pennbrooke amount to the water system and the Pennbrooke</t>
  </si>
  <si>
    <t xml:space="preserve">      water system amount to the wastewater system.  Thus, the amounts in Exhibit DMR-10 for the Pennbrooke</t>
  </si>
  <si>
    <t xml:space="preserve">      system differ from the above amounts.  The Pennbrooke adjustments are a reduction to Water and</t>
  </si>
  <si>
    <t xml:space="preserve">      Wastewater PIS of $21,576 and $10,279, respectively and reduction to water and wastewater</t>
  </si>
  <si>
    <t xml:space="preserve">      depreciation expense of $3,596 and $1,713, respectively.</t>
  </si>
  <si>
    <t xml:space="preserve">Mid-County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</si>
</sst>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%"/>
    <numFmt numFmtId="166" formatCode="_(* #,##0.0000_);_(* \(#,##0.0000\);_(* &quot;-&quot;??_);_(@_)"/>
    <numFmt numFmtId="167" formatCode="_(* #,##0.00000_);_(* \(#,##0.00000\);_(* &quot;-&quot;_);_(@_)"/>
    <numFmt numFmtId="168" formatCode="_(* #,##0.000000_);_(* \(#,##0.000000\);_(* &quot;-&quot;_);_(@_)"/>
    <numFmt numFmtId="169" formatCode="_(* #,##0.00000_);_(* \(#,##0.00000\);_(* &quot;-&quot;??_);_(@_)"/>
    <numFmt numFmtId="170" formatCode="_(* #,##0.0000_);_(* \(#,##0.0000\);_(* &quot;-&quot;_);_(@_)"/>
    <numFmt numFmtId="171" formatCode="_(* #,##0_);_(* \(#,##0\);_(* &quot;-&quot;??_);_(@_)"/>
    <numFmt numFmtId="172" formatCode="_(&quot;$&quot;* #,##0_);_(&quot;$&quot;* \(#,##0\);_(&quot;$&quot;* &quot;-&quot;??_);_(@_)"/>
  </numFmts>
  <fonts count="5" x14ac:knownFonts="1">
    <font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41" fontId="0" fillId="0" borderId="0"/>
    <xf numFmtId="41" fontId="2" fillId="0" borderId="0"/>
    <xf numFmtId="41" fontId="2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6">
    <xf numFmtId="41" fontId="0" fillId="0" borderId="0" xfId="0"/>
    <xf numFmtId="41" fontId="0" fillId="0" borderId="0" xfId="0" applyAlignment="1">
      <alignment horizontal="center"/>
    </xf>
    <xf numFmtId="41" fontId="0" fillId="0" borderId="1" xfId="0" applyBorder="1" applyAlignment="1">
      <alignment horizontal="center"/>
    </xf>
    <xf numFmtId="41" fontId="0" fillId="0" borderId="1" xfId="0" applyBorder="1"/>
    <xf numFmtId="41" fontId="3" fillId="0" borderId="0" xfId="0" applyFont="1"/>
    <xf numFmtId="41" fontId="0" fillId="0" borderId="0" xfId="0" applyFill="1" applyBorder="1"/>
    <xf numFmtId="41" fontId="0" fillId="0" borderId="0" xfId="0" quotePrefix="1"/>
    <xf numFmtId="41" fontId="0" fillId="0" borderId="0" xfId="0" quotePrefix="1" applyAlignment="1">
      <alignment horizontal="center"/>
    </xf>
    <xf numFmtId="10" fontId="0" fillId="0" borderId="0" xfId="0" applyNumberFormat="1"/>
    <xf numFmtId="41" fontId="2" fillId="0" borderId="1" xfId="0" applyFont="1" applyBorder="1"/>
    <xf numFmtId="41" fontId="2" fillId="0" borderId="0" xfId="1"/>
    <xf numFmtId="41" fontId="2" fillId="0" borderId="0" xfId="1" applyFont="1"/>
    <xf numFmtId="41" fontId="3" fillId="0" borderId="0" xfId="1" applyFont="1"/>
    <xf numFmtId="41" fontId="3" fillId="0" borderId="0" xfId="1" applyFont="1" applyBorder="1"/>
    <xf numFmtId="41" fontId="2" fillId="0" borderId="0" xfId="1" applyFont="1" applyAlignment="1">
      <alignment horizontal="center"/>
    </xf>
    <xf numFmtId="41" fontId="2" fillId="0" borderId="0" xfId="1" applyAlignment="1">
      <alignment horizontal="center"/>
    </xf>
    <xf numFmtId="41" fontId="2" fillId="0" borderId="1" xfId="1" applyFont="1" applyBorder="1" applyAlignment="1">
      <alignment horizontal="center"/>
    </xf>
    <xf numFmtId="41" fontId="2" fillId="0" borderId="1" xfId="1" applyBorder="1"/>
    <xf numFmtId="41" fontId="2" fillId="0" borderId="2" xfId="1" applyBorder="1"/>
    <xf numFmtId="41" fontId="2" fillId="0" borderId="0" xfId="2"/>
    <xf numFmtId="41" fontId="2" fillId="0" borderId="0" xfId="2" applyFont="1"/>
    <xf numFmtId="41" fontId="3" fillId="0" borderId="0" xfId="2" applyFont="1"/>
    <xf numFmtId="41" fontId="2" fillId="0" borderId="1" xfId="2" applyBorder="1"/>
    <xf numFmtId="41" fontId="2" fillId="0" borderId="3" xfId="2" applyBorder="1"/>
    <xf numFmtId="41" fontId="0" fillId="0" borderId="3" xfId="0" applyBorder="1"/>
    <xf numFmtId="41" fontId="0" fillId="0" borderId="0" xfId="0" applyNumberFormat="1"/>
    <xf numFmtId="41" fontId="0" fillId="0" borderId="0" xfId="0" applyBorder="1"/>
    <xf numFmtId="41" fontId="0" fillId="0" borderId="0" xfId="1" applyFont="1"/>
    <xf numFmtId="41" fontId="0" fillId="0" borderId="1" xfId="1" applyFont="1" applyBorder="1"/>
    <xf numFmtId="41" fontId="0" fillId="0" borderId="0" xfId="0" applyFill="1"/>
    <xf numFmtId="10" fontId="0" fillId="0" borderId="0" xfId="0" applyNumberFormat="1" applyFill="1"/>
    <xf numFmtId="41" fontId="0" fillId="0" borderId="0" xfId="2" applyFont="1"/>
    <xf numFmtId="9" fontId="2" fillId="0" borderId="0" xfId="3" applyFont="1" applyFill="1"/>
    <xf numFmtId="41" fontId="0" fillId="0" borderId="0" xfId="0" applyAlignment="1">
      <alignment horizontal="right"/>
    </xf>
    <xf numFmtId="41" fontId="0" fillId="0" borderId="0" xfId="0" applyBorder="1" applyAlignment="1">
      <alignment horizontal="center"/>
    </xf>
    <xf numFmtId="41" fontId="2" fillId="0" borderId="0" xfId="1" applyAlignment="1">
      <alignment horizontal="right"/>
    </xf>
    <xf numFmtId="41" fontId="0" fillId="0" borderId="0" xfId="1" applyFont="1" applyAlignment="1">
      <alignment horizontal="right"/>
    </xf>
    <xf numFmtId="41" fontId="2" fillId="0" borderId="0" xfId="2" applyAlignment="1">
      <alignment horizontal="right"/>
    </xf>
    <xf numFmtId="41" fontId="0" fillId="0" borderId="0" xfId="2" applyFont="1" applyAlignment="1">
      <alignment horizontal="right"/>
    </xf>
    <xf numFmtId="41" fontId="2" fillId="0" borderId="0" xfId="2" applyBorder="1"/>
    <xf numFmtId="41" fontId="0" fillId="0" borderId="0" xfId="0" applyFont="1"/>
    <xf numFmtId="41" fontId="0" fillId="0" borderId="0" xfId="0" applyAlignment="1">
      <alignment horizontal="centerContinuous"/>
    </xf>
    <xf numFmtId="41" fontId="3" fillId="0" borderId="0" xfId="0" applyFont="1" applyAlignment="1">
      <alignment horizontal="centerContinuous"/>
    </xf>
    <xf numFmtId="41" fontId="0" fillId="0" borderId="0" xfId="1" quotePrefix="1" applyFont="1" applyAlignment="1">
      <alignment horizontal="center"/>
    </xf>
    <xf numFmtId="41" fontId="0" fillId="0" borderId="1" xfId="1" applyFont="1" applyBorder="1" applyAlignment="1">
      <alignment horizontal="center"/>
    </xf>
    <xf numFmtId="41" fontId="0" fillId="0" borderId="0" xfId="1" quotePrefix="1" applyFont="1" applyFill="1"/>
    <xf numFmtId="43" fontId="0" fillId="0" borderId="0" xfId="0" applyNumberFormat="1"/>
    <xf numFmtId="164" fontId="0" fillId="0" borderId="0" xfId="3" applyNumberFormat="1" applyFont="1"/>
    <xf numFmtId="41" fontId="0" fillId="0" borderId="0" xfId="0" applyBorder="1" applyAlignment="1">
      <alignment horizontal="right"/>
    </xf>
    <xf numFmtId="41" fontId="0" fillId="0" borderId="0" xfId="0" quotePrefix="1" applyBorder="1" applyAlignment="1">
      <alignment horizontal="center"/>
    </xf>
    <xf numFmtId="41" fontId="3" fillId="0" borderId="0" xfId="0" applyFont="1" applyBorder="1"/>
    <xf numFmtId="41" fontId="0" fillId="0" borderId="0" xfId="0" quotePrefix="1" applyBorder="1"/>
    <xf numFmtId="41" fontId="2" fillId="0" borderId="0" xfId="0" applyFont="1" applyBorder="1"/>
    <xf numFmtId="10" fontId="0" fillId="0" borderId="0" xfId="0" applyNumberFormat="1" applyFill="1" applyBorder="1"/>
    <xf numFmtId="10" fontId="0" fillId="0" borderId="0" xfId="0" applyNumberFormat="1" applyBorder="1"/>
    <xf numFmtId="9" fontId="2" fillId="0" borderId="0" xfId="3" applyFont="1" applyFill="1" applyBorder="1"/>
    <xf numFmtId="43" fontId="0" fillId="0" borderId="0" xfId="0" applyNumberFormat="1" applyBorder="1"/>
    <xf numFmtId="165" fontId="0" fillId="0" borderId="0" xfId="3" applyNumberFormat="1" applyFont="1"/>
    <xf numFmtId="41" fontId="0" fillId="0" borderId="0" xfId="0" applyFont="1" applyBorder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41" fontId="2" fillId="0" borderId="0" xfId="1" applyFill="1"/>
    <xf numFmtId="169" fontId="0" fillId="0" borderId="0" xfId="0" applyNumberFormat="1"/>
    <xf numFmtId="10" fontId="0" fillId="0" borderId="0" xfId="3" applyNumberFormat="1" applyFont="1"/>
    <xf numFmtId="41" fontId="3" fillId="0" borderId="0" xfId="0" applyFont="1" applyAlignment="1">
      <alignment horizontal="center"/>
    </xf>
    <xf numFmtId="41" fontId="0" fillId="0" borderId="0" xfId="0" quotePrefix="1" applyFont="1" applyAlignment="1">
      <alignment horizontal="center"/>
    </xf>
    <xf numFmtId="41" fontId="0" fillId="0" borderId="0" xfId="0" applyFont="1" applyAlignment="1">
      <alignment horizontal="center"/>
    </xf>
    <xf numFmtId="10" fontId="0" fillId="0" borderId="1" xfId="3" applyNumberFormat="1" applyFont="1" applyBorder="1"/>
    <xf numFmtId="170" fontId="0" fillId="0" borderId="0" xfId="0" applyNumberFormat="1"/>
    <xf numFmtId="41" fontId="0" fillId="0" borderId="2" xfId="0" applyBorder="1"/>
    <xf numFmtId="10" fontId="0" fillId="0" borderId="2" xfId="0" applyNumberFormat="1" applyBorder="1"/>
    <xf numFmtId="41" fontId="0" fillId="0" borderId="1" xfId="0" quotePrefix="1" applyBorder="1"/>
    <xf numFmtId="41" fontId="0" fillId="0" borderId="4" xfId="0" applyBorder="1"/>
    <xf numFmtId="41" fontId="0" fillId="0" borderId="0" xfId="0" quotePrefix="1" applyFill="1" applyBorder="1"/>
    <xf numFmtId="171" fontId="2" fillId="0" borderId="0" xfId="2" applyNumberFormat="1"/>
    <xf numFmtId="41" fontId="0" fillId="0" borderId="0" xfId="2" quotePrefix="1" applyFont="1"/>
    <xf numFmtId="10" fontId="0" fillId="0" borderId="0" xfId="3" quotePrefix="1" applyNumberFormat="1" applyFont="1"/>
    <xf numFmtId="41" fontId="0" fillId="2" borderId="0" xfId="1" applyFont="1" applyFill="1"/>
    <xf numFmtId="41" fontId="0" fillId="0" borderId="5" xfId="0" applyBorder="1"/>
    <xf numFmtId="41" fontId="0" fillId="0" borderId="0" xfId="2" applyFont="1" applyFill="1"/>
    <xf numFmtId="41" fontId="0" fillId="0" borderId="1" xfId="0" applyFill="1" applyBorder="1"/>
    <xf numFmtId="41" fontId="4" fillId="0" borderId="0" xfId="0" applyFont="1"/>
    <xf numFmtId="41" fontId="0" fillId="0" borderId="0" xfId="0" quotePrefix="1" applyFont="1" applyBorder="1"/>
    <xf numFmtId="41" fontId="0" fillId="0" borderId="0" xfId="2" quotePrefix="1" applyFont="1" applyFill="1"/>
    <xf numFmtId="44" fontId="0" fillId="0" borderId="1" xfId="4" applyFont="1" applyBorder="1"/>
    <xf numFmtId="172" fontId="0" fillId="0" borderId="1" xfId="4" applyNumberFormat="1" applyFont="1" applyBorder="1"/>
    <xf numFmtId="41" fontId="0" fillId="0" borderId="0" xfId="0" quotePrefix="1" applyFill="1" applyBorder="1" applyAlignment="1">
      <alignment horizontal="center"/>
    </xf>
    <xf numFmtId="43" fontId="0" fillId="0" borderId="1" xfId="0" applyNumberFormat="1" applyBorder="1"/>
    <xf numFmtId="41" fontId="3" fillId="0" borderId="0" xfId="2" applyFont="1" applyFill="1"/>
    <xf numFmtId="41" fontId="2" fillId="0" borderId="0" xfId="2" applyFill="1"/>
    <xf numFmtId="41" fontId="0" fillId="0" borderId="1" xfId="0" quotePrefix="1" applyBorder="1" applyAlignment="1">
      <alignment horizontal="center"/>
    </xf>
    <xf numFmtId="164" fontId="0" fillId="0" borderId="0" xfId="0" applyNumberFormat="1"/>
    <xf numFmtId="164" fontId="0" fillId="0" borderId="1" xfId="3" applyNumberFormat="1" applyFont="1" applyBorder="1"/>
    <xf numFmtId="13" fontId="0" fillId="0" borderId="0" xfId="0" applyNumberFormat="1"/>
    <xf numFmtId="41" fontId="0" fillId="0" borderId="0" xfId="0" applyAlignment="1">
      <alignment wrapText="1"/>
    </xf>
  </cellXfs>
  <cellStyles count="5">
    <cellStyle name="Currency" xfId="4" builtinId="4"/>
    <cellStyle name="Normal" xfId="0" builtinId="0"/>
    <cellStyle name="Normal_SHEET" xfId="1"/>
    <cellStyle name="Normal_SHEET_1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workbookViewId="0">
      <selection activeCell="C8" sqref="C8"/>
    </sheetView>
  </sheetViews>
  <sheetFormatPr defaultRowHeight="15.75" x14ac:dyDescent="0.25"/>
  <cols>
    <col min="1" max="1" width="4.875" customWidth="1"/>
    <col min="2" max="2" width="1" customWidth="1"/>
    <col min="3" max="3" width="28.375" customWidth="1"/>
    <col min="4" max="4" width="1.875" customWidth="1"/>
    <col min="5" max="5" width="12.375" customWidth="1"/>
    <col min="6" max="6" width="1.625" customWidth="1"/>
    <col min="7" max="7" width="11" customWidth="1"/>
    <col min="8" max="8" width="16.375" customWidth="1"/>
    <col min="9" max="9" width="11.625" customWidth="1"/>
  </cols>
  <sheetData>
    <row r="1" spans="1:9" x14ac:dyDescent="0.25">
      <c r="A1" t="s">
        <v>61</v>
      </c>
      <c r="I1" s="33" t="s">
        <v>64</v>
      </c>
    </row>
    <row r="2" spans="1:9" x14ac:dyDescent="0.25">
      <c r="A2" t="s">
        <v>100</v>
      </c>
      <c r="I2" s="33" t="s">
        <v>66</v>
      </c>
    </row>
    <row r="3" spans="1:9" x14ac:dyDescent="0.25">
      <c r="I3" s="33" t="s">
        <v>92</v>
      </c>
    </row>
    <row r="4" spans="1:9" x14ac:dyDescent="0.25">
      <c r="A4" t="s">
        <v>63</v>
      </c>
      <c r="I4" s="33" t="s">
        <v>99</v>
      </c>
    </row>
    <row r="7" spans="1:9" x14ac:dyDescent="0.25">
      <c r="E7" s="1" t="s">
        <v>11</v>
      </c>
      <c r="F7" s="1"/>
      <c r="G7" s="1" t="s">
        <v>11</v>
      </c>
      <c r="H7" s="1"/>
    </row>
    <row r="8" spans="1:9" x14ac:dyDescent="0.25">
      <c r="A8" t="s">
        <v>0</v>
      </c>
      <c r="E8" s="1" t="s">
        <v>192</v>
      </c>
      <c r="F8" s="1"/>
      <c r="G8" s="1" t="s">
        <v>192</v>
      </c>
      <c r="H8" s="1"/>
    </row>
    <row r="9" spans="1:9" ht="18" x14ac:dyDescent="0.4">
      <c r="A9" s="3" t="s">
        <v>1</v>
      </c>
      <c r="C9" s="3" t="s">
        <v>93</v>
      </c>
      <c r="E9" s="2" t="s">
        <v>94</v>
      </c>
      <c r="F9" s="1"/>
      <c r="G9" s="2" t="s">
        <v>95</v>
      </c>
      <c r="H9" s="42" t="s">
        <v>98</v>
      </c>
      <c r="I9" s="41"/>
    </row>
    <row r="10" spans="1:9" x14ac:dyDescent="0.25">
      <c r="A10">
        <v>1</v>
      </c>
      <c r="C10" t="s">
        <v>96</v>
      </c>
      <c r="E10">
        <v>-5879</v>
      </c>
      <c r="G10">
        <f>CL_wRR!J12</f>
        <v>-34604.029987667331</v>
      </c>
      <c r="H10" t="str">
        <f>CL_wRR!O2</f>
        <v>Exhibit DMR-3</v>
      </c>
      <c r="I10" t="str">
        <f>CL_wRR!N4</f>
        <v>Page 2</v>
      </c>
    </row>
    <row r="11" spans="1:9" x14ac:dyDescent="0.25">
      <c r="A11">
        <v>2</v>
      </c>
      <c r="C11" t="s">
        <v>97</v>
      </c>
      <c r="E11">
        <v>90089</v>
      </c>
      <c r="G11">
        <f>CL_wwRR!J12</f>
        <v>61962.266195490345</v>
      </c>
      <c r="H11" t="str">
        <f>CL_wwRR!O2</f>
        <v>Exhibit DMR-3</v>
      </c>
      <c r="I11" t="str">
        <f>CL_wwRR!N4</f>
        <v>Page 3</v>
      </c>
    </row>
    <row r="12" spans="1:9" x14ac:dyDescent="0.25">
      <c r="A12">
        <v>3</v>
      </c>
      <c r="C12" t="s">
        <v>113</v>
      </c>
      <c r="E12">
        <v>64787</v>
      </c>
      <c r="G12">
        <f>ER_wwRR!J12</f>
        <v>-23060.725990657596</v>
      </c>
      <c r="H12" t="str">
        <f>ER_wwRR!O2</f>
        <v>Exhibit DMR-4</v>
      </c>
      <c r="I12" t="str">
        <f>ER_wwRR!N4</f>
        <v>Page 2</v>
      </c>
    </row>
    <row r="13" spans="1:9" x14ac:dyDescent="0.25">
      <c r="A13">
        <v>4</v>
      </c>
      <c r="C13" t="s">
        <v>125</v>
      </c>
      <c r="E13">
        <v>67286</v>
      </c>
      <c r="G13">
        <f>LABwRR!J12</f>
        <v>33045.172734865533</v>
      </c>
      <c r="H13" t="str">
        <f>LABwRR!O2</f>
        <v>Exhibit DMR-5</v>
      </c>
      <c r="I13" t="str">
        <f>LABwRR!N4</f>
        <v>Page 2</v>
      </c>
    </row>
    <row r="14" spans="1:9" x14ac:dyDescent="0.25">
      <c r="A14">
        <v>5</v>
      </c>
      <c r="C14" t="s">
        <v>126</v>
      </c>
      <c r="E14">
        <v>-21075</v>
      </c>
      <c r="G14">
        <f>LABwwRR!J12</f>
        <v>-218380.47229882563</v>
      </c>
      <c r="H14" t="str">
        <f>LABwwRR!O2</f>
        <v>Exhibit DMR-5</v>
      </c>
      <c r="I14" t="str">
        <f>LABwwRR!N4</f>
        <v>Page 3</v>
      </c>
    </row>
    <row r="15" spans="1:9" x14ac:dyDescent="0.25">
      <c r="A15">
        <v>6</v>
      </c>
      <c r="C15" t="s">
        <v>127</v>
      </c>
      <c r="E15">
        <v>13745</v>
      </c>
      <c r="G15">
        <f>LP_wRR!J12</f>
        <v>9159.5647808352005</v>
      </c>
      <c r="H15" t="str">
        <f>LP_wRR!O2</f>
        <v>Exhibit DMR-6</v>
      </c>
      <c r="I15" t="str">
        <f>LP_wRR!N4</f>
        <v>Page 2</v>
      </c>
    </row>
    <row r="16" spans="1:9" x14ac:dyDescent="0.25">
      <c r="A16">
        <v>7</v>
      </c>
      <c r="C16" t="s">
        <v>128</v>
      </c>
      <c r="E16">
        <v>18926</v>
      </c>
      <c r="G16">
        <f>LP_wwRR!J12</f>
        <v>-5669.8663116491134</v>
      </c>
      <c r="H16" t="str">
        <f>LP_wwRR!O2</f>
        <v>Exhibit DMR-6</v>
      </c>
      <c r="I16" t="str">
        <f>LP_wwRR!N4</f>
        <v>Page 3</v>
      </c>
    </row>
    <row r="17" spans="1:9" x14ac:dyDescent="0.25">
      <c r="A17">
        <v>8</v>
      </c>
      <c r="C17" t="s">
        <v>133</v>
      </c>
      <c r="E17">
        <v>34554</v>
      </c>
      <c r="G17">
        <f>LW_wwRR!J12</f>
        <v>35315.631763177938</v>
      </c>
      <c r="H17" t="str">
        <f>LW_wwRR!O2</f>
        <v>Exhibit DMR-7</v>
      </c>
      <c r="I17" t="str">
        <f>LW_wwRR!N4</f>
        <v>Page 2</v>
      </c>
    </row>
    <row r="18" spans="1:9" x14ac:dyDescent="0.25">
      <c r="A18">
        <v>9</v>
      </c>
      <c r="C18" t="s">
        <v>137</v>
      </c>
      <c r="E18">
        <v>41730</v>
      </c>
      <c r="G18">
        <f>LUS_wRR!J12</f>
        <v>-147252.67466652993</v>
      </c>
      <c r="H18" t="str">
        <f>LUS_wRR!O2</f>
        <v>Exhibit DMR-8</v>
      </c>
      <c r="I18" t="str">
        <f>LUS_wRR!N4</f>
        <v>Page 2</v>
      </c>
    </row>
    <row r="19" spans="1:9" x14ac:dyDescent="0.25">
      <c r="A19">
        <v>10</v>
      </c>
      <c r="C19" t="s">
        <v>138</v>
      </c>
      <c r="E19">
        <v>542544</v>
      </c>
      <c r="G19">
        <f>LUS_wwRR!J12</f>
        <v>197925.26088519496</v>
      </c>
      <c r="H19" t="str">
        <f>LUS_wwRR!O2</f>
        <v>Exhibit DMR-8</v>
      </c>
      <c r="I19" t="str">
        <f>LUS_wwRR!N4</f>
        <v>Page 3</v>
      </c>
    </row>
    <row r="20" spans="1:9" x14ac:dyDescent="0.25">
      <c r="A20">
        <v>11</v>
      </c>
      <c r="C20" t="s">
        <v>677</v>
      </c>
      <c r="E20">
        <v>472792</v>
      </c>
      <c r="G20">
        <f>MC_wwRR!J12</f>
        <v>117278.42075209822</v>
      </c>
      <c r="H20" t="str">
        <f>MC_wwRR!O2</f>
        <v>Exhibit DMR-9</v>
      </c>
      <c r="I20" t="str">
        <f>MC_wwRR!N4</f>
        <v>Page 2</v>
      </c>
    </row>
    <row r="21" spans="1:9" x14ac:dyDescent="0.25">
      <c r="A21">
        <v>12</v>
      </c>
      <c r="C21" t="s">
        <v>147</v>
      </c>
      <c r="E21">
        <v>162961</v>
      </c>
      <c r="G21">
        <f>PB_wRR!J12</f>
        <v>62522.994112591463</v>
      </c>
      <c r="H21" t="str">
        <f>PB_wRR!O2</f>
        <v>Exhibit DMR-10</v>
      </c>
      <c r="I21" t="str">
        <f>PB_wRR!N4</f>
        <v>Page 2</v>
      </c>
    </row>
    <row r="22" spans="1:9" x14ac:dyDescent="0.25">
      <c r="A22">
        <v>13</v>
      </c>
      <c r="C22" t="s">
        <v>146</v>
      </c>
      <c r="E22">
        <v>-33600</v>
      </c>
      <c r="G22">
        <f>PB_wwRR!J12</f>
        <v>-53193.359951925253</v>
      </c>
      <c r="H22" t="str">
        <f>PB_wwRR!O2</f>
        <v>Exhibit DMR-10</v>
      </c>
      <c r="I22" t="str">
        <f>PB_wwRR!N4</f>
        <v>Page 3</v>
      </c>
    </row>
    <row r="23" spans="1:9" x14ac:dyDescent="0.25">
      <c r="A23">
        <v>14</v>
      </c>
      <c r="C23" t="s">
        <v>151</v>
      </c>
      <c r="E23">
        <v>362377</v>
      </c>
      <c r="G23">
        <f>SH_wwRR!J12</f>
        <v>-524509.23454022594</v>
      </c>
      <c r="H23" t="str">
        <f>SH_wwRR!O2</f>
        <v>Exhibit DMR-11</v>
      </c>
      <c r="I23" t="str">
        <f>SH_wwRR!N4</f>
        <v>Page 2</v>
      </c>
    </row>
    <row r="24" spans="1:9" x14ac:dyDescent="0.25">
      <c r="A24">
        <v>15</v>
      </c>
      <c r="C24" t="s">
        <v>153</v>
      </c>
      <c r="E24">
        <v>-18462</v>
      </c>
      <c r="G24">
        <f>SL_wRR!J12</f>
        <v>-305067.18809391063</v>
      </c>
      <c r="H24" t="str">
        <f>SL_wRR!O2</f>
        <v>Exhibit DMR-12</v>
      </c>
      <c r="I24" t="str">
        <f>SL_wRR!N4</f>
        <v>Page 2</v>
      </c>
    </row>
    <row r="25" spans="1:9" x14ac:dyDescent="0.25">
      <c r="A25">
        <v>16</v>
      </c>
      <c r="C25" t="s">
        <v>154</v>
      </c>
      <c r="E25">
        <v>2391091</v>
      </c>
      <c r="G25">
        <f>SL_wwRR!J12</f>
        <v>1385148.819513615</v>
      </c>
      <c r="H25" t="str">
        <f>SL_wwRR!O2</f>
        <v>Exhibit DMR-12</v>
      </c>
      <c r="I25" t="str">
        <f>SL_wwRR!N4</f>
        <v>Page 3</v>
      </c>
    </row>
    <row r="26" spans="1:9" x14ac:dyDescent="0.25">
      <c r="A26">
        <v>17</v>
      </c>
      <c r="C26" t="s">
        <v>158</v>
      </c>
      <c r="E26">
        <v>107812</v>
      </c>
      <c r="G26">
        <f>TV_wwRR!J12</f>
        <v>94440.434739737088</v>
      </c>
      <c r="H26" t="str">
        <f>TV_wwRR!O2</f>
        <v>Exhibit DMR-13</v>
      </c>
      <c r="I26" t="str">
        <f>TV_wwRR!N4</f>
        <v>Page 2</v>
      </c>
    </row>
    <row r="27" spans="1:9" x14ac:dyDescent="0.25">
      <c r="A27">
        <v>18</v>
      </c>
      <c r="C27" t="s">
        <v>163</v>
      </c>
      <c r="E27">
        <v>1631780</v>
      </c>
      <c r="G27">
        <f>SEM_wRR!J12</f>
        <v>1269085.6817684639</v>
      </c>
      <c r="H27" t="str">
        <f>SEM_wRR!O2</f>
        <v>Exhibit DMR-14</v>
      </c>
      <c r="I27" t="str">
        <f>SEM_wRR!N4</f>
        <v>Page 2</v>
      </c>
    </row>
    <row r="28" spans="1:9" x14ac:dyDescent="0.25">
      <c r="A28">
        <v>19</v>
      </c>
      <c r="C28" t="s">
        <v>164</v>
      </c>
      <c r="E28">
        <v>-26532</v>
      </c>
      <c r="G28">
        <f>SEM_wwRR!J12</f>
        <v>-85052.281661163477</v>
      </c>
      <c r="H28" t="str">
        <f>SEM_wwRR!O2</f>
        <v>Exhibit DMR-14</v>
      </c>
      <c r="I28" t="str">
        <f>SEM_wwRR!N4</f>
        <v>Page 3</v>
      </c>
    </row>
    <row r="29" spans="1:9" x14ac:dyDescent="0.25">
      <c r="A29">
        <v>20</v>
      </c>
      <c r="C29" t="s">
        <v>172</v>
      </c>
      <c r="E29">
        <v>258990</v>
      </c>
      <c r="G29">
        <f>OC_wRR!J12</f>
        <v>238195.38562869141</v>
      </c>
      <c r="H29" t="str">
        <f>OC_wRR!O2</f>
        <v>Exhibit DMR-15</v>
      </c>
      <c r="I29" t="str">
        <f>OC_wRR!N4</f>
        <v>Page 2</v>
      </c>
    </row>
    <row r="30" spans="1:9" x14ac:dyDescent="0.25">
      <c r="A30">
        <v>21</v>
      </c>
      <c r="C30" t="s">
        <v>178</v>
      </c>
      <c r="E30">
        <v>329885</v>
      </c>
      <c r="G30">
        <f>PAS_wRR!J12</f>
        <v>159806.35107286827</v>
      </c>
      <c r="H30" t="str">
        <f>PAS_wRR!O2</f>
        <v>Exhibit DMR-16</v>
      </c>
      <c r="I30" t="str">
        <f>PAS_wRR!N4</f>
        <v>Page 2</v>
      </c>
    </row>
    <row r="31" spans="1:9" x14ac:dyDescent="0.25">
      <c r="A31">
        <v>22</v>
      </c>
      <c r="C31" t="s">
        <v>179</v>
      </c>
      <c r="E31">
        <v>152640</v>
      </c>
      <c r="G31">
        <f>PAS_wwRR!J12</f>
        <v>23352.432380164257</v>
      </c>
      <c r="H31" t="str">
        <f>PAS_wwRR!O2</f>
        <v>Exhibit DMR-16</v>
      </c>
      <c r="I31" t="str">
        <f>PAS_wwRR!N4</f>
        <v>Page 3</v>
      </c>
    </row>
    <row r="32" spans="1:9" x14ac:dyDescent="0.25">
      <c r="A32">
        <v>23</v>
      </c>
      <c r="C32" t="s">
        <v>180</v>
      </c>
      <c r="E32">
        <v>170080</v>
      </c>
      <c r="G32">
        <f>PIN_wRR!J12</f>
        <v>131348.17267662814</v>
      </c>
      <c r="H32" t="str">
        <f>PIN_wRR!O2</f>
        <v>Exhibit DMR-17</v>
      </c>
      <c r="I32" t="str">
        <f>PIN_wRR!N4</f>
        <v>Page 2</v>
      </c>
    </row>
    <row r="33" spans="1:9" x14ac:dyDescent="0.25">
      <c r="A33">
        <v>24</v>
      </c>
      <c r="C33" t="s">
        <v>184</v>
      </c>
      <c r="E33">
        <v>68885</v>
      </c>
      <c r="G33">
        <f>MAR_wRR!J12</f>
        <v>61905.525966612659</v>
      </c>
      <c r="H33" t="str">
        <f>MAR_wRR!O2</f>
        <v>Exhibit DMR-18</v>
      </c>
      <c r="I33" t="str">
        <f>MAR_wRR!N4</f>
        <v>Page 2</v>
      </c>
    </row>
    <row r="34" spans="1:9" x14ac:dyDescent="0.25">
      <c r="A34">
        <v>25</v>
      </c>
      <c r="C34" t="s">
        <v>185</v>
      </c>
      <c r="E34" s="3">
        <v>38048</v>
      </c>
      <c r="G34" s="3">
        <f>MAR_wwRR!J12</f>
        <v>37057.184587538315</v>
      </c>
      <c r="H34" t="str">
        <f>MAR_wwRR!O2</f>
        <v>Exhibit DMR-18</v>
      </c>
      <c r="I34" t="str">
        <f>MAR_wwRR!N4</f>
        <v>Page 3</v>
      </c>
    </row>
    <row r="36" spans="1:9" ht="16.5" thickBot="1" x14ac:dyDescent="0.3">
      <c r="A36">
        <v>26</v>
      </c>
      <c r="C36" t="s">
        <v>189</v>
      </c>
      <c r="E36" s="70">
        <f>SUM(E10:E35)</f>
        <v>6915454</v>
      </c>
      <c r="G36" s="70">
        <f>SUM(G10:G35)</f>
        <v>2520759.4660560172</v>
      </c>
    </row>
    <row r="37" spans="1:9" ht="16.5" thickTop="1" x14ac:dyDescent="0.25"/>
    <row r="38" spans="1:9" x14ac:dyDescent="0.25">
      <c r="A38">
        <v>27</v>
      </c>
      <c r="C38" t="s">
        <v>190</v>
      </c>
      <c r="E38">
        <f>E10+E13+E15+E18+E21+E24+E27+E29+E30+E32+E33</f>
        <v>2721001</v>
      </c>
      <c r="G38">
        <f>G10+G13+G15+G18+G21+G24+G27+G29+G30+G32+G33</f>
        <v>1478144.9559934488</v>
      </c>
    </row>
    <row r="39" spans="1:9" x14ac:dyDescent="0.25">
      <c r="A39">
        <v>28</v>
      </c>
      <c r="C39" t="s">
        <v>191</v>
      </c>
      <c r="E39">
        <f>E11+E12+E14+E16+E17+E19+E20+E22+E23+E25+E26+E28+E31+E34</f>
        <v>4194453</v>
      </c>
      <c r="G39">
        <f>G11+G12+G14+G16+G17+G19+G20+G22+G23+G25+G26+G28+G31+G34</f>
        <v>1042614.5100625693</v>
      </c>
    </row>
  </sheetData>
  <pageMargins left="0.7" right="0.7" top="0.75" bottom="0.75" header="0.3" footer="0.3"/>
  <pageSetup scale="95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E14"/>
  <sheetViews>
    <sheetView workbookViewId="0">
      <selection activeCell="E5" sqref="E5"/>
    </sheetView>
  </sheetViews>
  <sheetFormatPr defaultRowHeight="15.75" x14ac:dyDescent="0.25"/>
  <cols>
    <col min="1" max="1" width="8.125" customWidth="1"/>
    <col min="2" max="2" width="1.875" customWidth="1"/>
    <col min="3" max="3" width="45.625" customWidth="1"/>
    <col min="4" max="4" width="13.375" customWidth="1"/>
    <col min="5" max="5" width="4.875" customWidth="1"/>
  </cols>
  <sheetData>
    <row r="1" spans="1:5" x14ac:dyDescent="0.25">
      <c r="A1" t="s">
        <v>61</v>
      </c>
      <c r="E1" s="33" t="s">
        <v>64</v>
      </c>
    </row>
    <row r="2" spans="1:5" x14ac:dyDescent="0.25">
      <c r="A2" t="s">
        <v>106</v>
      </c>
      <c r="E2" s="33" t="s">
        <v>107</v>
      </c>
    </row>
    <row r="3" spans="1:5" x14ac:dyDescent="0.25">
      <c r="A3" t="s">
        <v>86</v>
      </c>
      <c r="E3" s="33" t="s">
        <v>108</v>
      </c>
    </row>
    <row r="4" spans="1:5" x14ac:dyDescent="0.25">
      <c r="D4" s="33" t="s">
        <v>67</v>
      </c>
      <c r="E4" s="33" t="s">
        <v>563</v>
      </c>
    </row>
    <row r="5" spans="1:5" x14ac:dyDescent="0.25">
      <c r="A5" t="s">
        <v>63</v>
      </c>
    </row>
    <row r="8" spans="1:5" x14ac:dyDescent="0.25">
      <c r="A8" s="3" t="s">
        <v>84</v>
      </c>
      <c r="B8" s="3"/>
      <c r="C8" s="3" t="s">
        <v>85</v>
      </c>
      <c r="D8" s="3"/>
      <c r="E8" s="3"/>
    </row>
    <row r="10" spans="1:5" x14ac:dyDescent="0.25">
      <c r="A10" t="str">
        <f>ER_wwRR!N4</f>
        <v>Page 2</v>
      </c>
      <c r="C10" t="str">
        <f>ER_wwRR!A5</f>
        <v>Calculation of Revenue Requirement - Wastewater</v>
      </c>
    </row>
    <row r="11" spans="1:5" x14ac:dyDescent="0.25">
      <c r="A11" t="str">
        <f>ER_NOIadj!G4</f>
        <v>Page 3</v>
      </c>
      <c r="C11" t="str">
        <f>ER_NOIadj!A5</f>
        <v>Schedule of Adjustments to Operating Income</v>
      </c>
    </row>
    <row r="12" spans="1:5" x14ac:dyDescent="0.25">
      <c r="A12" t="str">
        <f>ER_wwRB!I4</f>
        <v>Page 4</v>
      </c>
      <c r="C12" t="str">
        <f>ER_wwRB!A5</f>
        <v>Rate Base - Wastewater</v>
      </c>
    </row>
    <row r="13" spans="1:5" x14ac:dyDescent="0.25">
      <c r="A13" t="str">
        <f>ER_RBadj!G4</f>
        <v>Page 5</v>
      </c>
      <c r="C13" t="str">
        <f>ER_RBadj!A5</f>
        <v>Schedule of Adjustments to Rate Base</v>
      </c>
    </row>
    <row r="14" spans="1:5" x14ac:dyDescent="0.25">
      <c r="A14" t="str">
        <f>ER_ROR!Q4</f>
        <v>Page 6</v>
      </c>
      <c r="C14" t="str">
        <f>ER_ROR!A5</f>
        <v>Cost of Capital</v>
      </c>
    </row>
  </sheetData>
  <pageMargins left="0.7" right="0.7" top="0.75" bottom="0.75" header="0.3" footer="0.3"/>
  <pageSetup orientation="portrait" horizontalDpi="0" verticalDpi="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opLeftCell="A36" workbookViewId="0">
      <selection activeCell="I52" sqref="I52"/>
    </sheetView>
  </sheetViews>
  <sheetFormatPr defaultRowHeight="15.75" x14ac:dyDescent="0.25"/>
  <cols>
    <col min="1" max="1" width="4.25" customWidth="1"/>
    <col min="2" max="2" width="1.375" customWidth="1"/>
    <col min="3" max="3" width="35.125" customWidth="1"/>
    <col min="4" max="6" width="7" customWidth="1"/>
    <col min="7" max="7" width="11.125" customWidth="1"/>
    <col min="8" max="8" width="1.875" customWidth="1"/>
    <col min="9" max="9" width="11.125" customWidth="1"/>
    <col min="10" max="10" width="2.25" customWidth="1"/>
    <col min="11" max="11" width="15.375" customWidth="1"/>
    <col min="12" max="12" width="6.375" customWidth="1"/>
  </cols>
  <sheetData>
    <row r="1" spans="1:12" x14ac:dyDescent="0.25">
      <c r="A1" t="str">
        <f>CL_wRR!A1</f>
        <v>Utilities, Inc. of Florida</v>
      </c>
      <c r="K1" s="37"/>
      <c r="L1" s="33" t="str">
        <f>ExhDR_14_SEM!$E$1</f>
        <v>Docket No. 160101-WS</v>
      </c>
    </row>
    <row r="2" spans="1:12" x14ac:dyDescent="0.25">
      <c r="A2" t="s">
        <v>165</v>
      </c>
      <c r="K2" s="37"/>
      <c r="L2" s="33" t="str">
        <f>ExhDR_14_SEM!$E$2</f>
        <v>Exhibit DMR-14</v>
      </c>
    </row>
    <row r="3" spans="1:12" x14ac:dyDescent="0.25">
      <c r="A3" t="str">
        <f>CL_wRR!A3</f>
        <v>Test Year Ended December 31, 2015</v>
      </c>
      <c r="K3" s="37"/>
      <c r="L3" s="33" t="str">
        <f>ExhDR_14_SEM!$E$3</f>
        <v>Seminole County Revenue Requirement</v>
      </c>
    </row>
    <row r="4" spans="1:12" x14ac:dyDescent="0.25">
      <c r="K4" s="38" t="s">
        <v>87</v>
      </c>
      <c r="L4" s="33" t="str">
        <f>ExhDR_14_SEM!$E$4</f>
        <v>of 11</v>
      </c>
    </row>
    <row r="5" spans="1:12" x14ac:dyDescent="0.25">
      <c r="A5" t="s">
        <v>42</v>
      </c>
      <c r="K5" s="37"/>
      <c r="L5" s="37"/>
    </row>
    <row r="6" spans="1:12" x14ac:dyDescent="0.25">
      <c r="K6" s="37"/>
      <c r="L6" s="37"/>
    </row>
    <row r="7" spans="1:12" x14ac:dyDescent="0.25">
      <c r="G7" s="1"/>
      <c r="H7" s="1"/>
      <c r="I7" s="1"/>
      <c r="K7" s="37"/>
      <c r="L7" s="37"/>
    </row>
    <row r="8" spans="1:12" x14ac:dyDescent="0.25">
      <c r="A8" t="s">
        <v>0</v>
      </c>
      <c r="G8" s="1" t="s">
        <v>70</v>
      </c>
      <c r="H8" s="1"/>
      <c r="I8" s="1" t="s">
        <v>71</v>
      </c>
      <c r="K8" s="19"/>
      <c r="L8" s="19"/>
    </row>
    <row r="9" spans="1:12" x14ac:dyDescent="0.25">
      <c r="A9" s="3" t="s">
        <v>1</v>
      </c>
      <c r="C9" s="9" t="s">
        <v>2</v>
      </c>
      <c r="G9" s="2" t="s">
        <v>5</v>
      </c>
      <c r="H9" s="34"/>
      <c r="I9" s="2" t="s">
        <v>5</v>
      </c>
      <c r="K9" s="20" t="s">
        <v>23</v>
      </c>
      <c r="L9" s="19"/>
    </row>
    <row r="10" spans="1:12" x14ac:dyDescent="0.25">
      <c r="K10" s="19"/>
      <c r="L10" s="19"/>
    </row>
    <row r="11" spans="1:12" ht="18" x14ac:dyDescent="0.4">
      <c r="C11" s="4" t="s">
        <v>44</v>
      </c>
      <c r="K11" s="19"/>
      <c r="L11" s="19"/>
    </row>
    <row r="12" spans="1:12" x14ac:dyDescent="0.25">
      <c r="A12">
        <v>1</v>
      </c>
      <c r="C12" t="s">
        <v>533</v>
      </c>
      <c r="G12">
        <f>SEM_RetCap!I18</f>
        <v>5489669</v>
      </c>
      <c r="K12" s="19" t="str">
        <f>SEM_RetCap!I4</f>
        <v>Page 9</v>
      </c>
      <c r="L12" s="19"/>
    </row>
    <row r="13" spans="1:12" x14ac:dyDescent="0.25">
      <c r="A13">
        <v>2</v>
      </c>
      <c r="C13" t="s">
        <v>534</v>
      </c>
      <c r="G13" s="19">
        <v>559517</v>
      </c>
      <c r="H13" s="19"/>
      <c r="I13" s="19">
        <v>1194092</v>
      </c>
      <c r="J13" s="19"/>
      <c r="K13" s="31" t="s">
        <v>198</v>
      </c>
      <c r="L13" s="19"/>
    </row>
    <row r="14" spans="1:12" x14ac:dyDescent="0.25">
      <c r="A14">
        <v>3</v>
      </c>
      <c r="C14" t="s">
        <v>630</v>
      </c>
      <c r="G14">
        <f>GIS_Proj!I21</f>
        <v>-17156</v>
      </c>
      <c r="I14">
        <f>GIS_Proj!K21</f>
        <v>-9330</v>
      </c>
      <c r="K14" t="str">
        <f>GIS_Proj!O2</f>
        <v>Exhibit DMR-21</v>
      </c>
      <c r="L14" s="19"/>
    </row>
    <row r="15" spans="1:12" x14ac:dyDescent="0.25">
      <c r="A15">
        <v>4</v>
      </c>
      <c r="C15" t="s">
        <v>665</v>
      </c>
      <c r="I15">
        <f>SEM_Plant!I18</f>
        <v>16793</v>
      </c>
      <c r="K15" t="str">
        <f>SEM_Plant!I4</f>
        <v>Page 10</v>
      </c>
      <c r="L15" s="19"/>
    </row>
    <row r="16" spans="1:12" x14ac:dyDescent="0.25">
      <c r="A16" s="19">
        <v>5</v>
      </c>
      <c r="B16" s="19"/>
      <c r="C16" t="s">
        <v>669</v>
      </c>
      <c r="G16">
        <f>SEM_PlantB!I15+SEM_PlantB!I25+SEM_PlantB!I35-1</f>
        <v>-85000</v>
      </c>
      <c r="K16" s="19" t="str">
        <f>SEM_PlantB!I4</f>
        <v>Page 11</v>
      </c>
      <c r="L16" s="19"/>
    </row>
    <row r="17" spans="1:12" ht="16.5" thickBot="1" x14ac:dyDescent="0.3">
      <c r="A17">
        <v>6</v>
      </c>
      <c r="B17" s="19"/>
      <c r="C17" t="s">
        <v>48</v>
      </c>
      <c r="G17" s="24">
        <f>SUM(G12:G16)</f>
        <v>5947030</v>
      </c>
      <c r="H17" s="26"/>
      <c r="I17" s="24">
        <f>SUM(I12:I16)</f>
        <v>1201555</v>
      </c>
      <c r="K17" s="19"/>
      <c r="L17" s="19"/>
    </row>
    <row r="18" spans="1:12" ht="16.5" thickTop="1" x14ac:dyDescent="0.25">
      <c r="A18">
        <v>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ht="18" x14ac:dyDescent="0.4">
      <c r="A19">
        <v>8</v>
      </c>
      <c r="B19" s="19"/>
      <c r="C19" s="21" t="s">
        <v>58</v>
      </c>
      <c r="D19" s="19"/>
      <c r="E19" s="19"/>
      <c r="F19" s="19"/>
      <c r="G19" s="19"/>
      <c r="H19" s="19"/>
      <c r="I19" s="19"/>
      <c r="J19" s="19"/>
      <c r="K19" s="19"/>
      <c r="L19" s="19"/>
    </row>
    <row r="20" spans="1:12" x14ac:dyDescent="0.25">
      <c r="A20">
        <v>9</v>
      </c>
      <c r="B20" s="19"/>
      <c r="D20" s="19"/>
      <c r="E20" s="19"/>
      <c r="F20" s="19"/>
      <c r="G20" s="22"/>
      <c r="H20" s="39"/>
      <c r="I20" s="22"/>
      <c r="J20" s="19"/>
      <c r="K20" s="31"/>
      <c r="L20" s="19"/>
    </row>
    <row r="21" spans="1:12" ht="16.5" thickBot="1" x14ac:dyDescent="0.3">
      <c r="A21" s="19">
        <v>10</v>
      </c>
      <c r="B21" s="19"/>
      <c r="C21" t="s">
        <v>59</v>
      </c>
      <c r="D21" s="19"/>
      <c r="E21" s="19"/>
      <c r="F21" s="19"/>
      <c r="G21" s="23">
        <f>SUM(G20:G20)</f>
        <v>0</v>
      </c>
      <c r="H21" s="39"/>
      <c r="I21" s="23">
        <f>SUM(I20:I20)</f>
        <v>0</v>
      </c>
      <c r="J21" s="19"/>
      <c r="K21" s="31"/>
      <c r="L21" s="19"/>
    </row>
    <row r="22" spans="1:12" ht="16.5" thickTop="1" x14ac:dyDescent="0.25">
      <c r="A22">
        <v>11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18" x14ac:dyDescent="0.4">
      <c r="A23">
        <v>12</v>
      </c>
      <c r="B23" s="19"/>
      <c r="C23" s="21" t="s">
        <v>43</v>
      </c>
      <c r="D23" s="19"/>
      <c r="E23" s="19"/>
      <c r="F23" s="19"/>
      <c r="G23" s="19"/>
      <c r="H23" s="19"/>
      <c r="I23" s="19"/>
      <c r="J23" s="19"/>
      <c r="K23" s="19"/>
      <c r="L23" s="19"/>
    </row>
    <row r="24" spans="1:12" x14ac:dyDescent="0.25">
      <c r="A24">
        <v>13</v>
      </c>
      <c r="B24" s="19"/>
      <c r="C24" t="s">
        <v>533</v>
      </c>
      <c r="D24" s="19"/>
      <c r="E24" s="19"/>
      <c r="F24" s="19"/>
      <c r="G24" s="19">
        <f>SEM_RetCap!I24</f>
        <v>5516978</v>
      </c>
      <c r="H24" s="19"/>
      <c r="I24" s="19"/>
      <c r="J24" s="19"/>
      <c r="K24" s="19" t="str">
        <f>SEM_RetCap!I4</f>
        <v>Page 9</v>
      </c>
      <c r="L24" s="19"/>
    </row>
    <row r="25" spans="1:12" x14ac:dyDescent="0.25">
      <c r="A25">
        <v>14</v>
      </c>
      <c r="B25" s="19"/>
      <c r="C25" t="s">
        <v>535</v>
      </c>
      <c r="D25" s="19"/>
      <c r="E25" s="19"/>
      <c r="F25" s="19"/>
      <c r="G25" s="19">
        <v>1563524</v>
      </c>
      <c r="H25" s="19"/>
      <c r="I25" s="19">
        <v>1050850</v>
      </c>
      <c r="J25" s="19"/>
      <c r="K25" s="31" t="s">
        <v>198</v>
      </c>
      <c r="L25" s="19"/>
    </row>
    <row r="26" spans="1:12" x14ac:dyDescent="0.25">
      <c r="A26" s="19">
        <v>15</v>
      </c>
      <c r="B26" s="19"/>
      <c r="C26" t="s">
        <v>630</v>
      </c>
      <c r="G26">
        <f>SEM_NOIadj!F35*0.5</f>
        <v>-572</v>
      </c>
      <c r="I26">
        <f>SEM_NOIadj!H35*0.5</f>
        <v>-311</v>
      </c>
      <c r="L26" s="19"/>
    </row>
    <row r="27" spans="1:12" x14ac:dyDescent="0.25">
      <c r="A27">
        <v>16</v>
      </c>
      <c r="B27" s="19"/>
      <c r="C27" t="s">
        <v>665</v>
      </c>
      <c r="I27">
        <f>SEM_Plant!I24</f>
        <v>193329</v>
      </c>
      <c r="K27" t="str">
        <f>SEM_Plant!I4</f>
        <v>Page 10</v>
      </c>
      <c r="L27" s="19"/>
    </row>
    <row r="28" spans="1:12" x14ac:dyDescent="0.25">
      <c r="A28">
        <v>17</v>
      </c>
      <c r="B28" s="19"/>
      <c r="C28" t="s">
        <v>669</v>
      </c>
      <c r="D28" s="19"/>
      <c r="E28" s="19"/>
      <c r="F28" s="19"/>
      <c r="G28" s="19">
        <f>SEM_PlantB!I18+SEM_PlantB!I28+SEM_PlantB!I38</f>
        <v>-1165</v>
      </c>
      <c r="H28" s="19"/>
      <c r="I28" s="19"/>
      <c r="J28" s="19"/>
      <c r="K28" s="19" t="str">
        <f>SEM_PlantB!I4</f>
        <v>Page 11</v>
      </c>
      <c r="L28" s="19"/>
    </row>
    <row r="29" spans="1:12" ht="16.5" thickBot="1" x14ac:dyDescent="0.3">
      <c r="A29">
        <v>18</v>
      </c>
      <c r="C29" s="20" t="s">
        <v>47</v>
      </c>
      <c r="D29" s="19"/>
      <c r="E29" s="19"/>
      <c r="F29" s="19"/>
      <c r="G29" s="23">
        <f>SUM(G24:G28)</f>
        <v>7078765</v>
      </c>
      <c r="H29" s="39"/>
      <c r="I29" s="23">
        <f>SUM(I24:I28)</f>
        <v>1243868</v>
      </c>
      <c r="J29" s="19"/>
      <c r="K29" s="19"/>
    </row>
    <row r="30" spans="1:12" ht="16.5" thickTop="1" x14ac:dyDescent="0.25">
      <c r="A30">
        <v>19</v>
      </c>
      <c r="C30" s="20"/>
      <c r="D30" s="19"/>
      <c r="E30" s="19"/>
      <c r="F30" s="19"/>
      <c r="G30" s="19"/>
      <c r="H30" s="19"/>
      <c r="I30" s="19"/>
      <c r="J30" s="19"/>
      <c r="K30" s="19"/>
    </row>
    <row r="31" spans="1:12" ht="18" x14ac:dyDescent="0.4">
      <c r="A31" s="19">
        <v>20</v>
      </c>
      <c r="C31" s="21" t="s">
        <v>515</v>
      </c>
      <c r="J31" s="19"/>
    </row>
    <row r="32" spans="1:12" x14ac:dyDescent="0.25">
      <c r="A32">
        <v>21</v>
      </c>
      <c r="C32" t="s">
        <v>536</v>
      </c>
      <c r="G32">
        <v>-158502</v>
      </c>
      <c r="I32">
        <v>-226651</v>
      </c>
      <c r="J32" s="19"/>
      <c r="K32" s="31" t="s">
        <v>198</v>
      </c>
    </row>
    <row r="33" spans="1:11" ht="16.5" thickBot="1" x14ac:dyDescent="0.3">
      <c r="A33">
        <v>22</v>
      </c>
      <c r="C33" s="80" t="s">
        <v>516</v>
      </c>
      <c r="G33" s="24">
        <f>SUM(G32)</f>
        <v>-158502</v>
      </c>
      <c r="I33" s="24">
        <f>SUM(I32)</f>
        <v>-226651</v>
      </c>
    </row>
    <row r="34" spans="1:11" ht="16.5" thickTop="1" x14ac:dyDescent="0.25">
      <c r="A34">
        <v>23</v>
      </c>
      <c r="C34" s="80"/>
      <c r="G34" s="26"/>
      <c r="I34" s="39"/>
    </row>
    <row r="35" spans="1:11" ht="18" x14ac:dyDescent="0.4">
      <c r="A35">
        <v>24</v>
      </c>
      <c r="C35" s="21" t="s">
        <v>537</v>
      </c>
    </row>
    <row r="36" spans="1:11" x14ac:dyDescent="0.25">
      <c r="A36" s="19">
        <v>25</v>
      </c>
      <c r="C36" t="s">
        <v>538</v>
      </c>
      <c r="G36">
        <v>-177314</v>
      </c>
      <c r="I36">
        <v>21410</v>
      </c>
      <c r="K36" s="31" t="s">
        <v>198</v>
      </c>
    </row>
    <row r="37" spans="1:11" ht="16.5" thickBot="1" x14ac:dyDescent="0.3">
      <c r="A37">
        <v>26</v>
      </c>
      <c r="C37" s="80" t="s">
        <v>516</v>
      </c>
      <c r="G37" s="24">
        <f>SUM(G36)</f>
        <v>-177314</v>
      </c>
      <c r="I37" s="24">
        <f>SUM(I36)</f>
        <v>21410</v>
      </c>
    </row>
    <row r="38" spans="1:11" ht="16.5" thickTop="1" x14ac:dyDescent="0.25">
      <c r="C38" s="80"/>
      <c r="G38" s="26"/>
      <c r="I38" s="26"/>
    </row>
    <row r="39" spans="1:11" ht="18" x14ac:dyDescent="0.4">
      <c r="C39" s="21" t="s">
        <v>51</v>
      </c>
      <c r="D39" s="19"/>
      <c r="E39" s="19"/>
      <c r="F39" s="19"/>
      <c r="G39" s="19"/>
      <c r="H39" s="19"/>
      <c r="I39" s="19"/>
    </row>
    <row r="40" spans="1:11" x14ac:dyDescent="0.25">
      <c r="C40" s="19"/>
      <c r="D40" s="19"/>
      <c r="E40" s="19"/>
      <c r="F40" s="19"/>
      <c r="G40" s="22"/>
      <c r="H40" s="39"/>
      <c r="I40" s="22"/>
    </row>
    <row r="41" spans="1:11" ht="16.5" thickBot="1" x14ac:dyDescent="0.3">
      <c r="C41" s="20" t="s">
        <v>52</v>
      </c>
      <c r="D41" s="19"/>
      <c r="E41" s="19"/>
      <c r="F41" s="19"/>
      <c r="G41" s="23">
        <f>SUM(G40:G40)</f>
        <v>0</v>
      </c>
      <c r="H41" s="39"/>
      <c r="I41" s="23">
        <f>SUM(I40:I40)</f>
        <v>0</v>
      </c>
    </row>
    <row r="42" spans="1:11" ht="16.5" thickTop="1" x14ac:dyDescent="0.25"/>
  </sheetData>
  <pageMargins left="0.7" right="0.7" top="0.75" bottom="0.75" header="0.3" footer="0.3"/>
  <pageSetup scale="78" orientation="portrait" horizontalDpi="0" verticalDpi="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workbookViewId="0">
      <selection activeCell="K5" sqref="K5"/>
    </sheetView>
  </sheetViews>
  <sheetFormatPr defaultRowHeight="15.75" x14ac:dyDescent="0.25"/>
  <cols>
    <col min="1" max="1" width="4.25" customWidth="1"/>
    <col min="2" max="2" width="1.375" customWidth="1"/>
    <col min="3" max="3" width="20.5" customWidth="1"/>
    <col min="4" max="4" width="1.125" customWidth="1"/>
    <col min="5" max="5" width="12.625" customWidth="1"/>
    <col min="6" max="6" width="1.125" customWidth="1"/>
    <col min="7" max="7" width="9.625" customWidth="1"/>
    <col min="8" max="8" width="1.125" customWidth="1"/>
    <col min="9" max="9" width="12.75" customWidth="1"/>
    <col min="10" max="10" width="0.75" customWidth="1"/>
    <col min="11" max="11" width="13" customWidth="1"/>
    <col min="12" max="12" width="0.75" customWidth="1"/>
    <col min="13" max="13" width="9.625" customWidth="1"/>
    <col min="14" max="14" width="0.75" customWidth="1"/>
    <col min="15" max="15" width="9.75" customWidth="1"/>
    <col min="16" max="16" width="0.75" customWidth="1"/>
    <col min="17" max="17" width="10" customWidth="1"/>
    <col min="18" max="18" width="6.125" customWidth="1"/>
  </cols>
  <sheetData>
    <row r="1" spans="1:18" x14ac:dyDescent="0.25">
      <c r="A1" t="str">
        <f>CL_wRR!A1</f>
        <v>Utilities, Inc. of Florida</v>
      </c>
      <c r="Q1" s="37"/>
      <c r="R1" s="33" t="str">
        <f>ExhDR_14_SEM!$E$1</f>
        <v>Docket No. 160101-WS</v>
      </c>
    </row>
    <row r="2" spans="1:18" x14ac:dyDescent="0.25">
      <c r="A2" t="s">
        <v>165</v>
      </c>
      <c r="Q2" s="37"/>
      <c r="R2" s="33" t="str">
        <f>ExhDR_14_SEM!$E$2</f>
        <v>Exhibit DMR-14</v>
      </c>
    </row>
    <row r="3" spans="1:18" x14ac:dyDescent="0.25">
      <c r="A3" t="str">
        <f>CL_wRR!A3</f>
        <v>Test Year Ended December 31, 2015</v>
      </c>
      <c r="Q3" s="37"/>
      <c r="R3" s="33" t="str">
        <f>ExhDR_14_SEM!$E$3</f>
        <v>Seminole County Revenue Requirement</v>
      </c>
    </row>
    <row r="4" spans="1:18" x14ac:dyDescent="0.25">
      <c r="Q4" s="38" t="s">
        <v>222</v>
      </c>
      <c r="R4" s="33" t="str">
        <f>ExhDR_14_SEM!$E$4</f>
        <v>of 11</v>
      </c>
    </row>
    <row r="5" spans="1:18" x14ac:dyDescent="0.25">
      <c r="A5" t="s">
        <v>199</v>
      </c>
    </row>
    <row r="8" spans="1:18" x14ac:dyDescent="0.25">
      <c r="Q8" s="1" t="s">
        <v>8</v>
      </c>
    </row>
    <row r="9" spans="1:18" x14ac:dyDescent="0.25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8" x14ac:dyDescent="0.4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25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25">
      <c r="A13">
        <v>1</v>
      </c>
      <c r="C13" t="s">
        <v>206</v>
      </c>
      <c r="E13">
        <v>6819961</v>
      </c>
      <c r="G13" s="64">
        <f>E13/$E$20</f>
        <v>0.44390932742145134</v>
      </c>
      <c r="I13">
        <f>K13-E13</f>
        <v>-1217018.7039718153</v>
      </c>
      <c r="K13">
        <f>($K$20-$K$16-$K$17-$K$18)*(E13/SUM($E$13:$E$15))</f>
        <v>5602942.2960281847</v>
      </c>
      <c r="M13" s="64">
        <f>K13/$K$20</f>
        <v>0.38859101508593302</v>
      </c>
      <c r="O13" s="64">
        <v>6.7000000000000004E-2</v>
      </c>
      <c r="P13" s="8"/>
      <c r="Q13" s="64">
        <f>M13*O13</f>
        <v>2.6035598010757513E-2</v>
      </c>
    </row>
    <row r="14" spans="1:18" x14ac:dyDescent="0.25">
      <c r="A14">
        <v>2</v>
      </c>
      <c r="C14" t="s">
        <v>207</v>
      </c>
      <c r="E14">
        <v>647698</v>
      </c>
      <c r="G14" s="64">
        <f t="shared" ref="G14:G18" si="0">E14/$E$20</f>
        <v>4.2158479139722239E-2</v>
      </c>
      <c r="I14">
        <f t="shared" ref="I14:I15" si="1">K14-E14</f>
        <v>-115581.39123158273</v>
      </c>
      <c r="K14">
        <f t="shared" ref="K14:K15" si="2">($K$20-$K$16-$K$17-$K$18)*(E14/SUM($E$13:$E$15))</f>
        <v>532116.60876841727</v>
      </c>
      <c r="M14" s="64">
        <f t="shared" ref="M14:M18" si="3">K14/$K$20</f>
        <v>3.6904847885366014E-2</v>
      </c>
      <c r="O14" s="8">
        <v>2.3199999999999998E-2</v>
      </c>
      <c r="P14" s="8"/>
      <c r="Q14" s="64">
        <f t="shared" ref="Q14:Q18" si="4">M14*O14</f>
        <v>8.5619247094049144E-4</v>
      </c>
    </row>
    <row r="15" spans="1:18" x14ac:dyDescent="0.25">
      <c r="A15">
        <v>3</v>
      </c>
      <c r="C15" t="s">
        <v>208</v>
      </c>
      <c r="E15">
        <v>7252740</v>
      </c>
      <c r="G15" s="64">
        <f t="shared" si="0"/>
        <v>0.47207878979992074</v>
      </c>
      <c r="I15">
        <f t="shared" si="1"/>
        <v>-1294247.9047966022</v>
      </c>
      <c r="K15">
        <f t="shared" si="2"/>
        <v>5958492.0952033978</v>
      </c>
      <c r="M15" s="64">
        <f t="shared" si="3"/>
        <v>0.41325010491326125</v>
      </c>
      <c r="O15" s="8">
        <v>0.104</v>
      </c>
      <c r="P15" s="8"/>
      <c r="Q15" s="64">
        <f t="shared" si="4"/>
        <v>4.2978010910979171E-2</v>
      </c>
    </row>
    <row r="16" spans="1:18" x14ac:dyDescent="0.25">
      <c r="A16">
        <v>4</v>
      </c>
      <c r="C16" t="s">
        <v>209</v>
      </c>
      <c r="E16">
        <v>22819</v>
      </c>
      <c r="G16" s="64">
        <f t="shared" si="0"/>
        <v>1.485282238773814E-3</v>
      </c>
      <c r="K16">
        <f>E16+I16</f>
        <v>22819</v>
      </c>
      <c r="M16" s="64">
        <f t="shared" si="3"/>
        <v>1.5826074774198068E-3</v>
      </c>
      <c r="O16" s="8">
        <v>0.02</v>
      </c>
      <c r="P16" s="8"/>
      <c r="Q16" s="64">
        <f t="shared" si="4"/>
        <v>3.1652149548396136E-5</v>
      </c>
    </row>
    <row r="17" spans="1:17" x14ac:dyDescent="0.25">
      <c r="A17">
        <v>5</v>
      </c>
      <c r="C17" t="s">
        <v>210</v>
      </c>
      <c r="E17">
        <v>34857</v>
      </c>
      <c r="G17" s="64">
        <f t="shared" si="0"/>
        <v>2.268832244924792E-3</v>
      </c>
      <c r="K17">
        <f>E17+I17</f>
        <v>34857</v>
      </c>
      <c r="M17" s="64">
        <f t="shared" si="3"/>
        <v>2.4175007160884441E-3</v>
      </c>
      <c r="O17" s="8">
        <v>0</v>
      </c>
      <c r="P17" s="8"/>
      <c r="Q17" s="64">
        <f t="shared" si="4"/>
        <v>0</v>
      </c>
    </row>
    <row r="18" spans="1:17" x14ac:dyDescent="0.25">
      <c r="A18">
        <v>6</v>
      </c>
      <c r="C18" t="s">
        <v>211</v>
      </c>
      <c r="E18" s="3">
        <v>585335</v>
      </c>
      <c r="G18" s="68">
        <f t="shared" si="0"/>
        <v>3.8099289155207078E-2</v>
      </c>
      <c r="I18">
        <v>1682048</v>
      </c>
      <c r="K18" s="3">
        <f>E18+I18</f>
        <v>2267383</v>
      </c>
      <c r="M18" s="68">
        <f t="shared" si="3"/>
        <v>0.15725392392193144</v>
      </c>
      <c r="O18" s="8">
        <v>0</v>
      </c>
      <c r="P18" s="8"/>
      <c r="Q18" s="68">
        <f t="shared" si="4"/>
        <v>0</v>
      </c>
    </row>
    <row r="20" spans="1:17" ht="16.5" thickBot="1" x14ac:dyDescent="0.3">
      <c r="A20">
        <v>7</v>
      </c>
      <c r="C20" t="s">
        <v>189</v>
      </c>
      <c r="E20">
        <f>SUM(E13:E19)</f>
        <v>15363410</v>
      </c>
      <c r="G20" s="8">
        <f>SUM(G13:G19)</f>
        <v>1</v>
      </c>
      <c r="K20">
        <f>SEM_wRB!I24+SEM_wwRB!I23</f>
        <v>14418610</v>
      </c>
      <c r="M20" s="8">
        <f>SUM(M13:M19)</f>
        <v>1</v>
      </c>
      <c r="Q20" s="71">
        <f>ROUND(SUM(Q13:Q19),4)</f>
        <v>6.9900000000000004E-2</v>
      </c>
    </row>
    <row r="21" spans="1:17" ht="16.5" thickTop="1" x14ac:dyDescent="0.25"/>
    <row r="22" spans="1:17" ht="18" x14ac:dyDescent="0.4">
      <c r="C22" s="4" t="s">
        <v>50</v>
      </c>
    </row>
    <row r="23" spans="1:17" x14ac:dyDescent="0.25">
      <c r="C23" t="s">
        <v>217</v>
      </c>
    </row>
    <row r="24" spans="1:17" x14ac:dyDescent="0.25">
      <c r="C24" t="s">
        <v>220</v>
      </c>
    </row>
    <row r="25" spans="1:17" x14ac:dyDescent="0.25">
      <c r="C25" t="s">
        <v>713</v>
      </c>
    </row>
    <row r="26" spans="1:17" x14ac:dyDescent="0.25">
      <c r="C26" t="s">
        <v>712</v>
      </c>
    </row>
  </sheetData>
  <pageMargins left="0.7" right="0.7" top="0.75" bottom="0.75" header="0.3" footer="0.3"/>
  <pageSetup scale="71" orientation="portrait" horizontalDpi="0" verticalDpi="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D28" sqref="D28"/>
    </sheetView>
  </sheetViews>
  <sheetFormatPr defaultRowHeight="15.75" x14ac:dyDescent="0.25"/>
  <cols>
    <col min="1" max="1" width="4.625" customWidth="1"/>
    <col min="2" max="2" width="1.375" customWidth="1"/>
    <col min="3" max="3" width="42.75" customWidth="1"/>
    <col min="4" max="4" width="5.5" customWidth="1"/>
    <col min="5" max="5" width="14.125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6.375" customWidth="1"/>
  </cols>
  <sheetData>
    <row r="1" spans="1:10" x14ac:dyDescent="0.25">
      <c r="A1" t="str">
        <f>CL_wRR!A1</f>
        <v>Utilities, Inc. of Florida</v>
      </c>
      <c r="I1" s="37"/>
      <c r="J1" s="33" t="str">
        <f>ExhDR_14_SEM!$E$1</f>
        <v>Docket No. 160101-WS</v>
      </c>
    </row>
    <row r="2" spans="1:10" x14ac:dyDescent="0.25">
      <c r="A2" t="s">
        <v>165</v>
      </c>
      <c r="I2" s="37"/>
      <c r="J2" s="33" t="str">
        <f>ExhDR_14_SEM!$E$2</f>
        <v>Exhibit DMR-14</v>
      </c>
    </row>
    <row r="3" spans="1:10" x14ac:dyDescent="0.25">
      <c r="A3" t="str">
        <f>CL_wRR!A3</f>
        <v>Test Year Ended December 31, 2015</v>
      </c>
      <c r="I3" s="37"/>
      <c r="J3" s="33" t="str">
        <f>ExhDR_14_SEM!$E$3</f>
        <v>Seminole County Revenue Requirement</v>
      </c>
    </row>
    <row r="4" spans="1:10" x14ac:dyDescent="0.25">
      <c r="I4" s="38" t="s">
        <v>345</v>
      </c>
      <c r="J4" s="33" t="str">
        <f>ExhDR_14_SEM!$E$4</f>
        <v>of 11</v>
      </c>
    </row>
    <row r="5" spans="1:10" x14ac:dyDescent="0.25">
      <c r="A5" t="s">
        <v>662</v>
      </c>
      <c r="H5" s="37"/>
      <c r="I5" s="37"/>
    </row>
    <row r="10" spans="1:10" x14ac:dyDescent="0.25">
      <c r="E10" s="1" t="s">
        <v>346</v>
      </c>
      <c r="F10" s="1"/>
      <c r="G10" s="1" t="s">
        <v>348</v>
      </c>
      <c r="H10" s="1"/>
      <c r="I10" s="1"/>
    </row>
    <row r="11" spans="1:10" x14ac:dyDescent="0.25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0" x14ac:dyDescent="0.25">
      <c r="E12" s="7" t="s">
        <v>212</v>
      </c>
      <c r="F12" s="1"/>
      <c r="G12" s="7" t="s">
        <v>213</v>
      </c>
      <c r="H12" s="1"/>
      <c r="I12" s="7" t="s">
        <v>214</v>
      </c>
    </row>
    <row r="13" spans="1:10" x14ac:dyDescent="0.25">
      <c r="C13" s="82"/>
      <c r="E13" s="7"/>
      <c r="F13" s="1"/>
      <c r="G13" s="7"/>
      <c r="H13" s="1"/>
      <c r="I13" s="7"/>
    </row>
    <row r="14" spans="1:10" ht="18" x14ac:dyDescent="0.4">
      <c r="C14" s="4" t="s">
        <v>350</v>
      </c>
    </row>
    <row r="15" spans="1:10" x14ac:dyDescent="0.25">
      <c r="A15">
        <v>1</v>
      </c>
      <c r="C15" t="s">
        <v>417</v>
      </c>
      <c r="E15">
        <v>8551884</v>
      </c>
      <c r="G15">
        <f>1485270+1585933+521681+1571701+1188247+2160808</f>
        <v>8513640</v>
      </c>
    </row>
    <row r="16" spans="1:10" x14ac:dyDescent="0.25">
      <c r="A16">
        <v>2</v>
      </c>
      <c r="C16" t="s">
        <v>418</v>
      </c>
      <c r="E16" s="3">
        <f>-E15*0.75</f>
        <v>-6413913</v>
      </c>
      <c r="G16" s="3">
        <v>-886000</v>
      </c>
    </row>
    <row r="18" spans="1:9" x14ac:dyDescent="0.25">
      <c r="A18">
        <v>3</v>
      </c>
      <c r="C18" t="s">
        <v>354</v>
      </c>
      <c r="E18">
        <f>SUM(E15:E16)</f>
        <v>2137971</v>
      </c>
      <c r="G18">
        <f>SUM(G15:G16)</f>
        <v>7627640</v>
      </c>
      <c r="I18" s="79">
        <f>G18-E18</f>
        <v>5489669</v>
      </c>
    </row>
    <row r="20" spans="1:9" ht="18" x14ac:dyDescent="0.4">
      <c r="C20" s="4" t="s">
        <v>351</v>
      </c>
    </row>
    <row r="21" spans="1:9" x14ac:dyDescent="0.25">
      <c r="A21">
        <v>4</v>
      </c>
      <c r="C21" t="s">
        <v>418</v>
      </c>
      <c r="E21">
        <f>E16</f>
        <v>-6413913</v>
      </c>
      <c r="G21">
        <f>G16</f>
        <v>-886000</v>
      </c>
    </row>
    <row r="22" spans="1:9" x14ac:dyDescent="0.25">
      <c r="A22">
        <v>5</v>
      </c>
      <c r="C22" t="s">
        <v>352</v>
      </c>
      <c r="E22" s="3">
        <v>99629</v>
      </c>
      <c r="G22" s="3">
        <f>ROUND(G27/2,0)</f>
        <v>88694</v>
      </c>
    </row>
    <row r="24" spans="1:9" x14ac:dyDescent="0.25">
      <c r="A24">
        <v>6</v>
      </c>
      <c r="C24" t="s">
        <v>356</v>
      </c>
      <c r="E24">
        <f>SUM(E21:E23)</f>
        <v>-6314284</v>
      </c>
      <c r="G24">
        <f>SUM(G21:G23)</f>
        <v>-797306</v>
      </c>
      <c r="I24" s="79">
        <f>G24-E24</f>
        <v>5516978</v>
      </c>
    </row>
    <row r="26" spans="1:9" ht="18" x14ac:dyDescent="0.4">
      <c r="C26" s="4" t="s">
        <v>353</v>
      </c>
    </row>
    <row r="27" spans="1:9" x14ac:dyDescent="0.25">
      <c r="A27">
        <v>7</v>
      </c>
      <c r="C27" t="s">
        <v>403</v>
      </c>
      <c r="E27">
        <v>49815</v>
      </c>
      <c r="G27">
        <f>ROUND(G18*(1/43),0)</f>
        <v>177387</v>
      </c>
      <c r="I27" s="79">
        <f>G27-E27</f>
        <v>127572</v>
      </c>
    </row>
    <row r="30" spans="1:9" ht="18" x14ac:dyDescent="0.4">
      <c r="C30" s="4" t="s">
        <v>50</v>
      </c>
    </row>
    <row r="31" spans="1:9" x14ac:dyDescent="0.25">
      <c r="C31" t="s">
        <v>663</v>
      </c>
    </row>
    <row r="32" spans="1:9" x14ac:dyDescent="0.25">
      <c r="C32" t="s">
        <v>532</v>
      </c>
    </row>
    <row r="33" spans="3:3" x14ac:dyDescent="0.25">
      <c r="C33" t="s">
        <v>664</v>
      </c>
    </row>
  </sheetData>
  <pageMargins left="0.7" right="0.7" top="0.75" bottom="0.75" header="0.3" footer="0.3"/>
  <pageSetup scale="84" orientation="portrait" horizontalDpi="0" verticalDpi="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C28" sqref="C28"/>
    </sheetView>
  </sheetViews>
  <sheetFormatPr defaultRowHeight="15.75" x14ac:dyDescent="0.25"/>
  <cols>
    <col min="1" max="1" width="4.625" customWidth="1"/>
    <col min="2" max="2" width="1.375" customWidth="1"/>
    <col min="3" max="3" width="42.75" customWidth="1"/>
    <col min="4" max="4" width="5.5" customWidth="1"/>
    <col min="5" max="5" width="14.125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7.25" customWidth="1"/>
  </cols>
  <sheetData>
    <row r="1" spans="1:10" x14ac:dyDescent="0.25">
      <c r="A1" t="str">
        <f>CL_wRR!A1</f>
        <v>Utilities, Inc. of Florida</v>
      </c>
      <c r="I1" s="37"/>
      <c r="J1" s="33" t="str">
        <f>ExhDR_14_SEM!$E$1</f>
        <v>Docket No. 160101-WS</v>
      </c>
    </row>
    <row r="2" spans="1:10" x14ac:dyDescent="0.25">
      <c r="A2" t="s">
        <v>165</v>
      </c>
      <c r="I2" s="37"/>
      <c r="J2" s="33" t="str">
        <f>ExhDR_14_SEM!$E$2</f>
        <v>Exhibit DMR-14</v>
      </c>
    </row>
    <row r="3" spans="1:10" x14ac:dyDescent="0.25">
      <c r="A3" t="str">
        <f>CL_wRR!A3</f>
        <v>Test Year Ended December 31, 2015</v>
      </c>
      <c r="I3" s="37"/>
      <c r="J3" s="33" t="str">
        <f>ExhDR_14_SEM!$E$3</f>
        <v>Seminole County Revenue Requirement</v>
      </c>
    </row>
    <row r="4" spans="1:10" x14ac:dyDescent="0.25">
      <c r="I4" s="38" t="s">
        <v>428</v>
      </c>
      <c r="J4" s="33" t="str">
        <f>ExhDR_14_SEM!$E$4</f>
        <v>of 11</v>
      </c>
    </row>
    <row r="5" spans="1:10" x14ac:dyDescent="0.25">
      <c r="A5" t="s">
        <v>665</v>
      </c>
      <c r="H5" s="37"/>
      <c r="I5" s="37"/>
    </row>
    <row r="10" spans="1:10" x14ac:dyDescent="0.25">
      <c r="E10" s="1" t="s">
        <v>346</v>
      </c>
      <c r="F10" s="1"/>
      <c r="G10" s="1" t="s">
        <v>348</v>
      </c>
      <c r="H10" s="1"/>
      <c r="I10" s="1"/>
    </row>
    <row r="11" spans="1:10" x14ac:dyDescent="0.25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0" x14ac:dyDescent="0.25">
      <c r="E12" s="7" t="s">
        <v>212</v>
      </c>
      <c r="F12" s="1"/>
      <c r="G12" s="7" t="s">
        <v>213</v>
      </c>
      <c r="H12" s="1"/>
      <c r="I12" s="7" t="s">
        <v>214</v>
      </c>
    </row>
    <row r="13" spans="1:10" x14ac:dyDescent="0.25">
      <c r="C13" s="82" t="s">
        <v>666</v>
      </c>
      <c r="E13" s="7"/>
      <c r="F13" s="1"/>
      <c r="G13" s="7"/>
      <c r="H13" s="1"/>
      <c r="I13" s="7"/>
    </row>
    <row r="14" spans="1:10" ht="18" x14ac:dyDescent="0.4">
      <c r="C14" s="4" t="s">
        <v>350</v>
      </c>
    </row>
    <row r="15" spans="1:10" x14ac:dyDescent="0.25">
      <c r="A15">
        <v>1</v>
      </c>
      <c r="C15" t="s">
        <v>417</v>
      </c>
      <c r="E15">
        <v>300000</v>
      </c>
      <c r="G15">
        <v>120000</v>
      </c>
    </row>
    <row r="16" spans="1:10" x14ac:dyDescent="0.25">
      <c r="A16">
        <v>2</v>
      </c>
      <c r="C16" t="s">
        <v>667</v>
      </c>
      <c r="E16" s="3">
        <f>-E15*0.75</f>
        <v>-225000</v>
      </c>
      <c r="G16" s="3">
        <v>-28207</v>
      </c>
    </row>
    <row r="18" spans="1:9" x14ac:dyDescent="0.25">
      <c r="A18">
        <v>3</v>
      </c>
      <c r="C18" t="s">
        <v>354</v>
      </c>
      <c r="E18">
        <f>SUM(E15:E16)</f>
        <v>75000</v>
      </c>
      <c r="G18">
        <f>SUM(G15:G16)</f>
        <v>91793</v>
      </c>
      <c r="I18" s="79">
        <f>G18-E18</f>
        <v>16793</v>
      </c>
    </row>
    <row r="20" spans="1:9" ht="18" x14ac:dyDescent="0.4">
      <c r="C20" s="4" t="s">
        <v>351</v>
      </c>
    </row>
    <row r="21" spans="1:9" x14ac:dyDescent="0.25">
      <c r="A21">
        <v>4</v>
      </c>
      <c r="C21" t="s">
        <v>418</v>
      </c>
      <c r="E21">
        <f>E16</f>
        <v>-225000</v>
      </c>
      <c r="G21">
        <f>G16</f>
        <v>-28207</v>
      </c>
    </row>
    <row r="22" spans="1:9" x14ac:dyDescent="0.25">
      <c r="A22">
        <v>5</v>
      </c>
      <c r="C22" t="s">
        <v>352</v>
      </c>
      <c r="E22" s="3">
        <v>4994</v>
      </c>
      <c r="G22" s="3">
        <f>ROUND(G27/2,0)</f>
        <v>1530</v>
      </c>
    </row>
    <row r="24" spans="1:9" x14ac:dyDescent="0.25">
      <c r="A24">
        <v>6</v>
      </c>
      <c r="C24" t="s">
        <v>356</v>
      </c>
      <c r="E24">
        <f>SUM(E21:E23)</f>
        <v>-220006</v>
      </c>
      <c r="G24">
        <f>SUM(G21:G23)</f>
        <v>-26677</v>
      </c>
      <c r="I24" s="79">
        <f>G24-E24</f>
        <v>193329</v>
      </c>
    </row>
    <row r="26" spans="1:9" ht="18" x14ac:dyDescent="0.4">
      <c r="C26" s="4" t="s">
        <v>353</v>
      </c>
    </row>
    <row r="27" spans="1:9" x14ac:dyDescent="0.25">
      <c r="A27">
        <v>7</v>
      </c>
      <c r="C27" t="s">
        <v>587</v>
      </c>
      <c r="E27">
        <f>9990-7493</f>
        <v>2497</v>
      </c>
      <c r="G27">
        <f>ROUND(G18*(1/30),0)</f>
        <v>3060</v>
      </c>
      <c r="I27" s="79">
        <f>G27-E27</f>
        <v>563</v>
      </c>
    </row>
    <row r="30" spans="1:9" ht="18" x14ac:dyDescent="0.4">
      <c r="C30" s="4" t="s">
        <v>50</v>
      </c>
    </row>
    <row r="31" spans="1:9" x14ac:dyDescent="0.25">
      <c r="C31" t="s">
        <v>663</v>
      </c>
    </row>
    <row r="32" spans="1:9" x14ac:dyDescent="0.25">
      <c r="C32" t="s">
        <v>668</v>
      </c>
    </row>
    <row r="33" spans="3:3" x14ac:dyDescent="0.25">
      <c r="C33" t="s">
        <v>664</v>
      </c>
    </row>
  </sheetData>
  <pageMargins left="0.7" right="0.7" top="0.75" bottom="0.75" header="0.3" footer="0.3"/>
  <pageSetup scale="83" orientation="portrait" horizontalDpi="0" verticalDpi="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workbookViewId="0">
      <selection activeCell="H17" sqref="H17"/>
    </sheetView>
  </sheetViews>
  <sheetFormatPr defaultRowHeight="15.75" x14ac:dyDescent="0.25"/>
  <cols>
    <col min="1" max="1" width="4.625" customWidth="1"/>
    <col min="2" max="2" width="1.375" customWidth="1"/>
    <col min="3" max="3" width="42.75" customWidth="1"/>
    <col min="4" max="4" width="5.5" customWidth="1"/>
    <col min="5" max="5" width="14.125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6.75" customWidth="1"/>
  </cols>
  <sheetData>
    <row r="1" spans="1:10" x14ac:dyDescent="0.25">
      <c r="A1" t="str">
        <f>CL_wRR!A1</f>
        <v>Utilities, Inc. of Florida</v>
      </c>
      <c r="I1" s="37"/>
      <c r="J1" s="33" t="str">
        <f>ExhDR_14_SEM!$E$1</f>
        <v>Docket No. 160101-WS</v>
      </c>
    </row>
    <row r="2" spans="1:10" x14ac:dyDescent="0.25">
      <c r="A2" t="s">
        <v>165</v>
      </c>
      <c r="I2" s="37"/>
      <c r="J2" s="33" t="str">
        <f>ExhDR_14_SEM!$E$2</f>
        <v>Exhibit DMR-14</v>
      </c>
    </row>
    <row r="3" spans="1:10" x14ac:dyDescent="0.25">
      <c r="A3" t="str">
        <f>CL_wRR!A3</f>
        <v>Test Year Ended December 31, 2015</v>
      </c>
      <c r="I3" s="37"/>
      <c r="J3" s="33" t="str">
        <f>ExhDR_14_SEM!$E$3</f>
        <v>Seminole County Revenue Requirement</v>
      </c>
    </row>
    <row r="4" spans="1:10" x14ac:dyDescent="0.25">
      <c r="I4" s="38" t="s">
        <v>437</v>
      </c>
      <c r="J4" s="33" t="str">
        <f>ExhDR_14_SEM!$E$4</f>
        <v>of 11</v>
      </c>
    </row>
    <row r="5" spans="1:10" x14ac:dyDescent="0.25">
      <c r="A5" t="s">
        <v>669</v>
      </c>
      <c r="H5" s="37"/>
      <c r="I5" s="37"/>
    </row>
    <row r="10" spans="1:10" x14ac:dyDescent="0.25">
      <c r="E10" s="1" t="s">
        <v>346</v>
      </c>
      <c r="F10" s="1"/>
      <c r="G10" s="1" t="s">
        <v>348</v>
      </c>
      <c r="H10" s="1"/>
      <c r="I10" s="1"/>
    </row>
    <row r="11" spans="1:10" x14ac:dyDescent="0.25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0" x14ac:dyDescent="0.25">
      <c r="E12" s="7" t="s">
        <v>212</v>
      </c>
      <c r="F12" s="1"/>
      <c r="G12" s="7" t="s">
        <v>213</v>
      </c>
      <c r="H12" s="1"/>
      <c r="I12" s="7" t="s">
        <v>214</v>
      </c>
    </row>
    <row r="13" spans="1:10" x14ac:dyDescent="0.25">
      <c r="C13" s="82" t="s">
        <v>670</v>
      </c>
      <c r="E13" s="7"/>
      <c r="F13" s="1"/>
      <c r="G13" s="7"/>
      <c r="H13" s="1"/>
      <c r="I13" s="7"/>
    </row>
    <row r="14" spans="1:10" ht="18" x14ac:dyDescent="0.4">
      <c r="C14" s="4" t="s">
        <v>350</v>
      </c>
    </row>
    <row r="15" spans="1:10" x14ac:dyDescent="0.25">
      <c r="A15">
        <v>1</v>
      </c>
      <c r="C15" t="s">
        <v>417</v>
      </c>
      <c r="E15">
        <v>53563</v>
      </c>
      <c r="G15">
        <f>ROUND($G$43*(E15/$E$43),0)</f>
        <v>47335</v>
      </c>
      <c r="I15" s="79">
        <f>G15-E15</f>
        <v>-6228</v>
      </c>
    </row>
    <row r="16" spans="1:10" x14ac:dyDescent="0.25">
      <c r="I16" s="26"/>
    </row>
    <row r="17" spans="1:9" ht="18" x14ac:dyDescent="0.4">
      <c r="C17" s="4" t="s">
        <v>351</v>
      </c>
    </row>
    <row r="18" spans="1:9" x14ac:dyDescent="0.25">
      <c r="A18">
        <v>2</v>
      </c>
      <c r="C18" t="s">
        <v>352</v>
      </c>
      <c r="E18" s="26">
        <v>1339</v>
      </c>
      <c r="F18" s="26"/>
      <c r="G18" s="26">
        <f>ROUND(G21/2,0)</f>
        <v>1184</v>
      </c>
      <c r="I18" s="79">
        <f>G18-E18</f>
        <v>-155</v>
      </c>
    </row>
    <row r="20" spans="1:9" ht="18" x14ac:dyDescent="0.4">
      <c r="C20" s="4" t="s">
        <v>353</v>
      </c>
    </row>
    <row r="21" spans="1:9" x14ac:dyDescent="0.25">
      <c r="A21">
        <v>3</v>
      </c>
      <c r="C21" t="s">
        <v>673</v>
      </c>
      <c r="E21">
        <v>2678</v>
      </c>
      <c r="G21">
        <f>ROUND(G15*(1/20),0)</f>
        <v>2367</v>
      </c>
      <c r="I21" s="79">
        <f>G21-E21</f>
        <v>-311</v>
      </c>
    </row>
    <row r="23" spans="1:9" x14ac:dyDescent="0.25">
      <c r="C23" s="82" t="s">
        <v>671</v>
      </c>
      <c r="E23" s="7"/>
      <c r="F23" s="1"/>
      <c r="G23" s="7"/>
      <c r="H23" s="1"/>
      <c r="I23" s="7"/>
    </row>
    <row r="24" spans="1:9" ht="18" x14ac:dyDescent="0.4">
      <c r="C24" s="4" t="s">
        <v>350</v>
      </c>
    </row>
    <row r="25" spans="1:9" x14ac:dyDescent="0.25">
      <c r="A25">
        <v>4</v>
      </c>
      <c r="C25" t="s">
        <v>417</v>
      </c>
      <c r="E25">
        <v>433375</v>
      </c>
      <c r="G25">
        <f>ROUND($G$43*(E25/$E$43),0)</f>
        <v>382983</v>
      </c>
      <c r="I25" s="79">
        <f>G25-E25</f>
        <v>-50392</v>
      </c>
    </row>
    <row r="26" spans="1:9" x14ac:dyDescent="0.25">
      <c r="I26" s="26"/>
    </row>
    <row r="27" spans="1:9" ht="18" x14ac:dyDescent="0.4">
      <c r="C27" s="4" t="s">
        <v>351</v>
      </c>
    </row>
    <row r="28" spans="1:9" x14ac:dyDescent="0.25">
      <c r="A28">
        <v>5</v>
      </c>
      <c r="C28" t="s">
        <v>352</v>
      </c>
      <c r="E28" s="26">
        <v>5851</v>
      </c>
      <c r="F28" s="26"/>
      <c r="G28" s="26">
        <f>ROUND(G31/2,0)</f>
        <v>5176</v>
      </c>
      <c r="I28" s="79">
        <f>G28-E28</f>
        <v>-675</v>
      </c>
    </row>
    <row r="30" spans="1:9" ht="18" x14ac:dyDescent="0.4">
      <c r="C30" s="4" t="s">
        <v>353</v>
      </c>
    </row>
    <row r="31" spans="1:9" x14ac:dyDescent="0.25">
      <c r="A31">
        <v>6</v>
      </c>
      <c r="C31" t="s">
        <v>675</v>
      </c>
      <c r="E31">
        <v>11701</v>
      </c>
      <c r="G31">
        <f>ROUND(G25*(1/37),0)</f>
        <v>10351</v>
      </c>
      <c r="I31" s="79">
        <f>G31-E31</f>
        <v>-1350</v>
      </c>
    </row>
    <row r="32" spans="1:9" x14ac:dyDescent="0.25">
      <c r="C32" s="26"/>
      <c r="D32" s="26"/>
      <c r="E32" s="26"/>
      <c r="F32" s="26"/>
      <c r="G32" s="26"/>
      <c r="H32" s="26"/>
      <c r="I32" s="26"/>
    </row>
    <row r="33" spans="1:9" x14ac:dyDescent="0.25">
      <c r="C33" s="82" t="s">
        <v>672</v>
      </c>
      <c r="D33" s="26"/>
      <c r="E33" s="26"/>
      <c r="F33" s="26"/>
      <c r="G33" s="26"/>
      <c r="H33" s="26"/>
      <c r="I33" s="26"/>
    </row>
    <row r="34" spans="1:9" ht="18" x14ac:dyDescent="0.4">
      <c r="C34" s="4" t="s">
        <v>350</v>
      </c>
    </row>
    <row r="35" spans="1:9" x14ac:dyDescent="0.25">
      <c r="A35">
        <v>7</v>
      </c>
      <c r="C35" t="s">
        <v>417</v>
      </c>
      <c r="E35">
        <v>244062</v>
      </c>
      <c r="G35">
        <f>ROUND($G$43*(E35/$E$43),0)</f>
        <v>215683</v>
      </c>
      <c r="I35" s="79">
        <f>G35-E35</f>
        <v>-28379</v>
      </c>
    </row>
    <row r="36" spans="1:9" x14ac:dyDescent="0.25">
      <c r="I36" s="26"/>
    </row>
    <row r="37" spans="1:9" ht="18" x14ac:dyDescent="0.4">
      <c r="C37" s="4" t="s">
        <v>351</v>
      </c>
    </row>
    <row r="38" spans="1:9" x14ac:dyDescent="0.25">
      <c r="A38">
        <v>8</v>
      </c>
      <c r="C38" t="s">
        <v>352</v>
      </c>
      <c r="E38" s="26">
        <v>2843</v>
      </c>
      <c r="F38" s="26"/>
      <c r="G38" s="26">
        <f>ROUND(G41/2,0)</f>
        <v>2508</v>
      </c>
      <c r="I38" s="79">
        <f>G38-E38</f>
        <v>-335</v>
      </c>
    </row>
    <row r="40" spans="1:9" ht="18" x14ac:dyDescent="0.4">
      <c r="C40" s="4" t="s">
        <v>353</v>
      </c>
    </row>
    <row r="41" spans="1:9" x14ac:dyDescent="0.25">
      <c r="A41">
        <v>9</v>
      </c>
      <c r="C41" t="s">
        <v>403</v>
      </c>
      <c r="E41">
        <v>5687</v>
      </c>
      <c r="G41">
        <f>ROUND(G35*(1/43),0)</f>
        <v>5016</v>
      </c>
      <c r="I41" s="79">
        <f>G41-E41</f>
        <v>-671</v>
      </c>
    </row>
    <row r="42" spans="1:9" x14ac:dyDescent="0.25">
      <c r="C42" s="26"/>
      <c r="D42" s="26"/>
      <c r="E42" s="26"/>
      <c r="F42" s="26"/>
      <c r="G42" s="26"/>
      <c r="H42" s="26"/>
      <c r="I42" s="26"/>
    </row>
    <row r="43" spans="1:9" x14ac:dyDescent="0.25">
      <c r="A43">
        <v>10</v>
      </c>
      <c r="C43" t="s">
        <v>674</v>
      </c>
      <c r="E43">
        <f>E35+E25+E15</f>
        <v>731000</v>
      </c>
      <c r="G43">
        <v>646000</v>
      </c>
      <c r="I43">
        <f>G43-E43</f>
        <v>-85000</v>
      </c>
    </row>
    <row r="45" spans="1:9" ht="18" x14ac:dyDescent="0.4">
      <c r="C45" s="4" t="s">
        <v>50</v>
      </c>
    </row>
    <row r="46" spans="1:9" x14ac:dyDescent="0.25">
      <c r="C46" t="s">
        <v>663</v>
      </c>
    </row>
    <row r="47" spans="1:9" x14ac:dyDescent="0.25">
      <c r="C47" t="s">
        <v>715</v>
      </c>
    </row>
    <row r="48" spans="1:9" x14ac:dyDescent="0.25">
      <c r="C48" t="s">
        <v>714</v>
      </c>
    </row>
  </sheetData>
  <pageMargins left="0.7" right="0.7" top="0.75" bottom="0.75" header="0.3" footer="0.3"/>
  <pageSetup scale="76" orientation="portrait" horizontalDpi="0" verticalDpi="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15"/>
  <sheetViews>
    <sheetView workbookViewId="0">
      <selection activeCell="E5" sqref="E5"/>
    </sheetView>
  </sheetViews>
  <sheetFormatPr defaultRowHeight="15.75" x14ac:dyDescent="0.25"/>
  <cols>
    <col min="1" max="1" width="8.125" customWidth="1"/>
    <col min="2" max="2" width="1.875" customWidth="1"/>
    <col min="3" max="3" width="45.625" customWidth="1"/>
    <col min="4" max="4" width="13.375" customWidth="1"/>
    <col min="5" max="5" width="4.875" customWidth="1"/>
  </cols>
  <sheetData>
    <row r="1" spans="1:5" x14ac:dyDescent="0.25">
      <c r="A1" t="s">
        <v>61</v>
      </c>
      <c r="E1" s="33" t="s">
        <v>64</v>
      </c>
    </row>
    <row r="2" spans="1:5" x14ac:dyDescent="0.25">
      <c r="A2" t="s">
        <v>169</v>
      </c>
      <c r="E2" s="33" t="s">
        <v>170</v>
      </c>
    </row>
    <row r="3" spans="1:5" x14ac:dyDescent="0.25">
      <c r="A3" t="s">
        <v>86</v>
      </c>
      <c r="E3" s="33" t="s">
        <v>171</v>
      </c>
    </row>
    <row r="4" spans="1:5" x14ac:dyDescent="0.25">
      <c r="D4" s="33" t="s">
        <v>67</v>
      </c>
      <c r="E4" s="33" t="s">
        <v>563</v>
      </c>
    </row>
    <row r="5" spans="1:5" x14ac:dyDescent="0.25">
      <c r="A5" t="s">
        <v>63</v>
      </c>
    </row>
    <row r="8" spans="1:5" x14ac:dyDescent="0.25">
      <c r="A8" s="3" t="s">
        <v>84</v>
      </c>
      <c r="B8" s="3"/>
      <c r="C8" s="3" t="s">
        <v>85</v>
      </c>
      <c r="D8" s="3"/>
      <c r="E8" s="3"/>
    </row>
    <row r="9" spans="1:5" x14ac:dyDescent="0.25">
      <c r="A9" s="26"/>
      <c r="B9" s="26"/>
      <c r="C9" s="26"/>
      <c r="D9" s="34"/>
      <c r="E9" s="26"/>
    </row>
    <row r="10" spans="1:5" x14ac:dyDescent="0.25">
      <c r="A10" s="58" t="str">
        <f>OC_wRR!N4</f>
        <v>Page 2</v>
      </c>
      <c r="B10" s="26"/>
      <c r="C10" s="58" t="str">
        <f>OC_wRR!A5</f>
        <v>Calculation of Revenue Requirement - Water</v>
      </c>
      <c r="D10" s="34"/>
      <c r="E10" s="26"/>
    </row>
    <row r="11" spans="1:5" x14ac:dyDescent="0.25">
      <c r="A11" s="26" t="str">
        <f>OC_NOIadj!G4</f>
        <v>Page 3</v>
      </c>
      <c r="B11" s="26"/>
      <c r="C11" s="26" t="str">
        <f>OC_NOIadj!A5</f>
        <v>Schedule of Adjustments to Operating Income</v>
      </c>
      <c r="D11" s="34"/>
      <c r="E11" s="26"/>
    </row>
    <row r="12" spans="1:5" x14ac:dyDescent="0.25">
      <c r="A12" s="26" t="str">
        <f>OC_wRB!I4</f>
        <v>Page 4</v>
      </c>
      <c r="B12" s="26"/>
      <c r="C12" s="26" t="str">
        <f>OC_wRB!A5</f>
        <v>Rate Base - Water</v>
      </c>
      <c r="D12" s="26"/>
      <c r="E12" s="26"/>
    </row>
    <row r="13" spans="1:5" x14ac:dyDescent="0.25">
      <c r="A13" s="26" t="str">
        <f>OC_RBadj!H4</f>
        <v>Page 5</v>
      </c>
      <c r="B13" s="26"/>
      <c r="C13" s="26" t="str">
        <f>OC_RBadj!A5</f>
        <v>Schedule of Adjustments to Rate Base</v>
      </c>
      <c r="D13" s="26"/>
      <c r="E13" s="26"/>
    </row>
    <row r="14" spans="1:5" x14ac:dyDescent="0.25">
      <c r="A14" t="str">
        <f>OC_ROR!Q4</f>
        <v>Page 6</v>
      </c>
      <c r="C14" t="str">
        <f>OC_ROR!A5</f>
        <v>Cost of Capital</v>
      </c>
    </row>
    <row r="15" spans="1:5" x14ac:dyDescent="0.25">
      <c r="A15" t="str">
        <f>OC_Plant!I4</f>
        <v>Page 7</v>
      </c>
      <c r="C15" t="str">
        <f>OC_Plant!A5</f>
        <v>Pro Forma Plant Addition Adjustment</v>
      </c>
    </row>
  </sheetData>
  <pageMargins left="0.7" right="0.7" top="0.75" bottom="0.75" header="0.3" footer="0.3"/>
  <pageSetup orientation="portrait" horizontalDpi="0" verticalDpi="0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C33" sqref="C33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0.375" bestFit="1" customWidth="1"/>
    <col min="5" max="5" width="1.75" customWidth="1"/>
    <col min="6" max="6" width="10.875" customWidth="1"/>
    <col min="7" max="7" width="2.125" customWidth="1"/>
    <col min="8" max="8" width="10.375" bestFit="1" customWidth="1"/>
    <col min="9" max="9" width="1.375" customWidth="1"/>
    <col min="10" max="10" width="10.125" customWidth="1"/>
    <col min="11" max="11" width="1.125" customWidth="1"/>
    <col min="12" max="12" width="11.25" customWidth="1"/>
    <col min="13" max="13" width="1.75" customWidth="1"/>
    <col min="14" max="14" width="10" customWidth="1"/>
    <col min="15" max="15" width="4.5" customWidth="1"/>
  </cols>
  <sheetData>
    <row r="1" spans="1:15" x14ac:dyDescent="0.25">
      <c r="A1" t="s">
        <v>61</v>
      </c>
      <c r="O1" s="33" t="str">
        <f>ExhDR_15_OC!$E$1</f>
        <v>Docket No. 160101-WS</v>
      </c>
    </row>
    <row r="2" spans="1:15" x14ac:dyDescent="0.25">
      <c r="A2" t="s">
        <v>169</v>
      </c>
      <c r="O2" s="33" t="str">
        <f>ExhDR_15_OC!$E$2</f>
        <v>Exhibit DMR-15</v>
      </c>
    </row>
    <row r="3" spans="1:15" x14ac:dyDescent="0.25">
      <c r="A3" t="s">
        <v>63</v>
      </c>
      <c r="O3" s="33" t="str">
        <f>ExhDR_15_OC!$E$3</f>
        <v>Orange County Revenue Requirement</v>
      </c>
    </row>
    <row r="4" spans="1:15" x14ac:dyDescent="0.25">
      <c r="N4" s="33" t="s">
        <v>77</v>
      </c>
      <c r="O4" s="33" t="str">
        <f>ExhDR_15_OC!$E$4</f>
        <v>of 7</v>
      </c>
    </row>
    <row r="5" spans="1:15" x14ac:dyDescent="0.25">
      <c r="A5" t="s">
        <v>69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117092</v>
      </c>
      <c r="F12" s="29">
        <f>OC_NOIadj!E13</f>
        <v>0</v>
      </c>
      <c r="G12" s="6"/>
      <c r="H12">
        <f>SUM(D12:F12)</f>
        <v>117092</v>
      </c>
      <c r="J12">
        <f>((H23*L25)-H21)*1.67888</f>
        <v>238195.38562869141</v>
      </c>
      <c r="L12">
        <f>SUM(H12:J12)</f>
        <v>355287.38562869141</v>
      </c>
      <c r="N12" t="str">
        <f>OC_NOIadj!G4</f>
        <v>Page 3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86917</v>
      </c>
      <c r="F14" s="29">
        <f>OC_NOIadj!E20</f>
        <v>-2346</v>
      </c>
      <c r="H14">
        <f>SUM(D14:F14)</f>
        <v>84571</v>
      </c>
      <c r="L14">
        <f>SUM(H14:J14)</f>
        <v>84571</v>
      </c>
      <c r="N14" t="str">
        <f>N12</f>
        <v>Page 3</v>
      </c>
    </row>
    <row r="15" spans="1:15" x14ac:dyDescent="0.25">
      <c r="A15">
        <v>3</v>
      </c>
      <c r="C15" t="s">
        <v>17</v>
      </c>
      <c r="D15">
        <v>22825</v>
      </c>
      <c r="F15" s="29">
        <f>OC_NOIadj!E26</f>
        <v>26686</v>
      </c>
      <c r="H15">
        <f>SUM(D15:F15)</f>
        <v>49511</v>
      </c>
      <c r="L15">
        <f>SUM(H15:J15)</f>
        <v>49511</v>
      </c>
      <c r="N15" t="str">
        <f>N12</f>
        <v>Page 3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39184</v>
      </c>
      <c r="F17" s="29">
        <f>OC_NOIadj!E30</f>
        <v>0</v>
      </c>
      <c r="H17">
        <f>SUM(D17:F17)</f>
        <v>39184</v>
      </c>
      <c r="J17">
        <f>J12*0.045</f>
        <v>10718.792353291114</v>
      </c>
      <c r="L17">
        <f>SUM(H17:J17)</f>
        <v>49902.792353291115</v>
      </c>
      <c r="N17" t="str">
        <f>N12</f>
        <v>Page 3</v>
      </c>
    </row>
    <row r="18" spans="1:14" x14ac:dyDescent="0.25">
      <c r="A18">
        <v>6</v>
      </c>
      <c r="C18" t="s">
        <v>19</v>
      </c>
      <c r="D18" s="3">
        <v>-34754</v>
      </c>
      <c r="F18" s="29">
        <f>OC_NOIadj!E35</f>
        <v>-9102.1580787599996</v>
      </c>
      <c r="H18" s="3">
        <f>SUM(D18:F18)</f>
        <v>-43856.158078759996</v>
      </c>
      <c r="J18">
        <f>(J12-J17)*0.3763</f>
        <v>85599.442049533129</v>
      </c>
      <c r="L18" s="9">
        <f>SUM(H18:J18)</f>
        <v>41743.283970773133</v>
      </c>
    </row>
    <row r="19" spans="1:14" x14ac:dyDescent="0.25">
      <c r="A19">
        <v>7</v>
      </c>
      <c r="C19" t="s">
        <v>20</v>
      </c>
      <c r="D19">
        <f>SUM(D14:D18)</f>
        <v>114172</v>
      </c>
      <c r="F19" s="29"/>
      <c r="H19" s="5">
        <f>SUM(H14:H18)</f>
        <v>129409.84192124</v>
      </c>
      <c r="L19" s="5">
        <f>SUM(L14:L18)</f>
        <v>225728.07632406426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2920</v>
      </c>
      <c r="F21" s="29"/>
      <c r="H21">
        <f>H12-H19</f>
        <v>-12317.841921240004</v>
      </c>
      <c r="L21">
        <f>H23*L25</f>
        <v>129559.71075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OC_wRB!E23</f>
        <v>1941459</v>
      </c>
      <c r="F23" s="29">
        <f>H23-D23</f>
        <v>-4841.5</v>
      </c>
      <c r="H23">
        <f>OC_wRB!I23</f>
        <v>1936617.5</v>
      </c>
      <c r="L23">
        <f>H23</f>
        <v>1936617.5</v>
      </c>
      <c r="N23" t="str">
        <f>OC_wRB!I4</f>
        <v>Page 4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1.5040235204554925E-3</v>
      </c>
      <c r="F25" s="29"/>
      <c r="L25" s="8">
        <f>OC_ROR!Q20</f>
        <v>6.6900000000000001E-2</v>
      </c>
      <c r="N25" t="str">
        <f>OC_ROR!Q4</f>
        <v>Page 6</v>
      </c>
    </row>
    <row r="26" spans="1:14" x14ac:dyDescent="0.25">
      <c r="H26" s="59"/>
      <c r="L26" s="8"/>
    </row>
    <row r="27" spans="1:14" ht="18" x14ac:dyDescent="0.4">
      <c r="C27" s="4" t="s">
        <v>88</v>
      </c>
      <c r="J27" s="32"/>
    </row>
    <row r="28" spans="1:14" x14ac:dyDescent="0.25">
      <c r="C28" t="s">
        <v>196</v>
      </c>
      <c r="J28" s="29"/>
    </row>
    <row r="29" spans="1:14" x14ac:dyDescent="0.25">
      <c r="L29" s="46"/>
    </row>
  </sheetData>
  <pageMargins left="0.7" right="0.7" top="0.75" bottom="0.75" header="0.3" footer="0.3"/>
  <pageSetup scale="75" orientation="portrait" horizontalDpi="0" verticalDpi="0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opLeftCell="A6" workbookViewId="0">
      <selection activeCell="H34" sqref="H34"/>
    </sheetView>
  </sheetViews>
  <sheetFormatPr defaultRowHeight="15.75" x14ac:dyDescent="0.25"/>
  <cols>
    <col min="1" max="1" width="4.375" customWidth="1"/>
    <col min="2" max="2" width="1.625" customWidth="1"/>
    <col min="3" max="3" width="47.125" customWidth="1"/>
    <col min="4" max="4" width="7.5" customWidth="1"/>
    <col min="5" max="5" width="12.125" customWidth="1"/>
    <col min="6" max="6" width="1.25" customWidth="1"/>
    <col min="7" max="7" width="15.25" customWidth="1"/>
    <col min="8" max="8" width="5.25" customWidth="1"/>
    <col min="9" max="9" width="9.625" bestFit="1" customWidth="1"/>
  </cols>
  <sheetData>
    <row r="1" spans="1:8" x14ac:dyDescent="0.25">
      <c r="A1" t="str">
        <f>CL_wRR!A1</f>
        <v>Utilities, Inc. of Florida</v>
      </c>
      <c r="H1" s="33" t="str">
        <f>ExhDR_15_OC!$E$1</f>
        <v>Docket No. 160101-WS</v>
      </c>
    </row>
    <row r="2" spans="1:8" x14ac:dyDescent="0.25">
      <c r="A2" t="s">
        <v>169</v>
      </c>
      <c r="H2" s="33" t="str">
        <f>ExhDR_15_OC!$E$2</f>
        <v>Exhibit DMR-15</v>
      </c>
    </row>
    <row r="3" spans="1:8" x14ac:dyDescent="0.25">
      <c r="A3" t="str">
        <f>CL_wRR!A3</f>
        <v>Test Year Ended December 31, 2015</v>
      </c>
      <c r="H3" s="33" t="str">
        <f>ExhDR_15_OC!$E$3</f>
        <v>Orange County Revenue Requirement</v>
      </c>
    </row>
    <row r="4" spans="1:8" x14ac:dyDescent="0.25">
      <c r="G4" s="33" t="s">
        <v>80</v>
      </c>
      <c r="H4" s="33" t="str">
        <f>ExhDR_15_OC!$E$4</f>
        <v>of 7</v>
      </c>
    </row>
    <row r="5" spans="1:8" x14ac:dyDescent="0.25">
      <c r="A5" t="s">
        <v>45</v>
      </c>
    </row>
    <row r="8" spans="1:8" x14ac:dyDescent="0.25">
      <c r="A8" t="s">
        <v>0</v>
      </c>
      <c r="G8" s="1"/>
    </row>
    <row r="9" spans="1:8" ht="18" x14ac:dyDescent="0.4">
      <c r="A9" s="3" t="s">
        <v>1</v>
      </c>
      <c r="C9" s="4" t="s">
        <v>2</v>
      </c>
      <c r="E9" s="2" t="s">
        <v>5</v>
      </c>
      <c r="F9" s="34"/>
      <c r="G9" s="4" t="s">
        <v>23</v>
      </c>
    </row>
    <row r="11" spans="1:8" ht="18" x14ac:dyDescent="0.4">
      <c r="C11" s="4" t="s">
        <v>73</v>
      </c>
    </row>
    <row r="12" spans="1:8" x14ac:dyDescent="0.25">
      <c r="A12">
        <v>1</v>
      </c>
    </row>
    <row r="13" spans="1:8" ht="16.5" thickBot="1" x14ac:dyDescent="0.3">
      <c r="A13">
        <v>2</v>
      </c>
      <c r="C13" t="s">
        <v>111</v>
      </c>
      <c r="E13" s="24">
        <f>SUM(E12:E12)</f>
        <v>0</v>
      </c>
      <c r="F13" s="26"/>
    </row>
    <row r="14" spans="1:8" ht="16.5" thickTop="1" x14ac:dyDescent="0.25">
      <c r="A14">
        <v>3</v>
      </c>
    </row>
    <row r="15" spans="1:8" ht="18" x14ac:dyDescent="0.4">
      <c r="A15">
        <v>4</v>
      </c>
      <c r="C15" s="4" t="s">
        <v>49</v>
      </c>
    </row>
    <row r="16" spans="1:8" x14ac:dyDescent="0.25">
      <c r="A16">
        <v>5</v>
      </c>
    </row>
    <row r="17" spans="1:7" x14ac:dyDescent="0.25">
      <c r="A17">
        <v>6</v>
      </c>
      <c r="C17" t="s">
        <v>378</v>
      </c>
      <c r="E17" s="26">
        <f>ROUND(-157903/4*0.0452,0)</f>
        <v>-1784</v>
      </c>
      <c r="F17" s="26"/>
      <c r="G17" t="s">
        <v>379</v>
      </c>
    </row>
    <row r="18" spans="1:7" x14ac:dyDescent="0.25">
      <c r="A18">
        <v>7</v>
      </c>
      <c r="C18" t="s">
        <v>290</v>
      </c>
      <c r="E18" s="5">
        <f>'WSC-Ins'!I24</f>
        <v>-126</v>
      </c>
      <c r="F18" s="5"/>
      <c r="G18" t="str">
        <f>'WSC-Ins'!J2</f>
        <v>Exhibit DMR-19</v>
      </c>
    </row>
    <row r="19" spans="1:7" x14ac:dyDescent="0.25">
      <c r="A19">
        <v>8</v>
      </c>
      <c r="C19" t="s">
        <v>291</v>
      </c>
      <c r="E19" s="5">
        <f>WSCs_Dep!I24</f>
        <v>-436</v>
      </c>
      <c r="F19" s="5"/>
      <c r="G19" t="str">
        <f>WSCs_Dep!J2</f>
        <v>Exhibit DMR-20</v>
      </c>
    </row>
    <row r="20" spans="1:7" ht="16.5" thickBot="1" x14ac:dyDescent="0.3">
      <c r="A20">
        <v>9</v>
      </c>
      <c r="C20" t="s">
        <v>111</v>
      </c>
      <c r="E20" s="24">
        <f>SUM(E16:E19)</f>
        <v>-2346</v>
      </c>
      <c r="F20" s="26"/>
    </row>
    <row r="21" spans="1:7" ht="16.5" thickTop="1" x14ac:dyDescent="0.25">
      <c r="A21">
        <v>10</v>
      </c>
    </row>
    <row r="22" spans="1:7" ht="18" x14ac:dyDescent="0.4">
      <c r="A22">
        <v>11</v>
      </c>
      <c r="C22" s="4" t="s">
        <v>46</v>
      </c>
    </row>
    <row r="23" spans="1:7" x14ac:dyDescent="0.25">
      <c r="A23">
        <v>12</v>
      </c>
      <c r="C23" t="s">
        <v>406</v>
      </c>
    </row>
    <row r="24" spans="1:7" x14ac:dyDescent="0.25">
      <c r="A24">
        <v>13</v>
      </c>
      <c r="C24" s="31" t="s">
        <v>407</v>
      </c>
      <c r="E24">
        <f>OC_Plant!I26</f>
        <v>26817</v>
      </c>
      <c r="G24" t="str">
        <f>OC_Plant!I4</f>
        <v>Page 7</v>
      </c>
    </row>
    <row r="25" spans="1:7" x14ac:dyDescent="0.25">
      <c r="A25">
        <v>14</v>
      </c>
      <c r="C25" t="s">
        <v>630</v>
      </c>
      <c r="E25" s="3">
        <f>GIS_Proj!M22</f>
        <v>-131</v>
      </c>
      <c r="F25" s="26"/>
      <c r="G25" t="str">
        <f>GIS_Proj!O2</f>
        <v>Exhibit DMR-21</v>
      </c>
    </row>
    <row r="26" spans="1:7" ht="16.5" thickBot="1" x14ac:dyDescent="0.3">
      <c r="A26">
        <v>15</v>
      </c>
      <c r="C26" t="s">
        <v>111</v>
      </c>
      <c r="E26" s="24">
        <f>SUM(E23:E25)</f>
        <v>26686</v>
      </c>
      <c r="F26" s="26"/>
    </row>
    <row r="27" spans="1:7" ht="16.5" thickTop="1" x14ac:dyDescent="0.25">
      <c r="A27">
        <v>16</v>
      </c>
    </row>
    <row r="28" spans="1:7" ht="18" x14ac:dyDescent="0.4">
      <c r="A28">
        <v>17</v>
      </c>
      <c r="C28" s="4" t="s">
        <v>60</v>
      </c>
    </row>
    <row r="29" spans="1:7" x14ac:dyDescent="0.25">
      <c r="A29">
        <v>18</v>
      </c>
      <c r="C29" s="40" t="s">
        <v>89</v>
      </c>
      <c r="E29">
        <f>ROUND(E13*0.045,0)</f>
        <v>0</v>
      </c>
    </row>
    <row r="30" spans="1:7" ht="16.5" thickBot="1" x14ac:dyDescent="0.3">
      <c r="A30">
        <v>19</v>
      </c>
      <c r="C30" t="s">
        <v>111</v>
      </c>
      <c r="E30" s="24">
        <f>SUM(E29:E29)</f>
        <v>0</v>
      </c>
    </row>
    <row r="31" spans="1:7" ht="16.5" thickTop="1" x14ac:dyDescent="0.25">
      <c r="A31">
        <v>20</v>
      </c>
    </row>
    <row r="32" spans="1:7" ht="18" x14ac:dyDescent="0.4">
      <c r="A32">
        <v>21</v>
      </c>
      <c r="C32" s="4" t="s">
        <v>79</v>
      </c>
      <c r="F32" s="26"/>
    </row>
    <row r="33" spans="1:9" x14ac:dyDescent="0.25">
      <c r="A33">
        <v>22</v>
      </c>
      <c r="C33" s="40" t="s">
        <v>115</v>
      </c>
      <c r="E33">
        <f>OC_wRB!G23*0.0312*-0.3763</f>
        <v>56.841921240000005</v>
      </c>
    </row>
    <row r="34" spans="1:9" x14ac:dyDescent="0.25">
      <c r="A34">
        <v>23</v>
      </c>
      <c r="C34" s="40" t="s">
        <v>90</v>
      </c>
      <c r="E34">
        <f>ROUND((E13-E20-E26-E30)*0.3763,0)</f>
        <v>-9159</v>
      </c>
      <c r="I34" s="61"/>
    </row>
    <row r="35" spans="1:9" ht="16.5" thickBot="1" x14ac:dyDescent="0.3">
      <c r="A35">
        <v>24</v>
      </c>
      <c r="C35" t="s">
        <v>111</v>
      </c>
      <c r="E35" s="24">
        <f>SUM(E33:E34)</f>
        <v>-9102.1580787599996</v>
      </c>
    </row>
    <row r="36" spans="1:9" ht="16.5" thickTop="1" x14ac:dyDescent="0.25"/>
    <row r="37" spans="1:9" x14ac:dyDescent="0.25">
      <c r="C37" s="6" t="s">
        <v>173</v>
      </c>
      <c r="F37" s="26"/>
    </row>
    <row r="38" spans="1:9" x14ac:dyDescent="0.25">
      <c r="C38" t="s">
        <v>116</v>
      </c>
    </row>
  </sheetData>
  <pageMargins left="0.7" right="0.7" top="0.75" bottom="0.75" header="0.3" footer="0.3"/>
  <pageSetup scale="89" orientation="portrait" horizontalDpi="0" verticalDpi="0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G17" sqref="G17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5.5" customWidth="1"/>
    <col min="5" max="5" width="14.125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4.875" customWidth="1"/>
  </cols>
  <sheetData>
    <row r="1" spans="1:10" x14ac:dyDescent="0.25">
      <c r="A1" t="str">
        <f>CL_wRR!A1</f>
        <v>Utilities, Inc. of Florida</v>
      </c>
      <c r="H1" s="10"/>
      <c r="J1" s="33" t="str">
        <f>ExhDR_15_OC!$E$1</f>
        <v>Docket No. 160101-WS</v>
      </c>
    </row>
    <row r="2" spans="1:10" x14ac:dyDescent="0.25">
      <c r="A2" t="s">
        <v>169</v>
      </c>
      <c r="H2" s="10"/>
      <c r="I2" s="10"/>
      <c r="J2" s="33" t="str">
        <f>ExhDR_15_OC!$E$2</f>
        <v>Exhibit DMR-15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ExhDR_15_OC!$E$3</f>
        <v>Orange County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81</v>
      </c>
      <c r="J4" s="33" t="str">
        <f>ExhDR_15_OC!$E$4</f>
        <v>of 7</v>
      </c>
    </row>
    <row r="5" spans="1:10" x14ac:dyDescent="0.25">
      <c r="A5" s="27" t="s">
        <v>74</v>
      </c>
      <c r="B5" s="10"/>
      <c r="C5" s="10"/>
      <c r="D5" s="10"/>
      <c r="E5" s="10"/>
      <c r="F5" s="10"/>
      <c r="G5" s="10"/>
      <c r="H5" s="10"/>
      <c r="I5" s="10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8" x14ac:dyDescent="0.4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25">
      <c r="A12" s="10">
        <v>1</v>
      </c>
      <c r="B12" s="10"/>
      <c r="C12" s="11" t="s">
        <v>33</v>
      </c>
      <c r="D12" s="10"/>
      <c r="E12" s="10">
        <v>763213</v>
      </c>
      <c r="F12" s="10"/>
      <c r="G12" s="10">
        <f>OC_RBadj!F15</f>
        <v>1152002</v>
      </c>
      <c r="H12" s="10"/>
      <c r="I12" s="10">
        <f>SUM(E12:G12)</f>
        <v>1915215</v>
      </c>
    </row>
    <row r="13" spans="1:10" x14ac:dyDescent="0.25">
      <c r="A13" s="10">
        <v>2</v>
      </c>
      <c r="B13" s="10"/>
      <c r="C13" s="11" t="s">
        <v>34</v>
      </c>
      <c r="D13" s="10"/>
      <c r="E13" s="10">
        <v>73</v>
      </c>
      <c r="F13" s="10"/>
      <c r="G13" s="10"/>
      <c r="H13" s="10"/>
      <c r="I13" s="10">
        <f t="shared" ref="I13:I21" si="0">SUM(E13:G13)</f>
        <v>73</v>
      </c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25">
      <c r="A16" s="10">
        <v>5</v>
      </c>
      <c r="B16" s="10"/>
      <c r="C16" s="11" t="s">
        <v>37</v>
      </c>
      <c r="D16" s="10"/>
      <c r="E16" s="27">
        <v>1166779</v>
      </c>
      <c r="F16" s="10"/>
      <c r="G16" s="10">
        <f>-OC_RBadj!F25</f>
        <v>-1156843.5</v>
      </c>
      <c r="H16" s="10"/>
      <c r="I16" s="10">
        <f t="shared" si="0"/>
        <v>9935.5</v>
      </c>
    </row>
    <row r="17" spans="1:9" x14ac:dyDescent="0.25">
      <c r="A17" s="10">
        <v>6</v>
      </c>
      <c r="B17" s="10"/>
      <c r="C17" s="11" t="s">
        <v>38</v>
      </c>
      <c r="D17" s="10"/>
      <c r="E17" s="10">
        <v>-9937</v>
      </c>
      <c r="F17" s="10"/>
      <c r="G17" s="10"/>
      <c r="H17" s="10"/>
      <c r="I17" s="10">
        <f t="shared" si="0"/>
        <v>-9937</v>
      </c>
    </row>
    <row r="18" spans="1:9" x14ac:dyDescent="0.25">
      <c r="A18" s="10">
        <v>7</v>
      </c>
      <c r="B18" s="10"/>
      <c r="C18" s="11" t="s">
        <v>39</v>
      </c>
      <c r="D18" s="10"/>
      <c r="E18" s="10">
        <v>12404</v>
      </c>
      <c r="F18" s="10"/>
      <c r="G18" s="10"/>
      <c r="H18" s="10"/>
      <c r="I18" s="10">
        <f t="shared" si="0"/>
        <v>12404</v>
      </c>
    </row>
    <row r="19" spans="1:9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25">
      <c r="A21" s="10">
        <v>10</v>
      </c>
      <c r="B21" s="10"/>
      <c r="C21" s="11" t="s">
        <v>40</v>
      </c>
      <c r="D21" s="10"/>
      <c r="E21" s="28">
        <v>8927</v>
      </c>
      <c r="F21" s="10"/>
      <c r="G21" s="17">
        <f>OC_RBadj!F29</f>
        <v>0</v>
      </c>
      <c r="H21" s="10"/>
      <c r="I21" s="17">
        <f t="shared" si="0"/>
        <v>8927</v>
      </c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5" thickBot="1" x14ac:dyDescent="0.3">
      <c r="A23" s="10">
        <v>11</v>
      </c>
      <c r="B23" s="10"/>
      <c r="C23" s="11" t="s">
        <v>41</v>
      </c>
      <c r="D23" s="10"/>
      <c r="E23" s="18">
        <f>SUM(E12:E21)</f>
        <v>1941459</v>
      </c>
      <c r="F23" s="10"/>
      <c r="G23" s="18">
        <f>SUM(G12:G21)</f>
        <v>-4841.5</v>
      </c>
      <c r="H23" s="10"/>
      <c r="I23" s="18">
        <f>SUM(I12:I22)</f>
        <v>1936617.5</v>
      </c>
    </row>
    <row r="24" spans="1:9" ht="16.5" thickTop="1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8" x14ac:dyDescent="0.4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25">
      <c r="A26" s="10"/>
      <c r="B26" s="10"/>
      <c r="C26" s="45" t="s">
        <v>103</v>
      </c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27" t="s">
        <v>112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4" orientation="portrait" horizontalDpi="0" verticalDpi="0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activeCell="F23" sqref="F23"/>
    </sheetView>
  </sheetViews>
  <sheetFormatPr defaultRowHeight="15.75" x14ac:dyDescent="0.25"/>
  <cols>
    <col min="1" max="1" width="4.25" customWidth="1"/>
    <col min="2" max="2" width="1.375" customWidth="1"/>
    <col min="3" max="3" width="35.125" customWidth="1"/>
    <col min="4" max="5" width="7" customWidth="1"/>
    <col min="6" max="6" width="12.25" customWidth="1"/>
    <col min="7" max="7" width="1.125" customWidth="1"/>
    <col min="8" max="8" width="11.125" customWidth="1"/>
    <col min="9" max="9" width="4.5" customWidth="1"/>
  </cols>
  <sheetData>
    <row r="1" spans="1:9" x14ac:dyDescent="0.25">
      <c r="A1" t="str">
        <f>CL_wRR!A1</f>
        <v>Utilities, Inc. of Florida</v>
      </c>
      <c r="I1" s="33" t="str">
        <f>ExhDR_15_OC!$E$1</f>
        <v>Docket No. 160101-WS</v>
      </c>
    </row>
    <row r="2" spans="1:9" x14ac:dyDescent="0.25">
      <c r="A2" t="s">
        <v>169</v>
      </c>
      <c r="I2" s="33" t="str">
        <f>ExhDR_15_OC!$E$2</f>
        <v>Exhibit DMR-15</v>
      </c>
    </row>
    <row r="3" spans="1:9" x14ac:dyDescent="0.25">
      <c r="A3" t="str">
        <f>CL_wRR!A3</f>
        <v>Test Year Ended December 31, 2015</v>
      </c>
      <c r="I3" s="33" t="str">
        <f>ExhDR_15_OC!$E$3</f>
        <v>Orange County Revenue Requirement</v>
      </c>
    </row>
    <row r="4" spans="1:9" x14ac:dyDescent="0.25">
      <c r="H4" s="33" t="s">
        <v>82</v>
      </c>
      <c r="I4" s="33" t="str">
        <f>ExhDR_15_OC!$E$4</f>
        <v>of 7</v>
      </c>
    </row>
    <row r="5" spans="1:9" x14ac:dyDescent="0.25">
      <c r="A5" t="s">
        <v>42</v>
      </c>
    </row>
    <row r="7" spans="1:9" x14ac:dyDescent="0.25">
      <c r="H7" s="1"/>
    </row>
    <row r="8" spans="1:9" x14ac:dyDescent="0.25">
      <c r="A8" t="s">
        <v>0</v>
      </c>
      <c r="H8" s="1"/>
    </row>
    <row r="9" spans="1:9" ht="18" x14ac:dyDescent="0.4">
      <c r="A9" s="3" t="s">
        <v>1</v>
      </c>
      <c r="C9" s="9" t="s">
        <v>2</v>
      </c>
      <c r="F9" s="2" t="s">
        <v>5</v>
      </c>
      <c r="G9" s="34"/>
      <c r="H9" s="4" t="s">
        <v>23</v>
      </c>
    </row>
    <row r="11" spans="1:9" ht="18" x14ac:dyDescent="0.4">
      <c r="C11" s="4" t="s">
        <v>44</v>
      </c>
    </row>
    <row r="12" spans="1:9" x14ac:dyDescent="0.25">
      <c r="A12">
        <v>1</v>
      </c>
      <c r="C12" t="s">
        <v>406</v>
      </c>
    </row>
    <row r="13" spans="1:9" x14ac:dyDescent="0.25">
      <c r="A13">
        <v>2</v>
      </c>
      <c r="C13" s="31" t="s">
        <v>407</v>
      </c>
      <c r="F13" s="19">
        <f>OC_Plant!I17</f>
        <v>1153967</v>
      </c>
      <c r="G13" s="19"/>
      <c r="H13" t="str">
        <f>OC_Plant!I4</f>
        <v>Page 7</v>
      </c>
    </row>
    <row r="14" spans="1:9" x14ac:dyDescent="0.25">
      <c r="A14">
        <v>3</v>
      </c>
      <c r="C14" t="s">
        <v>630</v>
      </c>
      <c r="F14">
        <f>GIS_Proj!I22</f>
        <v>-1965</v>
      </c>
      <c r="H14" t="str">
        <f>GIS_Proj!O2</f>
        <v>Exhibit DMR-21</v>
      </c>
    </row>
    <row r="15" spans="1:9" ht="16.5" thickBot="1" x14ac:dyDescent="0.3">
      <c r="A15">
        <v>4</v>
      </c>
      <c r="C15" t="s">
        <v>48</v>
      </c>
      <c r="F15" s="24">
        <f>SUM(F12:F14)</f>
        <v>1152002</v>
      </c>
      <c r="G15" s="26"/>
    </row>
    <row r="16" spans="1:9" ht="16.5" thickTop="1" x14ac:dyDescent="0.25">
      <c r="A16">
        <v>5</v>
      </c>
      <c r="B16" s="19"/>
      <c r="C16" s="19"/>
      <c r="D16" s="19"/>
      <c r="E16" s="19"/>
      <c r="F16" s="19"/>
      <c r="G16" s="19"/>
    </row>
    <row r="17" spans="1:8" ht="18" x14ac:dyDescent="0.4">
      <c r="A17">
        <v>6</v>
      </c>
      <c r="B17" s="19"/>
      <c r="C17" s="21" t="s">
        <v>58</v>
      </c>
      <c r="D17" s="19"/>
      <c r="E17" s="19"/>
      <c r="F17" s="19"/>
      <c r="G17" s="19"/>
    </row>
    <row r="18" spans="1:8" x14ac:dyDescent="0.25">
      <c r="A18">
        <v>7</v>
      </c>
      <c r="B18" s="19"/>
      <c r="D18" s="19"/>
      <c r="E18" s="19"/>
      <c r="F18" s="22"/>
      <c r="G18" s="39"/>
    </row>
    <row r="19" spans="1:8" ht="16.5" thickBot="1" x14ac:dyDescent="0.3">
      <c r="A19">
        <v>8</v>
      </c>
      <c r="B19" s="19"/>
      <c r="C19" t="s">
        <v>59</v>
      </c>
      <c r="D19" s="19"/>
      <c r="E19" s="19"/>
      <c r="F19" s="23">
        <f>SUM(F18:F18)</f>
        <v>0</v>
      </c>
      <c r="G19" s="39"/>
    </row>
    <row r="20" spans="1:8" ht="16.5" thickTop="1" x14ac:dyDescent="0.25">
      <c r="A20">
        <v>9</v>
      </c>
      <c r="B20" s="19"/>
      <c r="C20" s="19"/>
      <c r="D20" s="19"/>
      <c r="E20" s="19"/>
      <c r="F20" s="19"/>
      <c r="G20" s="19"/>
    </row>
    <row r="21" spans="1:8" ht="18" x14ac:dyDescent="0.4">
      <c r="A21">
        <v>10</v>
      </c>
      <c r="B21" s="19"/>
      <c r="C21" s="21" t="s">
        <v>43</v>
      </c>
      <c r="D21" s="19"/>
      <c r="E21" s="19"/>
      <c r="F21" s="19"/>
      <c r="G21" s="19"/>
    </row>
    <row r="22" spans="1:8" x14ac:dyDescent="0.25">
      <c r="A22">
        <v>11</v>
      </c>
      <c r="B22" s="19"/>
      <c r="C22" t="s">
        <v>406</v>
      </c>
      <c r="D22" s="19"/>
      <c r="E22" s="19"/>
      <c r="F22" s="19"/>
      <c r="G22" s="19"/>
    </row>
    <row r="23" spans="1:8" x14ac:dyDescent="0.25">
      <c r="A23">
        <v>12</v>
      </c>
      <c r="B23" s="19"/>
      <c r="C23" s="31" t="s">
        <v>407</v>
      </c>
      <c r="D23" s="19"/>
      <c r="E23" s="19"/>
      <c r="F23" s="19">
        <f>OC_Plant!I23</f>
        <v>1156909</v>
      </c>
      <c r="G23" s="19"/>
      <c r="H23" t="str">
        <f>OC_Plant!I4</f>
        <v>Page 7</v>
      </c>
    </row>
    <row r="24" spans="1:8" x14ac:dyDescent="0.25">
      <c r="A24">
        <v>13</v>
      </c>
      <c r="B24" s="19"/>
      <c r="C24" t="s">
        <v>630</v>
      </c>
      <c r="D24" s="19"/>
      <c r="E24" s="19"/>
      <c r="F24" s="19">
        <f>OC_NOIadj!E25*0.5</f>
        <v>-65.5</v>
      </c>
      <c r="G24" s="19"/>
    </row>
    <row r="25" spans="1:8" ht="16.5" thickBot="1" x14ac:dyDescent="0.3">
      <c r="A25">
        <v>14</v>
      </c>
      <c r="B25" s="19"/>
      <c r="C25" s="20" t="s">
        <v>47</v>
      </c>
      <c r="D25" s="19"/>
      <c r="E25" s="19"/>
      <c r="F25" s="23">
        <f>SUM(F22:F24)</f>
        <v>1156843.5</v>
      </c>
      <c r="G25" s="39"/>
    </row>
    <row r="26" spans="1:8" ht="16.5" thickTop="1" x14ac:dyDescent="0.25">
      <c r="A26">
        <v>15</v>
      </c>
      <c r="B26" s="19"/>
      <c r="C26" s="20"/>
      <c r="D26" s="19"/>
      <c r="E26" s="19"/>
      <c r="F26" s="19"/>
      <c r="G26" s="19"/>
    </row>
    <row r="27" spans="1:8" ht="18" x14ac:dyDescent="0.4">
      <c r="A27">
        <v>16</v>
      </c>
      <c r="B27" s="19"/>
      <c r="C27" s="21" t="s">
        <v>51</v>
      </c>
      <c r="D27" s="19"/>
      <c r="E27" s="19"/>
      <c r="F27" s="19"/>
      <c r="G27" s="19"/>
    </row>
    <row r="28" spans="1:8" x14ac:dyDescent="0.25">
      <c r="A28">
        <v>17</v>
      </c>
      <c r="B28" s="19"/>
      <c r="C28" s="19"/>
      <c r="D28" s="19"/>
      <c r="E28" s="19"/>
      <c r="F28" s="22"/>
      <c r="G28" s="39"/>
    </row>
    <row r="29" spans="1:8" ht="16.5" thickBot="1" x14ac:dyDescent="0.3">
      <c r="A29">
        <v>18</v>
      </c>
      <c r="B29" s="19"/>
      <c r="C29" s="20" t="s">
        <v>52</v>
      </c>
      <c r="D29" s="19"/>
      <c r="E29" s="19"/>
      <c r="F29" s="23">
        <f>SUM(F28:F28)</f>
        <v>0</v>
      </c>
      <c r="G29" s="39"/>
    </row>
    <row r="30" spans="1:8" ht="16.5" thickTop="1" x14ac:dyDescent="0.25">
      <c r="A30" s="19"/>
      <c r="B30" s="19"/>
      <c r="C30" s="19"/>
      <c r="D30" s="19"/>
      <c r="E30" s="19"/>
      <c r="F30" s="19"/>
      <c r="G30" s="19"/>
      <c r="H30" s="19"/>
    </row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F32" sqref="F32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0.375" bestFit="1" customWidth="1"/>
    <col min="5" max="5" width="1.75" customWidth="1"/>
    <col min="6" max="6" width="10.875" customWidth="1"/>
    <col min="7" max="7" width="2.125" customWidth="1"/>
    <col min="8" max="8" width="10.375" bestFit="1" customWidth="1"/>
    <col min="9" max="9" width="1.375" customWidth="1"/>
    <col min="10" max="10" width="10.125" customWidth="1"/>
    <col min="11" max="11" width="1.125" customWidth="1"/>
    <col min="12" max="12" width="11.25" customWidth="1"/>
    <col min="13" max="13" width="1.75" customWidth="1"/>
    <col min="14" max="14" width="10" customWidth="1"/>
    <col min="15" max="15" width="5.125" customWidth="1"/>
  </cols>
  <sheetData>
    <row r="1" spans="1:15" x14ac:dyDescent="0.25">
      <c r="A1" t="s">
        <v>61</v>
      </c>
      <c r="O1" s="33" t="str">
        <f>ExhDR4_ER_TOC!$E$1</f>
        <v>Docket No. 160101-WS</v>
      </c>
    </row>
    <row r="2" spans="1:15" x14ac:dyDescent="0.25">
      <c r="A2" t="s">
        <v>109</v>
      </c>
      <c r="O2" s="33" t="str">
        <f>ExhDR4_ER_TOC!$E$2</f>
        <v>Exhibit DMR-4</v>
      </c>
    </row>
    <row r="3" spans="1:15" x14ac:dyDescent="0.25">
      <c r="A3" t="s">
        <v>63</v>
      </c>
      <c r="O3" s="33" t="str">
        <f>ExhDR4_ER_TOC!$E$3</f>
        <v>Eagle Ridge Revenue Requirement</v>
      </c>
    </row>
    <row r="4" spans="1:15" x14ac:dyDescent="0.25">
      <c r="N4" s="33" t="s">
        <v>77</v>
      </c>
      <c r="O4" s="33" t="str">
        <f>ExhDR4_ER_TOC!$E$4</f>
        <v>of 7</v>
      </c>
    </row>
    <row r="5" spans="1:15" x14ac:dyDescent="0.25">
      <c r="A5" t="s">
        <v>76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297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1169230</v>
      </c>
      <c r="F12" s="29">
        <f>ER_NOIadj!E13</f>
        <v>0</v>
      </c>
      <c r="G12" s="6"/>
      <c r="H12">
        <f>SUM(D12:F12)</f>
        <v>1169230</v>
      </c>
      <c r="J12">
        <f>((H23*L25)-H21)*1.67888</f>
        <v>-23060.725990657596</v>
      </c>
      <c r="L12">
        <f>SUM(H12:J12)</f>
        <v>1146169.2740093423</v>
      </c>
      <c r="N12" t="str">
        <f>ER_NOIadj!G4</f>
        <v>Page 3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662260</v>
      </c>
      <c r="F14" s="29">
        <f>ER_NOIadj!E22</f>
        <v>-38944</v>
      </c>
      <c r="H14">
        <f>SUM(D14:F14)</f>
        <v>623316</v>
      </c>
      <c r="L14">
        <f>SUM(H14:J14)</f>
        <v>623316</v>
      </c>
      <c r="N14" t="str">
        <f>N12</f>
        <v>Page 3</v>
      </c>
    </row>
    <row r="15" spans="1:15" x14ac:dyDescent="0.25">
      <c r="A15">
        <v>3</v>
      </c>
      <c r="C15" t="s">
        <v>17</v>
      </c>
      <c r="D15">
        <v>181767</v>
      </c>
      <c r="F15" s="29">
        <f>ER_NOIadj!E28</f>
        <v>357</v>
      </c>
      <c r="H15">
        <f>SUM(D15:F15)</f>
        <v>182124</v>
      </c>
      <c r="L15">
        <f>SUM(H15:J15)</f>
        <v>182124</v>
      </c>
      <c r="N15" t="str">
        <f>N12</f>
        <v>Page 3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80960</v>
      </c>
      <c r="F17" s="29">
        <f>ER_NOIadj!E33</f>
        <v>-4328</v>
      </c>
      <c r="H17">
        <f>SUM(D17:F17)</f>
        <v>76632</v>
      </c>
      <c r="J17">
        <f>J12*0.045</f>
        <v>-1037.7326695795919</v>
      </c>
      <c r="L17">
        <f>SUM(H17:J17)</f>
        <v>75594.267330420407</v>
      </c>
      <c r="N17" t="str">
        <f>N12</f>
        <v>Page 3</v>
      </c>
    </row>
    <row r="18" spans="1:14" x14ac:dyDescent="0.25">
      <c r="A18">
        <v>6</v>
      </c>
      <c r="C18" t="s">
        <v>19</v>
      </c>
      <c r="D18" s="3">
        <v>59545</v>
      </c>
      <c r="F18" s="29">
        <f>ER_NOIadj!E38</f>
        <v>19774.512999980001</v>
      </c>
      <c r="H18" s="3">
        <f>SUM(D18:F18)</f>
        <v>79319.512999979997</v>
      </c>
      <c r="J18">
        <f>(J12-J17)*0.3763</f>
        <v>-8287.2523867216532</v>
      </c>
      <c r="L18" s="9">
        <f>SUM(H18:J18)</f>
        <v>71032.260613258346</v>
      </c>
    </row>
    <row r="19" spans="1:14" x14ac:dyDescent="0.25">
      <c r="A19">
        <v>7</v>
      </c>
      <c r="C19" t="s">
        <v>20</v>
      </c>
      <c r="D19">
        <f>SUM(D14:D18)</f>
        <v>984532</v>
      </c>
      <c r="F19" s="29"/>
      <c r="H19" s="5">
        <f>SUM(H14:H18)</f>
        <v>961391.51299998001</v>
      </c>
      <c r="L19" s="5">
        <f>SUM(L14:L18)</f>
        <v>952066.52794367878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184698</v>
      </c>
      <c r="F21" s="29"/>
      <c r="H21">
        <f>H12-H19</f>
        <v>207838.48700001999</v>
      </c>
      <c r="L21">
        <f>H23*L25</f>
        <v>194102.70719999998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ER_wwRB!E23</f>
        <v>3140461</v>
      </c>
      <c r="F23" s="29">
        <f>H23-D23</f>
        <v>-351629</v>
      </c>
      <c r="H23">
        <f>ER_wwRB!I23</f>
        <v>2788832</v>
      </c>
      <c r="L23">
        <f>H23</f>
        <v>2788832</v>
      </c>
      <c r="N23" t="str">
        <f>ER_wwRB!I4</f>
        <v>Page 4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5.8812384551185322E-2</v>
      </c>
      <c r="F25" s="29"/>
      <c r="L25" s="8">
        <f>ER_ROR!Q20</f>
        <v>6.9599999999999995E-2</v>
      </c>
      <c r="N25" t="str">
        <f>ER_ROR!Q4</f>
        <v>Page 6</v>
      </c>
    </row>
    <row r="26" spans="1:14" x14ac:dyDescent="0.25">
      <c r="L26" s="8"/>
    </row>
    <row r="27" spans="1:14" ht="18" x14ac:dyDescent="0.4">
      <c r="C27" s="4" t="s">
        <v>88</v>
      </c>
      <c r="J27" s="32"/>
      <c r="L27" s="8"/>
    </row>
    <row r="28" spans="1:14" x14ac:dyDescent="0.25">
      <c r="C28" t="s">
        <v>196</v>
      </c>
      <c r="J28" s="29"/>
    </row>
    <row r="29" spans="1:14" x14ac:dyDescent="0.25">
      <c r="L29" s="46"/>
    </row>
  </sheetData>
  <pageMargins left="0.7" right="0.7" top="0.75" bottom="0.75" header="0.3" footer="0.3"/>
  <pageSetup scale="75" orientation="portrait" horizontalDpi="0" verticalDpi="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workbookViewId="0">
      <selection activeCell="I19" sqref="I19"/>
    </sheetView>
  </sheetViews>
  <sheetFormatPr defaultRowHeight="15.75" x14ac:dyDescent="0.25"/>
  <cols>
    <col min="1" max="1" width="4.25" customWidth="1"/>
    <col min="2" max="2" width="1.375" customWidth="1"/>
    <col min="3" max="3" width="20.5" customWidth="1"/>
    <col min="4" max="4" width="1.125" customWidth="1"/>
    <col min="5" max="5" width="10.875" customWidth="1"/>
    <col min="6" max="6" width="1.125" customWidth="1"/>
    <col min="7" max="7" width="9.625" customWidth="1"/>
    <col min="8" max="8" width="1.125" customWidth="1"/>
    <col min="9" max="9" width="10.625" customWidth="1"/>
    <col min="10" max="10" width="0.75" customWidth="1"/>
    <col min="11" max="11" width="11.125" customWidth="1"/>
    <col min="12" max="12" width="0.75" customWidth="1"/>
    <col min="13" max="13" width="9.625" customWidth="1"/>
    <col min="14" max="14" width="0.75" customWidth="1"/>
    <col min="15" max="15" width="9.75" customWidth="1"/>
    <col min="16" max="16" width="0.75" customWidth="1"/>
    <col min="17" max="17" width="10" customWidth="1"/>
    <col min="18" max="18" width="4.5" customWidth="1"/>
  </cols>
  <sheetData>
    <row r="1" spans="1:18" x14ac:dyDescent="0.25">
      <c r="A1" t="str">
        <f>CL_wRR!A1</f>
        <v>Utilities, Inc. of Florida</v>
      </c>
      <c r="R1" s="33" t="str">
        <f>ExhDR_15_OC!$E$1</f>
        <v>Docket No. 160101-WS</v>
      </c>
    </row>
    <row r="2" spans="1:18" x14ac:dyDescent="0.25">
      <c r="A2" t="s">
        <v>169</v>
      </c>
      <c r="R2" s="33" t="str">
        <f>ExhDR_15_OC!$E$2</f>
        <v>Exhibit DMR-15</v>
      </c>
    </row>
    <row r="3" spans="1:18" x14ac:dyDescent="0.25">
      <c r="A3" t="str">
        <f>CL_wRR!A3</f>
        <v>Test Year Ended December 31, 2015</v>
      </c>
      <c r="R3" s="33" t="str">
        <f>ExhDR_15_OC!$E$3</f>
        <v>Orange County Revenue Requirement</v>
      </c>
    </row>
    <row r="4" spans="1:18" x14ac:dyDescent="0.25">
      <c r="Q4" s="33" t="s">
        <v>83</v>
      </c>
      <c r="R4" s="33" t="str">
        <f>ExhDR_15_OC!$E$4</f>
        <v>of 7</v>
      </c>
    </row>
    <row r="5" spans="1:18" x14ac:dyDescent="0.25">
      <c r="A5" t="s">
        <v>199</v>
      </c>
    </row>
    <row r="8" spans="1:18" x14ac:dyDescent="0.25">
      <c r="Q8" s="1" t="s">
        <v>8</v>
      </c>
    </row>
    <row r="9" spans="1:18" x14ac:dyDescent="0.25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8" x14ac:dyDescent="0.4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25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25">
      <c r="A13">
        <v>1</v>
      </c>
      <c r="C13" t="s">
        <v>206</v>
      </c>
      <c r="E13">
        <v>874119</v>
      </c>
      <c r="G13" s="64">
        <f>E13/$E$20</f>
        <v>0.45023796524265242</v>
      </c>
      <c r="I13">
        <f>K13-E13</f>
        <v>-153321.53161142359</v>
      </c>
      <c r="K13">
        <f>($K$20-$K$16-$K$17-$K$18)*(E13/SUM($E$13:$E$15))</f>
        <v>720797.46838857641</v>
      </c>
      <c r="M13" s="64">
        <f>K13/$K$20</f>
        <v>0.37219402819016995</v>
      </c>
      <c r="O13" s="64">
        <v>6.7000000000000004E-2</v>
      </c>
      <c r="P13" s="8"/>
      <c r="Q13" s="64">
        <f>M13*O13</f>
        <v>2.4936999888741387E-2</v>
      </c>
    </row>
    <row r="14" spans="1:18" x14ac:dyDescent="0.25">
      <c r="A14">
        <v>2</v>
      </c>
      <c r="C14" t="s">
        <v>207</v>
      </c>
      <c r="E14">
        <v>83016</v>
      </c>
      <c r="G14" s="64">
        <f t="shared" ref="G14:G18" si="0">E14/$E$20</f>
        <v>4.275957269271579E-2</v>
      </c>
      <c r="I14">
        <f t="shared" ref="I14:I15" si="1">K14-E14</f>
        <v>-14561.106975427771</v>
      </c>
      <c r="K14">
        <f t="shared" ref="K14:K15" si="2">($K$20-$K$16-$K$17-$K$18)*(E14/SUM($E$13:$E$15))</f>
        <v>68454.893024572229</v>
      </c>
      <c r="M14" s="64">
        <f t="shared" ref="M14:M18" si="3">K14/$K$20</f>
        <v>3.5347657978187341E-2</v>
      </c>
      <c r="O14" s="8">
        <v>2.3199999999999998E-2</v>
      </c>
      <c r="P14" s="8"/>
      <c r="Q14" s="64">
        <f t="shared" ref="Q14:Q18" si="4">M14*O14</f>
        <v>8.2006566509394631E-4</v>
      </c>
    </row>
    <row r="15" spans="1:18" x14ac:dyDescent="0.25">
      <c r="A15">
        <v>3</v>
      </c>
      <c r="C15" t="s">
        <v>208</v>
      </c>
      <c r="E15">
        <v>929588</v>
      </c>
      <c r="G15" s="64">
        <f t="shared" si="0"/>
        <v>0.47880873157314596</v>
      </c>
      <c r="I15">
        <f t="shared" si="1"/>
        <v>-163050.86141314858</v>
      </c>
      <c r="K15">
        <f t="shared" si="2"/>
        <v>766537.13858685142</v>
      </c>
      <c r="M15" s="64">
        <f t="shared" si="3"/>
        <v>0.3958123576735475</v>
      </c>
      <c r="O15" s="8">
        <v>0.104</v>
      </c>
      <c r="P15" s="8"/>
      <c r="Q15" s="64">
        <f t="shared" si="4"/>
        <v>4.1164485198048939E-2</v>
      </c>
    </row>
    <row r="16" spans="1:18" x14ac:dyDescent="0.25">
      <c r="A16">
        <v>4</v>
      </c>
      <c r="C16" t="s">
        <v>209</v>
      </c>
      <c r="E16">
        <v>1693</v>
      </c>
      <c r="G16" s="64">
        <f t="shared" si="0"/>
        <v>8.7202414677613757E-4</v>
      </c>
      <c r="K16">
        <f>E16+I16</f>
        <v>1693</v>
      </c>
      <c r="M16" s="64">
        <f t="shared" si="3"/>
        <v>8.7420463772531229E-4</v>
      </c>
      <c r="O16" s="8">
        <v>0.02</v>
      </c>
      <c r="P16" s="8"/>
      <c r="Q16" s="64">
        <f t="shared" si="4"/>
        <v>1.7484092754506245E-5</v>
      </c>
    </row>
    <row r="17" spans="1:17" x14ac:dyDescent="0.25">
      <c r="A17">
        <v>5</v>
      </c>
      <c r="C17" t="s">
        <v>210</v>
      </c>
      <c r="E17">
        <v>2584</v>
      </c>
      <c r="G17" s="64">
        <f t="shared" si="0"/>
        <v>1.3309571147486943E-3</v>
      </c>
      <c r="K17">
        <f>E17+I17</f>
        <v>2584</v>
      </c>
      <c r="M17" s="64">
        <f t="shared" si="3"/>
        <v>1.3342851647266433E-3</v>
      </c>
      <c r="O17" s="8">
        <v>0</v>
      </c>
      <c r="P17" s="8"/>
      <c r="Q17" s="64">
        <f t="shared" si="4"/>
        <v>0</v>
      </c>
    </row>
    <row r="18" spans="1:17" x14ac:dyDescent="0.25">
      <c r="A18">
        <v>6</v>
      </c>
      <c r="C18" t="s">
        <v>211</v>
      </c>
      <c r="E18" s="3">
        <v>50460</v>
      </c>
      <c r="G18" s="68">
        <f t="shared" si="0"/>
        <v>2.5990749229960957E-2</v>
      </c>
      <c r="I18">
        <v>326091</v>
      </c>
      <c r="K18" s="3">
        <f>E18+I18</f>
        <v>376551</v>
      </c>
      <c r="M18" s="68">
        <f t="shared" si="3"/>
        <v>0.19443746635564327</v>
      </c>
      <c r="O18" s="8">
        <v>0</v>
      </c>
      <c r="P18" s="8"/>
      <c r="Q18" s="68">
        <f t="shared" si="4"/>
        <v>0</v>
      </c>
    </row>
    <row r="20" spans="1:17" ht="16.5" thickBot="1" x14ac:dyDescent="0.3">
      <c r="A20">
        <v>7</v>
      </c>
      <c r="C20" t="s">
        <v>189</v>
      </c>
      <c r="E20">
        <f>SUM(E13:E19)</f>
        <v>1941460</v>
      </c>
      <c r="G20" s="8">
        <f>SUM(G13:G19)</f>
        <v>0.99999999999999989</v>
      </c>
      <c r="K20">
        <f>OC_wRB!I23</f>
        <v>1936617.5</v>
      </c>
      <c r="M20" s="8">
        <f>SUM(M13:M19)</f>
        <v>1</v>
      </c>
      <c r="Q20" s="71">
        <f>ROUND(SUM(Q13:Q19),4)</f>
        <v>6.6900000000000001E-2</v>
      </c>
    </row>
    <row r="21" spans="1:17" ht="16.5" thickTop="1" x14ac:dyDescent="0.25"/>
    <row r="22" spans="1:17" ht="18" x14ac:dyDescent="0.4">
      <c r="C22" s="4" t="s">
        <v>50</v>
      </c>
    </row>
    <row r="23" spans="1:17" x14ac:dyDescent="0.25">
      <c r="C23" t="s">
        <v>217</v>
      </c>
    </row>
    <row r="24" spans="1:17" x14ac:dyDescent="0.25">
      <c r="C24" t="s">
        <v>220</v>
      </c>
    </row>
    <row r="25" spans="1:17" x14ac:dyDescent="0.25">
      <c r="C25" t="s">
        <v>399</v>
      </c>
    </row>
  </sheetData>
  <pageMargins left="0.7" right="0.7" top="0.75" bottom="0.75" header="0.3" footer="0.3"/>
  <pageSetup scale="78" orientation="portrait" horizontalDpi="0" verticalDpi="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opLeftCell="A2" workbookViewId="0">
      <selection activeCell="D34" sqref="D34"/>
    </sheetView>
  </sheetViews>
  <sheetFormatPr defaultRowHeight="15.75" x14ac:dyDescent="0.25"/>
  <cols>
    <col min="1" max="1" width="4.625" customWidth="1"/>
    <col min="2" max="2" width="1.375" customWidth="1"/>
    <col min="3" max="3" width="42.75" customWidth="1"/>
    <col min="4" max="4" width="5.5" customWidth="1"/>
    <col min="5" max="5" width="14.125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5.375" customWidth="1"/>
  </cols>
  <sheetData>
    <row r="1" spans="1:10" x14ac:dyDescent="0.25">
      <c r="A1" t="str">
        <f>CL_wRR!A1</f>
        <v>Utilities, Inc. of Florida</v>
      </c>
      <c r="J1" s="33" t="str">
        <f>ExhDR_15_OC!$E$1</f>
        <v>Docket No. 160101-WS</v>
      </c>
    </row>
    <row r="2" spans="1:10" x14ac:dyDescent="0.25">
      <c r="A2" t="s">
        <v>169</v>
      </c>
      <c r="J2" s="33" t="str">
        <f>ExhDR_15_OC!$E$2</f>
        <v>Exhibit DMR-15</v>
      </c>
    </row>
    <row r="3" spans="1:10" x14ac:dyDescent="0.25">
      <c r="A3" t="str">
        <f>CL_wRR!A3</f>
        <v>Test Year Ended December 31, 2015</v>
      </c>
      <c r="J3" s="33" t="str">
        <f>ExhDR_15_OC!$E$3</f>
        <v>Orange County Revenue Requirement</v>
      </c>
    </row>
    <row r="4" spans="1:10" x14ac:dyDescent="0.25">
      <c r="I4" s="33" t="s">
        <v>87</v>
      </c>
      <c r="J4" s="33" t="str">
        <f>ExhDR_15_OC!$E$4</f>
        <v>of 7</v>
      </c>
    </row>
    <row r="5" spans="1:10" x14ac:dyDescent="0.25">
      <c r="A5" s="27" t="s">
        <v>355</v>
      </c>
      <c r="B5" s="10"/>
      <c r="C5" s="10"/>
      <c r="D5" s="10"/>
      <c r="E5" s="10"/>
      <c r="F5" s="10"/>
      <c r="G5" s="10"/>
      <c r="H5" s="10"/>
      <c r="I5" s="10"/>
    </row>
    <row r="10" spans="1:10" x14ac:dyDescent="0.25">
      <c r="E10" s="1" t="s">
        <v>346</v>
      </c>
      <c r="F10" s="1"/>
      <c r="G10" s="1" t="s">
        <v>348</v>
      </c>
      <c r="H10" s="1"/>
      <c r="I10" s="1"/>
    </row>
    <row r="11" spans="1:10" x14ac:dyDescent="0.25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0" x14ac:dyDescent="0.25">
      <c r="E12" s="7" t="s">
        <v>212</v>
      </c>
      <c r="F12" s="1"/>
      <c r="G12" s="7" t="s">
        <v>213</v>
      </c>
      <c r="H12" s="1"/>
      <c r="I12" s="7" t="s">
        <v>214</v>
      </c>
    </row>
    <row r="13" spans="1:10" ht="18" x14ac:dyDescent="0.4">
      <c r="C13" s="4" t="s">
        <v>350</v>
      </c>
    </row>
    <row r="14" spans="1:10" x14ac:dyDescent="0.25">
      <c r="A14">
        <v>1</v>
      </c>
      <c r="C14" t="s">
        <v>400</v>
      </c>
      <c r="E14">
        <v>1811360</v>
      </c>
      <c r="G14">
        <v>1806000</v>
      </c>
    </row>
    <row r="15" spans="1:10" x14ac:dyDescent="0.25">
      <c r="A15">
        <v>2</v>
      </c>
      <c r="C15" t="s">
        <v>401</v>
      </c>
      <c r="E15" s="3">
        <f>-E14*0.75</f>
        <v>-1358520</v>
      </c>
      <c r="G15" s="3">
        <f>(-495494+296301)</f>
        <v>-199193</v>
      </c>
    </row>
    <row r="17" spans="1:9" x14ac:dyDescent="0.25">
      <c r="A17">
        <v>3</v>
      </c>
      <c r="C17" t="s">
        <v>354</v>
      </c>
      <c r="E17">
        <f>SUM(E14:E15)</f>
        <v>452840</v>
      </c>
      <c r="G17">
        <f>SUM(G14:G15)</f>
        <v>1606807</v>
      </c>
      <c r="I17" s="79">
        <f>G17-E17</f>
        <v>1153967</v>
      </c>
    </row>
    <row r="19" spans="1:9" ht="18" x14ac:dyDescent="0.4">
      <c r="C19" s="4" t="s">
        <v>351</v>
      </c>
    </row>
    <row r="20" spans="1:9" x14ac:dyDescent="0.25">
      <c r="A20">
        <v>4</v>
      </c>
      <c r="C20" t="s">
        <v>404</v>
      </c>
      <c r="E20">
        <f>E15</f>
        <v>-1358520</v>
      </c>
      <c r="G20">
        <f>G15</f>
        <v>-199193</v>
      </c>
    </row>
    <row r="21" spans="1:9" x14ac:dyDescent="0.25">
      <c r="A21">
        <v>5</v>
      </c>
      <c r="C21" t="s">
        <v>352</v>
      </c>
      <c r="E21" s="3">
        <v>21102</v>
      </c>
      <c r="G21" s="3">
        <f>ROUND(G26/2,0)</f>
        <v>18684</v>
      </c>
    </row>
    <row r="23" spans="1:9" x14ac:dyDescent="0.25">
      <c r="A23">
        <v>6</v>
      </c>
      <c r="C23" t="s">
        <v>356</v>
      </c>
      <c r="E23">
        <f>SUM(E20:E22)</f>
        <v>-1337418</v>
      </c>
      <c r="G23">
        <f>SUM(G20:G22)</f>
        <v>-180509</v>
      </c>
      <c r="I23" s="79">
        <f>G23-E23</f>
        <v>1156909</v>
      </c>
    </row>
    <row r="25" spans="1:9" ht="18" x14ac:dyDescent="0.4">
      <c r="C25" s="4" t="s">
        <v>353</v>
      </c>
    </row>
    <row r="26" spans="1:9" x14ac:dyDescent="0.25">
      <c r="A26">
        <v>7</v>
      </c>
      <c r="C26" t="s">
        <v>402</v>
      </c>
      <c r="E26">
        <f>42205-31654</f>
        <v>10551</v>
      </c>
      <c r="G26">
        <f>ROUND(G17*(1/43),0)</f>
        <v>37368</v>
      </c>
      <c r="I26" s="79">
        <f>G26-E26</f>
        <v>26817</v>
      </c>
    </row>
    <row r="29" spans="1:9" ht="18" x14ac:dyDescent="0.4">
      <c r="C29" s="4" t="s">
        <v>50</v>
      </c>
    </row>
    <row r="30" spans="1:9" x14ac:dyDescent="0.25">
      <c r="C30" t="s">
        <v>405</v>
      </c>
    </row>
    <row r="31" spans="1:9" x14ac:dyDescent="0.25">
      <c r="C31" t="s">
        <v>431</v>
      </c>
    </row>
    <row r="32" spans="1:9" x14ac:dyDescent="0.25">
      <c r="C32" t="s">
        <v>716</v>
      </c>
    </row>
    <row r="33" spans="3:3" x14ac:dyDescent="0.25">
      <c r="C33" t="s">
        <v>717</v>
      </c>
    </row>
    <row r="34" spans="3:3" x14ac:dyDescent="0.25">
      <c r="C34" t="s">
        <v>718</v>
      </c>
    </row>
    <row r="35" spans="3:3" x14ac:dyDescent="0.25">
      <c r="C35" t="s">
        <v>719</v>
      </c>
    </row>
  </sheetData>
  <pageMargins left="0.7" right="0.7" top="0.75" bottom="0.75" header="0.3" footer="0.3"/>
  <pageSetup scale="76" orientation="portrait" horizontalDpi="0" verticalDpi="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8"/>
  <sheetViews>
    <sheetView workbookViewId="0">
      <selection activeCell="E5" sqref="E5"/>
    </sheetView>
  </sheetViews>
  <sheetFormatPr defaultRowHeight="15.75" x14ac:dyDescent="0.25"/>
  <cols>
    <col min="1" max="1" width="8.125" customWidth="1"/>
    <col min="2" max="2" width="1.875" customWidth="1"/>
    <col min="3" max="3" width="45.625" customWidth="1"/>
    <col min="4" max="4" width="13.375" customWidth="1"/>
    <col min="5" max="5" width="5.125" customWidth="1"/>
  </cols>
  <sheetData>
    <row r="1" spans="1:5" x14ac:dyDescent="0.25">
      <c r="A1" t="s">
        <v>61</v>
      </c>
      <c r="E1" s="33" t="s">
        <v>64</v>
      </c>
    </row>
    <row r="2" spans="1:5" x14ac:dyDescent="0.25">
      <c r="A2" t="s">
        <v>174</v>
      </c>
      <c r="E2" s="33" t="s">
        <v>176</v>
      </c>
    </row>
    <row r="3" spans="1:5" x14ac:dyDescent="0.25">
      <c r="A3" t="s">
        <v>86</v>
      </c>
      <c r="E3" s="33" t="s">
        <v>175</v>
      </c>
    </row>
    <row r="4" spans="1:5" x14ac:dyDescent="0.25">
      <c r="D4" s="33" t="s">
        <v>67</v>
      </c>
      <c r="E4" s="33" t="s">
        <v>564</v>
      </c>
    </row>
    <row r="5" spans="1:5" x14ac:dyDescent="0.25">
      <c r="A5" t="s">
        <v>63</v>
      </c>
    </row>
    <row r="8" spans="1:5" x14ac:dyDescent="0.25">
      <c r="A8" s="3" t="s">
        <v>84</v>
      </c>
      <c r="B8" s="3"/>
      <c r="C8" s="3" t="s">
        <v>85</v>
      </c>
      <c r="D8" s="3"/>
      <c r="E8" s="3"/>
    </row>
    <row r="10" spans="1:5" x14ac:dyDescent="0.25">
      <c r="A10" t="str">
        <f>PAS_wRR!N4</f>
        <v>Page 2</v>
      </c>
      <c r="C10" t="str">
        <f>PAS_wRR!A5</f>
        <v>Calculation of Revenue Requirement - Water</v>
      </c>
    </row>
    <row r="11" spans="1:5" x14ac:dyDescent="0.25">
      <c r="A11" t="str">
        <f>PAS_wwRR!N4</f>
        <v>Page 3</v>
      </c>
      <c r="C11" t="str">
        <f>PAS_wwRR!A5</f>
        <v>Calculation of Revenue Requirement - Wastewater</v>
      </c>
    </row>
    <row r="12" spans="1:5" x14ac:dyDescent="0.25">
      <c r="A12" t="str">
        <f>PAS_NOIadj!J4</f>
        <v>Page 4</v>
      </c>
      <c r="C12" t="str">
        <f>PAS_NOIadj!A5</f>
        <v>Schedule of Adjustments to Operating Income</v>
      </c>
    </row>
    <row r="13" spans="1:5" x14ac:dyDescent="0.25">
      <c r="A13" t="str">
        <f>PAS_wRB!I4</f>
        <v>Page 5</v>
      </c>
      <c r="C13" t="str">
        <f>PAS_wRB!A5</f>
        <v>Rate Base - Water</v>
      </c>
    </row>
    <row r="14" spans="1:5" x14ac:dyDescent="0.25">
      <c r="A14" t="str">
        <f>PAS_wwRB!I4</f>
        <v>Page 6</v>
      </c>
      <c r="C14" t="str">
        <f>PAS_wwRB!A5</f>
        <v>Rate Base - Wastewater</v>
      </c>
    </row>
    <row r="15" spans="1:5" x14ac:dyDescent="0.25">
      <c r="A15" t="str">
        <f>PAS_RBadj!K4</f>
        <v>Page 7</v>
      </c>
      <c r="C15" t="str">
        <f>PAS_RBadj!A5</f>
        <v>Schedule of Adjustments to Rate Base</v>
      </c>
    </row>
    <row r="16" spans="1:5" x14ac:dyDescent="0.25">
      <c r="A16" t="str">
        <f>PAS_ROR!Q4</f>
        <v>Page 8</v>
      </c>
      <c r="C16" t="str">
        <f>PAS_ROR!A5</f>
        <v>Cost of Capital</v>
      </c>
    </row>
    <row r="17" spans="1:3" x14ac:dyDescent="0.25">
      <c r="A17" t="str">
        <f>PAS_PurWtr!G4</f>
        <v>Page 9</v>
      </c>
      <c r="C17" t="str">
        <f>PAS_PurWtr!A5</f>
        <v>Purchase Water Expense - Summertree</v>
      </c>
    </row>
    <row r="18" spans="1:3" x14ac:dyDescent="0.25">
      <c r="A18" t="str">
        <f>PAS_Decom!G4</f>
        <v>Page 10</v>
      </c>
      <c r="C18" t="str">
        <f>PAS_Decom!A5</f>
        <v>Abandoned Summertree Wells Amortization Expense</v>
      </c>
    </row>
  </sheetData>
  <pageMargins left="0.7" right="0.7" top="0.75" bottom="0.75" header="0.3" footer="0.3"/>
  <pageSetup orientation="portrait" horizontalDpi="0" verticalDpi="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workbookViewId="0">
      <selection activeCell="J24" sqref="J24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0.375" bestFit="1" customWidth="1"/>
    <col min="5" max="5" width="1.75" customWidth="1"/>
    <col min="6" max="6" width="10.875" customWidth="1"/>
    <col min="7" max="7" width="2.125" customWidth="1"/>
    <col min="8" max="8" width="10.375" bestFit="1" customWidth="1"/>
    <col min="9" max="9" width="1.375" customWidth="1"/>
    <col min="10" max="10" width="10.125" customWidth="1"/>
    <col min="11" max="11" width="1.125" customWidth="1"/>
    <col min="12" max="12" width="11.25" customWidth="1"/>
    <col min="13" max="13" width="1.75" customWidth="1"/>
    <col min="14" max="14" width="11" customWidth="1"/>
    <col min="15" max="15" width="5.75" customWidth="1"/>
  </cols>
  <sheetData>
    <row r="1" spans="1:15" x14ac:dyDescent="0.25">
      <c r="A1" t="s">
        <v>61</v>
      </c>
      <c r="O1" s="33" t="str">
        <f>Exh_DR_16_PAS!$E$1</f>
        <v>Docket No. 160101-WS</v>
      </c>
    </row>
    <row r="2" spans="1:15" x14ac:dyDescent="0.25">
      <c r="A2" t="s">
        <v>174</v>
      </c>
      <c r="O2" s="33" t="str">
        <f>Exh_DR_16_PAS!$E$2</f>
        <v>Exhibit DMR-16</v>
      </c>
    </row>
    <row r="3" spans="1:15" x14ac:dyDescent="0.25">
      <c r="A3" t="s">
        <v>63</v>
      </c>
      <c r="O3" s="33" t="str">
        <f>Exh_DR_16_PAS!$E$3</f>
        <v>Pasco County Revenue Requirement</v>
      </c>
    </row>
    <row r="4" spans="1:15" x14ac:dyDescent="0.25">
      <c r="N4" s="33" t="s">
        <v>77</v>
      </c>
      <c r="O4" s="33" t="str">
        <f>Exh_DR_16_PAS!$E$4</f>
        <v>of 10</v>
      </c>
    </row>
    <row r="5" spans="1:15" x14ac:dyDescent="0.25">
      <c r="A5" t="s">
        <v>69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902832</v>
      </c>
      <c r="F12" s="29">
        <f>PAS_NOIadj!F13</f>
        <v>0</v>
      </c>
      <c r="G12" s="6"/>
      <c r="H12">
        <f>SUM(D12:F12)</f>
        <v>902832</v>
      </c>
      <c r="J12">
        <f>((H23*L25)-H21)*1.67888</f>
        <v>159806.35107286827</v>
      </c>
      <c r="L12">
        <f>SUM(H12:J12)</f>
        <v>1062638.3510728683</v>
      </c>
      <c r="N12" t="str">
        <f>PAS_NOIadj!J4</f>
        <v>Page 4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506667</v>
      </c>
      <c r="F14" s="29">
        <f>PAS_NOIadj!F25</f>
        <v>69677</v>
      </c>
      <c r="H14">
        <f>SUM(D14:F14)</f>
        <v>576344</v>
      </c>
      <c r="L14">
        <f>SUM(H14:J14)</f>
        <v>576344</v>
      </c>
      <c r="N14" t="str">
        <f>N12</f>
        <v>Page 4</v>
      </c>
    </row>
    <row r="15" spans="1:15" x14ac:dyDescent="0.25">
      <c r="A15">
        <v>3</v>
      </c>
      <c r="C15" t="s">
        <v>17</v>
      </c>
      <c r="D15">
        <v>128341</v>
      </c>
      <c r="F15" s="29">
        <f>PAS_NOIadj!F33</f>
        <v>29094</v>
      </c>
      <c r="H15">
        <f>SUM(D15:F15)</f>
        <v>157435</v>
      </c>
      <c r="L15">
        <f>SUM(H15:J15)</f>
        <v>157435</v>
      </c>
      <c r="N15" t="str">
        <f>N12</f>
        <v>Page 4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117615</v>
      </c>
      <c r="F17" s="29">
        <f>PAS_NOIadj!F38</f>
        <v>-25654</v>
      </c>
      <c r="H17">
        <f>SUM(D17:F17)</f>
        <v>91961</v>
      </c>
      <c r="J17">
        <f>J12*0.045</f>
        <v>7191.285798279072</v>
      </c>
      <c r="L17">
        <f>SUM(H17:J17)</f>
        <v>99152.285798279074</v>
      </c>
      <c r="N17" t="str">
        <f>N12</f>
        <v>Page 4</v>
      </c>
    </row>
    <row r="18" spans="1:14" x14ac:dyDescent="0.25">
      <c r="A18">
        <v>6</v>
      </c>
      <c r="C18" t="s">
        <v>19</v>
      </c>
      <c r="D18" s="3">
        <v>7254</v>
      </c>
      <c r="F18" s="29">
        <f>PAS_NOIadj!F43</f>
        <v>-5485.2624567400017</v>
      </c>
      <c r="H18" s="3">
        <f>SUM(D18:F18)</f>
        <v>1768.7375432599983</v>
      </c>
      <c r="J18">
        <f>(J12-J17)*0.3763</f>
        <v>57429.049062827922</v>
      </c>
      <c r="L18" s="9">
        <f>SUM(H18:J18)</f>
        <v>59197.786606087917</v>
      </c>
    </row>
    <row r="19" spans="1:14" x14ac:dyDescent="0.25">
      <c r="A19">
        <v>7</v>
      </c>
      <c r="C19" t="s">
        <v>20</v>
      </c>
      <c r="D19">
        <f>SUM(D14:D18)</f>
        <v>759877</v>
      </c>
      <c r="F19" s="29"/>
      <c r="H19" s="5">
        <f>SUM(H14:H18)</f>
        <v>827508.73754325998</v>
      </c>
      <c r="L19" s="5">
        <f>SUM(L14:L18)</f>
        <v>892129.07240436703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142955</v>
      </c>
      <c r="F21" s="29"/>
      <c r="H21">
        <f>H12-H19</f>
        <v>75323.26245674002</v>
      </c>
      <c r="L21">
        <f>H23*L25</f>
        <v>170509.54799999998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PAS_wRB!E23</f>
        <v>4525758</v>
      </c>
      <c r="F23" s="29">
        <f>H23-D23</f>
        <v>-2025618</v>
      </c>
      <c r="H23">
        <f>PAS_wRB!I23</f>
        <v>2500140</v>
      </c>
      <c r="L23">
        <f>H23</f>
        <v>2500140</v>
      </c>
      <c r="N23" t="str">
        <f>PAS_wRB!I4</f>
        <v>Page 5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3.158697393895122E-2</v>
      </c>
      <c r="F25" s="29"/>
      <c r="L25" s="8">
        <f>PAS_ROR!Q20</f>
        <v>6.8199999999999997E-2</v>
      </c>
      <c r="N25" t="str">
        <f>PAS_ROR!Q4</f>
        <v>Page 8</v>
      </c>
    </row>
    <row r="26" spans="1:14" x14ac:dyDescent="0.25">
      <c r="L26" s="8"/>
    </row>
    <row r="27" spans="1:14" ht="18" x14ac:dyDescent="0.4">
      <c r="C27" s="4" t="s">
        <v>88</v>
      </c>
      <c r="J27" s="32"/>
      <c r="L27" s="8"/>
    </row>
    <row r="28" spans="1:14" x14ac:dyDescent="0.25">
      <c r="C28" t="s">
        <v>195</v>
      </c>
      <c r="J28" s="29"/>
    </row>
  </sheetData>
  <pageMargins left="0.7" right="0.7" top="0.75" bottom="0.75" header="0.3" footer="0.3"/>
  <pageSetup scale="74" orientation="portrait" horizontalDpi="0" verticalDpi="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O27" sqref="O27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0.375" bestFit="1" customWidth="1"/>
    <col min="5" max="5" width="1.75" customWidth="1"/>
    <col min="6" max="6" width="10.875" customWidth="1"/>
    <col min="7" max="7" width="2.125" customWidth="1"/>
    <col min="8" max="8" width="10.375" bestFit="1" customWidth="1"/>
    <col min="9" max="9" width="1.375" customWidth="1"/>
    <col min="10" max="10" width="10.125" customWidth="1"/>
    <col min="11" max="11" width="1.125" customWidth="1"/>
    <col min="12" max="12" width="11.25" customWidth="1"/>
    <col min="13" max="13" width="1.75" customWidth="1"/>
    <col min="14" max="14" width="11" customWidth="1"/>
    <col min="15" max="15" width="5.875" customWidth="1"/>
  </cols>
  <sheetData>
    <row r="1" spans="1:15" x14ac:dyDescent="0.25">
      <c r="A1" t="s">
        <v>61</v>
      </c>
      <c r="O1" s="33" t="str">
        <f>Exh_DR_16_PAS!$E$1</f>
        <v>Docket No. 160101-WS</v>
      </c>
    </row>
    <row r="2" spans="1:15" x14ac:dyDescent="0.25">
      <c r="A2" t="s">
        <v>174</v>
      </c>
      <c r="O2" s="33" t="str">
        <f>Exh_DR_16_PAS!$E$2</f>
        <v>Exhibit DMR-16</v>
      </c>
    </row>
    <row r="3" spans="1:15" x14ac:dyDescent="0.25">
      <c r="A3" t="s">
        <v>63</v>
      </c>
      <c r="O3" s="33" t="str">
        <f>Exh_DR_16_PAS!$E$3</f>
        <v>Pasco County Revenue Requirement</v>
      </c>
    </row>
    <row r="4" spans="1:15" x14ac:dyDescent="0.25">
      <c r="N4" s="33" t="s">
        <v>80</v>
      </c>
      <c r="O4" s="33" t="str">
        <f>Exh_DR_16_PAS!$E$4</f>
        <v>of 10</v>
      </c>
    </row>
    <row r="5" spans="1:15" x14ac:dyDescent="0.25">
      <c r="A5" t="s">
        <v>76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508738</v>
      </c>
      <c r="F12" s="29">
        <f>PAS_NOIadj!H13</f>
        <v>0</v>
      </c>
      <c r="G12" s="6"/>
      <c r="H12">
        <f>SUM(D12:F12)</f>
        <v>508738</v>
      </c>
      <c r="J12">
        <f>((H23*L25)-H21)*1.67888</f>
        <v>23352.432380164257</v>
      </c>
      <c r="L12">
        <f>SUM(H12:J12)</f>
        <v>532090.43238016427</v>
      </c>
      <c r="N12" t="str">
        <f>PAS_NOIadj!J4</f>
        <v>Page 4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419611</v>
      </c>
      <c r="F14" s="29">
        <f>PAS_NOIadj!H25</f>
        <v>-42396</v>
      </c>
      <c r="H14">
        <f>SUM(D14:F14)</f>
        <v>377215</v>
      </c>
      <c r="L14">
        <f>SUM(H14:J14)</f>
        <v>377215</v>
      </c>
      <c r="N14" t="str">
        <f>N12</f>
        <v>Page 4</v>
      </c>
    </row>
    <row r="15" spans="1:15" x14ac:dyDescent="0.25">
      <c r="A15">
        <v>3</v>
      </c>
      <c r="C15" t="s">
        <v>17</v>
      </c>
      <c r="D15">
        <v>51748</v>
      </c>
      <c r="F15" s="29">
        <f>PAS_NOIadj!H33</f>
        <v>-5415</v>
      </c>
      <c r="H15">
        <f>SUM(D15:F15)</f>
        <v>46333</v>
      </c>
      <c r="L15">
        <f>SUM(H15:J15)</f>
        <v>46333</v>
      </c>
      <c r="N15" t="str">
        <f>N12</f>
        <v>Page 4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48891</v>
      </c>
      <c r="F17" s="29">
        <f>PAS_NOIadj!H38</f>
        <v>0</v>
      </c>
      <c r="H17">
        <f>SUM(D17:F17)</f>
        <v>48891</v>
      </c>
      <c r="J17">
        <f>J12*0.045</f>
        <v>1050.8594571073916</v>
      </c>
      <c r="L17">
        <f>SUM(H17:J17)</f>
        <v>49941.859457107392</v>
      </c>
      <c r="N17" t="str">
        <f>N12</f>
        <v>Page 4</v>
      </c>
    </row>
    <row r="18" spans="1:14" x14ac:dyDescent="0.25">
      <c r="A18">
        <v>6</v>
      </c>
      <c r="C18" t="s">
        <v>19</v>
      </c>
      <c r="D18" s="3">
        <v>-18546</v>
      </c>
      <c r="F18" s="29">
        <f>PAS_NOIadj!H43</f>
        <v>25258.173089404998</v>
      </c>
      <c r="H18" s="3">
        <f>SUM(D18:F18)</f>
        <v>6712.1730894049979</v>
      </c>
      <c r="J18">
        <f>(J12-J17)*0.3763</f>
        <v>8392.0818909462996</v>
      </c>
      <c r="L18" s="9">
        <f>SUM(H18:J18)</f>
        <v>15104.254980351297</v>
      </c>
    </row>
    <row r="19" spans="1:14" x14ac:dyDescent="0.25">
      <c r="A19">
        <v>7</v>
      </c>
      <c r="C19" t="s">
        <v>20</v>
      </c>
      <c r="D19">
        <f>SUM(D14:D18)</f>
        <v>501704</v>
      </c>
      <c r="F19" s="29"/>
      <c r="H19" s="5">
        <f>SUM(H14:H18)</f>
        <v>479151.173089405</v>
      </c>
      <c r="L19" s="5">
        <f>SUM(L14:L18)</f>
        <v>488594.11443745869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7034</v>
      </c>
      <c r="F21" s="29"/>
      <c r="H21">
        <f>H12-H19</f>
        <v>29586.826910595002</v>
      </c>
      <c r="L21">
        <f>H23*L25</f>
        <v>43496.357299999996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PAS_wwRB!E23</f>
        <v>1306018</v>
      </c>
      <c r="F23" s="29">
        <f>H23-D23</f>
        <v>-668241.5</v>
      </c>
      <c r="H23">
        <f>PAS_wwRB!I23</f>
        <v>637776.5</v>
      </c>
      <c r="L23">
        <f>H23</f>
        <v>637776.5</v>
      </c>
      <c r="N23" t="str">
        <f>PAS_wwRB!I4</f>
        <v>Page 6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5.3858369486484876E-3</v>
      </c>
      <c r="F25" s="29"/>
      <c r="L25" s="8">
        <f>PAS_ROR!Q20</f>
        <v>6.8199999999999997E-2</v>
      </c>
      <c r="N25" t="str">
        <f>PAS_ROR!Q4</f>
        <v>Page 8</v>
      </c>
    </row>
    <row r="28" spans="1:14" ht="18" x14ac:dyDescent="0.4">
      <c r="C28" s="4" t="s">
        <v>88</v>
      </c>
    </row>
    <row r="29" spans="1:14" x14ac:dyDescent="0.25">
      <c r="C29" t="s">
        <v>196</v>
      </c>
    </row>
  </sheetData>
  <pageMargins left="0.7" right="0.7" top="0.75" bottom="0.75" header="0.3" footer="0.3"/>
  <pageSetup scale="74" orientation="portrait" horizontalDpi="0" verticalDpi="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opLeftCell="A36" workbookViewId="0">
      <selection activeCell="C52" sqref="C52"/>
    </sheetView>
  </sheetViews>
  <sheetFormatPr defaultRowHeight="15.75" x14ac:dyDescent="0.25"/>
  <cols>
    <col min="1" max="1" width="4.375" customWidth="1"/>
    <col min="2" max="2" width="1.625" customWidth="1"/>
    <col min="3" max="3" width="42.875" customWidth="1"/>
    <col min="5" max="5" width="12.125" customWidth="1"/>
    <col min="6" max="6" width="9.625" bestFit="1" customWidth="1"/>
    <col min="7" max="7" width="1.75" customWidth="1"/>
    <col min="8" max="8" width="9.625" customWidth="1"/>
    <col min="9" max="9" width="1.375" customWidth="1"/>
    <col min="10" max="10" width="15.375" customWidth="1"/>
    <col min="11" max="11" width="6.375" customWidth="1"/>
  </cols>
  <sheetData>
    <row r="1" spans="1:11" x14ac:dyDescent="0.25">
      <c r="A1" t="str">
        <f>CL_wRR!A1</f>
        <v>Utilities, Inc. of Florida</v>
      </c>
      <c r="J1" s="33"/>
      <c r="K1" s="33" t="str">
        <f>Exh_DR_16_PAS!$E$1</f>
        <v>Docket No. 160101-WS</v>
      </c>
    </row>
    <row r="2" spans="1:11" x14ac:dyDescent="0.25">
      <c r="A2" t="s">
        <v>174</v>
      </c>
      <c r="J2" s="33"/>
      <c r="K2" s="33" t="str">
        <f>Exh_DR_16_PAS!$E$2</f>
        <v>Exhibit DMR-16</v>
      </c>
    </row>
    <row r="3" spans="1:11" x14ac:dyDescent="0.25">
      <c r="A3" t="str">
        <f>CL_wRR!A3</f>
        <v>Test Year Ended December 31, 2015</v>
      </c>
      <c r="J3" s="33"/>
      <c r="K3" s="33" t="str">
        <f>Exh_DR_16_PAS!$E$3</f>
        <v>Pasco County Revenue Requirement</v>
      </c>
    </row>
    <row r="4" spans="1:11" x14ac:dyDescent="0.25">
      <c r="J4" s="33" t="s">
        <v>81</v>
      </c>
      <c r="K4" s="33" t="str">
        <f>Exh_DR_16_PAS!$E$4</f>
        <v>of 10</v>
      </c>
    </row>
    <row r="5" spans="1:11" x14ac:dyDescent="0.25">
      <c r="A5" t="s">
        <v>45</v>
      </c>
    </row>
    <row r="8" spans="1:11" x14ac:dyDescent="0.25">
      <c r="A8" t="s">
        <v>0</v>
      </c>
      <c r="F8" s="1" t="s">
        <v>70</v>
      </c>
      <c r="G8" s="1"/>
      <c r="H8" s="1" t="s">
        <v>71</v>
      </c>
    </row>
    <row r="9" spans="1:11" ht="18" x14ac:dyDescent="0.4">
      <c r="A9" s="3" t="s">
        <v>1</v>
      </c>
      <c r="C9" s="4" t="s">
        <v>2</v>
      </c>
      <c r="F9" s="2" t="s">
        <v>5</v>
      </c>
      <c r="G9" s="34"/>
      <c r="H9" s="2" t="s">
        <v>5</v>
      </c>
      <c r="J9" s="4" t="s">
        <v>72</v>
      </c>
    </row>
    <row r="11" spans="1:11" ht="18" x14ac:dyDescent="0.4">
      <c r="C11" s="4" t="s">
        <v>73</v>
      </c>
    </row>
    <row r="12" spans="1:11" x14ac:dyDescent="0.25">
      <c r="A12">
        <v>1</v>
      </c>
    </row>
    <row r="13" spans="1:11" ht="16.5" thickBot="1" x14ac:dyDescent="0.3">
      <c r="A13">
        <v>2</v>
      </c>
      <c r="C13" t="s">
        <v>110</v>
      </c>
      <c r="F13" s="24">
        <f>SUM(F12:F12)</f>
        <v>0</v>
      </c>
      <c r="H13" s="24">
        <f>SUM(H12:H12)</f>
        <v>0</v>
      </c>
    </row>
    <row r="14" spans="1:11" ht="16.5" thickTop="1" x14ac:dyDescent="0.25">
      <c r="A14">
        <v>3</v>
      </c>
    </row>
    <row r="15" spans="1:11" ht="18" x14ac:dyDescent="0.4">
      <c r="A15">
        <v>4</v>
      </c>
      <c r="C15" s="4" t="s">
        <v>49</v>
      </c>
    </row>
    <row r="16" spans="1:11" x14ac:dyDescent="0.25">
      <c r="A16">
        <v>5</v>
      </c>
      <c r="C16" t="s">
        <v>479</v>
      </c>
      <c r="F16" s="29">
        <v>-48609</v>
      </c>
      <c r="J16" t="s">
        <v>198</v>
      </c>
    </row>
    <row r="17" spans="1:10" x14ac:dyDescent="0.25">
      <c r="A17">
        <v>6</v>
      </c>
      <c r="C17" t="s">
        <v>478</v>
      </c>
      <c r="F17" s="29">
        <f>PAS_PurWtr!G18</f>
        <v>117206</v>
      </c>
      <c r="J17" t="str">
        <f>PAS_PurWtr!G4</f>
        <v>Page 9</v>
      </c>
    </row>
    <row r="18" spans="1:10" x14ac:dyDescent="0.25">
      <c r="A18">
        <v>7</v>
      </c>
      <c r="C18" t="s">
        <v>477</v>
      </c>
      <c r="F18" s="25">
        <v>-20000</v>
      </c>
      <c r="G18" s="25"/>
      <c r="H18" s="25"/>
      <c r="J18" t="s">
        <v>520</v>
      </c>
    </row>
    <row r="19" spans="1:10" x14ac:dyDescent="0.25">
      <c r="A19">
        <v>8</v>
      </c>
      <c r="C19" t="s">
        <v>489</v>
      </c>
      <c r="F19" s="25">
        <f>PAS_Decom!G28</f>
        <v>43914</v>
      </c>
      <c r="G19" s="25"/>
      <c r="H19" s="25"/>
      <c r="J19" t="str">
        <f>PAS_Decom!G4</f>
        <v>Page 10</v>
      </c>
    </row>
    <row r="20" spans="1:10" x14ac:dyDescent="0.25">
      <c r="A20">
        <v>9</v>
      </c>
      <c r="C20" t="s">
        <v>235</v>
      </c>
      <c r="F20" s="25"/>
      <c r="G20" s="25"/>
      <c r="H20" s="25">
        <f>ROUND((188067+3713)*-0.1722,0)</f>
        <v>-33025</v>
      </c>
      <c r="J20" s="6" t="s">
        <v>214</v>
      </c>
    </row>
    <row r="21" spans="1:10" x14ac:dyDescent="0.25">
      <c r="A21">
        <v>10</v>
      </c>
      <c r="C21" t="s">
        <v>530</v>
      </c>
      <c r="F21" s="25">
        <f>ROUND(16106*-0.0766,0)</f>
        <v>-1234</v>
      </c>
      <c r="G21" s="25"/>
      <c r="H21" s="25"/>
      <c r="J21" s="6" t="s">
        <v>215</v>
      </c>
    </row>
    <row r="22" spans="1:10" x14ac:dyDescent="0.25">
      <c r="A22">
        <v>11</v>
      </c>
      <c r="C22" t="s">
        <v>378</v>
      </c>
      <c r="F22" s="26">
        <f>ROUND(-157903/4*0.4177,0)</f>
        <v>-16489</v>
      </c>
      <c r="G22" s="26"/>
      <c r="H22" s="26">
        <f>ROUND(-64263/4*0.4453,0)</f>
        <v>-7154</v>
      </c>
      <c r="J22" t="s">
        <v>379</v>
      </c>
    </row>
    <row r="23" spans="1:10" x14ac:dyDescent="0.25">
      <c r="A23">
        <v>12</v>
      </c>
      <c r="C23" t="s">
        <v>290</v>
      </c>
      <c r="F23" s="5">
        <f>ROUND('WSC-Ins'!$I$25*(1885.75/(1885.74+818.08)),0)</f>
        <v>-1178</v>
      </c>
      <c r="G23" s="5"/>
      <c r="H23" s="5">
        <f>ROUND('WSC-Ins'!$I$25*(818.08/(1885.74+818.08)),0)</f>
        <v>-511</v>
      </c>
      <c r="J23" t="str">
        <f>'WSC-Ins'!J2</f>
        <v>Exhibit DMR-19</v>
      </c>
    </row>
    <row r="24" spans="1:10" x14ac:dyDescent="0.25">
      <c r="A24">
        <v>13</v>
      </c>
      <c r="C24" t="s">
        <v>291</v>
      </c>
      <c r="F24" s="5">
        <f>ROUND(WSCs_Dep!I25*(1885.75/(1885.74+818.08)),0)</f>
        <v>-3933</v>
      </c>
      <c r="G24" s="5"/>
      <c r="H24" s="5">
        <f>ROUND(WSCs_Dep!I25*(818.08/(1885.74+818.08)),0)</f>
        <v>-1706</v>
      </c>
      <c r="J24" t="str">
        <f>WSCs_Dep!J2</f>
        <v>Exhibit DMR-20</v>
      </c>
    </row>
    <row r="25" spans="1:10" ht="16.5" thickBot="1" x14ac:dyDescent="0.3">
      <c r="A25">
        <v>14</v>
      </c>
      <c r="C25" t="s">
        <v>110</v>
      </c>
      <c r="F25" s="24">
        <f>SUM(F16:F24)</f>
        <v>69677</v>
      </c>
      <c r="G25" s="26"/>
      <c r="H25" s="24">
        <f>SUM(H16:H24)</f>
        <v>-42396</v>
      </c>
    </row>
    <row r="26" spans="1:10" ht="16.5" thickTop="1" x14ac:dyDescent="0.25">
      <c r="A26">
        <v>15</v>
      </c>
    </row>
    <row r="27" spans="1:10" ht="18" x14ac:dyDescent="0.4">
      <c r="A27">
        <v>16</v>
      </c>
      <c r="C27" s="4" t="s">
        <v>46</v>
      </c>
    </row>
    <row r="28" spans="1:10" x14ac:dyDescent="0.25">
      <c r="A28">
        <v>17</v>
      </c>
      <c r="C28" t="s">
        <v>518</v>
      </c>
      <c r="F28">
        <f>26213-34950</f>
        <v>-8737</v>
      </c>
      <c r="J28" s="6" t="s">
        <v>213</v>
      </c>
    </row>
    <row r="29" spans="1:10" x14ac:dyDescent="0.25">
      <c r="A29">
        <v>18</v>
      </c>
      <c r="C29" s="76" t="s">
        <v>512</v>
      </c>
      <c r="F29">
        <v>61015</v>
      </c>
      <c r="J29" t="s">
        <v>522</v>
      </c>
    </row>
    <row r="30" spans="1:10" x14ac:dyDescent="0.25">
      <c r="A30">
        <v>19</v>
      </c>
      <c r="C30" t="s">
        <v>521</v>
      </c>
      <c r="F30">
        <v>-21974</v>
      </c>
      <c r="J30" s="76" t="s">
        <v>198</v>
      </c>
    </row>
    <row r="31" spans="1:10" x14ac:dyDescent="0.25">
      <c r="A31">
        <v>20</v>
      </c>
      <c r="C31" t="s">
        <v>630</v>
      </c>
      <c r="F31">
        <f>GIS_Proj!M23</f>
        <v>-1210</v>
      </c>
      <c r="H31">
        <f>GIS_Proj!O23</f>
        <v>-525</v>
      </c>
      <c r="J31" s="76" t="str">
        <f>GIS_Proj!O2</f>
        <v>Exhibit DMR-21</v>
      </c>
    </row>
    <row r="32" spans="1:10" x14ac:dyDescent="0.25">
      <c r="A32">
        <v>21</v>
      </c>
      <c r="C32" t="s">
        <v>525</v>
      </c>
      <c r="F32" s="3"/>
      <c r="G32" s="26"/>
      <c r="H32" s="3">
        <f>-4890</f>
        <v>-4890</v>
      </c>
      <c r="J32" s="31"/>
    </row>
    <row r="33" spans="1:8" ht="16.5" thickBot="1" x14ac:dyDescent="0.3">
      <c r="A33">
        <v>22</v>
      </c>
      <c r="C33" t="s">
        <v>110</v>
      </c>
      <c r="F33" s="24">
        <f>SUM(F28:F32)</f>
        <v>29094</v>
      </c>
      <c r="G33" s="26"/>
      <c r="H33" s="24">
        <f>SUM(H28:H32)</f>
        <v>-5415</v>
      </c>
    </row>
    <row r="34" spans="1:8" ht="16.5" thickTop="1" x14ac:dyDescent="0.25">
      <c r="A34">
        <v>23</v>
      </c>
    </row>
    <row r="35" spans="1:8" ht="18" x14ac:dyDescent="0.4">
      <c r="A35">
        <v>24</v>
      </c>
      <c r="C35" s="4" t="s">
        <v>60</v>
      </c>
    </row>
    <row r="36" spans="1:8" x14ac:dyDescent="0.25">
      <c r="A36">
        <v>25</v>
      </c>
      <c r="C36" s="40" t="s">
        <v>524</v>
      </c>
      <c r="F36">
        <f>ROUND(-1500000/1000*17.1026,0)</f>
        <v>-25654</v>
      </c>
    </row>
    <row r="37" spans="1:8" x14ac:dyDescent="0.25">
      <c r="A37">
        <v>26</v>
      </c>
      <c r="C37" s="40" t="s">
        <v>89</v>
      </c>
      <c r="F37">
        <f>ROUND(F13*0.045,0)</f>
        <v>0</v>
      </c>
      <c r="H37">
        <f>ROUND(H13*0.045,0)</f>
        <v>0</v>
      </c>
    </row>
    <row r="38" spans="1:8" ht="16.5" thickBot="1" x14ac:dyDescent="0.3">
      <c r="A38">
        <v>27</v>
      </c>
      <c r="C38" t="s">
        <v>110</v>
      </c>
      <c r="F38" s="24">
        <f>SUM(F36:F37)</f>
        <v>-25654</v>
      </c>
      <c r="G38" s="26"/>
      <c r="H38" s="24">
        <f>SUM(H36:H37)</f>
        <v>0</v>
      </c>
    </row>
    <row r="39" spans="1:8" ht="16.5" thickTop="1" x14ac:dyDescent="0.25">
      <c r="A39">
        <v>28</v>
      </c>
    </row>
    <row r="40" spans="1:8" ht="18" x14ac:dyDescent="0.4">
      <c r="A40">
        <v>29</v>
      </c>
      <c r="C40" s="4" t="s">
        <v>79</v>
      </c>
    </row>
    <row r="41" spans="1:8" x14ac:dyDescent="0.25">
      <c r="A41">
        <v>30</v>
      </c>
      <c r="C41" s="40" t="s">
        <v>115</v>
      </c>
      <c r="F41">
        <f>PAS_wRB!G23*0.0289*-0.3763</f>
        <v>22028.737543259998</v>
      </c>
      <c r="H41">
        <f>PAS_wwRB!G23*0.0289*-0.3763</f>
        <v>7267.1730894049997</v>
      </c>
    </row>
    <row r="42" spans="1:8" x14ac:dyDescent="0.25">
      <c r="A42">
        <v>31</v>
      </c>
      <c r="C42" s="40" t="s">
        <v>90</v>
      </c>
      <c r="F42">
        <f>ROUND((F13-F25-F33-F38)*0.3763,0)</f>
        <v>-27514</v>
      </c>
      <c r="H42">
        <f>ROUND((H13-H25-H33-H38)*0.3763,0)</f>
        <v>17991</v>
      </c>
    </row>
    <row r="43" spans="1:8" ht="16.5" thickBot="1" x14ac:dyDescent="0.3">
      <c r="C43" t="s">
        <v>110</v>
      </c>
      <c r="F43" s="24">
        <f>SUM(F41:F42)</f>
        <v>-5485.2624567400017</v>
      </c>
      <c r="G43" s="26"/>
      <c r="H43" s="24">
        <f>SUM(H41:H42)</f>
        <v>25258.173089404998</v>
      </c>
    </row>
    <row r="44" spans="1:8" ht="16.5" thickTop="1" x14ac:dyDescent="0.25"/>
    <row r="46" spans="1:8" x14ac:dyDescent="0.25">
      <c r="C46" s="6" t="s">
        <v>177</v>
      </c>
    </row>
    <row r="47" spans="1:8" x14ac:dyDescent="0.25">
      <c r="C47" t="s">
        <v>116</v>
      </c>
    </row>
    <row r="48" spans="1:8" x14ac:dyDescent="0.25">
      <c r="C48" s="6" t="s">
        <v>519</v>
      </c>
    </row>
    <row r="49" spans="3:6" x14ac:dyDescent="0.25">
      <c r="C49" s="6" t="s">
        <v>720</v>
      </c>
      <c r="F49" s="60"/>
    </row>
    <row r="50" spans="3:6" x14ac:dyDescent="0.25">
      <c r="C50" t="s">
        <v>721</v>
      </c>
    </row>
    <row r="51" spans="3:6" x14ac:dyDescent="0.25">
      <c r="C51" s="6" t="s">
        <v>723</v>
      </c>
    </row>
    <row r="52" spans="3:6" x14ac:dyDescent="0.25">
      <c r="C52" t="s">
        <v>722</v>
      </c>
    </row>
  </sheetData>
  <pageMargins left="0.7" right="0.7" top="0.75" bottom="0.75" header="0.3" footer="0.3"/>
  <pageSetup scale="75" orientation="portrait" horizontalDpi="0" verticalDpi="0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G21" sqref="G21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7" customWidth="1"/>
    <col min="5" max="5" width="16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6.125" customWidth="1"/>
  </cols>
  <sheetData>
    <row r="1" spans="1:10" x14ac:dyDescent="0.25">
      <c r="A1" t="str">
        <f>CL_wRR!A1</f>
        <v>Utilities, Inc. of Florida</v>
      </c>
      <c r="H1" s="10"/>
      <c r="I1" s="10"/>
      <c r="J1" s="33" t="str">
        <f>Exh_DR_16_PAS!$E$1</f>
        <v>Docket No. 160101-WS</v>
      </c>
    </row>
    <row r="2" spans="1:10" x14ac:dyDescent="0.25">
      <c r="A2" t="s">
        <v>174</v>
      </c>
      <c r="H2" s="10"/>
      <c r="I2" s="10"/>
      <c r="J2" s="33" t="str">
        <f>Exh_DR_16_PAS!$E$2</f>
        <v>Exhibit DMR-16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Exh_DR_16_PAS!$E$3</f>
        <v>Pasco County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82</v>
      </c>
      <c r="J4" s="33" t="str">
        <f>Exh_DR_16_PAS!$E$4</f>
        <v>of 10</v>
      </c>
    </row>
    <row r="5" spans="1:10" x14ac:dyDescent="0.25">
      <c r="A5" s="27" t="s">
        <v>74</v>
      </c>
      <c r="B5" s="10"/>
      <c r="C5" s="10"/>
      <c r="D5" s="10"/>
      <c r="E5" s="10"/>
      <c r="F5" s="10"/>
      <c r="G5" s="10"/>
      <c r="H5" s="10"/>
      <c r="I5" s="10"/>
      <c r="J5" s="35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  <c r="J6" s="35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  <c r="J7" s="10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  <c r="J8" s="10"/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  <c r="J9" s="10"/>
    </row>
    <row r="10" spans="1:10" x14ac:dyDescent="0.25">
      <c r="A10" s="10"/>
      <c r="B10" s="10"/>
      <c r="C10" s="10"/>
      <c r="D10" s="10"/>
      <c r="E10" s="43" t="s">
        <v>24</v>
      </c>
      <c r="F10" s="10"/>
      <c r="G10" s="43" t="s">
        <v>25</v>
      </c>
      <c r="H10" s="10"/>
      <c r="I10" s="43" t="s">
        <v>26</v>
      </c>
      <c r="J10" s="10"/>
    </row>
    <row r="11" spans="1:10" x14ac:dyDescent="0.25">
      <c r="A11" s="10"/>
      <c r="B11" s="10"/>
      <c r="C11" s="10"/>
      <c r="D11" s="10"/>
      <c r="E11" s="43"/>
      <c r="F11" s="10"/>
      <c r="G11" s="43"/>
      <c r="H11" s="10"/>
      <c r="I11" s="43"/>
      <c r="J11" s="10"/>
    </row>
    <row r="12" spans="1:10" x14ac:dyDescent="0.25">
      <c r="A12" s="10">
        <v>1</v>
      </c>
      <c r="B12" s="10"/>
      <c r="C12" s="11" t="s">
        <v>33</v>
      </c>
      <c r="D12" s="10"/>
      <c r="E12" s="10">
        <v>3310408</v>
      </c>
      <c r="F12" s="10"/>
      <c r="G12" s="10">
        <f>PAS_RBadj!G17</f>
        <v>696092</v>
      </c>
      <c r="H12" s="10"/>
      <c r="I12" s="10">
        <f>SUM(E12:G12)</f>
        <v>4006500</v>
      </c>
      <c r="J12" s="10"/>
    </row>
    <row r="13" spans="1:10" x14ac:dyDescent="0.25">
      <c r="A13" s="10">
        <v>2</v>
      </c>
      <c r="B13" s="10"/>
      <c r="C13" s="11" t="s">
        <v>34</v>
      </c>
      <c r="D13" s="10"/>
      <c r="E13" s="10">
        <v>2344</v>
      </c>
      <c r="F13" s="10"/>
      <c r="G13" s="10"/>
      <c r="H13" s="10"/>
      <c r="I13" s="10">
        <f t="shared" ref="I13:I21" si="0">SUM(E13:G13)</f>
        <v>2344</v>
      </c>
      <c r="J13" s="10"/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  <c r="J14" s="10"/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  <c r="J15" s="10"/>
    </row>
    <row r="16" spans="1:10" x14ac:dyDescent="0.25">
      <c r="A16" s="10">
        <v>5</v>
      </c>
      <c r="B16" s="10"/>
      <c r="C16" s="11" t="s">
        <v>37</v>
      </c>
      <c r="D16" s="10"/>
      <c r="E16" s="27">
        <v>1337576</v>
      </c>
      <c r="F16" s="10"/>
      <c r="G16" s="10">
        <f>-PAS_RBadj!G30</f>
        <v>-2618497</v>
      </c>
      <c r="H16" s="10"/>
      <c r="I16" s="10">
        <f t="shared" si="0"/>
        <v>-1280921</v>
      </c>
      <c r="J16" s="10"/>
    </row>
    <row r="17" spans="1:10" x14ac:dyDescent="0.25">
      <c r="A17" s="10">
        <v>6</v>
      </c>
      <c r="B17" s="10"/>
      <c r="C17" s="11" t="s">
        <v>38</v>
      </c>
      <c r="D17" s="10"/>
      <c r="E17" s="10">
        <v>-564908</v>
      </c>
      <c r="F17" s="10"/>
      <c r="G17" s="10">
        <f>-PAS_RBadj!G36</f>
        <v>3633</v>
      </c>
      <c r="H17" s="10"/>
      <c r="I17" s="10">
        <f t="shared" si="0"/>
        <v>-561275</v>
      </c>
      <c r="J17" s="10"/>
    </row>
    <row r="18" spans="1:10" x14ac:dyDescent="0.25">
      <c r="A18" s="10">
        <v>7</v>
      </c>
      <c r="B18" s="10"/>
      <c r="C18" s="11" t="s">
        <v>39</v>
      </c>
      <c r="D18" s="10"/>
      <c r="E18" s="10">
        <v>177840</v>
      </c>
      <c r="F18" s="10"/>
      <c r="G18" s="10">
        <f>-PAS_RBadj!G42</f>
        <v>73154</v>
      </c>
      <c r="H18" s="10"/>
      <c r="I18" s="10">
        <f t="shared" si="0"/>
        <v>250994</v>
      </c>
      <c r="J18" s="10"/>
    </row>
    <row r="19" spans="1:10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  <c r="J19" s="10"/>
    </row>
    <row r="20" spans="1:10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  <c r="J20" s="10"/>
    </row>
    <row r="21" spans="1:10" x14ac:dyDescent="0.25">
      <c r="A21" s="10">
        <v>10</v>
      </c>
      <c r="B21" s="10"/>
      <c r="C21" s="11" t="s">
        <v>40</v>
      </c>
      <c r="D21" s="10"/>
      <c r="E21" s="28">
        <v>262498</v>
      </c>
      <c r="F21" s="10"/>
      <c r="G21" s="17">
        <f>PAS_RBadj!G46</f>
        <v>-180000</v>
      </c>
      <c r="H21" s="10"/>
      <c r="I21" s="17">
        <f t="shared" si="0"/>
        <v>82498</v>
      </c>
      <c r="J21" s="10"/>
    </row>
    <row r="22" spans="1:1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ht="16.5" thickBot="1" x14ac:dyDescent="0.3">
      <c r="A23" s="10">
        <v>11</v>
      </c>
      <c r="B23" s="10"/>
      <c r="C23" s="11" t="s">
        <v>41</v>
      </c>
      <c r="D23" s="10"/>
      <c r="E23" s="18">
        <f>SUM(E12:E21)</f>
        <v>4525758</v>
      </c>
      <c r="F23" s="10"/>
      <c r="G23" s="18">
        <f>SUM(G12:G21)</f>
        <v>-2025618</v>
      </c>
      <c r="H23" s="10"/>
      <c r="I23" s="18">
        <f>SUM(I12:I22)</f>
        <v>2500140</v>
      </c>
      <c r="J23" s="10"/>
    </row>
    <row r="24" spans="1:10" ht="16.5" thickTop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18" x14ac:dyDescent="0.4">
      <c r="A25" s="10"/>
      <c r="B25" s="10"/>
      <c r="C25" s="12" t="s">
        <v>50</v>
      </c>
      <c r="D25" s="10"/>
      <c r="E25" s="10"/>
      <c r="F25" s="10"/>
      <c r="G25" s="10"/>
      <c r="H25" s="10"/>
      <c r="I25" s="10"/>
      <c r="J25" s="10"/>
    </row>
    <row r="26" spans="1:10" x14ac:dyDescent="0.25">
      <c r="A26" s="10"/>
      <c r="B26" s="10"/>
      <c r="C26" s="45" t="s">
        <v>103</v>
      </c>
      <c r="D26" s="10"/>
      <c r="E26" s="10"/>
      <c r="F26" s="10"/>
      <c r="G26" s="10"/>
      <c r="H26" s="10"/>
      <c r="I26" s="10"/>
      <c r="J26" s="10"/>
    </row>
    <row r="27" spans="1:10" x14ac:dyDescent="0.25">
      <c r="A27" s="10"/>
      <c r="B27" s="10"/>
      <c r="C27" s="27" t="s">
        <v>104</v>
      </c>
      <c r="D27" s="10"/>
      <c r="E27" s="10"/>
      <c r="F27" s="10"/>
      <c r="G27" s="10"/>
      <c r="H27" s="10"/>
      <c r="I27" s="10"/>
      <c r="J27" s="10"/>
    </row>
  </sheetData>
  <pageMargins left="0.7" right="0.7" top="0.75" bottom="0.75" header="0.3" footer="0.3"/>
  <pageSetup scale="91" orientation="portrait" horizontalDpi="0" verticalDpi="0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G16" sqref="G16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7" customWidth="1"/>
    <col min="5" max="5" width="16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6.5" customWidth="1"/>
  </cols>
  <sheetData>
    <row r="1" spans="1:10" x14ac:dyDescent="0.25">
      <c r="A1" t="str">
        <f>CL_wRR!A1</f>
        <v>Utilities, Inc. of Florida</v>
      </c>
      <c r="H1" s="10"/>
      <c r="J1" s="33" t="str">
        <f>Exh_DR_16_PAS!$E$1</f>
        <v>Docket No. 160101-WS</v>
      </c>
    </row>
    <row r="2" spans="1:10" x14ac:dyDescent="0.25">
      <c r="A2" t="s">
        <v>174</v>
      </c>
      <c r="H2" s="10"/>
      <c r="I2" s="10"/>
      <c r="J2" s="33" t="str">
        <f>Exh_DR_16_PAS!$E$2</f>
        <v>Exhibit DMR-16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Exh_DR_16_PAS!$E$3</f>
        <v>Pasco County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83</v>
      </c>
      <c r="J4" s="33" t="str">
        <f>Exh_DR_16_PAS!$E$4</f>
        <v>of 10</v>
      </c>
    </row>
    <row r="5" spans="1:10" x14ac:dyDescent="0.25">
      <c r="A5" s="27" t="s">
        <v>78</v>
      </c>
      <c r="B5" s="10"/>
      <c r="C5" s="10"/>
      <c r="D5" s="10"/>
      <c r="E5" s="10"/>
      <c r="F5" s="10"/>
      <c r="G5" s="10"/>
      <c r="H5" s="10"/>
      <c r="I5" s="10"/>
      <c r="J5" s="33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8" x14ac:dyDescent="0.4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25">
      <c r="A12" s="10">
        <v>1</v>
      </c>
      <c r="B12" s="10"/>
      <c r="C12" s="11" t="s">
        <v>33</v>
      </c>
      <c r="D12" s="10"/>
      <c r="E12" s="10">
        <v>1050842</v>
      </c>
      <c r="F12" s="10"/>
      <c r="G12" s="10">
        <f>PAS_RBadj!I17</f>
        <v>658796</v>
      </c>
      <c r="H12" s="10"/>
      <c r="I12" s="10">
        <f>SUM(E12:G12)</f>
        <v>1709638</v>
      </c>
    </row>
    <row r="13" spans="1:10" x14ac:dyDescent="0.25">
      <c r="A13" s="10">
        <v>2</v>
      </c>
      <c r="B13" s="10"/>
      <c r="C13" s="11" t="s">
        <v>34</v>
      </c>
      <c r="D13" s="10"/>
      <c r="E13" s="10">
        <v>7734</v>
      </c>
      <c r="F13" s="10"/>
      <c r="G13" s="10"/>
      <c r="H13" s="10"/>
      <c r="I13" s="10">
        <f t="shared" ref="I13:I21" si="0">SUM(E13:G13)</f>
        <v>7734</v>
      </c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25">
      <c r="A16" s="10">
        <v>5</v>
      </c>
      <c r="B16" s="10"/>
      <c r="C16" s="11" t="s">
        <v>37</v>
      </c>
      <c r="D16" s="10"/>
      <c r="E16" s="27">
        <v>449337</v>
      </c>
      <c r="F16" s="10"/>
      <c r="G16" s="10">
        <f>-PAS_RBadj!I30</f>
        <v>-1392770.5</v>
      </c>
      <c r="H16" s="10"/>
      <c r="I16" s="10">
        <f t="shared" si="0"/>
        <v>-943433.5</v>
      </c>
    </row>
    <row r="17" spans="1:9" x14ac:dyDescent="0.25">
      <c r="A17" s="10">
        <v>6</v>
      </c>
      <c r="B17" s="10"/>
      <c r="C17" s="11" t="s">
        <v>38</v>
      </c>
      <c r="D17" s="10"/>
      <c r="E17" s="10">
        <v>-633772</v>
      </c>
      <c r="F17" s="10"/>
      <c r="G17" s="10">
        <f>-PAS_RBadj!I36</f>
        <v>46517</v>
      </c>
      <c r="H17" s="10"/>
      <c r="I17" s="10">
        <f t="shared" si="0"/>
        <v>-587255</v>
      </c>
    </row>
    <row r="18" spans="1:9" x14ac:dyDescent="0.25">
      <c r="A18" s="10">
        <v>7</v>
      </c>
      <c r="B18" s="10"/>
      <c r="C18" s="11" t="s">
        <v>39</v>
      </c>
      <c r="D18" s="10"/>
      <c r="E18" s="10">
        <v>396078</v>
      </c>
      <c r="F18" s="10"/>
      <c r="G18" s="10">
        <f>-PAS_RBadj!I42</f>
        <v>19216</v>
      </c>
      <c r="H18" s="10"/>
      <c r="I18" s="10">
        <f t="shared" si="0"/>
        <v>415294</v>
      </c>
    </row>
    <row r="19" spans="1:9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25">
      <c r="A21" s="10">
        <v>10</v>
      </c>
      <c r="B21" s="10"/>
      <c r="C21" s="11" t="s">
        <v>40</v>
      </c>
      <c r="D21" s="10"/>
      <c r="E21" s="28">
        <v>35799</v>
      </c>
      <c r="F21" s="10"/>
      <c r="G21" s="17">
        <f>PAS_RBadj!I46</f>
        <v>0</v>
      </c>
      <c r="H21" s="10"/>
      <c r="I21" s="17">
        <f t="shared" si="0"/>
        <v>35799</v>
      </c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5" thickBot="1" x14ac:dyDescent="0.3">
      <c r="A23" s="10">
        <v>11</v>
      </c>
      <c r="B23" s="10"/>
      <c r="C23" s="11" t="s">
        <v>41</v>
      </c>
      <c r="D23" s="10"/>
      <c r="E23" s="18">
        <f>SUM(E12:E21)</f>
        <v>1306018</v>
      </c>
      <c r="F23" s="10"/>
      <c r="G23" s="18">
        <f>SUM(G12:G21)</f>
        <v>-668241.5</v>
      </c>
      <c r="H23" s="10"/>
      <c r="I23" s="18">
        <f>SUM(I12:I22)</f>
        <v>637776.5</v>
      </c>
    </row>
    <row r="24" spans="1:9" ht="16.5" thickTop="1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8" x14ac:dyDescent="0.4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25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27" t="s">
        <v>104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0" orientation="portrait" horizontalDpi="0" verticalDpi="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workbookViewId="0">
      <selection activeCell="C13" sqref="C13"/>
    </sheetView>
  </sheetViews>
  <sheetFormatPr defaultRowHeight="15.75" x14ac:dyDescent="0.25"/>
  <cols>
    <col min="1" max="1" width="4.25" customWidth="1"/>
    <col min="2" max="2" width="1.375" customWidth="1"/>
    <col min="3" max="3" width="51.375" customWidth="1"/>
    <col min="4" max="4" width="1.75" customWidth="1"/>
    <col min="5" max="5" width="2.625" customWidth="1"/>
    <col min="6" max="6" width="7" customWidth="1"/>
    <col min="7" max="7" width="11.125" customWidth="1"/>
    <col min="8" max="8" width="1.875" customWidth="1"/>
    <col min="9" max="9" width="11.125" customWidth="1"/>
    <col min="10" max="10" width="2.25" customWidth="1"/>
    <col min="11" max="11" width="15.375" customWidth="1"/>
    <col min="12" max="12" width="6.25" customWidth="1"/>
  </cols>
  <sheetData>
    <row r="1" spans="1:12" x14ac:dyDescent="0.25">
      <c r="A1" t="str">
        <f>CL_wRR!A1</f>
        <v>Utilities, Inc. of Florida</v>
      </c>
      <c r="K1" s="37"/>
      <c r="L1" s="33" t="str">
        <f>Exh_DR_16_PAS!$E$1</f>
        <v>Docket No. 160101-WS</v>
      </c>
    </row>
    <row r="2" spans="1:12" x14ac:dyDescent="0.25">
      <c r="A2" t="s">
        <v>174</v>
      </c>
      <c r="K2" s="37"/>
      <c r="L2" s="33" t="str">
        <f>Exh_DR_16_PAS!$E$2</f>
        <v>Exhibit DMR-16</v>
      </c>
    </row>
    <row r="3" spans="1:12" x14ac:dyDescent="0.25">
      <c r="A3" t="str">
        <f>CL_wRR!A3</f>
        <v>Test Year Ended December 31, 2015</v>
      </c>
      <c r="K3" s="37"/>
      <c r="L3" s="33" t="str">
        <f>Exh_DR_16_PAS!$E$3</f>
        <v>Pasco County Revenue Requirement</v>
      </c>
    </row>
    <row r="4" spans="1:12" x14ac:dyDescent="0.25">
      <c r="K4" s="38" t="s">
        <v>87</v>
      </c>
      <c r="L4" s="33" t="str">
        <f>Exh_DR_16_PAS!$E$4</f>
        <v>of 10</v>
      </c>
    </row>
    <row r="5" spans="1:12" x14ac:dyDescent="0.25">
      <c r="A5" t="s">
        <v>42</v>
      </c>
      <c r="K5" s="37"/>
      <c r="L5" s="37"/>
    </row>
    <row r="6" spans="1:12" x14ac:dyDescent="0.25">
      <c r="K6" s="37"/>
      <c r="L6" s="37"/>
    </row>
    <row r="7" spans="1:12" x14ac:dyDescent="0.25">
      <c r="G7" s="1"/>
      <c r="H7" s="1"/>
      <c r="I7" s="1"/>
      <c r="K7" s="37"/>
      <c r="L7" s="37"/>
    </row>
    <row r="8" spans="1:12" x14ac:dyDescent="0.25">
      <c r="A8" t="s">
        <v>0</v>
      </c>
      <c r="G8" s="1" t="s">
        <v>70</v>
      </c>
      <c r="H8" s="1"/>
      <c r="I8" s="1" t="s">
        <v>71</v>
      </c>
      <c r="K8" s="19"/>
      <c r="L8" s="19"/>
    </row>
    <row r="9" spans="1:12" x14ac:dyDescent="0.25">
      <c r="A9" s="3" t="s">
        <v>1</v>
      </c>
      <c r="C9" s="9" t="s">
        <v>2</v>
      </c>
      <c r="G9" s="2" t="s">
        <v>5</v>
      </c>
      <c r="H9" s="34"/>
      <c r="I9" s="2" t="s">
        <v>5</v>
      </c>
      <c r="K9" s="20" t="s">
        <v>23</v>
      </c>
      <c r="L9" s="19"/>
    </row>
    <row r="10" spans="1:12" x14ac:dyDescent="0.25">
      <c r="K10" s="19"/>
      <c r="L10" s="19"/>
    </row>
    <row r="11" spans="1:12" ht="18" x14ac:dyDescent="0.4">
      <c r="C11" s="4" t="s">
        <v>44</v>
      </c>
      <c r="K11" s="19"/>
      <c r="L11" s="19"/>
    </row>
    <row r="12" spans="1:12" x14ac:dyDescent="0.25">
      <c r="A12">
        <v>1</v>
      </c>
      <c r="C12" t="s">
        <v>526</v>
      </c>
      <c r="I12">
        <v>666675</v>
      </c>
      <c r="K12" s="19"/>
      <c r="L12" s="19"/>
    </row>
    <row r="13" spans="1:12" x14ac:dyDescent="0.25">
      <c r="A13">
        <v>2</v>
      </c>
      <c r="C13" t="s">
        <v>630</v>
      </c>
      <c r="G13">
        <f>GIS_Proj!I23</f>
        <v>-18156</v>
      </c>
      <c r="I13">
        <f>GIS_Proj!K23</f>
        <v>-7879</v>
      </c>
      <c r="K13" s="19" t="str">
        <f>GIS_Proj!O2</f>
        <v>Exhibit DMR-21</v>
      </c>
      <c r="L13" s="19"/>
    </row>
    <row r="14" spans="1:12" x14ac:dyDescent="0.25">
      <c r="A14">
        <v>3</v>
      </c>
      <c r="C14" s="40" t="s">
        <v>472</v>
      </c>
      <c r="G14">
        <f>1125000-1500000</f>
        <v>-375000</v>
      </c>
      <c r="K14" s="76" t="s">
        <v>212</v>
      </c>
      <c r="L14" s="19"/>
    </row>
    <row r="15" spans="1:12" x14ac:dyDescent="0.25">
      <c r="A15" s="19">
        <v>4</v>
      </c>
      <c r="B15" s="19"/>
      <c r="C15" s="76" t="s">
        <v>512</v>
      </c>
      <c r="G15" s="19">
        <v>1786610</v>
      </c>
      <c r="H15" s="19"/>
      <c r="I15" s="19"/>
      <c r="J15" s="19"/>
      <c r="K15" s="31" t="s">
        <v>471</v>
      </c>
      <c r="L15" s="19"/>
    </row>
    <row r="16" spans="1:12" x14ac:dyDescent="0.25">
      <c r="A16" s="19">
        <v>5</v>
      </c>
      <c r="B16" s="19"/>
      <c r="C16" s="40" t="s">
        <v>513</v>
      </c>
      <c r="G16">
        <v>-715518</v>
      </c>
      <c r="K16" s="76" t="s">
        <v>213</v>
      </c>
      <c r="L16" s="19"/>
    </row>
    <row r="17" spans="1:12" ht="16.5" thickBot="1" x14ac:dyDescent="0.3">
      <c r="A17">
        <v>6</v>
      </c>
      <c r="B17" s="19"/>
      <c r="C17" t="s">
        <v>48</v>
      </c>
      <c r="G17" s="24">
        <f>SUM(G14:G16)</f>
        <v>696092</v>
      </c>
      <c r="H17" s="26"/>
      <c r="I17" s="24">
        <f>SUM(I12:I16)</f>
        <v>658796</v>
      </c>
      <c r="K17" s="19"/>
      <c r="L17" s="19"/>
    </row>
    <row r="18" spans="1:12" ht="16.5" thickTop="1" x14ac:dyDescent="0.25">
      <c r="A18">
        <v>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ht="18" x14ac:dyDescent="0.4">
      <c r="A19" s="19">
        <v>8</v>
      </c>
      <c r="B19" s="19"/>
      <c r="C19" s="21" t="s">
        <v>58</v>
      </c>
      <c r="D19" s="19"/>
      <c r="E19" s="19"/>
      <c r="F19" s="19"/>
      <c r="G19" s="19"/>
      <c r="H19" s="19"/>
      <c r="I19" s="19"/>
      <c r="J19" s="19"/>
      <c r="K19" s="19"/>
      <c r="L19" s="19"/>
    </row>
    <row r="20" spans="1:12" x14ac:dyDescent="0.25">
      <c r="A20" s="19">
        <v>9</v>
      </c>
      <c r="B20" s="19"/>
      <c r="D20" s="19"/>
      <c r="E20" s="19"/>
      <c r="F20" s="19"/>
      <c r="G20" s="22"/>
      <c r="H20" s="39"/>
      <c r="I20" s="22"/>
      <c r="J20" s="19"/>
      <c r="K20" s="19"/>
      <c r="L20" s="19"/>
    </row>
    <row r="21" spans="1:12" ht="16.5" thickBot="1" x14ac:dyDescent="0.3">
      <c r="A21">
        <v>10</v>
      </c>
      <c r="B21" s="19"/>
      <c r="C21" t="s">
        <v>59</v>
      </c>
      <c r="D21" s="19"/>
      <c r="E21" s="19"/>
      <c r="F21" s="19"/>
      <c r="G21" s="23">
        <f>SUM(G20:G20)</f>
        <v>0</v>
      </c>
      <c r="H21" s="39"/>
      <c r="I21" s="23">
        <f>SUM(I20:I20)</f>
        <v>0</v>
      </c>
      <c r="J21" s="19"/>
      <c r="K21" s="19"/>
      <c r="L21" s="19"/>
    </row>
    <row r="22" spans="1:12" ht="16.5" thickTop="1" x14ac:dyDescent="0.25">
      <c r="A22">
        <v>11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18" x14ac:dyDescent="0.4">
      <c r="A23" s="19">
        <v>12</v>
      </c>
      <c r="B23" s="19"/>
      <c r="C23" s="21" t="s">
        <v>43</v>
      </c>
      <c r="D23" s="19"/>
      <c r="E23" s="19"/>
      <c r="F23" s="19"/>
      <c r="G23" s="19"/>
      <c r="H23" s="19"/>
      <c r="I23" s="19"/>
      <c r="J23" s="19"/>
      <c r="K23" s="19"/>
      <c r="L23" s="19"/>
    </row>
    <row r="24" spans="1:12" x14ac:dyDescent="0.25">
      <c r="A24" s="19">
        <v>13</v>
      </c>
      <c r="B24" s="19"/>
      <c r="C24" t="s">
        <v>527</v>
      </c>
      <c r="D24" s="19"/>
      <c r="E24" s="19"/>
      <c r="F24" s="19"/>
      <c r="G24" s="19"/>
      <c r="H24" s="19"/>
      <c r="I24" s="19">
        <v>1393033</v>
      </c>
      <c r="J24" s="19"/>
      <c r="K24" s="19"/>
      <c r="L24" s="19"/>
    </row>
    <row r="25" spans="1:12" x14ac:dyDescent="0.25">
      <c r="A25">
        <v>14</v>
      </c>
      <c r="B25" s="19"/>
      <c r="C25" t="s">
        <v>630</v>
      </c>
      <c r="D25" s="19"/>
      <c r="E25" s="19"/>
      <c r="F25" s="19"/>
      <c r="G25" s="19">
        <f>PAS_NOIadj!F31*0.5</f>
        <v>-605</v>
      </c>
      <c r="H25" s="19"/>
      <c r="I25" s="19">
        <f>PAS_NOIadj!H31*0.5</f>
        <v>-262.5</v>
      </c>
      <c r="J25" s="19"/>
      <c r="K25" s="19"/>
      <c r="L25" s="19"/>
    </row>
    <row r="26" spans="1:12" x14ac:dyDescent="0.25">
      <c r="A26">
        <v>15</v>
      </c>
      <c r="B26" s="19"/>
      <c r="C26" s="40" t="s">
        <v>472</v>
      </c>
      <c r="D26" s="19"/>
      <c r="E26" s="19"/>
      <c r="F26" s="19"/>
      <c r="G26" s="39">
        <f>1125000-17475</f>
        <v>1107525</v>
      </c>
      <c r="H26" s="19"/>
      <c r="I26" s="19"/>
      <c r="J26" s="19"/>
      <c r="K26" s="76" t="s">
        <v>212</v>
      </c>
      <c r="L26" s="19"/>
    </row>
    <row r="27" spans="1:12" x14ac:dyDescent="0.25">
      <c r="A27" s="19">
        <v>16</v>
      </c>
      <c r="B27" s="19"/>
      <c r="C27" s="40" t="s">
        <v>514</v>
      </c>
      <c r="D27" s="19"/>
      <c r="E27" s="19"/>
      <c r="F27" s="19"/>
      <c r="G27" s="19">
        <v>1786611</v>
      </c>
      <c r="H27" s="19"/>
      <c r="I27" s="19"/>
      <c r="J27" s="19"/>
      <c r="K27" s="31" t="s">
        <v>471</v>
      </c>
    </row>
    <row r="28" spans="1:12" x14ac:dyDescent="0.25">
      <c r="A28" s="19">
        <v>17</v>
      </c>
      <c r="B28" s="19"/>
      <c r="C28" s="40" t="s">
        <v>513</v>
      </c>
      <c r="D28" s="19"/>
      <c r="E28" s="19"/>
      <c r="F28" s="19"/>
      <c r="G28" s="19">
        <v>-275034</v>
      </c>
      <c r="H28" s="19"/>
      <c r="I28" s="19"/>
      <c r="J28" s="19"/>
      <c r="K28" s="76" t="s">
        <v>213</v>
      </c>
    </row>
    <row r="29" spans="1:12" x14ac:dyDescent="0.25">
      <c r="A29">
        <v>18</v>
      </c>
      <c r="B29" s="19"/>
      <c r="D29" s="19"/>
      <c r="E29" s="19"/>
      <c r="F29" s="19"/>
      <c r="G29" s="19"/>
      <c r="H29" s="19"/>
      <c r="I29" s="19"/>
      <c r="J29" s="19"/>
    </row>
    <row r="30" spans="1:12" ht="16.5" thickBot="1" x14ac:dyDescent="0.3">
      <c r="A30">
        <v>19</v>
      </c>
      <c r="B30" s="19"/>
      <c r="C30" s="20" t="s">
        <v>47</v>
      </c>
      <c r="D30" s="19"/>
      <c r="E30" s="19"/>
      <c r="F30" s="19"/>
      <c r="G30" s="23">
        <f>SUM(G24:G29)</f>
        <v>2618497</v>
      </c>
      <c r="H30" s="39"/>
      <c r="I30" s="23">
        <f>SUM(I24:I29)</f>
        <v>1392770.5</v>
      </c>
      <c r="J30" s="19"/>
    </row>
    <row r="31" spans="1:12" ht="16.5" thickTop="1" x14ac:dyDescent="0.25">
      <c r="A31" s="19">
        <v>20</v>
      </c>
      <c r="B31" s="19"/>
      <c r="C31" s="20"/>
      <c r="D31" s="19"/>
      <c r="E31" s="19"/>
      <c r="F31" s="19"/>
      <c r="G31" s="19"/>
      <c r="H31" s="19"/>
      <c r="I31" s="19"/>
      <c r="J31" s="19"/>
    </row>
    <row r="32" spans="1:12" ht="18" x14ac:dyDescent="0.4">
      <c r="A32" s="19">
        <v>21</v>
      </c>
      <c r="B32" s="19"/>
      <c r="C32" s="21" t="s">
        <v>515</v>
      </c>
      <c r="J32" s="19"/>
    </row>
    <row r="33" spans="1:11" x14ac:dyDescent="0.25">
      <c r="A33">
        <v>22</v>
      </c>
      <c r="C33" t="s">
        <v>528</v>
      </c>
      <c r="I33">
        <v>-46517</v>
      </c>
      <c r="J33" s="19"/>
    </row>
    <row r="34" spans="1:11" x14ac:dyDescent="0.25">
      <c r="A34">
        <v>23</v>
      </c>
      <c r="C34" s="40" t="s">
        <v>514</v>
      </c>
      <c r="G34">
        <v>156827</v>
      </c>
      <c r="J34" s="19"/>
      <c r="K34" s="31" t="s">
        <v>471</v>
      </c>
    </row>
    <row r="35" spans="1:11" x14ac:dyDescent="0.25">
      <c r="A35" s="19">
        <v>24</v>
      </c>
      <c r="C35" s="40" t="s">
        <v>513</v>
      </c>
      <c r="G35" s="3">
        <v>-160460</v>
      </c>
      <c r="I35" s="19"/>
      <c r="K35" s="6" t="s">
        <v>213</v>
      </c>
    </row>
    <row r="36" spans="1:11" ht="16.5" thickBot="1" x14ac:dyDescent="0.3">
      <c r="A36" s="19">
        <v>25</v>
      </c>
      <c r="C36" s="80" t="s">
        <v>516</v>
      </c>
      <c r="G36" s="24">
        <f>SUM(G34:G35)</f>
        <v>-3633</v>
      </c>
      <c r="I36" s="23">
        <f>SUM(I33:I35)</f>
        <v>-46517</v>
      </c>
    </row>
    <row r="37" spans="1:11" ht="16.5" thickTop="1" x14ac:dyDescent="0.25">
      <c r="A37">
        <v>26</v>
      </c>
      <c r="C37" s="80"/>
    </row>
    <row r="38" spans="1:11" ht="18" x14ac:dyDescent="0.4">
      <c r="A38">
        <v>27</v>
      </c>
      <c r="C38" s="89" t="s">
        <v>517</v>
      </c>
    </row>
    <row r="39" spans="1:11" x14ac:dyDescent="0.25">
      <c r="A39" s="19">
        <v>28</v>
      </c>
      <c r="C39" t="s">
        <v>529</v>
      </c>
      <c r="I39">
        <v>-19216</v>
      </c>
    </row>
    <row r="40" spans="1:11" x14ac:dyDescent="0.25">
      <c r="A40" s="19">
        <v>29</v>
      </c>
      <c r="C40" s="40" t="s">
        <v>514</v>
      </c>
      <c r="G40" s="26">
        <v>-156827</v>
      </c>
      <c r="K40" s="31" t="s">
        <v>471</v>
      </c>
    </row>
    <row r="41" spans="1:11" x14ac:dyDescent="0.25">
      <c r="A41">
        <v>30</v>
      </c>
      <c r="C41" s="40" t="s">
        <v>513</v>
      </c>
      <c r="G41" s="3">
        <f>-76787+160460</f>
        <v>83673</v>
      </c>
      <c r="I41" s="19"/>
      <c r="K41" s="6" t="s">
        <v>213</v>
      </c>
    </row>
    <row r="42" spans="1:11" ht="16.5" thickBot="1" x14ac:dyDescent="0.3">
      <c r="A42">
        <v>31</v>
      </c>
      <c r="C42" s="80" t="s">
        <v>474</v>
      </c>
      <c r="G42" s="24">
        <f>SUM(G40:G41)</f>
        <v>-73154</v>
      </c>
      <c r="I42" s="23">
        <f>SUM(I39:I41)</f>
        <v>-19216</v>
      </c>
    </row>
    <row r="43" spans="1:11" ht="16.5" thickTop="1" x14ac:dyDescent="0.25">
      <c r="A43" s="19">
        <v>32</v>
      </c>
      <c r="D43" s="19"/>
      <c r="E43" s="19"/>
      <c r="F43" s="19"/>
      <c r="G43" s="19"/>
      <c r="H43" s="19"/>
      <c r="I43" s="19"/>
    </row>
    <row r="44" spans="1:11" ht="18" x14ac:dyDescent="0.4">
      <c r="A44" s="19">
        <v>33</v>
      </c>
      <c r="C44" s="21" t="s">
        <v>51</v>
      </c>
      <c r="D44" s="19"/>
      <c r="E44" s="19"/>
      <c r="F44" s="19"/>
      <c r="G44" s="19"/>
      <c r="H44" s="19"/>
      <c r="I44" s="19"/>
    </row>
    <row r="45" spans="1:11" x14ac:dyDescent="0.25">
      <c r="A45" s="90">
        <v>34</v>
      </c>
      <c r="C45" s="31" t="s">
        <v>475</v>
      </c>
      <c r="D45" s="19"/>
      <c r="E45" s="19"/>
      <c r="F45" s="19"/>
      <c r="G45" s="22">
        <v>-180000</v>
      </c>
      <c r="H45" s="39"/>
      <c r="I45" s="22"/>
      <c r="K45" t="s">
        <v>476</v>
      </c>
    </row>
    <row r="46" spans="1:11" ht="16.5" thickBot="1" x14ac:dyDescent="0.3">
      <c r="A46" s="90">
        <v>35</v>
      </c>
      <c r="C46" s="20" t="s">
        <v>52</v>
      </c>
      <c r="D46" s="19"/>
      <c r="E46" s="19"/>
      <c r="F46" s="19"/>
      <c r="G46" s="23">
        <f>SUM(G44:G45)</f>
        <v>-180000</v>
      </c>
      <c r="H46" s="39"/>
      <c r="I46" s="23">
        <f>SUM(I44:I45)</f>
        <v>0</v>
      </c>
    </row>
    <row r="47" spans="1:11" ht="16.5" thickTop="1" x14ac:dyDescent="0.25"/>
    <row r="49" spans="3:3" x14ac:dyDescent="0.25">
      <c r="C49" s="6" t="s">
        <v>473</v>
      </c>
    </row>
    <row r="50" spans="3:3" x14ac:dyDescent="0.25">
      <c r="C50" s="6" t="s">
        <v>634</v>
      </c>
    </row>
  </sheetData>
  <pageMargins left="0.7" right="0.7" top="0.75" bottom="0.75" header="0.3" footer="0.3"/>
  <pageSetup scale="74" orientation="portrait" horizontalDpi="0" verticalDpi="0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workbookViewId="0">
      <selection activeCell="C26" sqref="C26"/>
    </sheetView>
  </sheetViews>
  <sheetFormatPr defaultRowHeight="15.75" x14ac:dyDescent="0.25"/>
  <cols>
    <col min="1" max="1" width="4.25" customWidth="1"/>
    <col min="2" max="2" width="1.375" customWidth="1"/>
    <col min="3" max="3" width="20.5" customWidth="1"/>
    <col min="4" max="4" width="1.125" customWidth="1"/>
    <col min="5" max="5" width="10.875" customWidth="1"/>
    <col min="6" max="6" width="1.125" customWidth="1"/>
    <col min="7" max="7" width="9.625" customWidth="1"/>
    <col min="8" max="8" width="1.125" customWidth="1"/>
    <col min="9" max="9" width="11.125" customWidth="1"/>
    <col min="10" max="10" width="0.75" customWidth="1"/>
    <col min="11" max="11" width="11.125" customWidth="1"/>
    <col min="12" max="12" width="0.75" customWidth="1"/>
    <col min="13" max="13" width="9.625" customWidth="1"/>
    <col min="14" max="14" width="0.75" customWidth="1"/>
    <col min="15" max="15" width="9.75" customWidth="1"/>
    <col min="16" max="16" width="0.75" customWidth="1"/>
    <col min="17" max="17" width="10" customWidth="1"/>
    <col min="18" max="18" width="6.125" customWidth="1"/>
  </cols>
  <sheetData>
    <row r="1" spans="1:18" x14ac:dyDescent="0.25">
      <c r="A1" t="str">
        <f>CL_wRR!A1</f>
        <v>Utilities, Inc. of Florida</v>
      </c>
      <c r="Q1" s="37"/>
      <c r="R1" s="33" t="str">
        <f>Exh_DR_16_PAS!$E$1</f>
        <v>Docket No. 160101-WS</v>
      </c>
    </row>
    <row r="2" spans="1:18" x14ac:dyDescent="0.25">
      <c r="A2" t="s">
        <v>174</v>
      </c>
      <c r="Q2" s="37"/>
      <c r="R2" s="33" t="str">
        <f>Exh_DR_16_PAS!$E$2</f>
        <v>Exhibit DMR-16</v>
      </c>
    </row>
    <row r="3" spans="1:18" x14ac:dyDescent="0.25">
      <c r="A3" t="str">
        <f>CL_wRR!A3</f>
        <v>Test Year Ended December 31, 2015</v>
      </c>
      <c r="Q3" s="37"/>
      <c r="R3" s="33" t="str">
        <f>Exh_DR_16_PAS!$E$3</f>
        <v>Pasco County Revenue Requirement</v>
      </c>
    </row>
    <row r="4" spans="1:18" x14ac:dyDescent="0.25">
      <c r="Q4" s="38" t="s">
        <v>222</v>
      </c>
      <c r="R4" s="33" t="str">
        <f>Exh_DR_16_PAS!$E$4</f>
        <v>of 10</v>
      </c>
    </row>
    <row r="5" spans="1:18" x14ac:dyDescent="0.25">
      <c r="A5" t="s">
        <v>199</v>
      </c>
    </row>
    <row r="8" spans="1:18" x14ac:dyDescent="0.25">
      <c r="Q8" s="1" t="s">
        <v>8</v>
      </c>
    </row>
    <row r="9" spans="1:18" x14ac:dyDescent="0.25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8" x14ac:dyDescent="0.4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25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25">
      <c r="A13">
        <v>1</v>
      </c>
      <c r="C13" t="s">
        <v>206</v>
      </c>
      <c r="E13">
        <v>2431305</v>
      </c>
      <c r="G13" s="64">
        <f>E13/$E$20</f>
        <v>0.41690651645511018</v>
      </c>
      <c r="I13">
        <f>K13-E13</f>
        <v>-1243179.2399626472</v>
      </c>
      <c r="K13">
        <f>($K$20-$K$16-$K$17-$K$18)*(E13/SUM($E$13:$E$15))</f>
        <v>1188125.7600373528</v>
      </c>
      <c r="M13" s="64">
        <f>K13/$K$20</f>
        <v>0.37863523775643898</v>
      </c>
      <c r="O13" s="64">
        <v>6.7000000000000004E-2</v>
      </c>
      <c r="P13" s="8"/>
      <c r="Q13" s="64">
        <f>M13*O13</f>
        <v>2.5368560929681414E-2</v>
      </c>
    </row>
    <row r="14" spans="1:18" x14ac:dyDescent="0.25">
      <c r="A14">
        <v>2</v>
      </c>
      <c r="C14" t="s">
        <v>207</v>
      </c>
      <c r="E14">
        <v>230903</v>
      </c>
      <c r="G14" s="64">
        <f t="shared" ref="G14:G18" si="0">E14/$E$20</f>
        <v>3.9593948669144473E-2</v>
      </c>
      <c r="I14">
        <f t="shared" ref="I14:I15" si="1">K14-E14</f>
        <v>-118065.73673195882</v>
      </c>
      <c r="K14">
        <f t="shared" ref="K14:K15" si="2">($K$20-$K$16-$K$17-$K$18)*(E14/SUM($E$13:$E$15))</f>
        <v>112837.26326804118</v>
      </c>
      <c r="M14" s="64">
        <f t="shared" ref="M14:M18" si="3">K14/$K$20</f>
        <v>3.5959294413360321E-2</v>
      </c>
      <c r="O14" s="8">
        <v>2.3199999999999998E-2</v>
      </c>
      <c r="P14" s="8"/>
      <c r="Q14" s="64">
        <f t="shared" ref="Q14:Q18" si="4">M14*O14</f>
        <v>8.3425563038995942E-4</v>
      </c>
    </row>
    <row r="15" spans="1:18" x14ac:dyDescent="0.25">
      <c r="A15">
        <v>3</v>
      </c>
      <c r="C15" t="s">
        <v>208</v>
      </c>
      <c r="E15">
        <v>2585590</v>
      </c>
      <c r="G15" s="64">
        <f t="shared" si="0"/>
        <v>0.44336244110926776</v>
      </c>
      <c r="I15">
        <f t="shared" si="1"/>
        <v>-1322068.523305394</v>
      </c>
      <c r="K15">
        <f t="shared" si="2"/>
        <v>1263521.476694606</v>
      </c>
      <c r="M15" s="64">
        <f t="shared" si="3"/>
        <v>0.40266255545506263</v>
      </c>
      <c r="O15" s="8">
        <v>0.104</v>
      </c>
      <c r="P15" s="8"/>
      <c r="Q15" s="64">
        <f t="shared" si="4"/>
        <v>4.1876905767326514E-2</v>
      </c>
    </row>
    <row r="16" spans="1:18" x14ac:dyDescent="0.25">
      <c r="A16">
        <v>4</v>
      </c>
      <c r="C16" t="s">
        <v>209</v>
      </c>
      <c r="E16">
        <v>22434</v>
      </c>
      <c r="G16" s="64">
        <f t="shared" si="0"/>
        <v>3.8468562315932971E-3</v>
      </c>
      <c r="K16">
        <f>E16+I16</f>
        <v>22434</v>
      </c>
      <c r="M16" s="64">
        <f t="shared" si="3"/>
        <v>7.1493298180496517E-3</v>
      </c>
      <c r="O16" s="8">
        <v>0.02</v>
      </c>
      <c r="P16" s="8"/>
      <c r="Q16" s="64">
        <f t="shared" si="4"/>
        <v>1.4298659636099303E-4</v>
      </c>
    </row>
    <row r="17" spans="1:17" x14ac:dyDescent="0.25">
      <c r="A17">
        <v>5</v>
      </c>
      <c r="C17" t="s">
        <v>210</v>
      </c>
      <c r="E17">
        <v>34269</v>
      </c>
      <c r="G17" s="64">
        <f t="shared" si="0"/>
        <v>5.8762555139730182E-3</v>
      </c>
      <c r="K17">
        <f>E17+I17</f>
        <v>34269</v>
      </c>
      <c r="M17" s="64">
        <f t="shared" si="3"/>
        <v>1.0920940694247282E-2</v>
      </c>
      <c r="O17" s="8">
        <v>0</v>
      </c>
      <c r="P17" s="8"/>
      <c r="Q17" s="64">
        <f t="shared" si="4"/>
        <v>0</v>
      </c>
    </row>
    <row r="18" spans="1:17" x14ac:dyDescent="0.25">
      <c r="A18">
        <v>6</v>
      </c>
      <c r="C18" t="s">
        <v>211</v>
      </c>
      <c r="E18" s="3">
        <v>527274</v>
      </c>
      <c r="G18" s="68">
        <f t="shared" si="0"/>
        <v>9.0413982020911304E-2</v>
      </c>
      <c r="I18">
        <v>-10545</v>
      </c>
      <c r="K18" s="3">
        <f>E18+I18</f>
        <v>516729</v>
      </c>
      <c r="M18" s="68">
        <f t="shared" si="3"/>
        <v>0.16467264186284117</v>
      </c>
      <c r="O18" s="8">
        <v>0</v>
      </c>
      <c r="P18" s="8"/>
      <c r="Q18" s="68">
        <f t="shared" si="4"/>
        <v>0</v>
      </c>
    </row>
    <row r="20" spans="1:17" ht="16.5" thickBot="1" x14ac:dyDescent="0.3">
      <c r="A20">
        <v>7</v>
      </c>
      <c r="C20" t="s">
        <v>189</v>
      </c>
      <c r="E20">
        <f>SUM(E13:E19)</f>
        <v>5831775</v>
      </c>
      <c r="G20" s="8">
        <f>SUM(G13:G19)</f>
        <v>1</v>
      </c>
      <c r="K20">
        <f>PAS_wRB!I23+PAS_wwRB!I23</f>
        <v>3137916.5</v>
      </c>
      <c r="M20" s="8">
        <f>SUM(M13:M19)</f>
        <v>1</v>
      </c>
      <c r="Q20" s="71">
        <f>ROUND(SUM(Q13:Q19),4)</f>
        <v>6.8199999999999997E-2</v>
      </c>
    </row>
    <row r="21" spans="1:17" ht="16.5" thickTop="1" x14ac:dyDescent="0.25"/>
    <row r="22" spans="1:17" ht="18" x14ac:dyDescent="0.4">
      <c r="C22" s="4" t="s">
        <v>50</v>
      </c>
    </row>
    <row r="23" spans="1:17" x14ac:dyDescent="0.25">
      <c r="C23" t="s">
        <v>217</v>
      </c>
    </row>
    <row r="24" spans="1:17" x14ac:dyDescent="0.25">
      <c r="C24" t="s">
        <v>335</v>
      </c>
    </row>
    <row r="25" spans="1:17" x14ac:dyDescent="0.25">
      <c r="C25" t="s">
        <v>635</v>
      </c>
    </row>
  </sheetData>
  <pageMargins left="0.7" right="0.7" top="0.75" bottom="0.75" header="0.3" footer="0.3"/>
  <pageSetup scale="77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opLeftCell="A18" workbookViewId="0">
      <selection activeCell="E25" sqref="E25"/>
    </sheetView>
  </sheetViews>
  <sheetFormatPr defaultRowHeight="15.75" x14ac:dyDescent="0.25"/>
  <cols>
    <col min="1" max="1" width="4.375" customWidth="1"/>
    <col min="2" max="2" width="1.625" customWidth="1"/>
    <col min="3" max="3" width="47" customWidth="1"/>
    <col min="4" max="4" width="7.5" customWidth="1"/>
    <col min="5" max="5" width="12.125" customWidth="1"/>
    <col min="6" max="6" width="1.375" customWidth="1"/>
    <col min="7" max="7" width="13.875" customWidth="1"/>
    <col min="8" max="8" width="5.25" customWidth="1"/>
  </cols>
  <sheetData>
    <row r="1" spans="1:8" x14ac:dyDescent="0.25">
      <c r="A1" t="str">
        <f>CL_wRR!A1</f>
        <v>Utilities, Inc. of Florida</v>
      </c>
      <c r="H1" s="33" t="str">
        <f>ExhDR4_ER_TOC!$E$1</f>
        <v>Docket No. 160101-WS</v>
      </c>
    </row>
    <row r="2" spans="1:8" x14ac:dyDescent="0.25">
      <c r="A2" t="s">
        <v>109</v>
      </c>
      <c r="H2" s="33" t="str">
        <f>ExhDR4_ER_TOC!$E$2</f>
        <v>Exhibit DMR-4</v>
      </c>
    </row>
    <row r="3" spans="1:8" x14ac:dyDescent="0.25">
      <c r="A3" t="str">
        <f>CL_wRR!A3</f>
        <v>Test Year Ended December 31, 2015</v>
      </c>
      <c r="H3" s="33" t="str">
        <f>ExhDR4_ER_TOC!$E$3</f>
        <v>Eagle Ridge Revenue Requirement</v>
      </c>
    </row>
    <row r="4" spans="1:8" x14ac:dyDescent="0.25">
      <c r="G4" s="33" t="s">
        <v>80</v>
      </c>
      <c r="H4" s="33" t="str">
        <f>ExhDR4_ER_TOC!$E$4</f>
        <v>of 7</v>
      </c>
    </row>
    <row r="5" spans="1:8" x14ac:dyDescent="0.25">
      <c r="A5" t="s">
        <v>45</v>
      </c>
    </row>
    <row r="8" spans="1:8" x14ac:dyDescent="0.25">
      <c r="A8" t="s">
        <v>0</v>
      </c>
      <c r="G8" s="1"/>
    </row>
    <row r="9" spans="1:8" ht="18" x14ac:dyDescent="0.4">
      <c r="A9" s="3" t="s">
        <v>1</v>
      </c>
      <c r="C9" s="4" t="s">
        <v>2</v>
      </c>
      <c r="E9" s="2" t="s">
        <v>5</v>
      </c>
      <c r="F9" s="34"/>
      <c r="G9" s="4" t="s">
        <v>23</v>
      </c>
    </row>
    <row r="11" spans="1:8" ht="18" x14ac:dyDescent="0.4">
      <c r="C11" s="4" t="s">
        <v>73</v>
      </c>
    </row>
    <row r="12" spans="1:8" x14ac:dyDescent="0.25">
      <c r="A12">
        <v>1</v>
      </c>
    </row>
    <row r="13" spans="1:8" ht="16.5" thickBot="1" x14ac:dyDescent="0.3">
      <c r="A13">
        <v>2</v>
      </c>
      <c r="C13" t="s">
        <v>111</v>
      </c>
      <c r="E13" s="24">
        <f>SUM(E12:E12)</f>
        <v>0</v>
      </c>
      <c r="F13" s="26"/>
    </row>
    <row r="14" spans="1:8" ht="16.5" thickTop="1" x14ac:dyDescent="0.25">
      <c r="A14">
        <v>3</v>
      </c>
    </row>
    <row r="15" spans="1:8" ht="18" x14ac:dyDescent="0.4">
      <c r="A15">
        <v>4</v>
      </c>
      <c r="C15" s="4" t="s">
        <v>49</v>
      </c>
    </row>
    <row r="16" spans="1:8" x14ac:dyDescent="0.25">
      <c r="A16">
        <v>5</v>
      </c>
      <c r="C16" t="s">
        <v>295</v>
      </c>
      <c r="E16">
        <f>58475-74992</f>
        <v>-16517</v>
      </c>
      <c r="G16" t="s">
        <v>198</v>
      </c>
    </row>
    <row r="17" spans="1:7" x14ac:dyDescent="0.25">
      <c r="A17">
        <v>6</v>
      </c>
      <c r="C17" t="s">
        <v>298</v>
      </c>
      <c r="E17">
        <f>37241-44507</f>
        <v>-7266</v>
      </c>
      <c r="G17" t="s">
        <v>198</v>
      </c>
    </row>
    <row r="18" spans="1:7" x14ac:dyDescent="0.25">
      <c r="A18">
        <v>7</v>
      </c>
      <c r="C18" t="s">
        <v>369</v>
      </c>
      <c r="E18">
        <v>-11043</v>
      </c>
      <c r="G18" t="s">
        <v>370</v>
      </c>
    </row>
    <row r="19" spans="1:7" x14ac:dyDescent="0.25">
      <c r="A19">
        <v>8</v>
      </c>
      <c r="C19" t="s">
        <v>293</v>
      </c>
      <c r="E19" s="26">
        <f>212</f>
        <v>212</v>
      </c>
      <c r="F19" s="26"/>
      <c r="G19" t="s">
        <v>198</v>
      </c>
    </row>
    <row r="20" spans="1:7" x14ac:dyDescent="0.25">
      <c r="A20">
        <v>9</v>
      </c>
      <c r="C20" t="s">
        <v>290</v>
      </c>
      <c r="E20" s="5">
        <f>'WSC-Ins'!I13</f>
        <v>-1039</v>
      </c>
      <c r="F20" s="5"/>
      <c r="G20" t="str">
        <f>'WSC-Ins'!J2</f>
        <v>Exhibit DMR-19</v>
      </c>
    </row>
    <row r="21" spans="1:7" x14ac:dyDescent="0.25">
      <c r="A21">
        <v>10</v>
      </c>
      <c r="C21" t="s">
        <v>291</v>
      </c>
      <c r="E21" s="5">
        <f>WSCs_Dep!I13</f>
        <v>-3291</v>
      </c>
      <c r="F21" s="5"/>
      <c r="G21" t="str">
        <f>WSCs_Dep!J2</f>
        <v>Exhibit DMR-20</v>
      </c>
    </row>
    <row r="22" spans="1:7" ht="16.5" thickBot="1" x14ac:dyDescent="0.3">
      <c r="A22">
        <v>11</v>
      </c>
      <c r="C22" t="s">
        <v>111</v>
      </c>
      <c r="E22" s="24">
        <f>SUM(E16:E21)</f>
        <v>-38944</v>
      </c>
      <c r="F22" s="26"/>
    </row>
    <row r="23" spans="1:7" ht="16.5" thickTop="1" x14ac:dyDescent="0.25">
      <c r="A23">
        <v>12</v>
      </c>
    </row>
    <row r="24" spans="1:7" ht="18" x14ac:dyDescent="0.4">
      <c r="A24">
        <v>13</v>
      </c>
      <c r="C24" s="4" t="s">
        <v>46</v>
      </c>
    </row>
    <row r="25" spans="1:7" x14ac:dyDescent="0.25">
      <c r="A25">
        <v>14</v>
      </c>
      <c r="C25" t="s">
        <v>630</v>
      </c>
      <c r="E25">
        <f>GIS_Proj!O11</f>
        <v>-2666</v>
      </c>
      <c r="G25" t="str">
        <f>GIS_Proj!O2</f>
        <v>Exhibit DMR-21</v>
      </c>
    </row>
    <row r="26" spans="1:7" x14ac:dyDescent="0.25">
      <c r="A26">
        <v>15</v>
      </c>
      <c r="C26" t="s">
        <v>579</v>
      </c>
      <c r="E26">
        <f>ER_Plant!I27</f>
        <v>-11495</v>
      </c>
      <c r="G26" t="str">
        <f>ER_Plant!I4</f>
        <v>Page 7</v>
      </c>
    </row>
    <row r="27" spans="1:7" x14ac:dyDescent="0.25">
      <c r="A27">
        <v>16</v>
      </c>
      <c r="C27" t="s">
        <v>580</v>
      </c>
      <c r="E27" s="3">
        <f>ER_Plant!I43</f>
        <v>357</v>
      </c>
      <c r="F27" s="26"/>
      <c r="G27" t="str">
        <f>G26</f>
        <v>Page 7</v>
      </c>
    </row>
    <row r="28" spans="1:7" ht="16.5" thickBot="1" x14ac:dyDescent="0.3">
      <c r="A28">
        <v>17</v>
      </c>
      <c r="C28" t="s">
        <v>111</v>
      </c>
      <c r="E28" s="24">
        <f>SUM(E27:E27)</f>
        <v>357</v>
      </c>
      <c r="F28" s="26"/>
    </row>
    <row r="29" spans="1:7" ht="16.5" thickTop="1" x14ac:dyDescent="0.25">
      <c r="A29">
        <v>18</v>
      </c>
    </row>
    <row r="30" spans="1:7" ht="18" x14ac:dyDescent="0.4">
      <c r="A30">
        <v>19</v>
      </c>
      <c r="C30" s="4" t="s">
        <v>60</v>
      </c>
    </row>
    <row r="31" spans="1:7" x14ac:dyDescent="0.25">
      <c r="A31">
        <v>20</v>
      </c>
      <c r="C31" s="40" t="s">
        <v>615</v>
      </c>
      <c r="E31">
        <f>ROUND((ER_wwRB!G12+ER_wwRB!G16)*0.0161,0)</f>
        <v>-4328</v>
      </c>
    </row>
    <row r="32" spans="1:7" x14ac:dyDescent="0.25">
      <c r="A32">
        <v>21</v>
      </c>
      <c r="C32" s="40" t="s">
        <v>89</v>
      </c>
      <c r="E32">
        <f>ROUND(E13*0.045,0)</f>
        <v>0</v>
      </c>
    </row>
    <row r="33" spans="1:6" ht="16.5" thickBot="1" x14ac:dyDescent="0.3">
      <c r="A33">
        <v>22</v>
      </c>
      <c r="C33" t="s">
        <v>111</v>
      </c>
      <c r="E33" s="24">
        <f>SUM(E31:E32)</f>
        <v>-4328</v>
      </c>
    </row>
    <row r="34" spans="1:6" ht="16.5" thickTop="1" x14ac:dyDescent="0.25">
      <c r="A34">
        <v>23</v>
      </c>
      <c r="F34" s="26"/>
    </row>
    <row r="35" spans="1:6" ht="18" x14ac:dyDescent="0.4">
      <c r="A35">
        <v>24</v>
      </c>
      <c r="C35" s="4" t="s">
        <v>79</v>
      </c>
    </row>
    <row r="36" spans="1:6" x14ac:dyDescent="0.25">
      <c r="A36">
        <v>25</v>
      </c>
      <c r="C36" s="40" t="s">
        <v>115</v>
      </c>
      <c r="E36">
        <f>ER_wwRB!G23*0.0274*-0.3763</f>
        <v>3625.5129999800001</v>
      </c>
    </row>
    <row r="37" spans="1:6" x14ac:dyDescent="0.25">
      <c r="A37">
        <v>26</v>
      </c>
      <c r="C37" s="40" t="s">
        <v>90</v>
      </c>
      <c r="E37">
        <f>ROUND((E13-E22-E28-E33)*0.3763,0)</f>
        <v>16149</v>
      </c>
    </row>
    <row r="38" spans="1:6" ht="16.5" thickBot="1" x14ac:dyDescent="0.3">
      <c r="A38">
        <v>27</v>
      </c>
      <c r="C38" t="s">
        <v>111</v>
      </c>
      <c r="E38" s="24">
        <f>SUM(E36:E37)</f>
        <v>19774.512999980001</v>
      </c>
    </row>
    <row r="39" spans="1:6" ht="16.5" thickTop="1" x14ac:dyDescent="0.25">
      <c r="F39" s="26"/>
    </row>
    <row r="40" spans="1:6" x14ac:dyDescent="0.25">
      <c r="C40" s="6" t="s">
        <v>117</v>
      </c>
    </row>
    <row r="41" spans="1:6" x14ac:dyDescent="0.25">
      <c r="C41" t="s">
        <v>116</v>
      </c>
    </row>
  </sheetData>
  <pageMargins left="0.7" right="0.7" top="0.75" bottom="0.75" header="0.3" footer="0.3"/>
  <pageSetup scale="91" orientation="portrait" horizontalDpi="0" verticalDpi="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selection activeCell="C30" sqref="C30"/>
    </sheetView>
  </sheetViews>
  <sheetFormatPr defaultRowHeight="15.75" x14ac:dyDescent="0.25"/>
  <cols>
    <col min="1" max="1" width="4.25" customWidth="1"/>
    <col min="2" max="2" width="1.375" customWidth="1"/>
    <col min="3" max="3" width="51.375" customWidth="1"/>
    <col min="4" max="4" width="6.5" customWidth="1"/>
    <col min="5" max="5" width="2.625" customWidth="1"/>
    <col min="6" max="6" width="2.25" customWidth="1"/>
    <col min="7" max="7" width="14.875" customWidth="1"/>
    <col min="8" max="8" width="6" customWidth="1"/>
  </cols>
  <sheetData>
    <row r="1" spans="1:8" x14ac:dyDescent="0.25">
      <c r="A1" t="str">
        <f>CL_wRR!A1</f>
        <v>Utilities, Inc. of Florida</v>
      </c>
      <c r="G1" s="37"/>
      <c r="H1" s="33" t="str">
        <f>Exh_DR_16_PAS!$E$1</f>
        <v>Docket No. 160101-WS</v>
      </c>
    </row>
    <row r="2" spans="1:8" x14ac:dyDescent="0.25">
      <c r="A2" t="s">
        <v>174</v>
      </c>
      <c r="G2" s="37"/>
      <c r="H2" s="33" t="str">
        <f>Exh_DR_16_PAS!$E$2</f>
        <v>Exhibit DMR-16</v>
      </c>
    </row>
    <row r="3" spans="1:8" x14ac:dyDescent="0.25">
      <c r="A3" t="str">
        <f>CL_wRR!A3</f>
        <v>Test Year Ended December 31, 2015</v>
      </c>
      <c r="G3" s="37"/>
      <c r="H3" s="33" t="str">
        <f>Exh_DR_16_PAS!$E$3</f>
        <v>Pasco County Revenue Requirement</v>
      </c>
    </row>
    <row r="4" spans="1:8" x14ac:dyDescent="0.25">
      <c r="G4" s="38" t="s">
        <v>345</v>
      </c>
      <c r="H4" s="33" t="str">
        <f>Exh_DR_16_PAS!$E$4</f>
        <v>of 10</v>
      </c>
    </row>
    <row r="5" spans="1:8" x14ac:dyDescent="0.25">
      <c r="A5" t="s">
        <v>481</v>
      </c>
    </row>
    <row r="9" spans="1:8" x14ac:dyDescent="0.25">
      <c r="A9" t="s">
        <v>0</v>
      </c>
    </row>
    <row r="10" spans="1:8" x14ac:dyDescent="0.25">
      <c r="A10" s="3" t="s">
        <v>1</v>
      </c>
      <c r="C10" s="3" t="s">
        <v>2</v>
      </c>
      <c r="G10" s="2" t="s">
        <v>5</v>
      </c>
    </row>
    <row r="12" spans="1:8" x14ac:dyDescent="0.25">
      <c r="A12">
        <v>1</v>
      </c>
      <c r="C12" t="s">
        <v>482</v>
      </c>
      <c r="G12">
        <f>26379000+980000</f>
        <v>27359000</v>
      </c>
    </row>
    <row r="13" spans="1:8" x14ac:dyDescent="0.25">
      <c r="A13">
        <v>2</v>
      </c>
      <c r="C13" t="s">
        <v>484</v>
      </c>
      <c r="G13">
        <f>G12*0.1</f>
        <v>2735900</v>
      </c>
    </row>
    <row r="14" spans="1:8" x14ac:dyDescent="0.25">
      <c r="A14">
        <v>3</v>
      </c>
      <c r="C14" t="s">
        <v>485</v>
      </c>
      <c r="G14" s="3">
        <f>G12*0.1</f>
        <v>2735900</v>
      </c>
    </row>
    <row r="15" spans="1:8" x14ac:dyDescent="0.25">
      <c r="A15">
        <v>4</v>
      </c>
      <c r="C15" t="s">
        <v>486</v>
      </c>
      <c r="G15">
        <f>SUM(G12:G14)</f>
        <v>32830800</v>
      </c>
    </row>
    <row r="16" spans="1:8" x14ac:dyDescent="0.25">
      <c r="A16">
        <v>5</v>
      </c>
      <c r="C16" t="s">
        <v>487</v>
      </c>
      <c r="G16" s="85">
        <v>3.57</v>
      </c>
    </row>
    <row r="18" spans="1:7" x14ac:dyDescent="0.25">
      <c r="A18">
        <v>6</v>
      </c>
      <c r="C18" t="s">
        <v>488</v>
      </c>
      <c r="G18" s="86">
        <f>ROUND(G15*G16/1000,0)</f>
        <v>117206</v>
      </c>
    </row>
    <row r="25" spans="1:7" ht="18" x14ac:dyDescent="0.4">
      <c r="C25" s="4" t="s">
        <v>50</v>
      </c>
    </row>
    <row r="26" spans="1:7" x14ac:dyDescent="0.25">
      <c r="C26" t="s">
        <v>483</v>
      </c>
    </row>
    <row r="27" spans="1:7" x14ac:dyDescent="0.25">
      <c r="C27" t="s">
        <v>725</v>
      </c>
    </row>
    <row r="28" spans="1:7" x14ac:dyDescent="0.25">
      <c r="C28" t="s">
        <v>724</v>
      </c>
    </row>
    <row r="29" spans="1:7" x14ac:dyDescent="0.25">
      <c r="C29" t="s">
        <v>727</v>
      </c>
    </row>
    <row r="30" spans="1:7" x14ac:dyDescent="0.25">
      <c r="C30" t="s">
        <v>726</v>
      </c>
    </row>
  </sheetData>
  <pageMargins left="0.7" right="0.7" top="0.75" bottom="0.75" header="0.3" footer="0.3"/>
  <pageSetup scale="95" orientation="portrait" horizontalDpi="0" verticalDpi="0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workbookViewId="0">
      <selection activeCell="H15" sqref="H15"/>
    </sheetView>
  </sheetViews>
  <sheetFormatPr defaultRowHeight="15.75" x14ac:dyDescent="0.25"/>
  <cols>
    <col min="1" max="1" width="4.25" customWidth="1"/>
    <col min="2" max="2" width="1.375" customWidth="1"/>
    <col min="3" max="3" width="51.375" customWidth="1"/>
    <col min="4" max="4" width="6.5" customWidth="1"/>
    <col min="5" max="5" width="12.875" customWidth="1"/>
    <col min="6" max="6" width="2.25" customWidth="1"/>
    <col min="7" max="7" width="14.875" customWidth="1"/>
    <col min="8" max="8" width="6.5" customWidth="1"/>
  </cols>
  <sheetData>
    <row r="1" spans="1:8" x14ac:dyDescent="0.25">
      <c r="A1" t="str">
        <f>CL_wRR!A1</f>
        <v>Utilities, Inc. of Florida</v>
      </c>
      <c r="G1" s="37"/>
      <c r="H1" s="33" t="str">
        <f>Exh_DR_16_PAS!$E$1</f>
        <v>Docket No. 160101-WS</v>
      </c>
    </row>
    <row r="2" spans="1:8" x14ac:dyDescent="0.25">
      <c r="A2" t="s">
        <v>174</v>
      </c>
      <c r="G2" s="37"/>
      <c r="H2" s="33" t="str">
        <f>Exh_DR_16_PAS!$E$2</f>
        <v>Exhibit DMR-16</v>
      </c>
    </row>
    <row r="3" spans="1:8" x14ac:dyDescent="0.25">
      <c r="A3" t="str">
        <f>CL_wRR!A3</f>
        <v>Test Year Ended December 31, 2015</v>
      </c>
      <c r="G3" s="37"/>
      <c r="H3" s="33" t="str">
        <f>Exh_DR_16_PAS!$E$3</f>
        <v>Pasco County Revenue Requirement</v>
      </c>
    </row>
    <row r="4" spans="1:8" x14ac:dyDescent="0.25">
      <c r="G4" s="38" t="s">
        <v>428</v>
      </c>
      <c r="H4" s="33" t="str">
        <f>Exh_DR_16_PAS!$E$4</f>
        <v>of 10</v>
      </c>
    </row>
    <row r="5" spans="1:8" x14ac:dyDescent="0.25">
      <c r="A5" t="s">
        <v>489</v>
      </c>
      <c r="G5" s="38"/>
      <c r="H5" s="33"/>
    </row>
    <row r="6" spans="1:8" x14ac:dyDescent="0.25">
      <c r="G6" s="38"/>
      <c r="H6" s="33"/>
    </row>
    <row r="8" spans="1:8" x14ac:dyDescent="0.25">
      <c r="E8" s="1" t="s">
        <v>5</v>
      </c>
      <c r="G8" s="1" t="s">
        <v>494</v>
      </c>
    </row>
    <row r="9" spans="1:8" x14ac:dyDescent="0.25">
      <c r="A9" t="s">
        <v>0</v>
      </c>
      <c r="E9" s="1" t="s">
        <v>492</v>
      </c>
      <c r="G9" s="1" t="s">
        <v>495</v>
      </c>
    </row>
    <row r="10" spans="1:8" x14ac:dyDescent="0.25">
      <c r="A10" s="3" t="s">
        <v>1</v>
      </c>
      <c r="C10" s="3" t="s">
        <v>2</v>
      </c>
      <c r="E10" s="2" t="s">
        <v>493</v>
      </c>
      <c r="G10" s="2" t="s">
        <v>5</v>
      </c>
    </row>
    <row r="11" spans="1:8" x14ac:dyDescent="0.25">
      <c r="E11" s="87" t="s">
        <v>212</v>
      </c>
      <c r="G11" s="87" t="s">
        <v>213</v>
      </c>
    </row>
    <row r="12" spans="1:8" x14ac:dyDescent="0.25">
      <c r="E12" s="87"/>
      <c r="G12" s="87"/>
    </row>
    <row r="13" spans="1:8" x14ac:dyDescent="0.25">
      <c r="A13">
        <v>1</v>
      </c>
      <c r="C13" t="s">
        <v>496</v>
      </c>
      <c r="E13">
        <v>363697</v>
      </c>
      <c r="G13">
        <v>363697</v>
      </c>
    </row>
    <row r="14" spans="1:8" x14ac:dyDescent="0.25">
      <c r="A14">
        <v>2</v>
      </c>
      <c r="C14" s="6" t="s">
        <v>509</v>
      </c>
      <c r="G14">
        <f>-G34</f>
        <v>-23803</v>
      </c>
    </row>
    <row r="15" spans="1:8" x14ac:dyDescent="0.25">
      <c r="A15">
        <v>3</v>
      </c>
      <c r="C15" t="s">
        <v>497</v>
      </c>
      <c r="E15">
        <v>-5000</v>
      </c>
      <c r="G15">
        <v>-5000</v>
      </c>
    </row>
    <row r="16" spans="1:8" x14ac:dyDescent="0.25">
      <c r="A16">
        <v>4</v>
      </c>
      <c r="C16" t="s">
        <v>490</v>
      </c>
      <c r="E16" s="3">
        <v>200000</v>
      </c>
      <c r="G16" s="3">
        <v>0</v>
      </c>
    </row>
    <row r="17" spans="1:7" x14ac:dyDescent="0.25">
      <c r="A17">
        <v>5</v>
      </c>
      <c r="C17" t="s">
        <v>491</v>
      </c>
      <c r="E17">
        <f>SUM(E13:E16)</f>
        <v>558697</v>
      </c>
      <c r="G17">
        <f>SUM(G13:G16)</f>
        <v>334894</v>
      </c>
    </row>
    <row r="19" spans="1:7" x14ac:dyDescent="0.25">
      <c r="A19">
        <v>6</v>
      </c>
      <c r="C19" t="s">
        <v>498</v>
      </c>
      <c r="E19" s="68">
        <v>7.22E-2</v>
      </c>
      <c r="G19" s="68">
        <v>7.22E-2</v>
      </c>
    </row>
    <row r="21" spans="1:7" x14ac:dyDescent="0.25">
      <c r="A21">
        <v>7</v>
      </c>
      <c r="C21" t="s">
        <v>500</v>
      </c>
      <c r="E21">
        <f>(E13+E14+E15)*E19</f>
        <v>25897.9234</v>
      </c>
      <c r="G21">
        <f>(G13+G14+G15)*G19</f>
        <v>24179.346799999999</v>
      </c>
    </row>
    <row r="22" spans="1:7" x14ac:dyDescent="0.25">
      <c r="A22">
        <v>8</v>
      </c>
      <c r="C22" t="s">
        <v>510</v>
      </c>
      <c r="E22" s="3">
        <v>19735</v>
      </c>
      <c r="G22" s="3">
        <v>19735</v>
      </c>
    </row>
    <row r="24" spans="1:7" x14ac:dyDescent="0.25">
      <c r="A24">
        <v>9</v>
      </c>
      <c r="C24" t="s">
        <v>501</v>
      </c>
      <c r="E24" s="88">
        <f>E17/(E21+E22)</f>
        <v>12.243287485719138</v>
      </c>
      <c r="G24" s="88">
        <f>G17/(G21+G22)</f>
        <v>7.6260726710843389</v>
      </c>
    </row>
    <row r="26" spans="1:7" x14ac:dyDescent="0.25">
      <c r="A26">
        <v>10</v>
      </c>
      <c r="C26" t="s">
        <v>499</v>
      </c>
      <c r="E26" s="3">
        <f>ROUND(E17/E24,0)</f>
        <v>45633</v>
      </c>
      <c r="G26" s="3">
        <f>ROUND(G17/G24,0)</f>
        <v>43914</v>
      </c>
    </row>
    <row r="28" spans="1:7" ht="16.5" thickBot="1" x14ac:dyDescent="0.3">
      <c r="A28">
        <v>11</v>
      </c>
      <c r="C28" t="s">
        <v>502</v>
      </c>
      <c r="G28" s="70">
        <f>G26</f>
        <v>43914</v>
      </c>
    </row>
    <row r="29" spans="1:7" ht="16.5" thickTop="1" x14ac:dyDescent="0.25"/>
    <row r="30" spans="1:7" ht="18" x14ac:dyDescent="0.4">
      <c r="C30" s="4" t="s">
        <v>504</v>
      </c>
    </row>
    <row r="31" spans="1:7" x14ac:dyDescent="0.25">
      <c r="A31" t="s">
        <v>249</v>
      </c>
      <c r="C31" t="s">
        <v>505</v>
      </c>
      <c r="G31" s="3">
        <v>21974</v>
      </c>
    </row>
    <row r="32" spans="1:7" x14ac:dyDescent="0.25">
      <c r="A32" t="s">
        <v>250</v>
      </c>
      <c r="C32" t="s">
        <v>506</v>
      </c>
      <c r="G32">
        <f>ROUND(G31/12,0)</f>
        <v>1831</v>
      </c>
    </row>
    <row r="33" spans="1:7" x14ac:dyDescent="0.25">
      <c r="A33" t="s">
        <v>251</v>
      </c>
      <c r="C33" t="s">
        <v>523</v>
      </c>
      <c r="G33" s="3">
        <v>13</v>
      </c>
    </row>
    <row r="34" spans="1:7" x14ac:dyDescent="0.25">
      <c r="A34" t="s">
        <v>507</v>
      </c>
      <c r="C34" t="s">
        <v>508</v>
      </c>
      <c r="G34" s="79">
        <f>G32*G33</f>
        <v>23803</v>
      </c>
    </row>
    <row r="36" spans="1:7" ht="18" x14ac:dyDescent="0.4">
      <c r="C36" s="4" t="s">
        <v>50</v>
      </c>
    </row>
    <row r="37" spans="1:7" x14ac:dyDescent="0.25">
      <c r="C37" t="s">
        <v>503</v>
      </c>
    </row>
    <row r="38" spans="1:7" x14ac:dyDescent="0.25">
      <c r="C38" t="s">
        <v>729</v>
      </c>
    </row>
    <row r="39" spans="1:7" x14ac:dyDescent="0.25">
      <c r="C39" t="s">
        <v>728</v>
      </c>
    </row>
    <row r="40" spans="1:7" x14ac:dyDescent="0.25">
      <c r="C40" t="s">
        <v>511</v>
      </c>
    </row>
    <row r="41" spans="1:7" x14ac:dyDescent="0.25">
      <c r="C41" t="s">
        <v>730</v>
      </c>
    </row>
    <row r="42" spans="1:7" x14ac:dyDescent="0.25">
      <c r="C42" t="s">
        <v>731</v>
      </c>
    </row>
    <row r="43" spans="1:7" x14ac:dyDescent="0.25">
      <c r="C43" t="s">
        <v>732</v>
      </c>
    </row>
    <row r="44" spans="1:7" x14ac:dyDescent="0.25">
      <c r="C44" t="s">
        <v>733</v>
      </c>
    </row>
  </sheetData>
  <pageMargins left="0.7" right="0.7" top="0.75" bottom="0.75" header="0.3" footer="0.3"/>
  <pageSetup scale="78" orientation="portrait" horizontalDpi="0" verticalDpi="0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14"/>
  <sheetViews>
    <sheetView workbookViewId="0">
      <selection activeCell="E5" sqref="E5"/>
    </sheetView>
  </sheetViews>
  <sheetFormatPr defaultRowHeight="15.75" x14ac:dyDescent="0.25"/>
  <cols>
    <col min="1" max="1" width="8.125" customWidth="1"/>
    <col min="2" max="2" width="1.875" customWidth="1"/>
    <col min="3" max="3" width="45.625" customWidth="1"/>
    <col min="4" max="4" width="13.375" customWidth="1"/>
    <col min="5" max="5" width="4.875" customWidth="1"/>
  </cols>
  <sheetData>
    <row r="1" spans="1:5" x14ac:dyDescent="0.25">
      <c r="A1" t="s">
        <v>61</v>
      </c>
      <c r="E1" s="33" t="s">
        <v>64</v>
      </c>
    </row>
    <row r="2" spans="1:5" x14ac:dyDescent="0.25">
      <c r="A2" t="s">
        <v>181</v>
      </c>
      <c r="E2" s="33" t="s">
        <v>183</v>
      </c>
    </row>
    <row r="3" spans="1:5" x14ac:dyDescent="0.25">
      <c r="A3" t="s">
        <v>86</v>
      </c>
      <c r="E3" s="33" t="s">
        <v>182</v>
      </c>
    </row>
    <row r="4" spans="1:5" x14ac:dyDescent="0.25">
      <c r="D4" s="33" t="s">
        <v>67</v>
      </c>
      <c r="E4" s="33" t="s">
        <v>560</v>
      </c>
    </row>
    <row r="5" spans="1:5" x14ac:dyDescent="0.25">
      <c r="A5" t="s">
        <v>63</v>
      </c>
    </row>
    <row r="8" spans="1:5" x14ac:dyDescent="0.25">
      <c r="A8" s="3" t="s">
        <v>84</v>
      </c>
      <c r="B8" s="3"/>
      <c r="C8" s="3" t="s">
        <v>85</v>
      </c>
      <c r="D8" s="3"/>
      <c r="E8" s="3"/>
    </row>
    <row r="9" spans="1:5" x14ac:dyDescent="0.25">
      <c r="A9" s="26"/>
      <c r="B9" s="26"/>
      <c r="C9" s="26"/>
      <c r="D9" s="34"/>
      <c r="E9" s="26"/>
    </row>
    <row r="10" spans="1:5" x14ac:dyDescent="0.25">
      <c r="A10" s="58" t="str">
        <f>PIN_wRR!N4</f>
        <v>Page 2</v>
      </c>
      <c r="B10" s="26"/>
      <c r="C10" s="58" t="str">
        <f>PIN_wRR!A5</f>
        <v>Calculation of Revenue Requirement - Water</v>
      </c>
      <c r="D10" s="34"/>
      <c r="E10" s="26"/>
    </row>
    <row r="11" spans="1:5" x14ac:dyDescent="0.25">
      <c r="A11" s="26" t="str">
        <f>PIN_NOIadj!G4</f>
        <v>Page 3</v>
      </c>
      <c r="B11" s="26"/>
      <c r="C11" s="26" t="str">
        <f>PIN_NOIadj!A5</f>
        <v>Schedule of Adjustments to Operating Income</v>
      </c>
      <c r="D11" s="34"/>
      <c r="E11" s="26"/>
    </row>
    <row r="12" spans="1:5" x14ac:dyDescent="0.25">
      <c r="A12" s="26" t="str">
        <f>PIN_wRB!I4</f>
        <v>Page 4</v>
      </c>
      <c r="B12" s="26"/>
      <c r="C12" s="26" t="str">
        <f>PIN_wRB!A5</f>
        <v>Rate Base - Water</v>
      </c>
      <c r="D12" s="26"/>
      <c r="E12" s="26"/>
    </row>
    <row r="13" spans="1:5" x14ac:dyDescent="0.25">
      <c r="A13" s="26" t="str">
        <f>PIN_RBadj!H4</f>
        <v>Page 5</v>
      </c>
      <c r="B13" s="26"/>
      <c r="C13" s="26" t="str">
        <f>PIN_RBadj!A5</f>
        <v>Schedule of Adjustments to Rate Base</v>
      </c>
      <c r="D13" s="26"/>
      <c r="E13" s="26"/>
    </row>
    <row r="14" spans="1:5" x14ac:dyDescent="0.25">
      <c r="A14" t="str">
        <f>PIN_ROR!Q4</f>
        <v>Page 6</v>
      </c>
      <c r="C14" t="str">
        <f>PIN_ROR!A5</f>
        <v>Cost of Capital</v>
      </c>
    </row>
  </sheetData>
  <pageMargins left="0.7" right="0.7" top="0.75" bottom="0.75" header="0.3" footer="0.3"/>
  <pageSetup orientation="portrait" horizontalDpi="0" verticalDpi="0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C25" sqref="C25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0.375" bestFit="1" customWidth="1"/>
    <col min="5" max="5" width="1.75" customWidth="1"/>
    <col min="6" max="6" width="10.875" customWidth="1"/>
    <col min="7" max="7" width="2.125" customWidth="1"/>
    <col min="8" max="8" width="10.375" bestFit="1" customWidth="1"/>
    <col min="9" max="9" width="1.375" customWidth="1"/>
    <col min="10" max="10" width="10.125" customWidth="1"/>
    <col min="11" max="11" width="1.125" customWidth="1"/>
    <col min="12" max="12" width="11.25" customWidth="1"/>
    <col min="13" max="13" width="1.75" customWidth="1"/>
    <col min="14" max="14" width="10" customWidth="1"/>
    <col min="15" max="15" width="4.5" customWidth="1"/>
  </cols>
  <sheetData>
    <row r="1" spans="1:15" x14ac:dyDescent="0.25">
      <c r="A1" t="s">
        <v>61</v>
      </c>
      <c r="O1" s="33" t="str">
        <f>Exh_DR_17_PIN!$E$1</f>
        <v>Docket No. 160101-WS</v>
      </c>
    </row>
    <row r="2" spans="1:15" x14ac:dyDescent="0.25">
      <c r="A2" t="s">
        <v>181</v>
      </c>
      <c r="O2" s="33" t="str">
        <f>Exh_DR_17_PIN!$E$2</f>
        <v>Exhibit DMR-17</v>
      </c>
    </row>
    <row r="3" spans="1:15" x14ac:dyDescent="0.25">
      <c r="A3" t="s">
        <v>63</v>
      </c>
      <c r="O3" s="33" t="str">
        <f>Exh_DR_17_PIN!$E$3</f>
        <v>Pinellas County Revenue Requirement</v>
      </c>
    </row>
    <row r="4" spans="1:15" x14ac:dyDescent="0.25">
      <c r="N4" s="33" t="s">
        <v>77</v>
      </c>
      <c r="O4" s="33" t="str">
        <f>Exh_DR_17_PIN!$E$4</f>
        <v>of 6</v>
      </c>
    </row>
    <row r="5" spans="1:15" x14ac:dyDescent="0.25">
      <c r="A5" t="s">
        <v>69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158115</v>
      </c>
      <c r="F12" s="29">
        <f>PIN_NOIadj!E13</f>
        <v>0</v>
      </c>
      <c r="G12" s="6"/>
      <c r="H12">
        <f>SUM(D12:F12)</f>
        <v>158115</v>
      </c>
      <c r="J12">
        <f>((H23*L25)-H21)*1.67888</f>
        <v>131348.17267662814</v>
      </c>
      <c r="L12">
        <f>SUM(H12:J12)</f>
        <v>289463.17267662811</v>
      </c>
      <c r="N12" t="str">
        <f>PIN_NOIadj!G4</f>
        <v>Page 3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71514</v>
      </c>
      <c r="F14" s="29">
        <f>PIN_NOIadj!E20</f>
        <v>-3671</v>
      </c>
      <c r="H14">
        <f>SUM(D14:F14)</f>
        <v>67843</v>
      </c>
      <c r="L14">
        <f>SUM(H14:J14)</f>
        <v>67843</v>
      </c>
      <c r="N14" t="str">
        <f>N12</f>
        <v>Page 3</v>
      </c>
    </row>
    <row r="15" spans="1:15" x14ac:dyDescent="0.25">
      <c r="A15">
        <v>3</v>
      </c>
      <c r="C15" t="s">
        <v>17</v>
      </c>
      <c r="D15">
        <v>34998</v>
      </c>
      <c r="F15" s="29">
        <f>PIN_NOIadj!E26</f>
        <v>12610</v>
      </c>
      <c r="H15">
        <f>SUM(D15:F15)</f>
        <v>47608</v>
      </c>
      <c r="L15">
        <f>SUM(H15:J15)</f>
        <v>47608</v>
      </c>
      <c r="N15" t="str">
        <f>N12</f>
        <v>Page 3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27298</v>
      </c>
      <c r="F17" s="29">
        <f>PIN_NOIadj!E31</f>
        <v>-3391</v>
      </c>
      <c r="H17">
        <f>SUM(D17:F17)</f>
        <v>23907</v>
      </c>
      <c r="J17">
        <f>J12*0.045</f>
        <v>5910.6677704482663</v>
      </c>
      <c r="L17">
        <f>SUM(H17:J17)</f>
        <v>29817.667770448264</v>
      </c>
      <c r="N17" t="str">
        <f>N12</f>
        <v>Page 3</v>
      </c>
    </row>
    <row r="18" spans="1:14" x14ac:dyDescent="0.25">
      <c r="A18">
        <v>6</v>
      </c>
      <c r="C18" t="s">
        <v>19</v>
      </c>
      <c r="D18" s="3">
        <v>-10591</v>
      </c>
      <c r="F18" s="29">
        <f>PIN_NOIadj!E36</f>
        <v>279.02227916000038</v>
      </c>
      <c r="H18" s="3">
        <f>SUM(D18:F18)</f>
        <v>-10311.977720839999</v>
      </c>
      <c r="J18">
        <f>(J12-J17)*0.3763</f>
        <v>47202.133096195488</v>
      </c>
      <c r="L18" s="9">
        <f>SUM(H18:J18)</f>
        <v>36890.155375355491</v>
      </c>
    </row>
    <row r="19" spans="1:14" x14ac:dyDescent="0.25">
      <c r="A19">
        <v>7</v>
      </c>
      <c r="C19" t="s">
        <v>20</v>
      </c>
      <c r="D19">
        <f>SUM(D14:D18)</f>
        <v>123219</v>
      </c>
      <c r="F19" s="29"/>
      <c r="H19" s="5">
        <f>SUM(H14:H18)</f>
        <v>129046.02227916</v>
      </c>
      <c r="L19" s="5">
        <f>SUM(L14:L18)</f>
        <v>182158.82314580376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34896</v>
      </c>
      <c r="F21" s="29"/>
      <c r="H21">
        <f>H12-H19</f>
        <v>29068.977720840005</v>
      </c>
      <c r="L21">
        <f>H23*L25</f>
        <v>107304.57090000001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PIN_wRB!E23</f>
        <v>1700806</v>
      </c>
      <c r="F23" s="29">
        <f>H23-D23</f>
        <v>-204229</v>
      </c>
      <c r="H23">
        <f>PIN_wRB!I23</f>
        <v>1496577</v>
      </c>
      <c r="L23">
        <f>H23</f>
        <v>1496577</v>
      </c>
      <c r="N23" t="str">
        <f>PIN_wRB!I4</f>
        <v>Page 4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2.0517331194739436E-2</v>
      </c>
      <c r="F25" s="29"/>
      <c r="L25" s="8">
        <f>PIN_ROR!Q20</f>
        <v>7.17E-2</v>
      </c>
      <c r="N25" t="str">
        <f>PIN_ROR!Q4</f>
        <v>Page 6</v>
      </c>
    </row>
    <row r="26" spans="1:14" x14ac:dyDescent="0.25">
      <c r="H26" s="59"/>
      <c r="L26" s="8"/>
    </row>
    <row r="27" spans="1:14" ht="18" x14ac:dyDescent="0.4">
      <c r="C27" s="4" t="s">
        <v>88</v>
      </c>
      <c r="J27" s="32"/>
    </row>
    <row r="28" spans="1:14" x14ac:dyDescent="0.25">
      <c r="C28" t="s">
        <v>195</v>
      </c>
      <c r="J28" s="29"/>
    </row>
    <row r="29" spans="1:14" x14ac:dyDescent="0.25">
      <c r="L29" s="46"/>
    </row>
  </sheetData>
  <pageMargins left="0.7" right="0.7" top="0.75" bottom="0.75" header="0.3" footer="0.3"/>
  <pageSetup scale="75" orientation="portrait" horizontalDpi="0" verticalDpi="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opLeftCell="A8" workbookViewId="0">
      <selection activeCell="E36" sqref="E36"/>
    </sheetView>
  </sheetViews>
  <sheetFormatPr defaultRowHeight="15.75" x14ac:dyDescent="0.25"/>
  <cols>
    <col min="1" max="1" width="4.375" customWidth="1"/>
    <col min="2" max="2" width="1.625" customWidth="1"/>
    <col min="3" max="3" width="49.875" customWidth="1"/>
    <col min="4" max="4" width="7.5" customWidth="1"/>
    <col min="5" max="5" width="12.125" customWidth="1"/>
    <col min="6" max="6" width="0.875" customWidth="1"/>
    <col min="7" max="7" width="14.875" customWidth="1"/>
    <col min="8" max="8" width="5.25" customWidth="1"/>
  </cols>
  <sheetData>
    <row r="1" spans="1:8" x14ac:dyDescent="0.25">
      <c r="A1" t="str">
        <f>CL_wRR!A1</f>
        <v>Utilities, Inc. of Florida</v>
      </c>
      <c r="H1" s="33" t="str">
        <f>Exh_DR_17_PIN!$E$1</f>
        <v>Docket No. 160101-WS</v>
      </c>
    </row>
    <row r="2" spans="1:8" x14ac:dyDescent="0.25">
      <c r="A2" t="s">
        <v>181</v>
      </c>
      <c r="H2" s="33" t="str">
        <f>Exh_DR_17_PIN!$E$2</f>
        <v>Exhibit DMR-17</v>
      </c>
    </row>
    <row r="3" spans="1:8" x14ac:dyDescent="0.25">
      <c r="A3" t="str">
        <f>CL_wRR!A3</f>
        <v>Test Year Ended December 31, 2015</v>
      </c>
      <c r="H3" s="33" t="str">
        <f>Exh_DR_17_PIN!$E$3</f>
        <v>Pinellas County Revenue Requirement</v>
      </c>
    </row>
    <row r="4" spans="1:8" x14ac:dyDescent="0.25">
      <c r="G4" s="33" t="s">
        <v>80</v>
      </c>
      <c r="H4" s="33" t="str">
        <f>Exh_DR_17_PIN!$E$4</f>
        <v>of 6</v>
      </c>
    </row>
    <row r="5" spans="1:8" x14ac:dyDescent="0.25">
      <c r="A5" t="s">
        <v>45</v>
      </c>
    </row>
    <row r="8" spans="1:8" x14ac:dyDescent="0.25">
      <c r="A8" t="s">
        <v>0</v>
      </c>
      <c r="G8" s="1"/>
    </row>
    <row r="9" spans="1:8" ht="18" x14ac:dyDescent="0.4">
      <c r="A9" s="3" t="s">
        <v>1</v>
      </c>
      <c r="C9" s="4" t="s">
        <v>2</v>
      </c>
      <c r="E9" s="2" t="s">
        <v>5</v>
      </c>
      <c r="F9" s="34"/>
      <c r="G9" s="4" t="s">
        <v>23</v>
      </c>
    </row>
    <row r="11" spans="1:8" ht="18" x14ac:dyDescent="0.4">
      <c r="C11" s="4" t="s">
        <v>73</v>
      </c>
    </row>
    <row r="12" spans="1:8" x14ac:dyDescent="0.25">
      <c r="A12">
        <v>1</v>
      </c>
    </row>
    <row r="13" spans="1:8" ht="16.5" thickBot="1" x14ac:dyDescent="0.3">
      <c r="A13">
        <v>2</v>
      </c>
      <c r="C13" t="s">
        <v>111</v>
      </c>
      <c r="E13" s="24">
        <f>SUM(E12:E12)</f>
        <v>0</v>
      </c>
      <c r="F13" s="26"/>
    </row>
    <row r="14" spans="1:8" ht="16.5" thickTop="1" x14ac:dyDescent="0.25">
      <c r="A14">
        <v>3</v>
      </c>
    </row>
    <row r="15" spans="1:8" ht="18" x14ac:dyDescent="0.4">
      <c r="A15">
        <v>4</v>
      </c>
      <c r="C15" s="4" t="s">
        <v>49</v>
      </c>
    </row>
    <row r="16" spans="1:8" x14ac:dyDescent="0.25">
      <c r="A16">
        <v>5</v>
      </c>
      <c r="C16" t="s">
        <v>378</v>
      </c>
      <c r="E16">
        <f>ROUND(-157903/4*0.0626,0)</f>
        <v>-2471</v>
      </c>
      <c r="G16" t="s">
        <v>379</v>
      </c>
    </row>
    <row r="17" spans="1:7" x14ac:dyDescent="0.25">
      <c r="A17">
        <v>6</v>
      </c>
      <c r="C17" t="s">
        <v>330</v>
      </c>
      <c r="E17">
        <f>ROUND((536+2223+1310)*-0.102,0)</f>
        <v>-415</v>
      </c>
      <c r="G17" s="6" t="s">
        <v>212</v>
      </c>
    </row>
    <row r="18" spans="1:7" x14ac:dyDescent="0.25">
      <c r="A18">
        <v>7</v>
      </c>
      <c r="C18" t="s">
        <v>290</v>
      </c>
      <c r="E18" s="5">
        <f>'WSC-Ins'!I26</f>
        <v>-183</v>
      </c>
      <c r="F18" s="5"/>
      <c r="G18" t="str">
        <f>'WSC-Ins'!J2</f>
        <v>Exhibit DMR-19</v>
      </c>
    </row>
    <row r="19" spans="1:7" x14ac:dyDescent="0.25">
      <c r="A19">
        <v>8</v>
      </c>
      <c r="C19" t="s">
        <v>291</v>
      </c>
      <c r="E19" s="5">
        <f>WSCs_Dep!I26</f>
        <v>-602</v>
      </c>
      <c r="F19" s="5"/>
      <c r="G19" t="str">
        <f>WSCs_Dep!J2</f>
        <v>Exhibit DMR-20</v>
      </c>
    </row>
    <row r="20" spans="1:7" ht="16.5" thickBot="1" x14ac:dyDescent="0.3">
      <c r="A20">
        <v>9</v>
      </c>
      <c r="C20" t="s">
        <v>111</v>
      </c>
      <c r="E20" s="24">
        <f>SUM(E16:E19)</f>
        <v>-3671</v>
      </c>
      <c r="F20" s="26"/>
    </row>
    <row r="21" spans="1:7" ht="16.5" thickTop="1" x14ac:dyDescent="0.25">
      <c r="A21">
        <v>10</v>
      </c>
    </row>
    <row r="22" spans="1:7" ht="18" x14ac:dyDescent="0.4">
      <c r="A22">
        <v>11</v>
      </c>
      <c r="C22" s="4" t="s">
        <v>46</v>
      </c>
    </row>
    <row r="23" spans="1:7" x14ac:dyDescent="0.25">
      <c r="A23">
        <v>12</v>
      </c>
      <c r="C23" t="s">
        <v>637</v>
      </c>
      <c r="E23">
        <f>ROUND(-200000/43,0)</f>
        <v>-4651</v>
      </c>
      <c r="G23" s="6" t="s">
        <v>215</v>
      </c>
    </row>
    <row r="24" spans="1:7" x14ac:dyDescent="0.25">
      <c r="A24">
        <v>13</v>
      </c>
      <c r="C24" t="s">
        <v>459</v>
      </c>
      <c r="E24">
        <f>ROUND(750000/43,0)</f>
        <v>17442</v>
      </c>
      <c r="G24" s="6" t="s">
        <v>214</v>
      </c>
    </row>
    <row r="25" spans="1:7" x14ac:dyDescent="0.25">
      <c r="A25">
        <v>14</v>
      </c>
      <c r="C25" t="s">
        <v>630</v>
      </c>
      <c r="E25" s="3">
        <f>GIS_Proj!M24</f>
        <v>-181</v>
      </c>
      <c r="F25" s="26"/>
      <c r="G25" t="str">
        <f>GIS_Proj!O2</f>
        <v>Exhibit DMR-21</v>
      </c>
    </row>
    <row r="26" spans="1:7" ht="16.5" thickBot="1" x14ac:dyDescent="0.3">
      <c r="A26">
        <v>15</v>
      </c>
      <c r="C26" t="s">
        <v>111</v>
      </c>
      <c r="E26" s="24">
        <f>SUM(E23:E25)</f>
        <v>12610</v>
      </c>
      <c r="F26" s="26"/>
    </row>
    <row r="27" spans="1:7" ht="16.5" thickTop="1" x14ac:dyDescent="0.25">
      <c r="A27">
        <v>16</v>
      </c>
    </row>
    <row r="28" spans="1:7" ht="18" x14ac:dyDescent="0.4">
      <c r="A28">
        <v>17</v>
      </c>
      <c r="C28" s="4" t="s">
        <v>60</v>
      </c>
    </row>
    <row r="29" spans="1:7" x14ac:dyDescent="0.25">
      <c r="A29">
        <v>18</v>
      </c>
      <c r="C29" s="40" t="s">
        <v>639</v>
      </c>
      <c r="E29">
        <f>ROUND(-200000*0.0169563,0)</f>
        <v>-3391</v>
      </c>
      <c r="G29" s="6" t="s">
        <v>640</v>
      </c>
    </row>
    <row r="30" spans="1:7" x14ac:dyDescent="0.25">
      <c r="A30">
        <v>19</v>
      </c>
      <c r="C30" s="40" t="s">
        <v>89</v>
      </c>
      <c r="E30">
        <f>ROUND(E13*0.045,0)</f>
        <v>0</v>
      </c>
    </row>
    <row r="31" spans="1:7" ht="16.5" thickBot="1" x14ac:dyDescent="0.3">
      <c r="A31">
        <v>20</v>
      </c>
      <c r="C31" t="s">
        <v>111</v>
      </c>
      <c r="E31" s="24">
        <f>SUM(E29:E30)</f>
        <v>-3391</v>
      </c>
      <c r="F31" s="26"/>
    </row>
    <row r="32" spans="1:7" ht="16.5" thickTop="1" x14ac:dyDescent="0.25">
      <c r="A32">
        <v>21</v>
      </c>
    </row>
    <row r="33" spans="1:7" ht="18" x14ac:dyDescent="0.4">
      <c r="A33">
        <v>22</v>
      </c>
      <c r="C33" s="4" t="s">
        <v>79</v>
      </c>
    </row>
    <row r="34" spans="1:7" x14ac:dyDescent="0.25">
      <c r="A34">
        <v>23</v>
      </c>
      <c r="C34" s="40" t="s">
        <v>359</v>
      </c>
      <c r="E34">
        <f>PIN_wRB!G23*0.0308*-0.3763</f>
        <v>2367.0222791600004</v>
      </c>
    </row>
    <row r="35" spans="1:7" x14ac:dyDescent="0.25">
      <c r="A35">
        <v>24</v>
      </c>
      <c r="C35" s="40" t="s">
        <v>90</v>
      </c>
      <c r="E35">
        <f>ROUND((E13-E20-E26-E31)*0.3763,0)</f>
        <v>-2088</v>
      </c>
    </row>
    <row r="36" spans="1:7" ht="16.5" thickBot="1" x14ac:dyDescent="0.3">
      <c r="A36">
        <v>25</v>
      </c>
      <c r="C36" t="s">
        <v>111</v>
      </c>
      <c r="E36" s="24">
        <f>SUM(E34:E35)</f>
        <v>279.02227916000038</v>
      </c>
      <c r="F36" s="26"/>
    </row>
    <row r="37" spans="1:7" ht="16.5" thickTop="1" x14ac:dyDescent="0.25"/>
    <row r="40" spans="1:7" x14ac:dyDescent="0.25">
      <c r="C40" s="6" t="s">
        <v>361</v>
      </c>
      <c r="G40" s="63"/>
    </row>
    <row r="41" spans="1:7" x14ac:dyDescent="0.25">
      <c r="C41" t="s">
        <v>360</v>
      </c>
    </row>
    <row r="42" spans="1:7" x14ac:dyDescent="0.25">
      <c r="C42" s="6" t="s">
        <v>358</v>
      </c>
    </row>
    <row r="43" spans="1:7" x14ac:dyDescent="0.25">
      <c r="C43" t="s">
        <v>116</v>
      </c>
    </row>
    <row r="44" spans="1:7" x14ac:dyDescent="0.25">
      <c r="C44" s="6" t="s">
        <v>460</v>
      </c>
    </row>
    <row r="45" spans="1:7" x14ac:dyDescent="0.25">
      <c r="C45" t="s">
        <v>461</v>
      </c>
    </row>
    <row r="46" spans="1:7" x14ac:dyDescent="0.25">
      <c r="C46" s="6" t="s">
        <v>638</v>
      </c>
    </row>
  </sheetData>
  <pageMargins left="0.7" right="0.7" top="0.75" bottom="0.75" header="0.3" footer="0.3"/>
  <pageSetup scale="88" orientation="portrait" horizontalDpi="0" verticalDpi="0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I16" sqref="I16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5.5" customWidth="1"/>
    <col min="5" max="5" width="14.125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4.875" customWidth="1"/>
  </cols>
  <sheetData>
    <row r="1" spans="1:10" x14ac:dyDescent="0.25">
      <c r="A1" t="str">
        <f>CL_wRR!A1</f>
        <v>Utilities, Inc. of Florida</v>
      </c>
      <c r="H1" s="10"/>
      <c r="J1" s="33" t="str">
        <f>Exh_DR_17_PIN!$E$1</f>
        <v>Docket No. 160101-WS</v>
      </c>
    </row>
    <row r="2" spans="1:10" x14ac:dyDescent="0.25">
      <c r="A2" t="s">
        <v>181</v>
      </c>
      <c r="H2" s="10"/>
      <c r="I2" s="10"/>
      <c r="J2" s="33" t="str">
        <f>Exh_DR_17_PIN!$E$2</f>
        <v>Exhibit DMR-17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Exh_DR_17_PIN!$E$3</f>
        <v>Pinellas County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81</v>
      </c>
      <c r="J4" s="33" t="str">
        <f>Exh_DR_17_PIN!$E$4</f>
        <v>of 6</v>
      </c>
    </row>
    <row r="5" spans="1:10" x14ac:dyDescent="0.25">
      <c r="A5" s="27" t="s">
        <v>74</v>
      </c>
      <c r="B5" s="10"/>
      <c r="C5" s="10"/>
      <c r="D5" s="10"/>
      <c r="E5" s="10"/>
      <c r="F5" s="10"/>
      <c r="G5" s="10"/>
      <c r="H5" s="10"/>
      <c r="I5" s="10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8" x14ac:dyDescent="0.4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25">
      <c r="A12" s="10">
        <v>1</v>
      </c>
      <c r="B12" s="10"/>
      <c r="C12" s="11" t="s">
        <v>33</v>
      </c>
      <c r="D12" s="10"/>
      <c r="E12" s="10">
        <v>1157141</v>
      </c>
      <c r="F12" s="10"/>
      <c r="G12" s="10">
        <f>PIN_RBadj!F15</f>
        <v>547279</v>
      </c>
      <c r="H12" s="10"/>
      <c r="I12" s="10">
        <f>SUM(E12:G12)</f>
        <v>1704420</v>
      </c>
    </row>
    <row r="13" spans="1:10" x14ac:dyDescent="0.25">
      <c r="A13" s="10">
        <v>2</v>
      </c>
      <c r="B13" s="10"/>
      <c r="C13" s="11" t="s">
        <v>34</v>
      </c>
      <c r="D13" s="10"/>
      <c r="E13" s="10">
        <v>6207</v>
      </c>
      <c r="F13" s="10"/>
      <c r="G13" s="10"/>
      <c r="H13" s="10"/>
      <c r="I13" s="10">
        <f t="shared" ref="I13:I21" si="0">SUM(E13:G13)</f>
        <v>6207</v>
      </c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25">
      <c r="A16" s="10">
        <v>5</v>
      </c>
      <c r="B16" s="10"/>
      <c r="C16" s="11" t="s">
        <v>37</v>
      </c>
      <c r="D16" s="10"/>
      <c r="E16" s="27">
        <v>571788</v>
      </c>
      <c r="F16" s="10"/>
      <c r="G16" s="10">
        <f>-PIN_RBadj!F25</f>
        <v>-747584</v>
      </c>
      <c r="H16" s="10"/>
      <c r="I16" s="10">
        <f t="shared" si="0"/>
        <v>-175796</v>
      </c>
    </row>
    <row r="17" spans="1:9" x14ac:dyDescent="0.25">
      <c r="A17" s="10">
        <v>6</v>
      </c>
      <c r="B17" s="10"/>
      <c r="C17" s="11" t="s">
        <v>38</v>
      </c>
      <c r="D17" s="10"/>
      <c r="E17" s="10">
        <v>-157394</v>
      </c>
      <c r="F17" s="10"/>
      <c r="G17" s="10"/>
      <c r="H17" s="10"/>
      <c r="I17" s="10">
        <f t="shared" si="0"/>
        <v>-157394</v>
      </c>
    </row>
    <row r="18" spans="1:9" x14ac:dyDescent="0.25">
      <c r="A18" s="10">
        <v>7</v>
      </c>
      <c r="B18" s="10"/>
      <c r="C18" s="11" t="s">
        <v>39</v>
      </c>
      <c r="D18" s="10"/>
      <c r="E18" s="10">
        <v>106775</v>
      </c>
      <c r="F18" s="10"/>
      <c r="G18" s="10"/>
      <c r="H18" s="10"/>
      <c r="I18" s="10">
        <f t="shared" si="0"/>
        <v>106775</v>
      </c>
    </row>
    <row r="19" spans="1:9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25">
      <c r="A21" s="10">
        <v>10</v>
      </c>
      <c r="B21" s="10"/>
      <c r="C21" s="11" t="s">
        <v>40</v>
      </c>
      <c r="D21" s="10"/>
      <c r="E21" s="28">
        <v>16289</v>
      </c>
      <c r="F21" s="10"/>
      <c r="G21" s="17">
        <f>PIN_RBadj!F30</f>
        <v>-3924</v>
      </c>
      <c r="H21" s="10"/>
      <c r="I21" s="17">
        <f t="shared" si="0"/>
        <v>12365</v>
      </c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5" thickBot="1" x14ac:dyDescent="0.3">
      <c r="A23" s="10">
        <v>11</v>
      </c>
      <c r="B23" s="10"/>
      <c r="C23" s="11" t="s">
        <v>41</v>
      </c>
      <c r="D23" s="10"/>
      <c r="E23" s="18">
        <f>SUM(E12:E21)</f>
        <v>1700806</v>
      </c>
      <c r="F23" s="10"/>
      <c r="G23" s="18">
        <f>SUM(G12:G21)</f>
        <v>-204229</v>
      </c>
      <c r="H23" s="10"/>
      <c r="I23" s="18">
        <f>SUM(I12:I22)</f>
        <v>1496577</v>
      </c>
    </row>
    <row r="24" spans="1:9" ht="16.5" thickTop="1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8" x14ac:dyDescent="0.4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25">
      <c r="A26" s="10"/>
      <c r="B26" s="10"/>
      <c r="C26" s="45" t="s">
        <v>103</v>
      </c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27" t="s">
        <v>112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4" orientation="portrait" horizontalDpi="0" verticalDpi="0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opLeftCell="A2" workbookViewId="0">
      <selection activeCell="C34" sqref="C34"/>
    </sheetView>
  </sheetViews>
  <sheetFormatPr defaultRowHeight="15.75" x14ac:dyDescent="0.25"/>
  <cols>
    <col min="1" max="1" width="4.25" customWidth="1"/>
    <col min="2" max="2" width="1.375" customWidth="1"/>
    <col min="3" max="3" width="41.875" customWidth="1"/>
    <col min="4" max="5" width="7" customWidth="1"/>
    <col min="6" max="6" width="11.375" customWidth="1"/>
    <col min="7" max="7" width="0.875" customWidth="1"/>
    <col min="8" max="8" width="11.125" customWidth="1"/>
    <col min="9" max="9" width="4.5" customWidth="1"/>
  </cols>
  <sheetData>
    <row r="1" spans="1:9" x14ac:dyDescent="0.25">
      <c r="A1" t="str">
        <f>CL_wRR!A1</f>
        <v>Utilities, Inc. of Florida</v>
      </c>
      <c r="I1" s="33" t="str">
        <f>Exh_DR_17_PIN!$E$1</f>
        <v>Docket No. 160101-WS</v>
      </c>
    </row>
    <row r="2" spans="1:9" x14ac:dyDescent="0.25">
      <c r="A2" t="s">
        <v>181</v>
      </c>
      <c r="I2" s="33" t="str">
        <f>Exh_DR_17_PIN!$E$2</f>
        <v>Exhibit DMR-17</v>
      </c>
    </row>
    <row r="3" spans="1:9" x14ac:dyDescent="0.25">
      <c r="A3" t="str">
        <f>CL_wRR!A3</f>
        <v>Test Year Ended December 31, 2015</v>
      </c>
      <c r="I3" s="33" t="str">
        <f>Exh_DR_17_PIN!$E$3</f>
        <v>Pinellas County Revenue Requirement</v>
      </c>
    </row>
    <row r="4" spans="1:9" x14ac:dyDescent="0.25">
      <c r="H4" s="33" t="s">
        <v>82</v>
      </c>
      <c r="I4" s="33" t="str">
        <f>Exh_DR_17_PIN!$E$4</f>
        <v>of 6</v>
      </c>
    </row>
    <row r="5" spans="1:9" x14ac:dyDescent="0.25">
      <c r="A5" t="s">
        <v>42</v>
      </c>
    </row>
    <row r="7" spans="1:9" x14ac:dyDescent="0.25">
      <c r="H7" s="1"/>
    </row>
    <row r="8" spans="1:9" x14ac:dyDescent="0.25">
      <c r="A8" t="s">
        <v>0</v>
      </c>
      <c r="H8" s="1"/>
    </row>
    <row r="9" spans="1:9" ht="18" x14ac:dyDescent="0.4">
      <c r="A9" s="3" t="s">
        <v>1</v>
      </c>
      <c r="C9" s="9" t="s">
        <v>2</v>
      </c>
      <c r="F9" s="2" t="s">
        <v>5</v>
      </c>
      <c r="G9" s="34"/>
      <c r="H9" s="4" t="s">
        <v>72</v>
      </c>
    </row>
    <row r="11" spans="1:9" ht="18" x14ac:dyDescent="0.4">
      <c r="C11" s="4" t="s">
        <v>44</v>
      </c>
    </row>
    <row r="12" spans="1:9" x14ac:dyDescent="0.25">
      <c r="A12">
        <v>1</v>
      </c>
      <c r="C12" t="s">
        <v>458</v>
      </c>
      <c r="F12">
        <v>750000</v>
      </c>
      <c r="H12" t="s">
        <v>198</v>
      </c>
    </row>
    <row r="13" spans="1:9" x14ac:dyDescent="0.25">
      <c r="A13">
        <v>2</v>
      </c>
      <c r="C13" t="s">
        <v>636</v>
      </c>
      <c r="F13">
        <f>-200000</f>
        <v>-200000</v>
      </c>
      <c r="H13" s="6" t="s">
        <v>212</v>
      </c>
    </row>
    <row r="14" spans="1:9" x14ac:dyDescent="0.25">
      <c r="A14">
        <v>3</v>
      </c>
      <c r="C14" t="s">
        <v>630</v>
      </c>
      <c r="F14">
        <f>GIS_Proj!I24</f>
        <v>-2721</v>
      </c>
      <c r="H14" t="str">
        <f>GIS_Proj!O2</f>
        <v>Exhibit DMR-21</v>
      </c>
    </row>
    <row r="15" spans="1:9" ht="16.5" thickBot="1" x14ac:dyDescent="0.3">
      <c r="A15" s="19">
        <v>4</v>
      </c>
      <c r="B15" s="19"/>
      <c r="C15" t="s">
        <v>48</v>
      </c>
      <c r="F15" s="24">
        <f>SUM(F12:F14)</f>
        <v>547279</v>
      </c>
      <c r="G15" s="26"/>
    </row>
    <row r="16" spans="1:9" ht="16.5" thickTop="1" x14ac:dyDescent="0.25">
      <c r="A16" s="19">
        <v>5</v>
      </c>
      <c r="B16" s="19"/>
      <c r="C16" s="19"/>
      <c r="D16" s="19"/>
      <c r="E16" s="19"/>
      <c r="F16" s="19"/>
      <c r="G16" s="19"/>
    </row>
    <row r="17" spans="1:8" ht="18" x14ac:dyDescent="0.4">
      <c r="A17">
        <v>6</v>
      </c>
      <c r="B17" s="19"/>
      <c r="C17" s="21" t="s">
        <v>58</v>
      </c>
      <c r="D17" s="19"/>
      <c r="E17" s="19"/>
      <c r="F17" s="19"/>
      <c r="G17" s="19"/>
    </row>
    <row r="18" spans="1:8" x14ac:dyDescent="0.25">
      <c r="A18">
        <v>7</v>
      </c>
      <c r="B18" s="19"/>
      <c r="D18" s="19"/>
      <c r="E18" s="19"/>
      <c r="F18" s="22"/>
      <c r="G18" s="39"/>
    </row>
    <row r="19" spans="1:8" ht="16.5" thickBot="1" x14ac:dyDescent="0.3">
      <c r="A19">
        <v>8</v>
      </c>
      <c r="B19" s="19"/>
      <c r="C19" t="s">
        <v>59</v>
      </c>
      <c r="D19" s="19"/>
      <c r="E19" s="19"/>
      <c r="F19" s="23">
        <f>SUM(F18:F18)</f>
        <v>0</v>
      </c>
      <c r="G19" s="39"/>
    </row>
    <row r="20" spans="1:8" ht="16.5" thickTop="1" x14ac:dyDescent="0.25">
      <c r="A20" s="19">
        <v>9</v>
      </c>
      <c r="B20" s="19"/>
      <c r="C20" s="19"/>
      <c r="D20" s="19"/>
      <c r="E20" s="19"/>
      <c r="F20" s="19"/>
      <c r="G20" s="19"/>
    </row>
    <row r="21" spans="1:8" ht="18" x14ac:dyDescent="0.4">
      <c r="A21" s="19">
        <v>10</v>
      </c>
      <c r="B21" s="19"/>
      <c r="C21" s="21" t="s">
        <v>43</v>
      </c>
      <c r="D21" s="19"/>
      <c r="E21" s="19"/>
      <c r="F21" s="19"/>
      <c r="G21" s="19"/>
    </row>
    <row r="22" spans="1:8" x14ac:dyDescent="0.25">
      <c r="A22">
        <v>11</v>
      </c>
      <c r="B22" s="19"/>
      <c r="C22" t="s">
        <v>458</v>
      </c>
      <c r="D22" s="19"/>
      <c r="E22" s="19"/>
      <c r="F22" s="19">
        <v>750000</v>
      </c>
      <c r="G22" s="19"/>
      <c r="H22" t="s">
        <v>198</v>
      </c>
    </row>
    <row r="23" spans="1:8" x14ac:dyDescent="0.25">
      <c r="A23">
        <v>12</v>
      </c>
      <c r="B23" s="19"/>
      <c r="C23" t="s">
        <v>636</v>
      </c>
      <c r="D23" s="19"/>
      <c r="E23" s="19"/>
      <c r="F23" s="19">
        <f>PIN_NOIadj!E23*0.5</f>
        <v>-2325.5</v>
      </c>
      <c r="G23" s="19"/>
      <c r="H23" s="6" t="s">
        <v>212</v>
      </c>
    </row>
    <row r="24" spans="1:8" x14ac:dyDescent="0.25">
      <c r="A24">
        <v>13</v>
      </c>
      <c r="B24" s="19"/>
      <c r="C24" t="s">
        <v>630</v>
      </c>
      <c r="D24" s="19"/>
      <c r="E24" s="19"/>
      <c r="F24" s="19">
        <f>PIN_NOIadj!E25*0.5</f>
        <v>-90.5</v>
      </c>
      <c r="G24" s="19"/>
    </row>
    <row r="25" spans="1:8" ht="16.5" thickBot="1" x14ac:dyDescent="0.3">
      <c r="A25" s="19">
        <v>14</v>
      </c>
      <c r="B25" s="19"/>
      <c r="C25" s="20" t="s">
        <v>47</v>
      </c>
      <c r="D25" s="19"/>
      <c r="E25" s="19"/>
      <c r="F25" s="23">
        <f>SUM(F22:F24)</f>
        <v>747584</v>
      </c>
      <c r="G25" s="39"/>
    </row>
    <row r="26" spans="1:8" ht="16.5" thickTop="1" x14ac:dyDescent="0.25">
      <c r="A26" s="19">
        <v>15</v>
      </c>
      <c r="B26" s="19"/>
      <c r="C26" s="20"/>
      <c r="D26" s="19"/>
      <c r="E26" s="19"/>
      <c r="F26" s="19"/>
      <c r="G26" s="19"/>
    </row>
    <row r="27" spans="1:8" ht="18" x14ac:dyDescent="0.4">
      <c r="A27">
        <v>16</v>
      </c>
      <c r="B27" s="19"/>
      <c r="C27" s="21" t="s">
        <v>51</v>
      </c>
      <c r="D27" s="19"/>
      <c r="E27" s="19"/>
      <c r="F27" s="19"/>
      <c r="G27" s="19"/>
    </row>
    <row r="28" spans="1:8" x14ac:dyDescent="0.25">
      <c r="A28">
        <v>17</v>
      </c>
      <c r="B28" s="19"/>
      <c r="C28" s="31" t="s">
        <v>357</v>
      </c>
      <c r="D28" s="19"/>
      <c r="E28" s="19"/>
      <c r="F28" s="19">
        <f>12365-16289</f>
        <v>-3924</v>
      </c>
      <c r="G28" s="19"/>
      <c r="H28" t="s">
        <v>198</v>
      </c>
    </row>
    <row r="29" spans="1:8" x14ac:dyDescent="0.25">
      <c r="A29" s="19">
        <v>18</v>
      </c>
      <c r="B29" s="19"/>
      <c r="C29" s="19"/>
      <c r="D29" s="19"/>
      <c r="E29" s="19"/>
      <c r="F29" s="22"/>
      <c r="G29" s="39"/>
    </row>
    <row r="30" spans="1:8" ht="16.5" thickBot="1" x14ac:dyDescent="0.3">
      <c r="A30" s="90">
        <v>19</v>
      </c>
      <c r="C30" s="20" t="s">
        <v>52</v>
      </c>
      <c r="D30" s="19"/>
      <c r="E30" s="19"/>
      <c r="F30" s="23">
        <f>SUM(F28:F29)</f>
        <v>-3924</v>
      </c>
      <c r="G30" s="39"/>
    </row>
    <row r="31" spans="1:8" ht="16.5" thickTop="1" x14ac:dyDescent="0.25">
      <c r="C31" s="19"/>
      <c r="D31" s="19"/>
      <c r="E31" s="19"/>
      <c r="F31" s="19"/>
      <c r="G31" s="19"/>
    </row>
    <row r="33" spans="3:3" x14ac:dyDescent="0.25">
      <c r="C33" s="6" t="s">
        <v>735</v>
      </c>
    </row>
    <row r="34" spans="3:3" x14ac:dyDescent="0.25">
      <c r="C34" t="s">
        <v>734</v>
      </c>
    </row>
  </sheetData>
  <pageMargins left="0.7" right="0.7" top="0.75" bottom="0.75" header="0.3" footer="0.3"/>
  <pageSetup scale="95" orientation="portrait" horizontalDpi="0" verticalDpi="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opLeftCell="C1" workbookViewId="0">
      <selection activeCell="C26" sqref="C26"/>
    </sheetView>
  </sheetViews>
  <sheetFormatPr defaultRowHeight="15.75" x14ac:dyDescent="0.25"/>
  <cols>
    <col min="1" max="1" width="4.25" customWidth="1"/>
    <col min="2" max="2" width="1.375" customWidth="1"/>
    <col min="3" max="3" width="20.5" customWidth="1"/>
    <col min="4" max="4" width="1.125" customWidth="1"/>
    <col min="5" max="5" width="10.875" customWidth="1"/>
    <col min="6" max="6" width="1.125" customWidth="1"/>
    <col min="7" max="7" width="9.625" customWidth="1"/>
    <col min="8" max="8" width="1.125" customWidth="1"/>
    <col min="9" max="9" width="10.625" customWidth="1"/>
    <col min="10" max="10" width="0.75" customWidth="1"/>
    <col min="11" max="11" width="11.125" customWidth="1"/>
    <col min="12" max="12" width="0.75" customWidth="1"/>
    <col min="13" max="13" width="9.625" customWidth="1"/>
    <col min="14" max="14" width="0.75" customWidth="1"/>
    <col min="15" max="15" width="9.75" customWidth="1"/>
    <col min="16" max="16" width="0.75" customWidth="1"/>
    <col min="17" max="17" width="10" customWidth="1"/>
    <col min="18" max="18" width="5.375" customWidth="1"/>
  </cols>
  <sheetData>
    <row r="1" spans="1:18" x14ac:dyDescent="0.25">
      <c r="A1" t="str">
        <f>CL_wRR!A1</f>
        <v>Utilities, Inc. of Florida</v>
      </c>
      <c r="R1" s="33" t="str">
        <f>Exh_DR_17_PIN!$E$1</f>
        <v>Docket No. 160101-WS</v>
      </c>
    </row>
    <row r="2" spans="1:18" x14ac:dyDescent="0.25">
      <c r="A2" t="s">
        <v>181</v>
      </c>
      <c r="R2" s="33" t="str">
        <f>Exh_DR_17_PIN!$E$2</f>
        <v>Exhibit DMR-17</v>
      </c>
    </row>
    <row r="3" spans="1:18" x14ac:dyDescent="0.25">
      <c r="A3" t="str">
        <f>CL_wRR!A3</f>
        <v>Test Year Ended December 31, 2015</v>
      </c>
      <c r="R3" s="33" t="str">
        <f>Exh_DR_17_PIN!$E$3</f>
        <v>Pinellas County Revenue Requirement</v>
      </c>
    </row>
    <row r="4" spans="1:18" x14ac:dyDescent="0.25">
      <c r="Q4" s="33" t="s">
        <v>83</v>
      </c>
      <c r="R4" s="33" t="str">
        <f>Exh_DR_17_PIN!$E$4</f>
        <v>of 6</v>
      </c>
    </row>
    <row r="5" spans="1:18" x14ac:dyDescent="0.25">
      <c r="A5" t="s">
        <v>199</v>
      </c>
    </row>
    <row r="8" spans="1:18" x14ac:dyDescent="0.25">
      <c r="Q8" s="1" t="s">
        <v>8</v>
      </c>
    </row>
    <row r="9" spans="1:18" x14ac:dyDescent="0.25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8" x14ac:dyDescent="0.4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25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25">
      <c r="A13">
        <v>1</v>
      </c>
      <c r="C13" t="s">
        <v>206</v>
      </c>
      <c r="E13">
        <v>757239</v>
      </c>
      <c r="G13" s="64">
        <f>E13/$E$20</f>
        <v>0.44522387928069357</v>
      </c>
      <c r="I13">
        <f>K13-E13</f>
        <v>-160928.58218528959</v>
      </c>
      <c r="K13">
        <f>($K$20-$K$16-$K$17-$K$18)*(E13/SUM($E$13:$E$15))</f>
        <v>596310.41781471041</v>
      </c>
      <c r="M13" s="64">
        <f>K13/$K$20</f>
        <v>0.39844954039432012</v>
      </c>
      <c r="O13" s="64">
        <v>6.7000000000000004E-2</v>
      </c>
      <c r="P13" s="8"/>
      <c r="Q13" s="64">
        <f>M13*O13</f>
        <v>2.6696119206419448E-2</v>
      </c>
    </row>
    <row r="14" spans="1:18" x14ac:dyDescent="0.25">
      <c r="A14">
        <v>2</v>
      </c>
      <c r="C14" t="s">
        <v>207</v>
      </c>
      <c r="E14">
        <v>71916</v>
      </c>
      <c r="G14" s="64">
        <f t="shared" ref="G14:G18" si="0">E14/$E$20</f>
        <v>4.2283506927601931E-2</v>
      </c>
      <c r="I14">
        <f t="shared" ref="I14:I15" si="1">K14-E14</f>
        <v>-15283.602556705722</v>
      </c>
      <c r="K14">
        <f t="shared" ref="K14:K15" si="2">($K$20-$K$16-$K$17-$K$18)*(E14/SUM($E$13:$E$15))</f>
        <v>56632.397443294278</v>
      </c>
      <c r="M14" s="64">
        <f t="shared" ref="M14:M18" si="3">K14/$K$20</f>
        <v>3.7841285442242051E-2</v>
      </c>
      <c r="O14" s="8">
        <v>2.3199999999999998E-2</v>
      </c>
      <c r="P14" s="8"/>
      <c r="Q14" s="64">
        <f t="shared" ref="Q14:Q18" si="4">M14*O14</f>
        <v>8.7791782226001548E-4</v>
      </c>
    </row>
    <row r="15" spans="1:18" x14ac:dyDescent="0.25">
      <c r="A15">
        <v>3</v>
      </c>
      <c r="C15" t="s">
        <v>208</v>
      </c>
      <c r="E15">
        <v>805292</v>
      </c>
      <c r="G15" s="64">
        <f t="shared" si="0"/>
        <v>0.47347697119893228</v>
      </c>
      <c r="I15">
        <f t="shared" si="1"/>
        <v>-171140.8152580047</v>
      </c>
      <c r="K15">
        <f t="shared" si="2"/>
        <v>634151.1847419953</v>
      </c>
      <c r="M15" s="64">
        <f t="shared" si="3"/>
        <v>0.42373441843753801</v>
      </c>
      <c r="O15" s="8">
        <v>0.104</v>
      </c>
      <c r="P15" s="8"/>
      <c r="Q15" s="64">
        <f t="shared" si="4"/>
        <v>4.4068379517503954E-2</v>
      </c>
    </row>
    <row r="16" spans="1:18" x14ac:dyDescent="0.25">
      <c r="A16">
        <v>4</v>
      </c>
      <c r="C16" t="s">
        <v>209</v>
      </c>
      <c r="E16">
        <v>2346</v>
      </c>
      <c r="G16" s="64">
        <f t="shared" si="0"/>
        <v>1.3793468387028496E-3</v>
      </c>
      <c r="K16">
        <f>E16+I16</f>
        <v>2346</v>
      </c>
      <c r="M16" s="64">
        <f t="shared" si="3"/>
        <v>1.5675772111959491E-3</v>
      </c>
      <c r="O16" s="8">
        <v>0.02</v>
      </c>
      <c r="P16" s="8"/>
      <c r="Q16" s="64">
        <f t="shared" si="4"/>
        <v>3.135154422391898E-5</v>
      </c>
    </row>
    <row r="17" spans="1:17" x14ac:dyDescent="0.25">
      <c r="A17">
        <v>5</v>
      </c>
      <c r="C17" t="s">
        <v>210</v>
      </c>
      <c r="E17">
        <v>3582</v>
      </c>
      <c r="G17" s="64">
        <f t="shared" si="0"/>
        <v>2.1060615414465501E-3</v>
      </c>
      <c r="K17">
        <f>E17+I17</f>
        <v>3582</v>
      </c>
      <c r="M17" s="64">
        <f t="shared" si="3"/>
        <v>2.3934618800101832E-3</v>
      </c>
      <c r="O17" s="8">
        <v>0</v>
      </c>
      <c r="P17" s="8"/>
      <c r="Q17" s="64">
        <f t="shared" si="4"/>
        <v>0</v>
      </c>
    </row>
    <row r="18" spans="1:17" x14ac:dyDescent="0.25">
      <c r="A18">
        <v>6</v>
      </c>
      <c r="C18" t="s">
        <v>211</v>
      </c>
      <c r="E18" s="3">
        <v>60430</v>
      </c>
      <c r="G18" s="68">
        <f t="shared" si="0"/>
        <v>3.5530234212622844E-2</v>
      </c>
      <c r="I18">
        <v>143125</v>
      </c>
      <c r="K18" s="3">
        <f>E18+I18</f>
        <v>203555</v>
      </c>
      <c r="M18" s="68">
        <f t="shared" si="3"/>
        <v>0.13601371663469369</v>
      </c>
      <c r="O18" s="8">
        <v>0</v>
      </c>
      <c r="P18" s="8"/>
      <c r="Q18" s="68">
        <f t="shared" si="4"/>
        <v>0</v>
      </c>
    </row>
    <row r="20" spans="1:17" ht="16.5" thickBot="1" x14ac:dyDescent="0.3">
      <c r="A20">
        <v>7</v>
      </c>
      <c r="C20" t="s">
        <v>189</v>
      </c>
      <c r="E20">
        <f>SUM(E13:E19)</f>
        <v>1700805</v>
      </c>
      <c r="G20" s="8">
        <f>SUM(G13:G19)</f>
        <v>1</v>
      </c>
      <c r="K20">
        <f>PIN_wRB!I23</f>
        <v>1496577</v>
      </c>
      <c r="M20" s="8">
        <f>SUM(M13:M19)</f>
        <v>1</v>
      </c>
      <c r="Q20" s="71">
        <f>ROUND(SUM(Q13:Q19),4)</f>
        <v>7.17E-2</v>
      </c>
    </row>
    <row r="21" spans="1:17" ht="16.5" thickTop="1" x14ac:dyDescent="0.25"/>
    <row r="22" spans="1:17" ht="18" x14ac:dyDescent="0.4">
      <c r="C22" s="4" t="s">
        <v>50</v>
      </c>
    </row>
    <row r="23" spans="1:17" x14ac:dyDescent="0.25">
      <c r="C23" t="s">
        <v>217</v>
      </c>
    </row>
    <row r="24" spans="1:17" x14ac:dyDescent="0.25">
      <c r="C24" t="s">
        <v>220</v>
      </c>
    </row>
    <row r="25" spans="1:17" x14ac:dyDescent="0.25">
      <c r="C25" t="s">
        <v>737</v>
      </c>
    </row>
    <row r="26" spans="1:17" x14ac:dyDescent="0.25">
      <c r="C26" t="s">
        <v>736</v>
      </c>
    </row>
  </sheetData>
  <pageMargins left="0.7" right="0.7" top="0.75" bottom="0.75" header="0.3" footer="0.3"/>
  <pageSetup scale="72" orientation="portrait" horizontalDpi="0" verticalDpi="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E17"/>
  <sheetViews>
    <sheetView workbookViewId="0">
      <selection activeCell="E5" sqref="E5"/>
    </sheetView>
  </sheetViews>
  <sheetFormatPr defaultRowHeight="15.75" x14ac:dyDescent="0.25"/>
  <cols>
    <col min="1" max="1" width="8.125" customWidth="1"/>
    <col min="2" max="2" width="1.875" customWidth="1"/>
    <col min="3" max="3" width="45.625" customWidth="1"/>
    <col min="4" max="4" width="13.375" customWidth="1"/>
    <col min="5" max="5" width="4.875" customWidth="1"/>
  </cols>
  <sheetData>
    <row r="1" spans="1:5" x14ac:dyDescent="0.25">
      <c r="A1" t="s">
        <v>61</v>
      </c>
      <c r="E1" s="33" t="s">
        <v>64</v>
      </c>
    </row>
    <row r="2" spans="1:5" x14ac:dyDescent="0.25">
      <c r="A2" t="s">
        <v>186</v>
      </c>
      <c r="E2" s="33" t="s">
        <v>187</v>
      </c>
    </row>
    <row r="3" spans="1:5" x14ac:dyDescent="0.25">
      <c r="A3" t="s">
        <v>86</v>
      </c>
      <c r="E3" s="33" t="s">
        <v>188</v>
      </c>
    </row>
    <row r="4" spans="1:5" x14ac:dyDescent="0.25">
      <c r="D4" s="33" t="s">
        <v>67</v>
      </c>
      <c r="E4" s="33" t="s">
        <v>561</v>
      </c>
    </row>
    <row r="5" spans="1:5" x14ac:dyDescent="0.25">
      <c r="A5" t="s">
        <v>63</v>
      </c>
    </row>
    <row r="8" spans="1:5" x14ac:dyDescent="0.25">
      <c r="A8" s="3" t="s">
        <v>84</v>
      </c>
      <c r="B8" s="3"/>
      <c r="C8" s="3" t="s">
        <v>85</v>
      </c>
      <c r="D8" s="3"/>
      <c r="E8" s="3"/>
    </row>
    <row r="10" spans="1:5" x14ac:dyDescent="0.25">
      <c r="A10" t="str">
        <f>MAR_wRR!N4</f>
        <v>Page 2</v>
      </c>
      <c r="C10" t="str">
        <f>MAR_wRR!A5</f>
        <v>Calculation of Revenue Requirement - Water</v>
      </c>
    </row>
    <row r="11" spans="1:5" x14ac:dyDescent="0.25">
      <c r="A11" t="str">
        <f>MAR_wwRR!N4</f>
        <v>Page 3</v>
      </c>
      <c r="C11" t="str">
        <f>MAR_wwRR!A5</f>
        <v>Calculation of Revenue Requirement - Wastewater</v>
      </c>
    </row>
    <row r="12" spans="1:5" x14ac:dyDescent="0.25">
      <c r="A12" t="str">
        <f>MAR_NOIadj!J4</f>
        <v>Page 4</v>
      </c>
      <c r="C12" t="str">
        <f>MAR_NOIadj!A5</f>
        <v>Schedule of Adjustments to Operating Income</v>
      </c>
    </row>
    <row r="13" spans="1:5" x14ac:dyDescent="0.25">
      <c r="A13" t="str">
        <f>MAR_wRB!I4</f>
        <v>Page 5</v>
      </c>
      <c r="C13" t="str">
        <f>MAR_wRB!A5</f>
        <v>Rate Base - Water</v>
      </c>
    </row>
    <row r="14" spans="1:5" x14ac:dyDescent="0.25">
      <c r="A14" t="str">
        <f>MAR_wwRB!I4</f>
        <v>Page 6</v>
      </c>
      <c r="C14" t="str">
        <f>MAR_wwRB!A5</f>
        <v>Rate Base - Wastewater</v>
      </c>
    </row>
    <row r="15" spans="1:5" x14ac:dyDescent="0.25">
      <c r="A15" t="str">
        <f>MAR_RBadj!K4</f>
        <v>Page 7</v>
      </c>
      <c r="C15" t="str">
        <f>MAR_RBadj!A5</f>
        <v>Schedule of Adjustments to Rate Base</v>
      </c>
    </row>
    <row r="16" spans="1:5" x14ac:dyDescent="0.25">
      <c r="A16" t="str">
        <f>MAR_UandU!I4</f>
        <v>Page 8</v>
      </c>
      <c r="C16" t="str">
        <f>MAR_UandU!A5</f>
        <v>Non-Used &amp; Useful Plant</v>
      </c>
    </row>
    <row r="17" spans="1:3" x14ac:dyDescent="0.25">
      <c r="A17" t="str">
        <f>MAR_ROR!Q4</f>
        <v>Page 9</v>
      </c>
      <c r="C17" t="str">
        <f>MAR_ROR!A5</f>
        <v>Cost of Capital</v>
      </c>
    </row>
  </sheetData>
  <pageMargins left="0.7" right="0.7" top="0.75" bottom="0.75" header="0.3" footer="0.3"/>
  <pageSetup orientation="portrait" horizontalDpi="0" verticalDpi="0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workbookViewId="0">
      <selection activeCell="C29" sqref="C29:C30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0.375" bestFit="1" customWidth="1"/>
    <col min="5" max="5" width="1.75" customWidth="1"/>
    <col min="6" max="6" width="10.875" customWidth="1"/>
    <col min="7" max="7" width="2.125" customWidth="1"/>
    <col min="8" max="8" width="10.375" bestFit="1" customWidth="1"/>
    <col min="9" max="9" width="1.375" customWidth="1"/>
    <col min="10" max="10" width="10.125" customWidth="1"/>
    <col min="11" max="11" width="1.125" customWidth="1"/>
    <col min="12" max="12" width="11.25" customWidth="1"/>
    <col min="13" max="13" width="1.75" customWidth="1"/>
    <col min="14" max="14" width="11" customWidth="1"/>
    <col min="15" max="15" width="5.125" customWidth="1"/>
  </cols>
  <sheetData>
    <row r="1" spans="1:15" x14ac:dyDescent="0.25">
      <c r="A1" t="s">
        <v>61</v>
      </c>
      <c r="O1" s="33" t="str">
        <f>Exh_DR_18_MAR!$E$1</f>
        <v>Docket No. 160101-WS</v>
      </c>
    </row>
    <row r="2" spans="1:15" x14ac:dyDescent="0.25">
      <c r="A2" t="s">
        <v>186</v>
      </c>
      <c r="O2" s="33" t="str">
        <f>Exh_DR_18_MAR!$E$2</f>
        <v>Exhibit DMR-18</v>
      </c>
    </row>
    <row r="3" spans="1:15" x14ac:dyDescent="0.25">
      <c r="A3" t="s">
        <v>63</v>
      </c>
      <c r="O3" s="33" t="str">
        <f>Exh_DR_18_MAR!$E$3</f>
        <v>Marion County Revenue Requirement</v>
      </c>
    </row>
    <row r="4" spans="1:15" x14ac:dyDescent="0.25">
      <c r="N4" s="33" t="s">
        <v>77</v>
      </c>
      <c r="O4" s="33" t="str">
        <f>Exh_DR_18_MAR!$E$4</f>
        <v>of 9</v>
      </c>
    </row>
    <row r="5" spans="1:15" x14ac:dyDescent="0.25">
      <c r="A5" t="s">
        <v>69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208417</v>
      </c>
      <c r="F12" s="29">
        <f>MAR_NOIadj!F13</f>
        <v>0</v>
      </c>
      <c r="G12" s="6"/>
      <c r="H12">
        <f>SUM(D12:F12)</f>
        <v>208417</v>
      </c>
      <c r="J12">
        <f>((H23*L25)-H21)*1.67888</f>
        <v>61905.525966612659</v>
      </c>
      <c r="L12">
        <f>SUM(H12:J12)</f>
        <v>270322.52596661268</v>
      </c>
      <c r="N12" t="str">
        <f>MAR_NOIadj!J4</f>
        <v>Page 4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130818</v>
      </c>
      <c r="F14" s="29">
        <f>MAR_NOIadj!F20</f>
        <v>-4343</v>
      </c>
      <c r="H14">
        <f>SUM(D14:F14)</f>
        <v>126475</v>
      </c>
      <c r="L14">
        <f>SUM(H14:J14)</f>
        <v>126475</v>
      </c>
      <c r="N14" t="str">
        <f>N12</f>
        <v>Page 4</v>
      </c>
    </row>
    <row r="15" spans="1:15" x14ac:dyDescent="0.25">
      <c r="A15">
        <v>3</v>
      </c>
      <c r="C15" t="s">
        <v>17</v>
      </c>
      <c r="D15">
        <v>61282</v>
      </c>
      <c r="F15" s="29">
        <f>MAR_NOIadj!F27</f>
        <v>-2874</v>
      </c>
      <c r="H15">
        <f>SUM(D15:F15)</f>
        <v>58408</v>
      </c>
      <c r="L15">
        <f>SUM(H15:J15)</f>
        <v>58408</v>
      </c>
      <c r="N15" t="str">
        <f>N12</f>
        <v>Page 4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15454</v>
      </c>
      <c r="F17" s="29">
        <f>MAR_NOIadj!F32</f>
        <v>0</v>
      </c>
      <c r="H17">
        <f>SUM(D17:F17)</f>
        <v>15454</v>
      </c>
      <c r="J17">
        <f>J12*0.045</f>
        <v>2785.7486684975697</v>
      </c>
      <c r="L17">
        <f>SUM(H17:J17)</f>
        <v>18239.74866849757</v>
      </c>
      <c r="N17" t="str">
        <f>N12</f>
        <v>Page 4</v>
      </c>
    </row>
    <row r="18" spans="1:14" x14ac:dyDescent="0.25">
      <c r="A18">
        <v>6</v>
      </c>
      <c r="C18" t="s">
        <v>19</v>
      </c>
      <c r="D18" s="3">
        <v>-6728</v>
      </c>
      <c r="F18" s="29">
        <f>MAR_NOIadj!F37</f>
        <v>2799.1884340349998</v>
      </c>
      <c r="H18" s="3">
        <f>SUM(D18:F18)</f>
        <v>-3928.8115659650002</v>
      </c>
      <c r="J18">
        <f>(J12-J17)*0.3763</f>
        <v>22246.772197280712</v>
      </c>
      <c r="L18" s="9">
        <f>SUM(H18:J18)</f>
        <v>18317.960631315713</v>
      </c>
    </row>
    <row r="19" spans="1:14" x14ac:dyDescent="0.25">
      <c r="A19">
        <v>7</v>
      </c>
      <c r="C19" t="s">
        <v>20</v>
      </c>
      <c r="D19">
        <f>SUM(D14:D18)</f>
        <v>200826</v>
      </c>
      <c r="F19" s="29"/>
      <c r="H19" s="5">
        <f>SUM(H14:H18)</f>
        <v>196408.18843403499</v>
      </c>
      <c r="L19" s="5">
        <f>SUM(L14:L18)</f>
        <v>221440.70929981329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7591</v>
      </c>
      <c r="F21" s="29"/>
      <c r="H21">
        <f>H12-H19</f>
        <v>12008.811565965007</v>
      </c>
      <c r="L21">
        <f>H23*L25</f>
        <v>48881.920999999995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MAR_wRB!E23</f>
        <v>656497</v>
      </c>
      <c r="F23" s="29">
        <f>H23-D23</f>
        <v>4069.5</v>
      </c>
      <c r="H23">
        <f>MAR_wRB!I23</f>
        <v>660566.5</v>
      </c>
      <c r="L23">
        <f>H23</f>
        <v>660566.5</v>
      </c>
      <c r="N23" t="str">
        <f>MAR_wRB!I4</f>
        <v>Page 5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1.156288604517614E-2</v>
      </c>
      <c r="F25" s="29"/>
      <c r="L25" s="8">
        <f>MAR_ROR!Q20</f>
        <v>7.3999999999999996E-2</v>
      </c>
      <c r="N25" t="str">
        <f>MAR_ROR!Q4</f>
        <v>Page 9</v>
      </c>
    </row>
    <row r="26" spans="1:14" x14ac:dyDescent="0.25">
      <c r="L26" s="8"/>
    </row>
    <row r="27" spans="1:14" ht="18" x14ac:dyDescent="0.4">
      <c r="C27" s="4" t="s">
        <v>88</v>
      </c>
      <c r="J27" s="32"/>
      <c r="L27" s="8"/>
    </row>
    <row r="28" spans="1:14" x14ac:dyDescent="0.25">
      <c r="C28" t="s">
        <v>195</v>
      </c>
      <c r="J28" s="29"/>
    </row>
  </sheetData>
  <pageMargins left="0.7" right="0.7" top="0.75" bottom="0.75" header="0.3" footer="0.3"/>
  <pageSetup scale="74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G16" sqref="G16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5.5" customWidth="1"/>
    <col min="5" max="5" width="14.125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4.875" customWidth="1"/>
  </cols>
  <sheetData>
    <row r="1" spans="1:10" x14ac:dyDescent="0.25">
      <c r="A1" t="str">
        <f>CL_wRR!A1</f>
        <v>Utilities, Inc. of Florida</v>
      </c>
      <c r="H1" s="10"/>
      <c r="J1" s="33" t="str">
        <f>ExhDR4_ER_TOC!$E$1</f>
        <v>Docket No. 160101-WS</v>
      </c>
    </row>
    <row r="2" spans="1:10" x14ac:dyDescent="0.25">
      <c r="A2" t="s">
        <v>106</v>
      </c>
      <c r="H2" s="10"/>
      <c r="I2" s="10"/>
      <c r="J2" s="33" t="str">
        <f>ExhDR4_ER_TOC!$E$2</f>
        <v>Exhibit DMR-4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ExhDR4_ER_TOC!$E$3</f>
        <v>Eagle Ridge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81</v>
      </c>
      <c r="J4" s="33" t="str">
        <f>ExhDR4_ER_TOC!$E$4</f>
        <v>of 7</v>
      </c>
    </row>
    <row r="5" spans="1:10" x14ac:dyDescent="0.25">
      <c r="A5" s="27" t="s">
        <v>78</v>
      </c>
      <c r="B5" s="10"/>
      <c r="C5" s="10"/>
      <c r="D5" s="10"/>
      <c r="E5" s="10"/>
      <c r="F5" s="10"/>
      <c r="G5" s="10"/>
      <c r="H5" s="10"/>
      <c r="I5" s="10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8" x14ac:dyDescent="0.4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25">
      <c r="A12" s="10">
        <v>1</v>
      </c>
      <c r="B12" s="10"/>
      <c r="C12" s="11" t="s">
        <v>33</v>
      </c>
      <c r="D12" s="10"/>
      <c r="E12" s="10">
        <v>7511514</v>
      </c>
      <c r="F12" s="10"/>
      <c r="G12" s="10">
        <f>ER_RBadj!E15</f>
        <v>-77393.25</v>
      </c>
      <c r="H12" s="10"/>
      <c r="I12" s="10">
        <f>SUM(E12:G12)</f>
        <v>7434120.75</v>
      </c>
    </row>
    <row r="13" spans="1:10" x14ac:dyDescent="0.25">
      <c r="A13" s="10">
        <v>2</v>
      </c>
      <c r="B13" s="10"/>
      <c r="C13" s="11" t="s">
        <v>34</v>
      </c>
      <c r="D13" s="10"/>
      <c r="E13" s="10">
        <v>51866</v>
      </c>
      <c r="F13" s="10"/>
      <c r="G13" s="10"/>
      <c r="H13" s="10"/>
      <c r="I13" s="10">
        <f t="shared" ref="I13:I21" si="0">SUM(E13:G13)</f>
        <v>51866</v>
      </c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>
        <f>ER_RBadj!E18</f>
        <v>0</v>
      </c>
      <c r="H14" s="10"/>
      <c r="I14" s="10">
        <f t="shared" si="0"/>
        <v>0</v>
      </c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25">
      <c r="A16" s="10">
        <v>5</v>
      </c>
      <c r="B16" s="10"/>
      <c r="C16" s="11" t="s">
        <v>37</v>
      </c>
      <c r="D16" s="10"/>
      <c r="E16" s="27">
        <v>-3876997</v>
      </c>
      <c r="F16" s="10"/>
      <c r="G16" s="10">
        <f>-ER_RBadj!E25</f>
        <v>-191426.75</v>
      </c>
      <c r="H16" s="10"/>
      <c r="I16" s="10">
        <f t="shared" si="0"/>
        <v>-4068423.75</v>
      </c>
    </row>
    <row r="17" spans="1:9" x14ac:dyDescent="0.25">
      <c r="A17" s="10">
        <v>6</v>
      </c>
      <c r="B17" s="10"/>
      <c r="C17" s="11" t="s">
        <v>38</v>
      </c>
      <c r="D17" s="10"/>
      <c r="E17" s="10">
        <v>-3810352</v>
      </c>
      <c r="F17" s="10"/>
      <c r="G17" s="10"/>
      <c r="H17" s="10"/>
      <c r="I17" s="10">
        <f t="shared" si="0"/>
        <v>-3810352</v>
      </c>
    </row>
    <row r="18" spans="1:9" x14ac:dyDescent="0.25">
      <c r="A18" s="10">
        <v>7</v>
      </c>
      <c r="B18" s="10"/>
      <c r="C18" s="11" t="s">
        <v>39</v>
      </c>
      <c r="D18" s="10"/>
      <c r="E18" s="10">
        <v>3071805</v>
      </c>
      <c r="F18" s="10"/>
      <c r="G18" s="10"/>
      <c r="H18" s="10"/>
      <c r="I18" s="10">
        <f t="shared" si="0"/>
        <v>3071805</v>
      </c>
    </row>
    <row r="19" spans="1:9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25">
      <c r="A21" s="10">
        <v>10</v>
      </c>
      <c r="B21" s="10"/>
      <c r="C21" s="11" t="s">
        <v>40</v>
      </c>
      <c r="D21" s="10"/>
      <c r="E21" s="28">
        <v>192625</v>
      </c>
      <c r="F21" s="10"/>
      <c r="G21" s="17">
        <f>ER_RBadj!E29</f>
        <v>-82809</v>
      </c>
      <c r="H21" s="10"/>
      <c r="I21" s="17">
        <f t="shared" si="0"/>
        <v>109816</v>
      </c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5" thickBot="1" x14ac:dyDescent="0.3">
      <c r="A23" s="10">
        <v>11</v>
      </c>
      <c r="B23" s="10"/>
      <c r="C23" s="11" t="s">
        <v>41</v>
      </c>
      <c r="D23" s="10"/>
      <c r="E23" s="18">
        <f>SUM(E12:E21)</f>
        <v>3140461</v>
      </c>
      <c r="F23" s="10"/>
      <c r="G23" s="18">
        <f>SUM(G12:G21)</f>
        <v>-351629</v>
      </c>
      <c r="H23" s="10"/>
      <c r="I23" s="18">
        <f>SUM(I12:I22)</f>
        <v>2788832</v>
      </c>
    </row>
    <row r="24" spans="1:9" ht="16.5" thickTop="1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8" x14ac:dyDescent="0.4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25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27" t="s">
        <v>112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4" orientation="portrait" horizontalDpi="0" verticalDpi="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C30" sqref="C30:C31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0.375" bestFit="1" customWidth="1"/>
    <col min="5" max="5" width="1.75" customWidth="1"/>
    <col min="6" max="6" width="10.875" customWidth="1"/>
    <col min="7" max="7" width="2.125" customWidth="1"/>
    <col min="8" max="8" width="10.375" bestFit="1" customWidth="1"/>
    <col min="9" max="9" width="1.375" customWidth="1"/>
    <col min="10" max="10" width="10.125" customWidth="1"/>
    <col min="11" max="11" width="1.125" customWidth="1"/>
    <col min="12" max="12" width="11.25" customWidth="1"/>
    <col min="13" max="13" width="1.75" customWidth="1"/>
    <col min="14" max="14" width="11" customWidth="1"/>
    <col min="15" max="15" width="5.125" customWidth="1"/>
  </cols>
  <sheetData>
    <row r="1" spans="1:15" x14ac:dyDescent="0.25">
      <c r="A1" t="s">
        <v>61</v>
      </c>
      <c r="O1" s="33" t="str">
        <f>Exh_DR_18_MAR!$E$1</f>
        <v>Docket No. 160101-WS</v>
      </c>
    </row>
    <row r="2" spans="1:15" x14ac:dyDescent="0.25">
      <c r="A2" t="s">
        <v>186</v>
      </c>
      <c r="O2" s="33" t="str">
        <f>Exh_DR_18_MAR!$E$2</f>
        <v>Exhibit DMR-18</v>
      </c>
    </row>
    <row r="3" spans="1:15" x14ac:dyDescent="0.25">
      <c r="A3" t="s">
        <v>63</v>
      </c>
      <c r="O3" s="33" t="str">
        <f>Exh_DR_18_MAR!$E$3</f>
        <v>Marion County Revenue Requirement</v>
      </c>
    </row>
    <row r="4" spans="1:15" x14ac:dyDescent="0.25">
      <c r="N4" s="33" t="s">
        <v>80</v>
      </c>
      <c r="O4" s="33" t="str">
        <f>Exh_DR_18_MAR!$E$4</f>
        <v>of 9</v>
      </c>
    </row>
    <row r="5" spans="1:15" x14ac:dyDescent="0.25">
      <c r="A5" t="s">
        <v>76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48279</v>
      </c>
      <c r="F12" s="29">
        <f>MAR_NOIadj!H13</f>
        <v>0</v>
      </c>
      <c r="G12" s="6"/>
      <c r="H12">
        <f>SUM(D12:F12)</f>
        <v>48279</v>
      </c>
      <c r="J12">
        <f>((H23*L25)-H21)*1.67888</f>
        <v>37057.184587538315</v>
      </c>
      <c r="L12">
        <f>SUM(H12:J12)</f>
        <v>85336.184587538315</v>
      </c>
      <c r="N12" t="str">
        <f>MAR_NOIadj!J4</f>
        <v>Page 4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36447</v>
      </c>
      <c r="F14" s="29">
        <f>MAR_NOIadj!H20</f>
        <v>-138</v>
      </c>
      <c r="H14">
        <f>SUM(D14:F14)</f>
        <v>36309</v>
      </c>
      <c r="L14">
        <f>SUM(H14:J14)</f>
        <v>36309</v>
      </c>
      <c r="N14" t="str">
        <f>N12</f>
        <v>Page 4</v>
      </c>
    </row>
    <row r="15" spans="1:15" x14ac:dyDescent="0.25">
      <c r="A15">
        <v>3</v>
      </c>
      <c r="C15" t="s">
        <v>17</v>
      </c>
      <c r="D15">
        <v>32406</v>
      </c>
      <c r="F15" s="29">
        <f>MAR_NOIadj!H27</f>
        <v>0</v>
      </c>
      <c r="H15">
        <f>SUM(D15:F15)</f>
        <v>32406</v>
      </c>
      <c r="L15">
        <f>SUM(H15:J15)</f>
        <v>32406</v>
      </c>
      <c r="N15" t="str">
        <f>N12</f>
        <v>Page 4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3516</v>
      </c>
      <c r="F17" s="29">
        <f>MAR_NOIadj!H32</f>
        <v>0</v>
      </c>
      <c r="H17">
        <f>SUM(D17:F17)</f>
        <v>3516</v>
      </c>
      <c r="J17">
        <f>J12*0.045</f>
        <v>1667.5733064392241</v>
      </c>
      <c r="L17">
        <f>SUM(H17:J17)</f>
        <v>5183.5733064392243</v>
      </c>
      <c r="N17" t="str">
        <f>N12</f>
        <v>Page 4</v>
      </c>
    </row>
    <row r="18" spans="1:14" x14ac:dyDescent="0.25">
      <c r="A18">
        <v>6</v>
      </c>
      <c r="C18" t="s">
        <v>19</v>
      </c>
      <c r="D18" s="3">
        <v>-10360</v>
      </c>
      <c r="F18" s="29">
        <f>MAR_NOIadj!H37</f>
        <v>139.28301077999998</v>
      </c>
      <c r="H18" s="3">
        <f>SUM(D18:F18)</f>
        <v>-10220.71698922</v>
      </c>
      <c r="J18">
        <f>(J12-J17)*0.3763</f>
        <v>13317.110725077588</v>
      </c>
      <c r="L18" s="9">
        <f>SUM(H18:J18)</f>
        <v>3096.3937358575877</v>
      </c>
    </row>
    <row r="19" spans="1:14" x14ac:dyDescent="0.25">
      <c r="A19">
        <v>7</v>
      </c>
      <c r="C19" t="s">
        <v>20</v>
      </c>
      <c r="D19">
        <f>SUM(D14:D18)</f>
        <v>62009</v>
      </c>
      <c r="F19" s="29"/>
      <c r="H19" s="5">
        <f>SUM(H14:H18)</f>
        <v>62010.283010779996</v>
      </c>
      <c r="L19" s="5">
        <f>SUM(L14:L18)</f>
        <v>76994.967042296819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-13730</v>
      </c>
      <c r="F21" s="29"/>
      <c r="H21">
        <f>H12-H19</f>
        <v>-13731.283010779996</v>
      </c>
      <c r="L21">
        <f>H23*L25</f>
        <v>8341.2799999999988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MAR_wwRB!E23</f>
        <v>120537</v>
      </c>
      <c r="F23" s="29">
        <f>H23-D23</f>
        <v>-7817</v>
      </c>
      <c r="H23">
        <f>MAR_wwRB!I23</f>
        <v>112720</v>
      </c>
      <c r="L23">
        <f>H23</f>
        <v>112720</v>
      </c>
      <c r="N23" t="str">
        <f>MAR_wwRB!I4</f>
        <v>Page 6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-0.11390693314086131</v>
      </c>
      <c r="F25" s="29"/>
      <c r="L25" s="8">
        <f>MAR_ROR!Q20</f>
        <v>7.3999999999999996E-2</v>
      </c>
      <c r="N25" t="str">
        <f>MAR_ROR!Q4</f>
        <v>Page 9</v>
      </c>
    </row>
    <row r="28" spans="1:14" ht="18" x14ac:dyDescent="0.4">
      <c r="C28" s="4" t="s">
        <v>88</v>
      </c>
    </row>
    <row r="29" spans="1:14" x14ac:dyDescent="0.25">
      <c r="C29" t="s">
        <v>196</v>
      </c>
    </row>
  </sheetData>
  <pageMargins left="0.7" right="0.7" top="0.75" bottom="0.75" header="0.3" footer="0.3"/>
  <pageSetup scale="74" orientation="portrait" horizontalDpi="0" verticalDpi="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opLeftCell="A5" workbookViewId="0">
      <selection activeCell="J25" sqref="J25"/>
    </sheetView>
  </sheetViews>
  <sheetFormatPr defaultRowHeight="15.75" x14ac:dyDescent="0.25"/>
  <cols>
    <col min="1" max="1" width="4.375" customWidth="1"/>
    <col min="2" max="2" width="1.625" customWidth="1"/>
    <col min="3" max="3" width="42.875" customWidth="1"/>
    <col min="5" max="5" width="12.125" customWidth="1"/>
    <col min="6" max="6" width="9.625" bestFit="1" customWidth="1"/>
    <col min="7" max="7" width="1.75" customWidth="1"/>
    <col min="8" max="8" width="9.625" customWidth="1"/>
    <col min="9" max="9" width="1.375" customWidth="1"/>
    <col min="10" max="10" width="15.375" customWidth="1"/>
    <col min="11" max="11" width="5.875" customWidth="1"/>
  </cols>
  <sheetData>
    <row r="1" spans="1:11" x14ac:dyDescent="0.25">
      <c r="A1" t="str">
        <f>CL_wRR!A1</f>
        <v>Utilities, Inc. of Florida</v>
      </c>
      <c r="J1" s="33"/>
      <c r="K1" s="33" t="str">
        <f>Exh_DR_18_MAR!$E$1</f>
        <v>Docket No. 160101-WS</v>
      </c>
    </row>
    <row r="2" spans="1:11" x14ac:dyDescent="0.25">
      <c r="A2" t="s">
        <v>186</v>
      </c>
      <c r="J2" s="33"/>
      <c r="K2" s="33" t="str">
        <f>Exh_DR_18_MAR!$E$2</f>
        <v>Exhibit DMR-18</v>
      </c>
    </row>
    <row r="3" spans="1:11" x14ac:dyDescent="0.25">
      <c r="A3" t="str">
        <f>CL_wRR!A3</f>
        <v>Test Year Ended December 31, 2015</v>
      </c>
      <c r="J3" s="33"/>
      <c r="K3" s="33" t="str">
        <f>Exh_DR_18_MAR!$E$3</f>
        <v>Marion County Revenue Requirement</v>
      </c>
    </row>
    <row r="4" spans="1:11" x14ac:dyDescent="0.25">
      <c r="J4" s="33" t="s">
        <v>81</v>
      </c>
      <c r="K4" s="33" t="str">
        <f>Exh_DR_18_MAR!$E$4</f>
        <v>of 9</v>
      </c>
    </row>
    <row r="5" spans="1:11" x14ac:dyDescent="0.25">
      <c r="A5" t="s">
        <v>45</v>
      </c>
    </row>
    <row r="8" spans="1:11" x14ac:dyDescent="0.25">
      <c r="A8" t="s">
        <v>0</v>
      </c>
      <c r="F8" s="1" t="s">
        <v>70</v>
      </c>
      <c r="G8" s="1"/>
      <c r="H8" s="1" t="s">
        <v>71</v>
      </c>
    </row>
    <row r="9" spans="1:11" ht="18" x14ac:dyDescent="0.4">
      <c r="A9" s="3" t="s">
        <v>1</v>
      </c>
      <c r="C9" s="4" t="s">
        <v>2</v>
      </c>
      <c r="F9" s="2" t="s">
        <v>5</v>
      </c>
      <c r="G9" s="34"/>
      <c r="H9" s="2" t="s">
        <v>5</v>
      </c>
      <c r="J9" s="4" t="s">
        <v>72</v>
      </c>
    </row>
    <row r="11" spans="1:11" ht="18" x14ac:dyDescent="0.4">
      <c r="C11" s="4" t="s">
        <v>73</v>
      </c>
    </row>
    <row r="12" spans="1:11" x14ac:dyDescent="0.25">
      <c r="A12">
        <v>1</v>
      </c>
    </row>
    <row r="13" spans="1:11" ht="16.5" thickBot="1" x14ac:dyDescent="0.3">
      <c r="A13">
        <v>2</v>
      </c>
      <c r="C13" t="s">
        <v>110</v>
      </c>
      <c r="F13" s="24">
        <f>SUM(F12:F12)</f>
        <v>0</v>
      </c>
      <c r="H13" s="24">
        <f>SUM(H12:H12)</f>
        <v>0</v>
      </c>
    </row>
    <row r="14" spans="1:11" ht="16.5" thickTop="1" x14ac:dyDescent="0.25">
      <c r="A14">
        <v>3</v>
      </c>
    </row>
    <row r="15" spans="1:11" ht="18" x14ac:dyDescent="0.4">
      <c r="A15">
        <v>4</v>
      </c>
      <c r="C15" s="4" t="s">
        <v>49</v>
      </c>
    </row>
    <row r="16" spans="1:11" x14ac:dyDescent="0.25">
      <c r="A16">
        <v>5</v>
      </c>
      <c r="C16" t="s">
        <v>378</v>
      </c>
      <c r="F16" s="26">
        <f>ROUND(-157903/4*0.0799,0)</f>
        <v>-3154</v>
      </c>
      <c r="G16" s="26"/>
      <c r="H16" s="26">
        <f>ROUND(-64263/4*0.0273,0)</f>
        <v>-439</v>
      </c>
      <c r="J16" t="s">
        <v>379</v>
      </c>
    </row>
    <row r="17" spans="1:10" x14ac:dyDescent="0.25">
      <c r="A17">
        <v>6</v>
      </c>
      <c r="C17" t="s">
        <v>330</v>
      </c>
      <c r="F17">
        <f>ROUND((13379+1683)*-0.0135,0)</f>
        <v>-203</v>
      </c>
      <c r="J17" s="6" t="s">
        <v>212</v>
      </c>
    </row>
    <row r="18" spans="1:10" x14ac:dyDescent="0.25">
      <c r="A18">
        <v>7</v>
      </c>
      <c r="C18" t="s">
        <v>290</v>
      </c>
      <c r="F18" s="5">
        <f>ROUND('WSC-Ins'!$I$27*(360.65/(360.65+50.19)),0)</f>
        <v>-220</v>
      </c>
      <c r="G18" s="5"/>
      <c r="H18" s="5">
        <f>ROUND('WSC-Ins'!$I$27*(50.19/(360.65+50.19)),0)</f>
        <v>-31</v>
      </c>
      <c r="J18" t="str">
        <f>'WSC-Ins'!J2</f>
        <v>Exhibit DMR-19</v>
      </c>
    </row>
    <row r="19" spans="1:10" x14ac:dyDescent="0.25">
      <c r="A19">
        <v>8</v>
      </c>
      <c r="C19" t="s">
        <v>291</v>
      </c>
      <c r="F19" s="5">
        <f>ROUND(WSCs_Dep!I27*(360.65/(360.65+50.19)),0)</f>
        <v>-766</v>
      </c>
      <c r="G19" s="5"/>
      <c r="H19" s="5">
        <f>ROUND(WSCs_Dep!I27*(50.19/(360.65+50.19)),0)</f>
        <v>-107</v>
      </c>
      <c r="J19" t="str">
        <f>WSCs_Dep!J2</f>
        <v>Exhibit DMR-20</v>
      </c>
    </row>
    <row r="20" spans="1:10" ht="16.5" thickBot="1" x14ac:dyDescent="0.3">
      <c r="A20">
        <v>9</v>
      </c>
      <c r="C20" t="s">
        <v>110</v>
      </c>
      <c r="F20" s="24">
        <f>SUM(F16:F19)</f>
        <v>-4343</v>
      </c>
      <c r="G20" s="26"/>
      <c r="H20" s="24">
        <f>SUM(H17:H19)</f>
        <v>-138</v>
      </c>
    </row>
    <row r="21" spans="1:10" ht="16.5" thickTop="1" x14ac:dyDescent="0.25">
      <c r="A21">
        <v>10</v>
      </c>
    </row>
    <row r="22" spans="1:10" ht="18" x14ac:dyDescent="0.4">
      <c r="A22">
        <v>11</v>
      </c>
      <c r="C22" s="4" t="s">
        <v>46</v>
      </c>
    </row>
    <row r="23" spans="1:10" x14ac:dyDescent="0.25">
      <c r="A23">
        <v>12</v>
      </c>
      <c r="C23" s="40" t="s">
        <v>236</v>
      </c>
      <c r="H23">
        <f>MAR_UandU!I22</f>
        <v>-12279</v>
      </c>
      <c r="J23" t="str">
        <f>MAR_UandU!I4</f>
        <v>Page 8</v>
      </c>
    </row>
    <row r="24" spans="1:10" x14ac:dyDescent="0.25">
      <c r="A24">
        <v>13</v>
      </c>
      <c r="C24" t="s">
        <v>630</v>
      </c>
      <c r="F24">
        <f>GIS_Proj!M25</f>
        <v>-231</v>
      </c>
      <c r="H24">
        <f>GIS_Proj!O25</f>
        <v>-32</v>
      </c>
      <c r="J24" t="str">
        <f>GIS_Proj!O2</f>
        <v>Exhibit DMR-21</v>
      </c>
    </row>
    <row r="25" spans="1:10" x14ac:dyDescent="0.25">
      <c r="A25">
        <v>14</v>
      </c>
      <c r="C25" t="s">
        <v>328</v>
      </c>
      <c r="F25">
        <v>-1936</v>
      </c>
      <c r="J25" s="31" t="s">
        <v>465</v>
      </c>
    </row>
    <row r="26" spans="1:10" x14ac:dyDescent="0.25">
      <c r="A26">
        <v>15</v>
      </c>
      <c r="C26" t="s">
        <v>329</v>
      </c>
      <c r="F26" s="3">
        <v>-938</v>
      </c>
      <c r="G26" s="26"/>
      <c r="H26" s="3"/>
      <c r="J26" s="31" t="s">
        <v>465</v>
      </c>
    </row>
    <row r="27" spans="1:10" ht="16.5" thickBot="1" x14ac:dyDescent="0.3">
      <c r="A27">
        <v>16</v>
      </c>
      <c r="C27" t="s">
        <v>110</v>
      </c>
      <c r="F27" s="24">
        <f>SUM(F25:F26)</f>
        <v>-2874</v>
      </c>
      <c r="G27" s="26"/>
      <c r="H27" s="24">
        <f>SUM(H25:H26)</f>
        <v>0</v>
      </c>
    </row>
    <row r="28" spans="1:10" ht="16.5" thickTop="1" x14ac:dyDescent="0.25">
      <c r="A28">
        <v>17</v>
      </c>
    </row>
    <row r="29" spans="1:10" ht="18" x14ac:dyDescent="0.4">
      <c r="A29">
        <v>18</v>
      </c>
      <c r="C29" s="4" t="s">
        <v>60</v>
      </c>
    </row>
    <row r="30" spans="1:10" ht="18" x14ac:dyDescent="0.4">
      <c r="A30">
        <v>19</v>
      </c>
      <c r="C30" s="4"/>
    </row>
    <row r="31" spans="1:10" x14ac:dyDescent="0.25">
      <c r="A31">
        <v>20</v>
      </c>
      <c r="C31" s="40" t="s">
        <v>89</v>
      </c>
      <c r="F31">
        <f>ROUND(F13*0.045,0)</f>
        <v>0</v>
      </c>
      <c r="H31">
        <f>ROUND(H13*0.045,0)</f>
        <v>0</v>
      </c>
    </row>
    <row r="32" spans="1:10" ht="16.5" thickBot="1" x14ac:dyDescent="0.3">
      <c r="A32">
        <v>21</v>
      </c>
      <c r="C32" t="s">
        <v>110</v>
      </c>
      <c r="F32" s="24">
        <f>SUM(F30:F31)</f>
        <v>0</v>
      </c>
      <c r="G32" s="26"/>
      <c r="H32" s="24">
        <f>SUM(H30:H31)</f>
        <v>0</v>
      </c>
    </row>
    <row r="33" spans="1:10" ht="16.5" thickTop="1" x14ac:dyDescent="0.25">
      <c r="A33">
        <v>22</v>
      </c>
    </row>
    <row r="34" spans="1:10" ht="18" x14ac:dyDescent="0.4">
      <c r="A34">
        <v>23</v>
      </c>
      <c r="C34" s="4" t="s">
        <v>79</v>
      </c>
    </row>
    <row r="35" spans="1:10" x14ac:dyDescent="0.25">
      <c r="A35">
        <v>24</v>
      </c>
      <c r="C35" s="40" t="s">
        <v>331</v>
      </c>
      <c r="F35">
        <f>CL_wRB!G23*0.0301*-0.3763</f>
        <v>83.188434035</v>
      </c>
      <c r="H35">
        <f>CL_wwRB!G23*0.0301*-0.3763</f>
        <v>87.283010779999998</v>
      </c>
      <c r="J35" s="6" t="s">
        <v>213</v>
      </c>
    </row>
    <row r="36" spans="1:10" x14ac:dyDescent="0.25">
      <c r="A36">
        <v>25</v>
      </c>
      <c r="C36" s="40" t="s">
        <v>90</v>
      </c>
      <c r="F36">
        <f>ROUND((F13-F20-F27-F32)*0.3763,0)</f>
        <v>2716</v>
      </c>
      <c r="H36">
        <f>ROUND((H13-H20-H27-H32)*0.3763,0)</f>
        <v>52</v>
      </c>
    </row>
    <row r="37" spans="1:10" ht="16.5" thickBot="1" x14ac:dyDescent="0.3">
      <c r="A37">
        <v>26</v>
      </c>
      <c r="C37" t="s">
        <v>110</v>
      </c>
      <c r="F37" s="24">
        <f>SUM(F35:F36)</f>
        <v>2799.1884340349998</v>
      </c>
      <c r="G37" s="26"/>
      <c r="H37" s="24">
        <f>SUM(H35:H36)</f>
        <v>139.28301077999998</v>
      </c>
    </row>
    <row r="38" spans="1:10" ht="16.5" thickTop="1" x14ac:dyDescent="0.25"/>
    <row r="39" spans="1:10" x14ac:dyDescent="0.25">
      <c r="C39" s="6" t="s">
        <v>334</v>
      </c>
    </row>
    <row r="40" spans="1:10" x14ac:dyDescent="0.25">
      <c r="C40" t="s">
        <v>333</v>
      </c>
    </row>
    <row r="41" spans="1:10" x14ac:dyDescent="0.25">
      <c r="C41" s="6" t="s">
        <v>332</v>
      </c>
    </row>
    <row r="42" spans="1:10" x14ac:dyDescent="0.25">
      <c r="C42" t="s">
        <v>116</v>
      </c>
    </row>
    <row r="43" spans="1:10" x14ac:dyDescent="0.25">
      <c r="E43" s="26"/>
      <c r="F43" s="26"/>
    </row>
  </sheetData>
  <pageMargins left="0.7" right="0.7" top="0.75" bottom="0.75" header="0.3" footer="0.3"/>
  <pageSetup scale="74" orientation="portrait" horizontalDpi="0" verticalDpi="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G17" sqref="G17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7" customWidth="1"/>
    <col min="5" max="5" width="16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4.625" customWidth="1"/>
  </cols>
  <sheetData>
    <row r="1" spans="1:10" x14ac:dyDescent="0.25">
      <c r="A1" t="str">
        <f>CL_wRR!A1</f>
        <v>Utilities, Inc. of Florida</v>
      </c>
      <c r="H1" s="10"/>
      <c r="I1" s="10"/>
      <c r="J1" s="33" t="str">
        <f>Exh_DR_18_MAR!$E$1</f>
        <v>Docket No. 160101-WS</v>
      </c>
    </row>
    <row r="2" spans="1:10" x14ac:dyDescent="0.25">
      <c r="A2" t="s">
        <v>186</v>
      </c>
      <c r="H2" s="10"/>
      <c r="I2" s="10"/>
      <c r="J2" s="33" t="str">
        <f>Exh_DR_18_MAR!$E$2</f>
        <v>Exhibit DMR-18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Exh_DR_18_MAR!$E$3</f>
        <v>Marion County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82</v>
      </c>
      <c r="J4" s="33" t="str">
        <f>Exh_DR_18_MAR!$E$4</f>
        <v>of 9</v>
      </c>
    </row>
    <row r="5" spans="1:10" x14ac:dyDescent="0.25">
      <c r="A5" s="27" t="s">
        <v>74</v>
      </c>
      <c r="B5" s="10"/>
      <c r="C5" s="10"/>
      <c r="D5" s="10"/>
      <c r="E5" s="10"/>
      <c r="F5" s="10"/>
      <c r="G5" s="10"/>
      <c r="H5" s="10"/>
      <c r="I5" s="10"/>
      <c r="J5" s="35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  <c r="J6" s="35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  <c r="J7" s="10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  <c r="J8" s="10"/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  <c r="J9" s="10"/>
    </row>
    <row r="10" spans="1:10" x14ac:dyDescent="0.25">
      <c r="A10" s="10"/>
      <c r="B10" s="10"/>
      <c r="C10" s="10"/>
      <c r="D10" s="10"/>
      <c r="E10" s="43" t="s">
        <v>24</v>
      </c>
      <c r="F10" s="10"/>
      <c r="G10" s="43" t="s">
        <v>25</v>
      </c>
      <c r="H10" s="10"/>
      <c r="I10" s="43" t="s">
        <v>26</v>
      </c>
      <c r="J10" s="10"/>
    </row>
    <row r="11" spans="1:10" x14ac:dyDescent="0.25">
      <c r="A11" s="10"/>
      <c r="B11" s="10"/>
      <c r="C11" s="10"/>
      <c r="D11" s="10"/>
      <c r="E11" s="43"/>
      <c r="F11" s="10"/>
      <c r="G11" s="43"/>
      <c r="H11" s="10"/>
      <c r="I11" s="43"/>
      <c r="J11" s="10"/>
    </row>
    <row r="12" spans="1:10" x14ac:dyDescent="0.25">
      <c r="A12" s="10">
        <v>1</v>
      </c>
      <c r="B12" s="10"/>
      <c r="C12" s="11" t="s">
        <v>33</v>
      </c>
      <c r="D12" s="10"/>
      <c r="E12" s="10">
        <v>1215288</v>
      </c>
      <c r="F12" s="10"/>
      <c r="G12" s="10">
        <f>MAR_RBadj!G15</f>
        <v>-90388</v>
      </c>
      <c r="H12" s="10"/>
      <c r="I12" s="10">
        <f>SUM(E12:G12)</f>
        <v>1124900</v>
      </c>
      <c r="J12" s="10"/>
    </row>
    <row r="13" spans="1:10" x14ac:dyDescent="0.25">
      <c r="A13" s="10">
        <v>2</v>
      </c>
      <c r="B13" s="10"/>
      <c r="C13" s="11" t="s">
        <v>34</v>
      </c>
      <c r="D13" s="10"/>
      <c r="E13" s="10">
        <v>17211</v>
      </c>
      <c r="F13" s="10"/>
      <c r="G13" s="10"/>
      <c r="H13" s="10"/>
      <c r="I13" s="10">
        <f t="shared" ref="I13:I21" si="0">SUM(E13:G13)</f>
        <v>17211</v>
      </c>
      <c r="J13" s="10"/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  <c r="J14" s="10"/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  <c r="J15" s="10"/>
    </row>
    <row r="16" spans="1:10" x14ac:dyDescent="0.25">
      <c r="A16" s="10">
        <v>5</v>
      </c>
      <c r="B16" s="10"/>
      <c r="C16" s="11" t="s">
        <v>37</v>
      </c>
      <c r="D16" s="10"/>
      <c r="E16" s="27">
        <v>-527830</v>
      </c>
      <c r="F16" s="10"/>
      <c r="G16" s="10">
        <f>-MAR_RBadj!G25</f>
        <v>94457.5</v>
      </c>
      <c r="H16" s="10"/>
      <c r="I16" s="10">
        <f t="shared" si="0"/>
        <v>-433372.5</v>
      </c>
      <c r="J16" s="10"/>
    </row>
    <row r="17" spans="1:10" x14ac:dyDescent="0.25">
      <c r="A17" s="10">
        <v>6</v>
      </c>
      <c r="B17" s="10"/>
      <c r="C17" s="11" t="s">
        <v>38</v>
      </c>
      <c r="D17" s="10"/>
      <c r="E17" s="10">
        <v>-184713</v>
      </c>
      <c r="F17" s="10"/>
      <c r="G17" s="10"/>
      <c r="H17" s="10"/>
      <c r="I17" s="10">
        <f t="shared" si="0"/>
        <v>-184713</v>
      </c>
      <c r="J17" s="10"/>
    </row>
    <row r="18" spans="1:10" x14ac:dyDescent="0.25">
      <c r="A18" s="10">
        <v>7</v>
      </c>
      <c r="B18" s="10"/>
      <c r="C18" s="11" t="s">
        <v>39</v>
      </c>
      <c r="D18" s="10"/>
      <c r="E18" s="10">
        <v>120763</v>
      </c>
      <c r="F18" s="10"/>
      <c r="G18" s="10"/>
      <c r="H18" s="10"/>
      <c r="I18" s="10">
        <f t="shared" si="0"/>
        <v>120763</v>
      </c>
      <c r="J18" s="10"/>
    </row>
    <row r="19" spans="1:10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  <c r="J19" s="10"/>
    </row>
    <row r="20" spans="1:10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  <c r="J20" s="10"/>
    </row>
    <row r="21" spans="1:10" x14ac:dyDescent="0.25">
      <c r="A21" s="10">
        <v>10</v>
      </c>
      <c r="B21" s="10"/>
      <c r="C21" s="11" t="s">
        <v>40</v>
      </c>
      <c r="D21" s="10"/>
      <c r="E21" s="28">
        <v>15778</v>
      </c>
      <c r="F21" s="10"/>
      <c r="G21" s="17">
        <f>MAR_RBadj!G29</f>
        <v>0</v>
      </c>
      <c r="H21" s="10"/>
      <c r="I21" s="17">
        <f t="shared" si="0"/>
        <v>15778</v>
      </c>
      <c r="J21" s="10"/>
    </row>
    <row r="22" spans="1:1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ht="16.5" thickBot="1" x14ac:dyDescent="0.3">
      <c r="A23" s="10">
        <v>11</v>
      </c>
      <c r="B23" s="10"/>
      <c r="C23" s="11" t="s">
        <v>41</v>
      </c>
      <c r="D23" s="10"/>
      <c r="E23" s="18">
        <f>SUM(E12:E21)</f>
        <v>656497</v>
      </c>
      <c r="F23" s="10"/>
      <c r="G23" s="18">
        <f>SUM(G12:G21)</f>
        <v>4069.5</v>
      </c>
      <c r="H23" s="10"/>
      <c r="I23" s="18">
        <f>SUM(I12:I22)</f>
        <v>660566.5</v>
      </c>
      <c r="J23" s="10"/>
    </row>
    <row r="24" spans="1:10" ht="16.5" thickTop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18" x14ac:dyDescent="0.4">
      <c r="A25" s="10"/>
      <c r="B25" s="10"/>
      <c r="C25" s="12" t="s">
        <v>50</v>
      </c>
      <c r="D25" s="10"/>
      <c r="E25" s="10"/>
      <c r="F25" s="10"/>
      <c r="G25" s="10"/>
      <c r="H25" s="10"/>
      <c r="I25" s="10"/>
      <c r="J25" s="10"/>
    </row>
    <row r="26" spans="1:10" x14ac:dyDescent="0.25">
      <c r="A26" s="10"/>
      <c r="B26" s="10"/>
      <c r="C26" s="45" t="s">
        <v>103</v>
      </c>
      <c r="D26" s="10"/>
      <c r="E26" s="10"/>
      <c r="F26" s="10"/>
      <c r="G26" s="10"/>
      <c r="H26" s="10"/>
      <c r="I26" s="10"/>
      <c r="J26" s="10"/>
    </row>
    <row r="27" spans="1:10" x14ac:dyDescent="0.25">
      <c r="A27" s="10"/>
      <c r="B27" s="10"/>
      <c r="C27" s="27" t="s">
        <v>104</v>
      </c>
      <c r="D27" s="10"/>
      <c r="E27" s="10"/>
      <c r="F27" s="10"/>
      <c r="G27" s="10"/>
      <c r="H27" s="10"/>
      <c r="I27" s="10"/>
      <c r="J27" s="10"/>
    </row>
  </sheetData>
  <pageMargins left="0.7" right="0.7" top="0.75" bottom="0.75" header="0.3" footer="0.3"/>
  <pageSetup scale="91" orientation="portrait" horizontalDpi="0" verticalDpi="0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G17" sqref="G17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7" customWidth="1"/>
    <col min="5" max="5" width="16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4.75" customWidth="1"/>
  </cols>
  <sheetData>
    <row r="1" spans="1:10" x14ac:dyDescent="0.25">
      <c r="A1" t="str">
        <f>CL_wRR!A1</f>
        <v>Utilities, Inc. of Florida</v>
      </c>
      <c r="H1" s="10"/>
      <c r="J1" s="33" t="str">
        <f>Exh_DR_18_MAR!$E$1</f>
        <v>Docket No. 160101-WS</v>
      </c>
    </row>
    <row r="2" spans="1:10" x14ac:dyDescent="0.25">
      <c r="A2" t="s">
        <v>186</v>
      </c>
      <c r="H2" s="10"/>
      <c r="I2" s="10"/>
      <c r="J2" s="33" t="str">
        <f>Exh_DR_18_MAR!$E$2</f>
        <v>Exhibit DMR-18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Exh_DR_18_MAR!$E$3</f>
        <v>Marion County Revenue Requirement</v>
      </c>
    </row>
    <row r="4" spans="1:10" x14ac:dyDescent="0.25">
      <c r="B4" s="10"/>
      <c r="C4" s="10"/>
      <c r="D4" s="78"/>
      <c r="E4" s="10"/>
      <c r="F4" s="10"/>
      <c r="G4" s="11"/>
      <c r="H4" s="10"/>
      <c r="I4" s="36" t="s">
        <v>83</v>
      </c>
      <c r="J4" s="33" t="str">
        <f>Exh_DR_18_MAR!$E$4</f>
        <v>of 9</v>
      </c>
    </row>
    <row r="5" spans="1:10" x14ac:dyDescent="0.25">
      <c r="A5" s="27" t="s">
        <v>78</v>
      </c>
      <c r="B5" s="10"/>
      <c r="C5" s="10"/>
      <c r="D5" s="10"/>
      <c r="E5" s="10"/>
      <c r="F5" s="10"/>
      <c r="G5" s="10"/>
      <c r="H5" s="10"/>
      <c r="I5" s="10"/>
      <c r="J5" s="33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8" x14ac:dyDescent="0.4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25">
      <c r="A12" s="10">
        <v>1</v>
      </c>
      <c r="B12" s="10"/>
      <c r="C12" s="11" t="s">
        <v>33</v>
      </c>
      <c r="D12" s="10"/>
      <c r="E12" s="10">
        <v>211413</v>
      </c>
      <c r="F12" s="10"/>
      <c r="G12" s="10">
        <f>MAR_RBadj!I15</f>
        <v>0</v>
      </c>
      <c r="H12" s="10"/>
      <c r="I12" s="10">
        <f>SUM(E12:G12)</f>
        <v>211413</v>
      </c>
    </row>
    <row r="13" spans="1:10" x14ac:dyDescent="0.25">
      <c r="A13" s="10">
        <v>2</v>
      </c>
      <c r="B13" s="10"/>
      <c r="C13" s="11" t="s">
        <v>34</v>
      </c>
      <c r="D13" s="10"/>
      <c r="E13" s="10">
        <v>10725</v>
      </c>
      <c r="F13" s="10"/>
      <c r="G13" s="10"/>
      <c r="H13" s="10"/>
      <c r="I13" s="10">
        <f t="shared" ref="I13:I21" si="0">SUM(E13:G13)</f>
        <v>10725</v>
      </c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>
        <f>MAR_RBadj!I19</f>
        <v>-7833</v>
      </c>
      <c r="H14" s="10"/>
      <c r="I14" s="10">
        <f t="shared" si="0"/>
        <v>-7833</v>
      </c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25">
      <c r="A16" s="10">
        <v>5</v>
      </c>
      <c r="B16" s="10"/>
      <c r="C16" s="11" t="s">
        <v>37</v>
      </c>
      <c r="D16" s="10"/>
      <c r="E16" s="27">
        <v>-98455</v>
      </c>
      <c r="F16" s="10"/>
      <c r="G16" s="10">
        <f>-MAR_RBadj!I25</f>
        <v>16</v>
      </c>
      <c r="H16" s="10"/>
      <c r="I16" s="10">
        <f t="shared" si="0"/>
        <v>-98439</v>
      </c>
    </row>
    <row r="17" spans="1:9" x14ac:dyDescent="0.25">
      <c r="A17" s="10">
        <v>6</v>
      </c>
      <c r="B17" s="10"/>
      <c r="C17" s="11" t="s">
        <v>38</v>
      </c>
      <c r="D17" s="10"/>
      <c r="E17" s="10">
        <v>-7200</v>
      </c>
      <c r="F17" s="10"/>
      <c r="G17" s="10"/>
      <c r="H17" s="10"/>
      <c r="I17" s="10">
        <f t="shared" si="0"/>
        <v>-7200</v>
      </c>
    </row>
    <row r="18" spans="1:9" x14ac:dyDescent="0.25">
      <c r="A18" s="10">
        <v>7</v>
      </c>
      <c r="B18" s="10"/>
      <c r="C18" s="11" t="s">
        <v>39</v>
      </c>
      <c r="D18" s="10"/>
      <c r="E18" s="10">
        <v>1858</v>
      </c>
      <c r="F18" s="10"/>
      <c r="G18" s="10"/>
      <c r="H18" s="10"/>
      <c r="I18" s="10">
        <f t="shared" si="0"/>
        <v>1858</v>
      </c>
    </row>
    <row r="19" spans="1:9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25">
      <c r="A21" s="10">
        <v>10</v>
      </c>
      <c r="B21" s="10"/>
      <c r="C21" s="11" t="s">
        <v>40</v>
      </c>
      <c r="D21" s="10"/>
      <c r="E21" s="28">
        <v>2196</v>
      </c>
      <c r="F21" s="10"/>
      <c r="G21" s="17">
        <f>MAR_RBadj!I29</f>
        <v>0</v>
      </c>
      <c r="H21" s="10"/>
      <c r="I21" s="17">
        <f t="shared" si="0"/>
        <v>2196</v>
      </c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5" thickBot="1" x14ac:dyDescent="0.3">
      <c r="A23" s="10">
        <v>11</v>
      </c>
      <c r="B23" s="10"/>
      <c r="C23" s="11" t="s">
        <v>41</v>
      </c>
      <c r="D23" s="10"/>
      <c r="E23" s="18">
        <f>SUM(E12:E21)</f>
        <v>120537</v>
      </c>
      <c r="F23" s="10"/>
      <c r="G23" s="18">
        <f>SUM(G12:G21)</f>
        <v>-7817</v>
      </c>
      <c r="H23" s="10"/>
      <c r="I23" s="18">
        <f>SUM(I12:I22)</f>
        <v>112720</v>
      </c>
    </row>
    <row r="24" spans="1:9" ht="16.5" thickTop="1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8" x14ac:dyDescent="0.4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25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27" t="s">
        <v>104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0" orientation="portrait" horizontalDpi="0" verticalDpi="0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activeCell="A30" sqref="A30"/>
    </sheetView>
  </sheetViews>
  <sheetFormatPr defaultRowHeight="15.75" x14ac:dyDescent="0.25"/>
  <cols>
    <col min="1" max="1" width="4.25" customWidth="1"/>
    <col min="2" max="2" width="1.375" customWidth="1"/>
    <col min="3" max="3" width="36.375" customWidth="1"/>
    <col min="4" max="6" width="7" customWidth="1"/>
    <col min="7" max="7" width="11.125" customWidth="1"/>
    <col min="8" max="8" width="1.875" customWidth="1"/>
    <col min="9" max="9" width="11.125" customWidth="1"/>
    <col min="10" max="10" width="2.25" customWidth="1"/>
    <col min="11" max="11" width="15.375" customWidth="1"/>
    <col min="12" max="12" width="4.375" customWidth="1"/>
  </cols>
  <sheetData>
    <row r="1" spans="1:12" x14ac:dyDescent="0.25">
      <c r="A1" t="str">
        <f>CL_wRR!A1</f>
        <v>Utilities, Inc. of Florida</v>
      </c>
      <c r="K1" s="37"/>
      <c r="L1" s="33" t="str">
        <f>Exh_DR_18_MAR!$E$1</f>
        <v>Docket No. 160101-WS</v>
      </c>
    </row>
    <row r="2" spans="1:12" x14ac:dyDescent="0.25">
      <c r="A2" t="s">
        <v>186</v>
      </c>
      <c r="K2" s="37"/>
      <c r="L2" s="33" t="str">
        <f>Exh_DR_18_MAR!$E$2</f>
        <v>Exhibit DMR-18</v>
      </c>
    </row>
    <row r="3" spans="1:12" x14ac:dyDescent="0.25">
      <c r="A3" t="str">
        <f>CL_wRR!A3</f>
        <v>Test Year Ended December 31, 2015</v>
      </c>
      <c r="K3" s="37"/>
      <c r="L3" s="33" t="str">
        <f>Exh_DR_18_MAR!$E$3</f>
        <v>Marion County Revenue Requirement</v>
      </c>
    </row>
    <row r="4" spans="1:12" x14ac:dyDescent="0.25">
      <c r="K4" s="38" t="s">
        <v>87</v>
      </c>
      <c r="L4" s="33" t="str">
        <f>Exh_DR_18_MAR!$E$4</f>
        <v>of 9</v>
      </c>
    </row>
    <row r="5" spans="1:12" x14ac:dyDescent="0.25">
      <c r="A5" t="s">
        <v>42</v>
      </c>
      <c r="K5" s="37"/>
      <c r="L5" s="37"/>
    </row>
    <row r="6" spans="1:12" x14ac:dyDescent="0.25">
      <c r="K6" s="37"/>
      <c r="L6" s="37"/>
    </row>
    <row r="7" spans="1:12" x14ac:dyDescent="0.25">
      <c r="G7" s="1"/>
      <c r="H7" s="1"/>
      <c r="I7" s="1"/>
      <c r="K7" s="37"/>
      <c r="L7" s="37"/>
    </row>
    <row r="8" spans="1:12" x14ac:dyDescent="0.25">
      <c r="A8" t="s">
        <v>0</v>
      </c>
      <c r="G8" s="1" t="s">
        <v>70</v>
      </c>
      <c r="H8" s="1"/>
      <c r="I8" s="1" t="s">
        <v>71</v>
      </c>
      <c r="K8" s="19"/>
      <c r="L8" s="19"/>
    </row>
    <row r="9" spans="1:12" x14ac:dyDescent="0.25">
      <c r="A9" s="3" t="s">
        <v>1</v>
      </c>
      <c r="C9" s="9" t="s">
        <v>2</v>
      </c>
      <c r="G9" s="2" t="s">
        <v>5</v>
      </c>
      <c r="H9" s="34"/>
      <c r="I9" s="2" t="s">
        <v>5</v>
      </c>
      <c r="K9" s="20" t="s">
        <v>23</v>
      </c>
      <c r="L9" s="19"/>
    </row>
    <row r="10" spans="1:12" x14ac:dyDescent="0.25">
      <c r="K10" s="19"/>
      <c r="L10" s="19"/>
    </row>
    <row r="11" spans="1:12" ht="18" x14ac:dyDescent="0.4">
      <c r="C11" s="4" t="s">
        <v>44</v>
      </c>
      <c r="K11" s="19"/>
      <c r="L11" s="19"/>
    </row>
    <row r="12" spans="1:12" x14ac:dyDescent="0.25">
      <c r="A12">
        <v>1</v>
      </c>
      <c r="C12" t="s">
        <v>630</v>
      </c>
      <c r="G12">
        <f>GIS_Proj!I25</f>
        <v>-3472</v>
      </c>
      <c r="I12">
        <f>GIS_Proj!K25</f>
        <v>-483</v>
      </c>
      <c r="K12" s="19" t="str">
        <f>GIS_Proj!O2</f>
        <v>Exhibit DMR-21</v>
      </c>
      <c r="L12" s="19"/>
    </row>
    <row r="13" spans="1:12" x14ac:dyDescent="0.25">
      <c r="A13">
        <v>2</v>
      </c>
      <c r="C13" t="s">
        <v>463</v>
      </c>
      <c r="G13">
        <v>-62271</v>
      </c>
      <c r="K13" s="31" t="s">
        <v>464</v>
      </c>
      <c r="L13" s="19"/>
    </row>
    <row r="14" spans="1:12" x14ac:dyDescent="0.25">
      <c r="A14">
        <v>3</v>
      </c>
      <c r="C14" t="s">
        <v>462</v>
      </c>
      <c r="G14">
        <v>-28117</v>
      </c>
      <c r="K14" s="31" t="s">
        <v>464</v>
      </c>
      <c r="L14" s="19"/>
    </row>
    <row r="15" spans="1:12" ht="16.5" thickBot="1" x14ac:dyDescent="0.3">
      <c r="A15" s="19">
        <v>4</v>
      </c>
      <c r="B15" s="19"/>
      <c r="C15" t="s">
        <v>48</v>
      </c>
      <c r="G15" s="24">
        <f>SUM(G13:G14)</f>
        <v>-90388</v>
      </c>
      <c r="H15" s="26"/>
      <c r="I15" s="24">
        <f>SUM(I14:I14)</f>
        <v>0</v>
      </c>
      <c r="K15" s="19"/>
      <c r="L15" s="19"/>
    </row>
    <row r="16" spans="1:12" ht="16.5" thickTop="1" x14ac:dyDescent="0.25">
      <c r="A16" s="19">
        <v>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 ht="18" x14ac:dyDescent="0.4">
      <c r="A17">
        <v>6</v>
      </c>
      <c r="B17" s="19"/>
      <c r="C17" s="21" t="s">
        <v>58</v>
      </c>
      <c r="D17" s="19"/>
      <c r="E17" s="19"/>
      <c r="F17" s="19"/>
      <c r="G17" s="19"/>
      <c r="H17" s="19"/>
      <c r="I17" s="19"/>
      <c r="J17" s="19"/>
      <c r="K17" s="19"/>
      <c r="L17" s="19"/>
    </row>
    <row r="18" spans="1:12" x14ac:dyDescent="0.25">
      <c r="A18">
        <v>7</v>
      </c>
      <c r="B18" s="19"/>
      <c r="C18" s="31" t="s">
        <v>344</v>
      </c>
      <c r="D18" s="19"/>
      <c r="E18" s="19"/>
      <c r="F18" s="19"/>
      <c r="G18" s="22"/>
      <c r="H18" s="39"/>
      <c r="I18" s="22">
        <f>MAR_UandU!G20</f>
        <v>-7833</v>
      </c>
      <c r="J18" s="19"/>
      <c r="K18" s="31" t="str">
        <f>MAR_UandU!I4</f>
        <v>Page 8</v>
      </c>
      <c r="L18" s="19"/>
    </row>
    <row r="19" spans="1:12" ht="16.5" thickBot="1" x14ac:dyDescent="0.3">
      <c r="A19">
        <v>8</v>
      </c>
      <c r="B19" s="19"/>
      <c r="C19" t="s">
        <v>59</v>
      </c>
      <c r="D19" s="19"/>
      <c r="E19" s="19"/>
      <c r="F19" s="19"/>
      <c r="G19" s="23">
        <f>SUM(G18:G18)</f>
        <v>0</v>
      </c>
      <c r="H19" s="39"/>
      <c r="I19" s="23">
        <f>SUM(I18:I18)</f>
        <v>-7833</v>
      </c>
      <c r="J19" s="19"/>
      <c r="K19" s="31"/>
      <c r="L19" s="19"/>
    </row>
    <row r="20" spans="1:12" ht="16.5" thickTop="1" x14ac:dyDescent="0.25">
      <c r="A20" s="19">
        <v>9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ht="18" x14ac:dyDescent="0.4">
      <c r="A21" s="19">
        <v>10</v>
      </c>
      <c r="B21" s="19"/>
      <c r="C21" s="21" t="s">
        <v>43</v>
      </c>
      <c r="D21" s="19"/>
      <c r="E21" s="19"/>
      <c r="F21" s="19"/>
      <c r="G21" s="19"/>
      <c r="H21" s="19"/>
      <c r="I21" s="19"/>
      <c r="J21" s="19"/>
      <c r="K21" s="19"/>
      <c r="L21" s="19"/>
    </row>
    <row r="22" spans="1:12" x14ac:dyDescent="0.25">
      <c r="A22">
        <v>11</v>
      </c>
      <c r="B22" s="19"/>
      <c r="C22" t="s">
        <v>630</v>
      </c>
      <c r="D22" s="19"/>
      <c r="E22" s="19"/>
      <c r="F22" s="19"/>
      <c r="G22" s="19">
        <f>MAR_NOIadj!F24*0.5</f>
        <v>-115.5</v>
      </c>
      <c r="H22" s="19"/>
      <c r="I22" s="19">
        <f>MAR_NOIadj!H24*0.5</f>
        <v>-16</v>
      </c>
      <c r="J22" s="19"/>
      <c r="K22" s="19"/>
      <c r="L22" s="19"/>
    </row>
    <row r="23" spans="1:12" x14ac:dyDescent="0.25">
      <c r="A23">
        <v>12</v>
      </c>
      <c r="B23" s="19"/>
      <c r="C23" t="s">
        <v>463</v>
      </c>
      <c r="D23" s="19"/>
      <c r="E23" s="19"/>
      <c r="F23" s="19"/>
      <c r="G23" s="19">
        <v>-64468</v>
      </c>
      <c r="H23" s="19"/>
      <c r="I23" s="19"/>
      <c r="J23" s="19"/>
      <c r="K23" s="31" t="s">
        <v>466</v>
      </c>
      <c r="L23" s="19"/>
    </row>
    <row r="24" spans="1:12" x14ac:dyDescent="0.25">
      <c r="A24">
        <v>13</v>
      </c>
      <c r="B24" s="19"/>
      <c r="C24" t="s">
        <v>462</v>
      </c>
      <c r="D24" s="19"/>
      <c r="E24" s="19"/>
      <c r="F24" s="19"/>
      <c r="G24" s="19">
        <v>-29874</v>
      </c>
      <c r="H24" s="19"/>
      <c r="I24" s="19"/>
      <c r="J24" s="19"/>
      <c r="K24" s="31" t="s">
        <v>466</v>
      </c>
      <c r="L24" s="19"/>
    </row>
    <row r="25" spans="1:12" ht="16.5" thickBot="1" x14ac:dyDescent="0.3">
      <c r="A25" s="19">
        <v>14</v>
      </c>
      <c r="B25" s="19"/>
      <c r="C25" s="20" t="s">
        <v>47</v>
      </c>
      <c r="D25" s="19"/>
      <c r="E25" s="19"/>
      <c r="F25" s="19"/>
      <c r="G25" s="23">
        <f>SUM(G22:G24)</f>
        <v>-94457.5</v>
      </c>
      <c r="H25" s="39"/>
      <c r="I25" s="23">
        <f>SUM(I22:I24)</f>
        <v>-16</v>
      </c>
      <c r="J25" s="19"/>
      <c r="K25" s="19"/>
      <c r="L25" s="19"/>
    </row>
    <row r="26" spans="1:12" ht="16.5" thickTop="1" x14ac:dyDescent="0.25">
      <c r="A26" s="19">
        <v>15</v>
      </c>
      <c r="B26" s="19"/>
      <c r="C26" s="20"/>
      <c r="D26" s="19"/>
      <c r="E26" s="19"/>
      <c r="F26" s="19"/>
      <c r="G26" s="19"/>
      <c r="H26" s="19"/>
      <c r="I26" s="19"/>
      <c r="J26" s="19"/>
      <c r="K26" s="19"/>
      <c r="L26" s="19"/>
    </row>
    <row r="27" spans="1:12" ht="18" x14ac:dyDescent="0.4">
      <c r="A27">
        <v>16</v>
      </c>
      <c r="B27" s="19"/>
      <c r="C27" s="21" t="s">
        <v>51</v>
      </c>
      <c r="D27" s="19"/>
      <c r="E27" s="19"/>
      <c r="F27" s="19"/>
      <c r="G27" s="19"/>
      <c r="H27" s="19"/>
      <c r="I27" s="19"/>
      <c r="J27" s="19"/>
      <c r="K27" s="19"/>
      <c r="L27" s="19"/>
    </row>
    <row r="28" spans="1:12" x14ac:dyDescent="0.25">
      <c r="A28" s="19">
        <v>17</v>
      </c>
      <c r="B28" s="19"/>
      <c r="C28" s="19"/>
      <c r="D28" s="19"/>
      <c r="E28" s="19"/>
      <c r="F28" s="19"/>
      <c r="G28" s="22"/>
      <c r="H28" s="39"/>
      <c r="I28" s="22"/>
      <c r="J28" s="19"/>
      <c r="K28" s="19"/>
      <c r="L28" s="19"/>
    </row>
    <row r="29" spans="1:12" ht="16.5" thickBot="1" x14ac:dyDescent="0.3">
      <c r="A29" s="90">
        <v>18</v>
      </c>
      <c r="C29" s="20" t="s">
        <v>52</v>
      </c>
      <c r="D29" s="19"/>
      <c r="E29" s="19"/>
      <c r="F29" s="19"/>
      <c r="G29" s="23">
        <f>SUM(G28:G28)</f>
        <v>0</v>
      </c>
      <c r="H29" s="39"/>
      <c r="I29" s="23">
        <f>SUM(I28:I28)</f>
        <v>0</v>
      </c>
      <c r="J29" s="19"/>
      <c r="K29" s="19"/>
    </row>
    <row r="30" spans="1:12" ht="16.5" thickTop="1" x14ac:dyDescent="0.25">
      <c r="C30" s="19"/>
      <c r="D30" s="19"/>
      <c r="E30" s="19"/>
      <c r="F30" s="19"/>
      <c r="G30" s="19"/>
      <c r="H30" s="19"/>
      <c r="I30" s="19"/>
      <c r="J30" s="19"/>
      <c r="K30" s="19"/>
    </row>
  </sheetData>
  <pageMargins left="0.7" right="0.7" top="0.75" bottom="0.75" header="0.3" footer="0.3"/>
  <pageSetup scale="77" orientation="portrait" horizontalDpi="0" verticalDpi="0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E21" sqref="E21"/>
    </sheetView>
  </sheetViews>
  <sheetFormatPr defaultRowHeight="15.75" x14ac:dyDescent="0.25"/>
  <cols>
    <col min="1" max="1" width="4.5" customWidth="1"/>
    <col min="2" max="2" width="1.375" customWidth="1"/>
    <col min="3" max="3" width="44.625" customWidth="1"/>
    <col min="4" max="4" width="4.375" customWidth="1"/>
    <col min="5" max="5" width="11.625" customWidth="1"/>
    <col min="6" max="6" width="1.625" customWidth="1"/>
    <col min="7" max="7" width="11.125" customWidth="1"/>
    <col min="8" max="8" width="1.375" customWidth="1"/>
    <col min="9" max="9" width="9.25" bestFit="1" customWidth="1"/>
    <col min="10" max="10" width="5" customWidth="1"/>
  </cols>
  <sheetData>
    <row r="1" spans="1:10" x14ac:dyDescent="0.25">
      <c r="A1" t="str">
        <f>CL_wRR!A1</f>
        <v>Utilities, Inc. of Florida</v>
      </c>
      <c r="I1" s="37"/>
      <c r="J1" s="33" t="str">
        <f>Exh_DR_18_MAR!$E$1</f>
        <v>Docket No. 160101-WS</v>
      </c>
    </row>
    <row r="2" spans="1:10" x14ac:dyDescent="0.25">
      <c r="A2" t="s">
        <v>186</v>
      </c>
      <c r="I2" s="37"/>
      <c r="J2" s="33" t="str">
        <f>Exh_DR_18_MAR!$E$2</f>
        <v>Exhibit DMR-18</v>
      </c>
    </row>
    <row r="3" spans="1:10" x14ac:dyDescent="0.25">
      <c r="A3" t="str">
        <f>CL_wRR!A3</f>
        <v>Test Year Ended December 31, 2015</v>
      </c>
      <c r="I3" s="37"/>
      <c r="J3" s="33" t="str">
        <f>Exh_DR_18_MAR!$E$3</f>
        <v>Marion County Revenue Requirement</v>
      </c>
    </row>
    <row r="4" spans="1:10" x14ac:dyDescent="0.25">
      <c r="E4" s="78"/>
      <c r="I4" s="38" t="s">
        <v>222</v>
      </c>
      <c r="J4" s="33" t="str">
        <f>Exh_DR_18_MAR!$E$4</f>
        <v>of 9</v>
      </c>
    </row>
    <row r="5" spans="1:10" x14ac:dyDescent="0.25">
      <c r="A5" t="s">
        <v>236</v>
      </c>
    </row>
    <row r="9" spans="1:10" x14ac:dyDescent="0.25">
      <c r="A9" t="s">
        <v>0</v>
      </c>
      <c r="E9" s="1"/>
      <c r="F9" s="1"/>
      <c r="G9" s="1" t="s">
        <v>240</v>
      </c>
      <c r="I9" t="s">
        <v>241</v>
      </c>
    </row>
    <row r="10" spans="1:10" x14ac:dyDescent="0.25">
      <c r="A10" s="3" t="s">
        <v>1</v>
      </c>
      <c r="C10" s="3" t="s">
        <v>237</v>
      </c>
      <c r="E10" s="2" t="s">
        <v>239</v>
      </c>
      <c r="F10" s="1"/>
      <c r="G10" s="2" t="s">
        <v>241</v>
      </c>
      <c r="I10" s="3" t="s">
        <v>242</v>
      </c>
    </row>
    <row r="11" spans="1:10" x14ac:dyDescent="0.25">
      <c r="A11" s="26"/>
      <c r="C11" s="26"/>
      <c r="E11" s="34"/>
      <c r="F11" s="1"/>
      <c r="G11" s="34"/>
      <c r="I11" s="26"/>
    </row>
    <row r="12" spans="1:10" ht="18" x14ac:dyDescent="0.4">
      <c r="C12" s="50" t="s">
        <v>312</v>
      </c>
    </row>
    <row r="13" spans="1:10" x14ac:dyDescent="0.25">
      <c r="A13">
        <v>1</v>
      </c>
      <c r="C13" s="6" t="s">
        <v>435</v>
      </c>
      <c r="E13">
        <v>8529</v>
      </c>
    </row>
    <row r="14" spans="1:10" x14ac:dyDescent="0.25">
      <c r="A14">
        <v>2</v>
      </c>
      <c r="C14" s="74" t="s">
        <v>306</v>
      </c>
      <c r="E14">
        <v>3314</v>
      </c>
      <c r="G14">
        <v>274</v>
      </c>
      <c r="I14">
        <v>495</v>
      </c>
    </row>
    <row r="15" spans="1:10" x14ac:dyDescent="0.25">
      <c r="A15">
        <v>3</v>
      </c>
      <c r="C15" s="6" t="s">
        <v>308</v>
      </c>
      <c r="E15" s="3">
        <v>111218</v>
      </c>
      <c r="G15" s="3">
        <v>-106598</v>
      </c>
      <c r="I15" s="3">
        <v>25742</v>
      </c>
    </row>
    <row r="16" spans="1:10" x14ac:dyDescent="0.25">
      <c r="A16">
        <v>4</v>
      </c>
      <c r="C16" t="s">
        <v>324</v>
      </c>
      <c r="E16">
        <f>SUM(E13:E15)</f>
        <v>123061</v>
      </c>
      <c r="G16">
        <f>SUM(G14:G15)</f>
        <v>-106324</v>
      </c>
      <c r="I16">
        <f>SUM(I14:I15)</f>
        <v>26237</v>
      </c>
    </row>
    <row r="17" spans="1:9" x14ac:dyDescent="0.25">
      <c r="A17">
        <v>5</v>
      </c>
      <c r="C17" t="s">
        <v>245</v>
      </c>
      <c r="E17" s="68">
        <f>1-0.532</f>
        <v>0.46799999999999997</v>
      </c>
      <c r="G17" s="68">
        <f>1-0.532</f>
        <v>0.46799999999999997</v>
      </c>
      <c r="I17" s="68">
        <f>1-0.532</f>
        <v>0.46799999999999997</v>
      </c>
    </row>
    <row r="18" spans="1:9" x14ac:dyDescent="0.25">
      <c r="A18">
        <v>6</v>
      </c>
      <c r="C18" t="s">
        <v>246</v>
      </c>
      <c r="E18" s="73">
        <f>ROUND(E16*E17,0)</f>
        <v>57593</v>
      </c>
      <c r="G18" s="73">
        <f>ROUND(G16*G17,0)</f>
        <v>-49760</v>
      </c>
      <c r="I18" s="73">
        <f>ROUND(I16*I17,0)</f>
        <v>12279</v>
      </c>
    </row>
    <row r="20" spans="1:9" ht="16.5" thickBot="1" x14ac:dyDescent="0.3">
      <c r="A20">
        <v>7</v>
      </c>
      <c r="C20" t="s">
        <v>244</v>
      </c>
      <c r="G20" s="70">
        <f>-(E18+G18)</f>
        <v>-7833</v>
      </c>
    </row>
    <row r="21" spans="1:9" ht="16.5" thickTop="1" x14ac:dyDescent="0.25"/>
    <row r="22" spans="1:9" ht="16.5" thickBot="1" x14ac:dyDescent="0.3">
      <c r="A22">
        <v>8</v>
      </c>
      <c r="C22" t="s">
        <v>247</v>
      </c>
      <c r="I22" s="70">
        <f>-I18</f>
        <v>-12279</v>
      </c>
    </row>
    <row r="23" spans="1:9" ht="16.5" thickTop="1" x14ac:dyDescent="0.25"/>
    <row r="25" spans="1:9" ht="18" x14ac:dyDescent="0.4">
      <c r="C25" s="4" t="s">
        <v>50</v>
      </c>
    </row>
    <row r="26" spans="1:9" x14ac:dyDescent="0.25">
      <c r="C26" t="s">
        <v>342</v>
      </c>
    </row>
    <row r="27" spans="1:9" x14ac:dyDescent="0.25">
      <c r="C27" t="s">
        <v>343</v>
      </c>
    </row>
  </sheetData>
  <pageMargins left="0.7" right="0.7" top="0.75" bottom="0.75" header="0.3" footer="0.3"/>
  <pageSetup scale="89" orientation="portrait" horizontalDpi="0" verticalDpi="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workbookViewId="0">
      <selection activeCell="I18" sqref="I18"/>
    </sheetView>
  </sheetViews>
  <sheetFormatPr defaultRowHeight="15.75" x14ac:dyDescent="0.25"/>
  <cols>
    <col min="1" max="1" width="4.25" customWidth="1"/>
    <col min="2" max="2" width="1.375" customWidth="1"/>
    <col min="3" max="3" width="20.5" customWidth="1"/>
    <col min="4" max="4" width="1.125" customWidth="1"/>
    <col min="5" max="5" width="10.875" customWidth="1"/>
    <col min="6" max="6" width="1.125" customWidth="1"/>
    <col min="7" max="7" width="9.625" customWidth="1"/>
    <col min="8" max="8" width="1.125" customWidth="1"/>
    <col min="9" max="9" width="10.625" customWidth="1"/>
    <col min="10" max="10" width="0.75" customWidth="1"/>
    <col min="11" max="11" width="11.125" customWidth="1"/>
    <col min="12" max="12" width="0.75" customWidth="1"/>
    <col min="13" max="13" width="9.625" customWidth="1"/>
    <col min="14" max="14" width="0.75" customWidth="1"/>
    <col min="15" max="15" width="9.75" customWidth="1"/>
    <col min="16" max="16" width="0.75" customWidth="1"/>
    <col min="17" max="17" width="10" customWidth="1"/>
    <col min="18" max="18" width="4.5" customWidth="1"/>
  </cols>
  <sheetData>
    <row r="1" spans="1:18" x14ac:dyDescent="0.25">
      <c r="A1" t="str">
        <f>CL_wRR!A1</f>
        <v>Utilities, Inc. of Florida</v>
      </c>
      <c r="Q1" s="37"/>
      <c r="R1" s="33" t="str">
        <f>Exh_DR_18_MAR!$E$1</f>
        <v>Docket No. 160101-WS</v>
      </c>
    </row>
    <row r="2" spans="1:18" x14ac:dyDescent="0.25">
      <c r="A2" t="s">
        <v>186</v>
      </c>
      <c r="Q2" s="37"/>
      <c r="R2" s="33" t="str">
        <f>Exh_DR_18_MAR!$E$2</f>
        <v>Exhibit DMR-18</v>
      </c>
    </row>
    <row r="3" spans="1:18" x14ac:dyDescent="0.25">
      <c r="A3" t="str">
        <f>CL_wRR!A3</f>
        <v>Test Year Ended December 31, 2015</v>
      </c>
      <c r="Q3" s="37"/>
      <c r="R3" s="33" t="str">
        <f>Exh_DR_18_MAR!$E$3</f>
        <v>Marion County Revenue Requirement</v>
      </c>
    </row>
    <row r="4" spans="1:18" x14ac:dyDescent="0.25">
      <c r="E4" s="78"/>
      <c r="Q4" s="38" t="s">
        <v>345</v>
      </c>
      <c r="R4" s="33" t="str">
        <f>Exh_DR_18_MAR!$E$4</f>
        <v>of 9</v>
      </c>
    </row>
    <row r="5" spans="1:18" x14ac:dyDescent="0.25">
      <c r="A5" t="s">
        <v>199</v>
      </c>
    </row>
    <row r="8" spans="1:18" x14ac:dyDescent="0.25">
      <c r="Q8" s="1" t="s">
        <v>8</v>
      </c>
    </row>
    <row r="9" spans="1:18" x14ac:dyDescent="0.25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8" x14ac:dyDescent="0.4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25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25">
      <c r="A13">
        <v>1</v>
      </c>
      <c r="C13" t="s">
        <v>206</v>
      </c>
      <c r="E13">
        <v>319566</v>
      </c>
      <c r="G13" s="64">
        <f>E13/$E$20</f>
        <v>0.4112638571799947</v>
      </c>
      <c r="I13">
        <f>K13-E13</f>
        <v>-1736.2177931454498</v>
      </c>
      <c r="K13">
        <f>($K$20-$K$16-$K$17-$K$18)*(E13/SUM($E$13:$E$15))</f>
        <v>317829.78220685455</v>
      </c>
      <c r="M13" s="64">
        <f>K13/$K$20</f>
        <v>0.41101167834541863</v>
      </c>
      <c r="O13" s="64">
        <v>6.7000000000000004E-2</v>
      </c>
      <c r="P13" s="8"/>
      <c r="Q13" s="64">
        <f>M13*O13</f>
        <v>2.7537782449143049E-2</v>
      </c>
    </row>
    <row r="14" spans="1:18" x14ac:dyDescent="0.25">
      <c r="A14">
        <v>2</v>
      </c>
      <c r="C14" t="s">
        <v>207</v>
      </c>
      <c r="E14">
        <v>30349</v>
      </c>
      <c r="G14" s="64">
        <f t="shared" ref="G14:G18" si="0">E14/$E$20</f>
        <v>3.9057492979715176E-2</v>
      </c>
      <c r="I14">
        <f t="shared" ref="I14:I15" si="1">K14-E14</f>
        <v>-164.88760945836475</v>
      </c>
      <c r="K14">
        <f t="shared" ref="K14:K15" si="2">($K$20-$K$16-$K$17-$K$18)*(E14/SUM($E$13:$E$15))</f>
        <v>30184.112390541635</v>
      </c>
      <c r="M14" s="64">
        <f t="shared" ref="M14:M18" si="3">K14/$K$20</f>
        <v>3.9033543700221891E-2</v>
      </c>
      <c r="O14" s="8">
        <v>2.3199999999999998E-2</v>
      </c>
      <c r="P14" s="8"/>
      <c r="Q14" s="64">
        <f t="shared" ref="Q14:Q18" si="4">M14*O14</f>
        <v>9.0557821384514784E-4</v>
      </c>
    </row>
    <row r="15" spans="1:18" x14ac:dyDescent="0.25">
      <c r="A15">
        <v>3</v>
      </c>
      <c r="C15" t="s">
        <v>208</v>
      </c>
      <c r="E15">
        <v>339845</v>
      </c>
      <c r="G15" s="64">
        <f t="shared" si="0"/>
        <v>0.43736181428354487</v>
      </c>
      <c r="I15">
        <f t="shared" si="1"/>
        <v>-1846.3945973961963</v>
      </c>
      <c r="K15">
        <f t="shared" si="2"/>
        <v>337998.6054026038</v>
      </c>
      <c r="M15" s="64">
        <f t="shared" si="3"/>
        <v>0.43709363269965762</v>
      </c>
      <c r="O15" s="8">
        <v>0.104</v>
      </c>
      <c r="P15" s="8"/>
      <c r="Q15" s="64">
        <f t="shared" si="4"/>
        <v>4.545773780076439E-2</v>
      </c>
    </row>
    <row r="16" spans="1:18" x14ac:dyDescent="0.25">
      <c r="A16">
        <v>4</v>
      </c>
      <c r="C16" t="s">
        <v>209</v>
      </c>
      <c r="E16">
        <v>3411</v>
      </c>
      <c r="G16" s="64">
        <f t="shared" si="0"/>
        <v>4.389769302244175E-3</v>
      </c>
      <c r="K16">
        <f>E16+I16</f>
        <v>3411</v>
      </c>
      <c r="M16" s="64">
        <f t="shared" si="3"/>
        <v>4.411042996353874E-3</v>
      </c>
      <c r="O16" s="8">
        <v>0.02</v>
      </c>
      <c r="P16" s="8"/>
      <c r="Q16" s="64">
        <f t="shared" si="4"/>
        <v>8.8220859927077482E-5</v>
      </c>
    </row>
    <row r="17" spans="1:17" x14ac:dyDescent="0.25">
      <c r="A17">
        <v>5</v>
      </c>
      <c r="C17" t="s">
        <v>210</v>
      </c>
      <c r="E17">
        <v>5208</v>
      </c>
      <c r="G17" s="64">
        <f t="shared" si="0"/>
        <v>6.7024094183780886E-3</v>
      </c>
      <c r="K17">
        <f>E17+I17</f>
        <v>5208</v>
      </c>
      <c r="M17" s="64">
        <f t="shared" si="3"/>
        <v>6.7348906259193713E-3</v>
      </c>
      <c r="O17" s="8">
        <v>0</v>
      </c>
      <c r="P17" s="8"/>
      <c r="Q17" s="64">
        <f t="shared" si="4"/>
        <v>0</v>
      </c>
    </row>
    <row r="18" spans="1:17" x14ac:dyDescent="0.25">
      <c r="A18">
        <v>6</v>
      </c>
      <c r="C18" t="s">
        <v>211</v>
      </c>
      <c r="E18" s="3">
        <v>78655</v>
      </c>
      <c r="G18" s="68">
        <f t="shared" si="0"/>
        <v>0.101224656836123</v>
      </c>
      <c r="K18" s="3">
        <f>E18+I18</f>
        <v>78655</v>
      </c>
      <c r="M18" s="68">
        <f t="shared" si="3"/>
        <v>0.1017152116324286</v>
      </c>
      <c r="O18" s="8">
        <v>0</v>
      </c>
      <c r="P18" s="8"/>
      <c r="Q18" s="68">
        <f t="shared" si="4"/>
        <v>0</v>
      </c>
    </row>
    <row r="20" spans="1:17" ht="16.5" thickBot="1" x14ac:dyDescent="0.3">
      <c r="A20">
        <v>7</v>
      </c>
      <c r="C20" t="s">
        <v>189</v>
      </c>
      <c r="E20">
        <f>SUM(E13:E19)</f>
        <v>777034</v>
      </c>
      <c r="G20" s="8">
        <f>SUM(G13:G19)</f>
        <v>1</v>
      </c>
      <c r="K20">
        <f>MAR_wRB!I23+MAR_wwRB!I23</f>
        <v>773286.5</v>
      </c>
      <c r="M20" s="8">
        <f>SUM(M13:M19)</f>
        <v>0.99999999999999989</v>
      </c>
      <c r="Q20" s="71">
        <f>ROUND(SUM(Q13:Q19),4)</f>
        <v>7.3999999999999996E-2</v>
      </c>
    </row>
    <row r="21" spans="1:17" ht="16.5" thickTop="1" x14ac:dyDescent="0.25"/>
    <row r="22" spans="1:17" ht="18" x14ac:dyDescent="0.4">
      <c r="C22" s="4" t="s">
        <v>50</v>
      </c>
    </row>
    <row r="23" spans="1:17" x14ac:dyDescent="0.25">
      <c r="C23" t="s">
        <v>217</v>
      </c>
    </row>
    <row r="24" spans="1:17" x14ac:dyDescent="0.25">
      <c r="C24" t="s">
        <v>335</v>
      </c>
    </row>
  </sheetData>
  <pageMargins left="0.7" right="0.7" top="0.75" bottom="0.75" header="0.3" footer="0.3"/>
  <pageSetup scale="78" orientation="portrait" horizontalDpi="0" verticalDpi="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workbookViewId="0">
      <selection activeCell="C27" sqref="C27"/>
    </sheetView>
  </sheetViews>
  <sheetFormatPr defaultRowHeight="15.75" x14ac:dyDescent="0.25"/>
  <cols>
    <col min="1" max="1" width="4.875" customWidth="1"/>
    <col min="2" max="2" width="1" customWidth="1"/>
    <col min="3" max="3" width="34.25" customWidth="1"/>
    <col min="4" max="4" width="0.875" customWidth="1"/>
    <col min="5" max="5" width="8.25" customWidth="1"/>
    <col min="6" max="6" width="1.625" customWidth="1"/>
    <col min="7" max="7" width="12.25" customWidth="1"/>
    <col min="8" max="8" width="1" customWidth="1"/>
    <col min="9" max="9" width="11.625" customWidth="1"/>
  </cols>
  <sheetData>
    <row r="1" spans="1:10" x14ac:dyDescent="0.25">
      <c r="A1" t="s">
        <v>61</v>
      </c>
      <c r="J1" s="33" t="s">
        <v>64</v>
      </c>
    </row>
    <row r="2" spans="1:10" x14ac:dyDescent="0.25">
      <c r="A2" t="s">
        <v>261</v>
      </c>
      <c r="J2" s="33" t="s">
        <v>258</v>
      </c>
    </row>
    <row r="3" spans="1:10" x14ac:dyDescent="0.25">
      <c r="J3" s="33" t="s">
        <v>261</v>
      </c>
    </row>
    <row r="4" spans="1:10" x14ac:dyDescent="0.25">
      <c r="A4" t="s">
        <v>63</v>
      </c>
      <c r="J4" s="33" t="s">
        <v>99</v>
      </c>
    </row>
    <row r="7" spans="1:10" x14ac:dyDescent="0.25">
      <c r="A7" t="s">
        <v>0</v>
      </c>
    </row>
    <row r="8" spans="1:10" x14ac:dyDescent="0.25">
      <c r="A8" s="3" t="s">
        <v>1</v>
      </c>
      <c r="C8" s="3" t="s">
        <v>2</v>
      </c>
      <c r="G8" s="72" t="s">
        <v>259</v>
      </c>
      <c r="I8" s="3" t="s">
        <v>260</v>
      </c>
    </row>
    <row r="9" spans="1:10" x14ac:dyDescent="0.25">
      <c r="A9" s="26"/>
      <c r="C9" s="26"/>
      <c r="G9" s="51"/>
      <c r="I9" s="26"/>
    </row>
    <row r="10" spans="1:10" x14ac:dyDescent="0.25">
      <c r="A10">
        <v>1</v>
      </c>
      <c r="C10" t="s">
        <v>269</v>
      </c>
      <c r="G10" s="6"/>
      <c r="I10">
        <f>ROUND(-110000*1.0375,0)</f>
        <v>-114125</v>
      </c>
    </row>
    <row r="11" spans="1:10" ht="18" x14ac:dyDescent="0.4">
      <c r="C11" s="4" t="s">
        <v>263</v>
      </c>
    </row>
    <row r="12" spans="1:10" x14ac:dyDescent="0.25">
      <c r="A12">
        <v>2</v>
      </c>
      <c r="C12" t="s">
        <v>262</v>
      </c>
      <c r="G12" s="64">
        <v>8.8999999999999999E-3</v>
      </c>
      <c r="I12">
        <f>ROUND($I$10*G12,0)</f>
        <v>-1016</v>
      </c>
    </row>
    <row r="13" spans="1:10" x14ac:dyDescent="0.25">
      <c r="A13">
        <v>3</v>
      </c>
      <c r="C13" t="s">
        <v>273</v>
      </c>
      <c r="G13" s="64">
        <v>9.1000000000000004E-3</v>
      </c>
      <c r="I13">
        <f t="shared" ref="I13:I27" si="0">ROUND($I$10*G13,0)</f>
        <v>-1039</v>
      </c>
    </row>
    <row r="14" spans="1:10" x14ac:dyDescent="0.25">
      <c r="A14">
        <v>4</v>
      </c>
      <c r="C14" t="s">
        <v>286</v>
      </c>
      <c r="G14" s="64">
        <v>5.4999999999999997E-3</v>
      </c>
      <c r="I14">
        <f t="shared" si="0"/>
        <v>-628</v>
      </c>
    </row>
    <row r="15" spans="1:10" x14ac:dyDescent="0.25">
      <c r="A15">
        <v>5</v>
      </c>
      <c r="C15" t="s">
        <v>274</v>
      </c>
      <c r="G15" s="64">
        <v>1E-3</v>
      </c>
      <c r="I15">
        <f t="shared" si="0"/>
        <v>-114</v>
      </c>
    </row>
    <row r="16" spans="1:10" x14ac:dyDescent="0.25">
      <c r="A16">
        <v>6</v>
      </c>
      <c r="C16" t="s">
        <v>275</v>
      </c>
      <c r="G16" s="64">
        <v>6.1000000000000004E-3</v>
      </c>
      <c r="I16">
        <f t="shared" si="0"/>
        <v>-696</v>
      </c>
    </row>
    <row r="17" spans="1:9" x14ac:dyDescent="0.25">
      <c r="A17">
        <v>7</v>
      </c>
      <c r="C17" t="s">
        <v>276</v>
      </c>
      <c r="G17" s="64">
        <v>5.4699999999999999E-2</v>
      </c>
      <c r="I17">
        <f t="shared" si="0"/>
        <v>-6243</v>
      </c>
    </row>
    <row r="18" spans="1:9" x14ac:dyDescent="0.25">
      <c r="A18">
        <v>8</v>
      </c>
      <c r="C18" t="s">
        <v>755</v>
      </c>
      <c r="G18" s="64">
        <v>1.21E-2</v>
      </c>
      <c r="I18">
        <f t="shared" si="0"/>
        <v>-1381</v>
      </c>
    </row>
    <row r="19" spans="1:9" x14ac:dyDescent="0.25">
      <c r="A19">
        <v>9</v>
      </c>
      <c r="C19" t="s">
        <v>277</v>
      </c>
      <c r="G19" s="64">
        <v>9.7999999999999997E-3</v>
      </c>
      <c r="I19">
        <f t="shared" si="0"/>
        <v>-1118</v>
      </c>
    </row>
    <row r="20" spans="1:9" x14ac:dyDescent="0.25">
      <c r="A20">
        <v>10</v>
      </c>
      <c r="C20" t="s">
        <v>278</v>
      </c>
      <c r="G20" s="64">
        <v>4.4000000000000003E-3</v>
      </c>
      <c r="I20">
        <f t="shared" si="0"/>
        <v>-502</v>
      </c>
    </row>
    <row r="21" spans="1:9" x14ac:dyDescent="0.25">
      <c r="A21">
        <v>11</v>
      </c>
      <c r="C21" t="s">
        <v>279</v>
      </c>
      <c r="G21" s="64">
        <v>7.7799999999999994E-2</v>
      </c>
      <c r="I21">
        <f t="shared" si="0"/>
        <v>-8879</v>
      </c>
    </row>
    <row r="22" spans="1:9" x14ac:dyDescent="0.25">
      <c r="A22">
        <v>12</v>
      </c>
      <c r="C22" t="s">
        <v>280</v>
      </c>
      <c r="G22" s="64">
        <v>7.6E-3</v>
      </c>
      <c r="I22">
        <f t="shared" si="0"/>
        <v>-867</v>
      </c>
    </row>
    <row r="23" spans="1:9" x14ac:dyDescent="0.25">
      <c r="A23">
        <v>13</v>
      </c>
      <c r="C23" t="s">
        <v>281</v>
      </c>
      <c r="G23" s="64">
        <v>1.47E-2</v>
      </c>
      <c r="I23">
        <f t="shared" si="0"/>
        <v>-1678</v>
      </c>
    </row>
    <row r="24" spans="1:9" x14ac:dyDescent="0.25">
      <c r="A24">
        <v>14</v>
      </c>
      <c r="C24" t="s">
        <v>282</v>
      </c>
      <c r="G24" s="64">
        <v>1.1000000000000001E-3</v>
      </c>
      <c r="I24">
        <f t="shared" si="0"/>
        <v>-126</v>
      </c>
    </row>
    <row r="25" spans="1:9" x14ac:dyDescent="0.25">
      <c r="A25">
        <v>15</v>
      </c>
      <c r="C25" t="s">
        <v>283</v>
      </c>
      <c r="G25" s="64">
        <v>1.4800000000000001E-2</v>
      </c>
      <c r="I25">
        <f t="shared" si="0"/>
        <v>-1689</v>
      </c>
    </row>
    <row r="26" spans="1:9" x14ac:dyDescent="0.25">
      <c r="A26">
        <v>16</v>
      </c>
      <c r="C26" t="s">
        <v>284</v>
      </c>
      <c r="G26" s="64">
        <v>1.6000000000000001E-3</v>
      </c>
      <c r="I26">
        <f t="shared" si="0"/>
        <v>-183</v>
      </c>
    </row>
    <row r="27" spans="1:9" x14ac:dyDescent="0.25">
      <c r="A27">
        <v>17</v>
      </c>
      <c r="C27" t="s">
        <v>285</v>
      </c>
      <c r="G27" s="68">
        <v>2.2000000000000001E-3</v>
      </c>
      <c r="I27" s="3">
        <f t="shared" si="0"/>
        <v>-251</v>
      </c>
    </row>
    <row r="29" spans="1:9" x14ac:dyDescent="0.25">
      <c r="A29">
        <v>18</v>
      </c>
      <c r="C29" t="s">
        <v>189</v>
      </c>
      <c r="G29" s="8">
        <f>SUM(G12:G28)</f>
        <v>0.23139999999999999</v>
      </c>
      <c r="I29">
        <f>SUM(I12:I28)</f>
        <v>-26410</v>
      </c>
    </row>
    <row r="32" spans="1:9" ht="18" x14ac:dyDescent="0.4">
      <c r="C32" s="4" t="s">
        <v>50</v>
      </c>
    </row>
    <row r="33" spans="3:3" x14ac:dyDescent="0.25">
      <c r="C33" t="s">
        <v>292</v>
      </c>
    </row>
    <row r="34" spans="3:3" x14ac:dyDescent="0.25">
      <c r="C34" t="s">
        <v>287</v>
      </c>
    </row>
    <row r="35" spans="3:3" x14ac:dyDescent="0.25">
      <c r="C35" t="s">
        <v>288</v>
      </c>
    </row>
    <row r="36" spans="3:3" x14ac:dyDescent="0.25">
      <c r="C36" t="s">
        <v>270</v>
      </c>
    </row>
    <row r="37" spans="3:3" x14ac:dyDescent="0.25">
      <c r="C37" t="s">
        <v>272</v>
      </c>
    </row>
  </sheetData>
  <pageMargins left="0.7" right="0.7" top="0.75" bottom="0.75" header="0.3" footer="0.3"/>
  <pageSetup orientation="portrait" horizontalDpi="0" verticalDpi="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>
      <selection activeCell="C19" sqref="C19"/>
    </sheetView>
  </sheetViews>
  <sheetFormatPr defaultRowHeight="15.75" x14ac:dyDescent="0.25"/>
  <cols>
    <col min="1" max="1" width="4.875" customWidth="1"/>
    <col min="2" max="2" width="1" customWidth="1"/>
    <col min="3" max="3" width="28.375" customWidth="1"/>
    <col min="4" max="4" width="0.875" customWidth="1"/>
    <col min="5" max="5" width="8.25" customWidth="1"/>
    <col min="6" max="6" width="1.625" customWidth="1"/>
    <col min="7" max="7" width="12.25" customWidth="1"/>
    <col min="8" max="8" width="1" customWidth="1"/>
    <col min="9" max="9" width="11.625" customWidth="1"/>
  </cols>
  <sheetData>
    <row r="1" spans="1:10" x14ac:dyDescent="0.25">
      <c r="A1" t="s">
        <v>61</v>
      </c>
      <c r="J1" s="33" t="s">
        <v>64</v>
      </c>
    </row>
    <row r="2" spans="1:10" x14ac:dyDescent="0.25">
      <c r="A2" t="s">
        <v>264</v>
      </c>
      <c r="J2" s="33" t="s">
        <v>289</v>
      </c>
    </row>
    <row r="3" spans="1:10" x14ac:dyDescent="0.25">
      <c r="J3" s="33" t="s">
        <v>264</v>
      </c>
    </row>
    <row r="4" spans="1:10" x14ac:dyDescent="0.25">
      <c r="A4" t="s">
        <v>63</v>
      </c>
      <c r="J4" s="33" t="s">
        <v>99</v>
      </c>
    </row>
    <row r="7" spans="1:10" x14ac:dyDescent="0.25">
      <c r="A7" t="s">
        <v>0</v>
      </c>
    </row>
    <row r="8" spans="1:10" x14ac:dyDescent="0.25">
      <c r="A8" s="3" t="s">
        <v>1</v>
      </c>
      <c r="C8" s="3" t="s">
        <v>2</v>
      </c>
      <c r="G8" s="72" t="s">
        <v>259</v>
      </c>
      <c r="I8" s="3" t="s">
        <v>260</v>
      </c>
    </row>
    <row r="9" spans="1:10" x14ac:dyDescent="0.25">
      <c r="A9" s="26"/>
      <c r="C9" s="26"/>
      <c r="G9" s="51"/>
      <c r="I9" s="26"/>
    </row>
    <row r="10" spans="1:10" x14ac:dyDescent="0.25">
      <c r="A10">
        <v>1</v>
      </c>
      <c r="C10" t="s">
        <v>265</v>
      </c>
      <c r="G10" s="6"/>
      <c r="I10">
        <v>-87296</v>
      </c>
    </row>
    <row r="11" spans="1:10" ht="18" x14ac:dyDescent="0.4">
      <c r="C11" s="4" t="s">
        <v>263</v>
      </c>
    </row>
    <row r="12" spans="1:10" x14ac:dyDescent="0.25">
      <c r="A12">
        <v>2</v>
      </c>
      <c r="C12" t="s">
        <v>262</v>
      </c>
      <c r="G12" s="64">
        <v>3.78E-2</v>
      </c>
      <c r="I12">
        <f>ROUND($I$10*G12,0)</f>
        <v>-3300</v>
      </c>
    </row>
    <row r="13" spans="1:10" x14ac:dyDescent="0.25">
      <c r="A13">
        <v>3</v>
      </c>
      <c r="C13" t="s">
        <v>273</v>
      </c>
      <c r="G13" s="64">
        <v>3.7699999999999997E-2</v>
      </c>
      <c r="I13">
        <f t="shared" ref="I13:I27" si="0">ROUND($I$10*G13,0)</f>
        <v>-3291</v>
      </c>
    </row>
    <row r="14" spans="1:10" x14ac:dyDescent="0.25">
      <c r="A14">
        <v>4</v>
      </c>
      <c r="C14" t="s">
        <v>286</v>
      </c>
      <c r="G14" s="64">
        <v>2.3599999999999999E-2</v>
      </c>
      <c r="I14">
        <f t="shared" si="0"/>
        <v>-2060</v>
      </c>
    </row>
    <row r="15" spans="1:10" x14ac:dyDescent="0.25">
      <c r="A15">
        <v>5</v>
      </c>
      <c r="C15" t="s">
        <v>274</v>
      </c>
      <c r="G15" s="64">
        <v>4.1000000000000003E-3</v>
      </c>
      <c r="I15">
        <f t="shared" si="0"/>
        <v>-358</v>
      </c>
    </row>
    <row r="16" spans="1:10" x14ac:dyDescent="0.25">
      <c r="A16">
        <v>6</v>
      </c>
      <c r="C16" t="s">
        <v>275</v>
      </c>
      <c r="G16" s="64">
        <v>2.5700000000000001E-2</v>
      </c>
      <c r="I16">
        <f t="shared" si="0"/>
        <v>-2244</v>
      </c>
    </row>
    <row r="17" spans="1:9" x14ac:dyDescent="0.25">
      <c r="A17">
        <v>7</v>
      </c>
      <c r="C17" t="s">
        <v>276</v>
      </c>
      <c r="G17" s="64">
        <v>0.2341</v>
      </c>
      <c r="I17">
        <f t="shared" si="0"/>
        <v>-20436</v>
      </c>
    </row>
    <row r="18" spans="1:9" x14ac:dyDescent="0.25">
      <c r="A18">
        <v>8</v>
      </c>
      <c r="C18" t="s">
        <v>755</v>
      </c>
      <c r="G18" s="64">
        <v>5.0299999999999997E-2</v>
      </c>
      <c r="I18">
        <f t="shared" si="0"/>
        <v>-4391</v>
      </c>
    </row>
    <row r="19" spans="1:9" x14ac:dyDescent="0.25">
      <c r="A19">
        <v>9</v>
      </c>
      <c r="C19" t="s">
        <v>277</v>
      </c>
      <c r="G19" s="64">
        <v>4.2299999999999997E-2</v>
      </c>
      <c r="I19">
        <f t="shared" si="0"/>
        <v>-3693</v>
      </c>
    </row>
    <row r="20" spans="1:9" x14ac:dyDescent="0.25">
      <c r="A20">
        <v>10</v>
      </c>
      <c r="C20" t="s">
        <v>278</v>
      </c>
      <c r="G20" s="64">
        <v>1.8200000000000001E-2</v>
      </c>
      <c r="I20">
        <f t="shared" si="0"/>
        <v>-1589</v>
      </c>
    </row>
    <row r="21" spans="1:9" x14ac:dyDescent="0.25">
      <c r="A21">
        <v>11</v>
      </c>
      <c r="C21" t="s">
        <v>279</v>
      </c>
      <c r="G21" s="64">
        <v>0.33239999999999997</v>
      </c>
      <c r="I21">
        <f t="shared" si="0"/>
        <v>-29017</v>
      </c>
    </row>
    <row r="22" spans="1:9" x14ac:dyDescent="0.25">
      <c r="A22">
        <v>12</v>
      </c>
      <c r="C22" t="s">
        <v>280</v>
      </c>
      <c r="G22" s="64">
        <v>3.1399999999999997E-2</v>
      </c>
      <c r="I22">
        <f t="shared" si="0"/>
        <v>-2741</v>
      </c>
    </row>
    <row r="23" spans="1:9" x14ac:dyDescent="0.25">
      <c r="A23">
        <v>13</v>
      </c>
      <c r="C23" t="s">
        <v>281</v>
      </c>
      <c r="G23" s="64">
        <v>6.3600000000000004E-2</v>
      </c>
      <c r="I23">
        <f t="shared" si="0"/>
        <v>-5552</v>
      </c>
    </row>
    <row r="24" spans="1:9" x14ac:dyDescent="0.25">
      <c r="A24">
        <v>14</v>
      </c>
      <c r="C24" t="s">
        <v>282</v>
      </c>
      <c r="G24" s="64">
        <v>5.0000000000000001E-3</v>
      </c>
      <c r="I24">
        <f t="shared" si="0"/>
        <v>-436</v>
      </c>
    </row>
    <row r="25" spans="1:9" x14ac:dyDescent="0.25">
      <c r="A25">
        <v>15</v>
      </c>
      <c r="C25" t="s">
        <v>283</v>
      </c>
      <c r="G25" s="64">
        <v>6.4600000000000005E-2</v>
      </c>
      <c r="I25">
        <f t="shared" si="0"/>
        <v>-5639</v>
      </c>
    </row>
    <row r="26" spans="1:9" x14ac:dyDescent="0.25">
      <c r="A26">
        <v>16</v>
      </c>
      <c r="C26" t="s">
        <v>284</v>
      </c>
      <c r="G26" s="64">
        <v>6.8999999999999999E-3</v>
      </c>
      <c r="I26">
        <f t="shared" si="0"/>
        <v>-602</v>
      </c>
    </row>
    <row r="27" spans="1:9" x14ac:dyDescent="0.25">
      <c r="A27">
        <v>17</v>
      </c>
      <c r="C27" t="s">
        <v>285</v>
      </c>
      <c r="G27" s="68">
        <v>0.01</v>
      </c>
      <c r="I27" s="3">
        <f t="shared" si="0"/>
        <v>-873</v>
      </c>
    </row>
    <row r="28" spans="1:9" x14ac:dyDescent="0.25">
      <c r="G28" s="64"/>
    </row>
    <row r="29" spans="1:9" x14ac:dyDescent="0.25">
      <c r="A29">
        <v>18</v>
      </c>
      <c r="C29" t="s">
        <v>189</v>
      </c>
      <c r="G29" s="8">
        <f>SUM(G12:G28)</f>
        <v>0.98770000000000002</v>
      </c>
      <c r="I29">
        <f>SUM(I12:I28)</f>
        <v>-86222</v>
      </c>
    </row>
    <row r="31" spans="1:9" ht="18" x14ac:dyDescent="0.4">
      <c r="C31" s="4" t="s">
        <v>50</v>
      </c>
    </row>
    <row r="32" spans="1:9" x14ac:dyDescent="0.25">
      <c r="C32" t="s">
        <v>267</v>
      </c>
    </row>
    <row r="33" spans="3:3" x14ac:dyDescent="0.25">
      <c r="C33" t="s">
        <v>268</v>
      </c>
    </row>
    <row r="35" spans="3:3" x14ac:dyDescent="0.25">
      <c r="C35" t="s">
        <v>271</v>
      </c>
    </row>
    <row r="36" spans="3:3" x14ac:dyDescent="0.25">
      <c r="C36" t="s">
        <v>266</v>
      </c>
    </row>
  </sheetData>
  <pageMargins left="0.7" right="0.7" top="0.75" bottom="0.75" header="0.3" footer="0.3"/>
  <pageSetup orientation="portrait" horizontalDpi="0" verticalDpi="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workbookViewId="0">
      <selection activeCell="C23" sqref="C23"/>
    </sheetView>
  </sheetViews>
  <sheetFormatPr defaultRowHeight="15.75" x14ac:dyDescent="0.25"/>
  <cols>
    <col min="1" max="1" width="4.875" customWidth="1"/>
    <col min="2" max="2" width="1" customWidth="1"/>
    <col min="3" max="3" width="21.75" customWidth="1"/>
    <col min="4" max="4" width="0.875" customWidth="1"/>
    <col min="5" max="5" width="12.25" customWidth="1"/>
    <col min="6" max="6" width="1" customWidth="1"/>
    <col min="7" max="7" width="10.25" customWidth="1"/>
    <col min="8" max="8" width="1.25" customWidth="1"/>
    <col min="9" max="9" width="13.625" customWidth="1"/>
    <col min="10" max="10" width="1.125" customWidth="1"/>
    <col min="11" max="11" width="11.75" customWidth="1"/>
    <col min="12" max="12" width="1.25" customWidth="1"/>
    <col min="13" max="13" width="13.625" customWidth="1"/>
    <col min="14" max="14" width="1.125" customWidth="1"/>
    <col min="15" max="15" width="11.25" customWidth="1"/>
  </cols>
  <sheetData>
    <row r="1" spans="1:15" x14ac:dyDescent="0.25">
      <c r="A1" t="s">
        <v>61</v>
      </c>
      <c r="O1" s="33" t="s">
        <v>64</v>
      </c>
    </row>
    <row r="2" spans="1:15" x14ac:dyDescent="0.25">
      <c r="A2" t="s">
        <v>622</v>
      </c>
      <c r="O2" s="33" t="s">
        <v>624</v>
      </c>
    </row>
    <row r="3" spans="1:15" x14ac:dyDescent="0.25">
      <c r="O3" s="33" t="s">
        <v>622</v>
      </c>
    </row>
    <row r="4" spans="1:15" x14ac:dyDescent="0.25">
      <c r="A4" t="s">
        <v>63</v>
      </c>
      <c r="O4" s="33" t="s">
        <v>99</v>
      </c>
    </row>
    <row r="7" spans="1:15" x14ac:dyDescent="0.25">
      <c r="A7" t="s">
        <v>0</v>
      </c>
      <c r="E7" s="41" t="s">
        <v>623</v>
      </c>
      <c r="F7" s="41"/>
      <c r="G7" s="41"/>
      <c r="I7" s="41" t="s">
        <v>627</v>
      </c>
      <c r="J7" s="41"/>
      <c r="K7" s="41"/>
      <c r="M7" s="41" t="s">
        <v>629</v>
      </c>
      <c r="N7" s="41"/>
      <c r="O7" s="41"/>
    </row>
    <row r="8" spans="1:15" x14ac:dyDescent="0.25">
      <c r="A8" s="3" t="s">
        <v>1</v>
      </c>
      <c r="C8" s="3" t="s">
        <v>2</v>
      </c>
      <c r="E8" s="91" t="s">
        <v>70</v>
      </c>
      <c r="G8" s="3" t="s">
        <v>71</v>
      </c>
      <c r="I8" s="91" t="s">
        <v>70</v>
      </c>
      <c r="K8" s="3" t="s">
        <v>71</v>
      </c>
      <c r="M8" s="91" t="s">
        <v>70</v>
      </c>
      <c r="O8" s="3" t="s">
        <v>71</v>
      </c>
    </row>
    <row r="9" spans="1:15" x14ac:dyDescent="0.25">
      <c r="A9" s="26"/>
      <c r="C9" s="26"/>
      <c r="E9" s="51"/>
      <c r="G9" s="51"/>
    </row>
    <row r="10" spans="1:15" x14ac:dyDescent="0.25">
      <c r="A10" s="26">
        <v>1</v>
      </c>
      <c r="C10" t="s">
        <v>262</v>
      </c>
      <c r="E10" s="47">
        <f>0.03519*0.5125</f>
        <v>1.8034874999999999E-2</v>
      </c>
      <c r="G10" s="47">
        <f>0.03519*0.4875</f>
        <v>1.7155125E-2</v>
      </c>
      <c r="I10">
        <f>ROUND(E10*$K$28,0)</f>
        <v>-8012</v>
      </c>
      <c r="K10">
        <f t="shared" ref="K10:K21" si="0">ROUND(G10*$K$28,0)</f>
        <v>-7621</v>
      </c>
      <c r="M10">
        <f>ROUND(I10/6,0)</f>
        <v>-1335</v>
      </c>
      <c r="O10">
        <f t="shared" ref="O10:O20" si="1">ROUND(K10/6,0)</f>
        <v>-1270</v>
      </c>
    </row>
    <row r="11" spans="1:15" x14ac:dyDescent="0.25">
      <c r="A11">
        <v>2</v>
      </c>
      <c r="C11" t="s">
        <v>273</v>
      </c>
      <c r="E11" s="47"/>
      <c r="F11" s="47"/>
      <c r="G11" s="47">
        <v>3.5999999999999997E-2</v>
      </c>
      <c r="K11">
        <f t="shared" si="0"/>
        <v>-15993</v>
      </c>
      <c r="O11">
        <f t="shared" si="1"/>
        <v>-2666</v>
      </c>
    </row>
    <row r="12" spans="1:15" x14ac:dyDescent="0.25">
      <c r="A12">
        <v>3</v>
      </c>
      <c r="C12" t="s">
        <v>632</v>
      </c>
      <c r="E12" s="47">
        <f>0.502*0.02164</f>
        <v>1.0863279999999999E-2</v>
      </c>
      <c r="F12" s="47"/>
      <c r="G12" s="47">
        <f>0.498*0.02164</f>
        <v>1.077672E-2</v>
      </c>
      <c r="I12">
        <f t="shared" ref="I12:I13" si="2">ROUND(E12*$K$28,0)</f>
        <v>-4826</v>
      </c>
      <c r="K12">
        <f t="shared" si="0"/>
        <v>-4787</v>
      </c>
      <c r="M12">
        <f t="shared" ref="M12:M13" si="3">ROUND(I12/6,0)</f>
        <v>-804</v>
      </c>
      <c r="O12">
        <f t="shared" si="1"/>
        <v>-798</v>
      </c>
    </row>
    <row r="13" spans="1:15" x14ac:dyDescent="0.25">
      <c r="A13">
        <v>4</v>
      </c>
      <c r="C13" t="s">
        <v>274</v>
      </c>
      <c r="E13" s="47">
        <f>0.4965*0.00405</f>
        <v>2.0108249999999999E-3</v>
      </c>
      <c r="G13" s="47">
        <f>0.5035*0.00405</f>
        <v>2.0391749999999998E-3</v>
      </c>
      <c r="I13">
        <f t="shared" si="2"/>
        <v>-893</v>
      </c>
      <c r="K13">
        <f t="shared" si="0"/>
        <v>-906</v>
      </c>
      <c r="M13">
        <f t="shared" si="3"/>
        <v>-149</v>
      </c>
      <c r="O13">
        <f t="shared" si="1"/>
        <v>-151</v>
      </c>
    </row>
    <row r="14" spans="1:15" x14ac:dyDescent="0.25">
      <c r="A14">
        <v>5</v>
      </c>
      <c r="C14" t="s">
        <v>275</v>
      </c>
      <c r="E14" s="47"/>
      <c r="F14" s="47"/>
      <c r="G14" s="47">
        <v>2.4150000000000001E-2</v>
      </c>
      <c r="K14">
        <f t="shared" si="0"/>
        <v>-10728</v>
      </c>
      <c r="O14">
        <f t="shared" si="1"/>
        <v>-1788</v>
      </c>
    </row>
    <row r="15" spans="1:15" x14ac:dyDescent="0.25">
      <c r="A15">
        <v>6</v>
      </c>
      <c r="C15" t="s">
        <v>276</v>
      </c>
      <c r="E15" s="47">
        <f>0.7638*0.21893</f>
        <v>0.16721873400000001</v>
      </c>
      <c r="F15" s="47"/>
      <c r="G15" s="47">
        <f>0.21893*0.2362</f>
        <v>5.1711265999999999E-2</v>
      </c>
      <c r="I15">
        <f>ROUND(E15*$K$28,0)</f>
        <v>-74285</v>
      </c>
      <c r="K15">
        <f t="shared" si="0"/>
        <v>-22972</v>
      </c>
      <c r="M15">
        <f>ROUND(I15/6,0)</f>
        <v>-12381</v>
      </c>
      <c r="O15">
        <f t="shared" si="1"/>
        <v>-3829</v>
      </c>
    </row>
    <row r="16" spans="1:15" x14ac:dyDescent="0.25">
      <c r="A16">
        <v>7</v>
      </c>
      <c r="C16" t="s">
        <v>755</v>
      </c>
      <c r="E16" s="47"/>
      <c r="G16" s="47">
        <v>8.0079999999999998E-2</v>
      </c>
      <c r="K16">
        <f t="shared" si="0"/>
        <v>-35575</v>
      </c>
      <c r="O16">
        <f t="shared" si="1"/>
        <v>-5929</v>
      </c>
    </row>
    <row r="17" spans="1:18" x14ac:dyDescent="0.25">
      <c r="A17">
        <v>8</v>
      </c>
      <c r="C17" t="s">
        <v>633</v>
      </c>
      <c r="E17" s="47">
        <f>0.5455*0.03886</f>
        <v>2.1198129999999999E-2</v>
      </c>
      <c r="G17" s="47">
        <f>0.4545*0.03886</f>
        <v>1.766187E-2</v>
      </c>
      <c r="I17">
        <f>ROUND(E17*$K$28,0)</f>
        <v>-9417</v>
      </c>
      <c r="K17">
        <f t="shared" si="0"/>
        <v>-7846</v>
      </c>
      <c r="M17">
        <f>ROUND(I17/6,0)</f>
        <v>-1570</v>
      </c>
      <c r="O17">
        <f t="shared" si="1"/>
        <v>-1308</v>
      </c>
    </row>
    <row r="18" spans="1:18" x14ac:dyDescent="0.25">
      <c r="A18">
        <v>9</v>
      </c>
      <c r="C18" t="s">
        <v>278</v>
      </c>
      <c r="E18" s="47"/>
      <c r="G18" s="47">
        <v>1.7510000000000001E-2</v>
      </c>
      <c r="K18">
        <f t="shared" si="0"/>
        <v>-7779</v>
      </c>
      <c r="O18">
        <f t="shared" si="1"/>
        <v>-1297</v>
      </c>
    </row>
    <row r="19" spans="1:18" x14ac:dyDescent="0.25">
      <c r="A19">
        <v>10</v>
      </c>
      <c r="C19" t="s">
        <v>279</v>
      </c>
      <c r="E19" s="47">
        <f>0.35608*0.5542</f>
        <v>0.19733953600000001</v>
      </c>
      <c r="G19" s="47">
        <f>0.35608*0.4458</f>
        <v>0.158740464</v>
      </c>
      <c r="I19">
        <f>ROUND(E19*$K$28,0)</f>
        <v>-87666</v>
      </c>
      <c r="K19">
        <f t="shared" si="0"/>
        <v>-70519</v>
      </c>
      <c r="M19">
        <f>ROUND(I19/15,0)</f>
        <v>-5844</v>
      </c>
      <c r="O19">
        <f>ROUND(K19/15,0)</f>
        <v>-4701</v>
      </c>
    </row>
    <row r="20" spans="1:18" x14ac:dyDescent="0.25">
      <c r="A20">
        <v>11</v>
      </c>
      <c r="C20" t="s">
        <v>280</v>
      </c>
      <c r="E20" s="47"/>
      <c r="G20" s="47">
        <v>2.9842E-2</v>
      </c>
      <c r="K20">
        <f t="shared" si="0"/>
        <v>-13257</v>
      </c>
      <c r="O20">
        <f t="shared" si="1"/>
        <v>-2210</v>
      </c>
    </row>
    <row r="21" spans="1:18" x14ac:dyDescent="0.25">
      <c r="A21">
        <v>12</v>
      </c>
      <c r="C21" t="s">
        <v>281</v>
      </c>
      <c r="E21" s="47">
        <f>0.13768*(2711.5/9666.5)</f>
        <v>3.861990586044587E-2</v>
      </c>
      <c r="G21" s="47">
        <f>0.13768*(1474.5/9666.5)</f>
        <v>2.1001309677753061E-2</v>
      </c>
      <c r="I21">
        <f t="shared" ref="I21:I25" si="4">ROUND(E21*$K$28,0)</f>
        <v>-17156</v>
      </c>
      <c r="K21">
        <f t="shared" si="0"/>
        <v>-9330</v>
      </c>
      <c r="M21">
        <f>ROUND(I21/15,0)</f>
        <v>-1144</v>
      </c>
      <c r="O21">
        <f>ROUND(K21/15,0)</f>
        <v>-622</v>
      </c>
      <c r="R21" s="94"/>
    </row>
    <row r="22" spans="1:18" x14ac:dyDescent="0.25">
      <c r="A22">
        <v>13</v>
      </c>
      <c r="C22" t="s">
        <v>282</v>
      </c>
      <c r="E22" s="47">
        <f>0.13768*(310.5/9666.5)</f>
        <v>4.4224528009103609E-3</v>
      </c>
      <c r="G22" s="47"/>
      <c r="I22">
        <f t="shared" si="4"/>
        <v>-1965</v>
      </c>
      <c r="M22">
        <f t="shared" ref="M22:M25" si="5">ROUND(I22/15,0)</f>
        <v>-131</v>
      </c>
    </row>
    <row r="23" spans="1:18" x14ac:dyDescent="0.25">
      <c r="A23">
        <v>14</v>
      </c>
      <c r="C23" t="s">
        <v>283</v>
      </c>
      <c r="E23" s="47">
        <f>0.13768*(2869.5/9666.5)</f>
        <v>4.0870300522422798E-2</v>
      </c>
      <c r="G23" s="47">
        <f>0.13768*(1245.2/9666.5)</f>
        <v>1.7735388817048569E-2</v>
      </c>
      <c r="I23">
        <f t="shared" si="4"/>
        <v>-18156</v>
      </c>
      <c r="K23">
        <f>ROUND(G23*$K$28,0)</f>
        <v>-7879</v>
      </c>
      <c r="M23">
        <f t="shared" si="5"/>
        <v>-1210</v>
      </c>
      <c r="O23">
        <f>ROUND(K23/15,0)</f>
        <v>-525</v>
      </c>
    </row>
    <row r="24" spans="1:18" x14ac:dyDescent="0.25">
      <c r="A24">
        <v>15</v>
      </c>
      <c r="C24" t="s">
        <v>284</v>
      </c>
      <c r="E24" s="47">
        <f>0.13768*(430.1/9666.5)</f>
        <v>6.1259161020017589E-3</v>
      </c>
      <c r="G24" s="47"/>
      <c r="I24">
        <f t="shared" si="4"/>
        <v>-2721</v>
      </c>
      <c r="M24">
        <f t="shared" si="5"/>
        <v>-181</v>
      </c>
    </row>
    <row r="25" spans="1:18" x14ac:dyDescent="0.25">
      <c r="A25">
        <v>16</v>
      </c>
      <c r="C25" t="s">
        <v>285</v>
      </c>
      <c r="E25" s="93">
        <f>0.13768*(548.8/9666.5)</f>
        <v>7.8165606993224005E-3</v>
      </c>
      <c r="G25" s="93">
        <f>0.13768*(76.4/9666.5)</f>
        <v>1.0881655200951741E-3</v>
      </c>
      <c r="I25" s="3">
        <f t="shared" si="4"/>
        <v>-3472</v>
      </c>
      <c r="K25" s="3">
        <f>ROUND(G25*$K$28,0)</f>
        <v>-483</v>
      </c>
      <c r="M25" s="3">
        <f t="shared" si="5"/>
        <v>-231</v>
      </c>
      <c r="O25" s="3">
        <f>ROUND(K25/15,0)</f>
        <v>-32</v>
      </c>
    </row>
    <row r="26" spans="1:18" x14ac:dyDescent="0.25">
      <c r="E26" s="64"/>
      <c r="G26" s="92"/>
      <c r="I26" s="8"/>
    </row>
    <row r="27" spans="1:18" x14ac:dyDescent="0.25">
      <c r="A27">
        <v>17</v>
      </c>
      <c r="C27" t="s">
        <v>189</v>
      </c>
      <c r="E27" s="8">
        <f>SUM(E10:E25)</f>
        <v>0.51452051598510318</v>
      </c>
      <c r="G27" s="8">
        <f>SUM(G10:G25)</f>
        <v>0.48549148401489672</v>
      </c>
      <c r="I27">
        <f>SUM(I10:I25)</f>
        <v>-228569</v>
      </c>
      <c r="K27">
        <f>SUM(K10:K25)</f>
        <v>-215675</v>
      </c>
      <c r="M27">
        <f>SUM(M10:M25)</f>
        <v>-24980</v>
      </c>
      <c r="O27">
        <f>SUM(O10:O25)</f>
        <v>-27126</v>
      </c>
    </row>
    <row r="28" spans="1:18" x14ac:dyDescent="0.25">
      <c r="A28">
        <v>18</v>
      </c>
      <c r="C28" t="s">
        <v>628</v>
      </c>
      <c r="G28" s="8">
        <f>SUM(E27:G27)</f>
        <v>1.0000119999999999</v>
      </c>
      <c r="K28" s="79">
        <f>244321-688559</f>
        <v>-444238</v>
      </c>
      <c r="O28" s="79">
        <f>SUM(M27:O27)</f>
        <v>-52106</v>
      </c>
    </row>
    <row r="30" spans="1:18" ht="18" x14ac:dyDescent="0.4">
      <c r="C30" s="4" t="s">
        <v>50</v>
      </c>
    </row>
    <row r="31" spans="1:18" x14ac:dyDescent="0.25">
      <c r="C31" t="s">
        <v>625</v>
      </c>
      <c r="Q31" s="47"/>
    </row>
    <row r="32" spans="1:18" x14ac:dyDescent="0.25">
      <c r="C32" t="s">
        <v>626</v>
      </c>
    </row>
    <row r="33" spans="3:3" x14ac:dyDescent="0.25">
      <c r="C33" t="s">
        <v>738</v>
      </c>
    </row>
    <row r="34" spans="3:3" x14ac:dyDescent="0.25">
      <c r="C34" t="s">
        <v>739</v>
      </c>
    </row>
    <row r="35" spans="3:3" x14ac:dyDescent="0.25">
      <c r="C35" t="s">
        <v>740</v>
      </c>
    </row>
    <row r="36" spans="3:3" x14ac:dyDescent="0.25">
      <c r="C36" t="s">
        <v>741</v>
      </c>
    </row>
    <row r="37" spans="3:3" x14ac:dyDescent="0.25">
      <c r="C37" t="s">
        <v>742</v>
      </c>
    </row>
    <row r="38" spans="3:3" x14ac:dyDescent="0.25">
      <c r="C38" t="s">
        <v>743</v>
      </c>
    </row>
    <row r="40" spans="3:3" x14ac:dyDescent="0.25">
      <c r="C40" t="s">
        <v>744</v>
      </c>
    </row>
    <row r="41" spans="3:3" x14ac:dyDescent="0.25">
      <c r="C41" t="s">
        <v>745</v>
      </c>
    </row>
    <row r="42" spans="3:3" x14ac:dyDescent="0.25">
      <c r="C42" t="s">
        <v>746</v>
      </c>
    </row>
    <row r="43" spans="3:3" x14ac:dyDescent="0.25">
      <c r="C43" t="s">
        <v>747</v>
      </c>
    </row>
    <row r="44" spans="3:3" x14ac:dyDescent="0.25">
      <c r="C44" t="s">
        <v>748</v>
      </c>
    </row>
    <row r="46" spans="3:3" x14ac:dyDescent="0.25">
      <c r="C46" t="s">
        <v>749</v>
      </c>
    </row>
    <row r="47" spans="3:3" x14ac:dyDescent="0.25">
      <c r="C47" t="s">
        <v>750</v>
      </c>
    </row>
    <row r="48" spans="3:3" x14ac:dyDescent="0.25">
      <c r="C48" t="s">
        <v>751</v>
      </c>
    </row>
    <row r="49" spans="3:3" x14ac:dyDescent="0.25">
      <c r="C49" t="s">
        <v>752</v>
      </c>
    </row>
    <row r="50" spans="3:3" x14ac:dyDescent="0.25">
      <c r="C50" t="s">
        <v>753</v>
      </c>
    </row>
    <row r="51" spans="3:3" x14ac:dyDescent="0.25">
      <c r="C51" t="s">
        <v>754</v>
      </c>
    </row>
  </sheetData>
  <pageMargins left="0.7" right="0.7" top="0.75" bottom="0.75" header="0.3" footer="0.3"/>
  <pageSetup scale="73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selection activeCell="E25" sqref="E25"/>
    </sheetView>
  </sheetViews>
  <sheetFormatPr defaultRowHeight="15.75" x14ac:dyDescent="0.25"/>
  <cols>
    <col min="1" max="1" width="4.25" customWidth="1"/>
    <col min="2" max="2" width="1.375" customWidth="1"/>
    <col min="3" max="3" width="49.625" customWidth="1"/>
    <col min="4" max="4" width="7" customWidth="1"/>
    <col min="5" max="5" width="17.125" customWidth="1"/>
    <col min="6" max="6" width="0.5" customWidth="1"/>
    <col min="7" max="7" width="13.75" customWidth="1"/>
    <col min="8" max="8" width="4.5" customWidth="1"/>
    <col min="9" max="9" width="11.125" customWidth="1"/>
  </cols>
  <sheetData>
    <row r="1" spans="1:8" x14ac:dyDescent="0.25">
      <c r="A1" t="str">
        <f>CL_wRR!A1</f>
        <v>Utilities, Inc. of Florida</v>
      </c>
      <c r="H1" s="33" t="str">
        <f>ExhDR4_ER_TOC!$E$1</f>
        <v>Docket No. 160101-WS</v>
      </c>
    </row>
    <row r="2" spans="1:8" x14ac:dyDescent="0.25">
      <c r="A2" t="s">
        <v>109</v>
      </c>
      <c r="H2" s="33" t="str">
        <f>ExhDR4_ER_TOC!$E$2</f>
        <v>Exhibit DMR-4</v>
      </c>
    </row>
    <row r="3" spans="1:8" x14ac:dyDescent="0.25">
      <c r="A3" t="str">
        <f>CL_wRR!A3</f>
        <v>Test Year Ended December 31, 2015</v>
      </c>
      <c r="H3" s="33" t="str">
        <f>ExhDR4_ER_TOC!$E$3</f>
        <v>Eagle Ridge Revenue Requirement</v>
      </c>
    </row>
    <row r="4" spans="1:8" x14ac:dyDescent="0.25">
      <c r="G4" s="33" t="s">
        <v>82</v>
      </c>
      <c r="H4" s="33" t="str">
        <f>ExhDR4_ER_TOC!$E$4</f>
        <v>of 7</v>
      </c>
    </row>
    <row r="5" spans="1:8" x14ac:dyDescent="0.25">
      <c r="A5" t="s">
        <v>42</v>
      </c>
    </row>
    <row r="7" spans="1:8" x14ac:dyDescent="0.25">
      <c r="G7" s="1"/>
    </row>
    <row r="8" spans="1:8" x14ac:dyDescent="0.25">
      <c r="A8" t="s">
        <v>0</v>
      </c>
      <c r="E8" s="1"/>
    </row>
    <row r="9" spans="1:8" ht="18" x14ac:dyDescent="0.4">
      <c r="A9" s="3" t="s">
        <v>1</v>
      </c>
      <c r="C9" s="9" t="s">
        <v>2</v>
      </c>
      <c r="E9" s="2" t="s">
        <v>5</v>
      </c>
      <c r="G9" s="4" t="s">
        <v>23</v>
      </c>
    </row>
    <row r="11" spans="1:8" ht="18" x14ac:dyDescent="0.4">
      <c r="C11" s="4" t="s">
        <v>44</v>
      </c>
    </row>
    <row r="12" spans="1:8" x14ac:dyDescent="0.25">
      <c r="A12">
        <v>1</v>
      </c>
      <c r="C12" t="s">
        <v>630</v>
      </c>
      <c r="E12">
        <f>GIS_Proj!K11</f>
        <v>-15993</v>
      </c>
      <c r="G12" t="str">
        <f>GIS_Proj!O2</f>
        <v>Exhibit DMR-21</v>
      </c>
    </row>
    <row r="13" spans="1:8" x14ac:dyDescent="0.25">
      <c r="A13">
        <v>2</v>
      </c>
      <c r="C13" t="s">
        <v>579</v>
      </c>
      <c r="E13">
        <f>ER_Plant!I18</f>
        <v>-75681.25</v>
      </c>
      <c r="G13" t="str">
        <f>ER_Plant!I4</f>
        <v>Page 7</v>
      </c>
    </row>
    <row r="14" spans="1:8" x14ac:dyDescent="0.25">
      <c r="A14" s="19">
        <v>3</v>
      </c>
      <c r="C14" t="s">
        <v>580</v>
      </c>
      <c r="E14">
        <f>ER_Plant!I34</f>
        <v>14281</v>
      </c>
      <c r="G14" t="str">
        <f>G13</f>
        <v>Page 7</v>
      </c>
    </row>
    <row r="15" spans="1:8" ht="16.5" thickBot="1" x14ac:dyDescent="0.3">
      <c r="A15" s="19">
        <v>4</v>
      </c>
      <c r="B15" s="19"/>
      <c r="C15" t="s">
        <v>48</v>
      </c>
      <c r="E15" s="24">
        <f>SUM(E12:E14)</f>
        <v>-77393.25</v>
      </c>
    </row>
    <row r="16" spans="1:8" ht="16.5" thickTop="1" x14ac:dyDescent="0.25">
      <c r="A16" s="19">
        <v>5</v>
      </c>
      <c r="B16" s="19"/>
      <c r="C16" s="19"/>
      <c r="D16" s="19"/>
      <c r="E16" s="19"/>
    </row>
    <row r="17" spans="1:7" ht="18" x14ac:dyDescent="0.4">
      <c r="A17">
        <v>6</v>
      </c>
      <c r="B17" s="19"/>
      <c r="C17" s="21" t="s">
        <v>58</v>
      </c>
      <c r="D17" s="19"/>
      <c r="E17" s="19"/>
    </row>
    <row r="18" spans="1:7" x14ac:dyDescent="0.25">
      <c r="A18">
        <v>7</v>
      </c>
      <c r="B18" s="19"/>
      <c r="D18" s="19"/>
      <c r="E18" s="22"/>
    </row>
    <row r="19" spans="1:7" ht="16.5" thickBot="1" x14ac:dyDescent="0.3">
      <c r="A19" s="19">
        <v>8</v>
      </c>
      <c r="B19" s="19"/>
      <c r="C19" t="s">
        <v>59</v>
      </c>
      <c r="D19" s="19"/>
      <c r="E19" s="23">
        <f>SUM(E18:E18)</f>
        <v>0</v>
      </c>
    </row>
    <row r="20" spans="1:7" ht="16.5" thickTop="1" x14ac:dyDescent="0.25">
      <c r="A20" s="19">
        <v>9</v>
      </c>
      <c r="B20" s="19"/>
      <c r="C20" s="19"/>
      <c r="D20" s="19"/>
      <c r="E20" s="19"/>
    </row>
    <row r="21" spans="1:7" ht="18" x14ac:dyDescent="0.4">
      <c r="A21" s="19">
        <v>10</v>
      </c>
      <c r="B21" s="19"/>
      <c r="C21" s="21" t="s">
        <v>43</v>
      </c>
      <c r="D21" s="19"/>
      <c r="E21" s="19"/>
    </row>
    <row r="22" spans="1:7" x14ac:dyDescent="0.25">
      <c r="A22">
        <v>11</v>
      </c>
      <c r="B22" s="19"/>
      <c r="C22" t="s">
        <v>630</v>
      </c>
      <c r="E22">
        <f>ER_NOIadj!E25*0.5</f>
        <v>-1333</v>
      </c>
    </row>
    <row r="23" spans="1:7" x14ac:dyDescent="0.25">
      <c r="A23">
        <v>12</v>
      </c>
      <c r="B23" s="19"/>
      <c r="C23" t="s">
        <v>579</v>
      </c>
      <c r="D23" s="19"/>
      <c r="E23" s="19">
        <f>ER_Plant!I24</f>
        <v>217600.75</v>
      </c>
      <c r="G23" t="str">
        <f>G13</f>
        <v>Page 7</v>
      </c>
    </row>
    <row r="24" spans="1:7" x14ac:dyDescent="0.25">
      <c r="A24" s="19">
        <v>13</v>
      </c>
      <c r="B24" s="19"/>
      <c r="C24" t="s">
        <v>580</v>
      </c>
      <c r="D24" s="19"/>
      <c r="E24" s="19">
        <f>ER_Plant!I40</f>
        <v>-24841</v>
      </c>
      <c r="G24" t="str">
        <f>G13</f>
        <v>Page 7</v>
      </c>
    </row>
    <row r="25" spans="1:7" ht="16.5" thickBot="1" x14ac:dyDescent="0.3">
      <c r="A25" s="19">
        <v>14</v>
      </c>
      <c r="B25" s="19"/>
      <c r="C25" s="20" t="s">
        <v>47</v>
      </c>
      <c r="D25" s="19"/>
      <c r="E25" s="23">
        <f>SUM(E22:E24)</f>
        <v>191426.75</v>
      </c>
    </row>
    <row r="26" spans="1:7" ht="16.5" thickTop="1" x14ac:dyDescent="0.25">
      <c r="A26" s="19">
        <v>15</v>
      </c>
      <c r="B26" s="19"/>
      <c r="C26" s="20"/>
      <c r="D26" s="19"/>
      <c r="E26" s="19"/>
    </row>
    <row r="27" spans="1:7" ht="18" x14ac:dyDescent="0.4">
      <c r="A27">
        <v>16</v>
      </c>
      <c r="B27" s="19"/>
      <c r="C27" s="21" t="s">
        <v>51</v>
      </c>
      <c r="D27" s="19"/>
      <c r="E27" s="19"/>
    </row>
    <row r="28" spans="1:7" x14ac:dyDescent="0.25">
      <c r="A28" s="19">
        <v>17</v>
      </c>
      <c r="B28" s="19"/>
      <c r="C28" s="31" t="s">
        <v>296</v>
      </c>
      <c r="D28" s="19"/>
      <c r="E28" s="22">
        <v>-82809</v>
      </c>
      <c r="G28" t="s">
        <v>198</v>
      </c>
    </row>
    <row r="29" spans="1:7" ht="16.5" thickBot="1" x14ac:dyDescent="0.3">
      <c r="A29" s="19">
        <v>18</v>
      </c>
      <c r="B29" s="19"/>
      <c r="C29" s="20" t="s">
        <v>52</v>
      </c>
      <c r="D29" s="19"/>
      <c r="E29" s="23">
        <f>SUM(E28:E28)</f>
        <v>-82809</v>
      </c>
    </row>
    <row r="30" spans="1:7" ht="16.5" thickTop="1" x14ac:dyDescent="0.25">
      <c r="B30" s="19"/>
      <c r="C30" s="19"/>
      <c r="D30" s="19"/>
      <c r="E30" s="19"/>
      <c r="F30" s="19"/>
      <c r="G30" s="19"/>
    </row>
  </sheetData>
  <pageMargins left="0.7" right="0.7" top="0.75" bottom="0.75" header="0.3" footer="0.3"/>
  <pageSetup scale="86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workbookViewId="0">
      <selection activeCell="C25" sqref="C25"/>
    </sheetView>
  </sheetViews>
  <sheetFormatPr defaultRowHeight="15.75" x14ac:dyDescent="0.25"/>
  <cols>
    <col min="1" max="1" width="4.25" customWidth="1"/>
    <col min="2" max="2" width="1.375" customWidth="1"/>
    <col min="3" max="3" width="20.5" customWidth="1"/>
    <col min="4" max="4" width="1.125" customWidth="1"/>
    <col min="5" max="5" width="10.375" customWidth="1"/>
    <col min="6" max="6" width="1.125" customWidth="1"/>
    <col min="7" max="7" width="9.625" customWidth="1"/>
    <col min="8" max="8" width="1.125" customWidth="1"/>
    <col min="9" max="9" width="10.625" customWidth="1"/>
    <col min="10" max="10" width="0.75" customWidth="1"/>
    <col min="11" max="11" width="11.125" customWidth="1"/>
    <col min="12" max="12" width="0.75" customWidth="1"/>
    <col min="13" max="13" width="9.625" customWidth="1"/>
    <col min="14" max="14" width="0.75" customWidth="1"/>
    <col min="15" max="15" width="9.75" customWidth="1"/>
    <col min="16" max="16" width="0.75" customWidth="1"/>
    <col min="17" max="17" width="10" customWidth="1"/>
    <col min="18" max="18" width="4.5" customWidth="1"/>
  </cols>
  <sheetData>
    <row r="1" spans="1:18" x14ac:dyDescent="0.25">
      <c r="A1" t="str">
        <f>CL_wRR!A1</f>
        <v>Utilities, Inc. of Florida</v>
      </c>
      <c r="R1" s="33" t="str">
        <f>ExhDR4_ER_TOC!$E$1</f>
        <v>Docket No. 160101-WS</v>
      </c>
    </row>
    <row r="2" spans="1:18" x14ac:dyDescent="0.25">
      <c r="A2" t="s">
        <v>109</v>
      </c>
      <c r="R2" s="33" t="str">
        <f>ExhDR4_ER_TOC!$E$2</f>
        <v>Exhibit DMR-4</v>
      </c>
    </row>
    <row r="3" spans="1:18" x14ac:dyDescent="0.25">
      <c r="A3" t="str">
        <f>CL_wRR!A3</f>
        <v>Test Year Ended December 31, 2015</v>
      </c>
      <c r="R3" s="33" t="str">
        <f>ExhDR4_ER_TOC!$E$3</f>
        <v>Eagle Ridge Revenue Requirement</v>
      </c>
    </row>
    <row r="4" spans="1:18" x14ac:dyDescent="0.25">
      <c r="Q4" s="33" t="s">
        <v>83</v>
      </c>
      <c r="R4" s="33" t="str">
        <f>ExhDR4_ER_TOC!$E$4</f>
        <v>of 7</v>
      </c>
    </row>
    <row r="5" spans="1:18" x14ac:dyDescent="0.25">
      <c r="A5" t="s">
        <v>199</v>
      </c>
    </row>
    <row r="8" spans="1:18" x14ac:dyDescent="0.25">
      <c r="Q8" s="1" t="s">
        <v>8</v>
      </c>
    </row>
    <row r="9" spans="1:18" x14ac:dyDescent="0.25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8" x14ac:dyDescent="0.4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25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25">
      <c r="A13">
        <v>1</v>
      </c>
      <c r="C13" t="s">
        <v>206</v>
      </c>
      <c r="E13">
        <v>1242475</v>
      </c>
      <c r="G13" s="64">
        <f>E13/$E$20</f>
        <v>0.395634463973772</v>
      </c>
      <c r="I13">
        <f>K13-E13</f>
        <v>-163368.82493584533</v>
      </c>
      <c r="K13">
        <f>($K$20-$K$16-$K$17-$K$18)*(E13/SUM($E$13:$E$15))</f>
        <v>1079106.1750641547</v>
      </c>
      <c r="M13" s="64">
        <f>K13/$K$20</f>
        <v>0.38693839394562118</v>
      </c>
      <c r="O13" s="64">
        <v>6.7000000000000004E-2</v>
      </c>
      <c r="P13" s="8"/>
      <c r="Q13" s="64">
        <f>M13*O13</f>
        <v>2.5924872394356622E-2</v>
      </c>
    </row>
    <row r="14" spans="1:18" x14ac:dyDescent="0.25">
      <c r="A14">
        <v>2</v>
      </c>
      <c r="C14" t="s">
        <v>207</v>
      </c>
      <c r="E14">
        <v>117999</v>
      </c>
      <c r="G14" s="64">
        <f t="shared" ref="G14:G18" si="0">E14/$E$20</f>
        <v>3.7573770992930342E-2</v>
      </c>
      <c r="I14">
        <f t="shared" ref="I14:I15" si="1">K14-E14</f>
        <v>-15515.288415143004</v>
      </c>
      <c r="K14">
        <f t="shared" ref="K14:K15" si="2">($K$20-$K$16-$K$17-$K$18)*(E14/SUM($E$13:$E$15))</f>
        <v>102483.711584857</v>
      </c>
      <c r="M14" s="64">
        <f t="shared" ref="M14:M18" si="3">K14/$K$20</f>
        <v>3.6747897178767669E-2</v>
      </c>
      <c r="O14" s="8">
        <v>2.3199999999999998E-2</v>
      </c>
      <c r="P14" s="8"/>
      <c r="Q14" s="64">
        <f t="shared" ref="Q14:Q18" si="4">M14*O14</f>
        <v>8.525512145474099E-4</v>
      </c>
    </row>
    <row r="15" spans="1:18" x14ac:dyDescent="0.25">
      <c r="A15">
        <v>3</v>
      </c>
      <c r="C15" t="s">
        <v>208</v>
      </c>
      <c r="E15">
        <v>1321320</v>
      </c>
      <c r="G15" s="64">
        <f t="shared" si="0"/>
        <v>0.42074064261882488</v>
      </c>
      <c r="I15">
        <f t="shared" si="1"/>
        <v>-173735.88664901187</v>
      </c>
      <c r="K15">
        <f t="shared" si="2"/>
        <v>1147584.1133509881</v>
      </c>
      <c r="M15" s="64">
        <f t="shared" si="3"/>
        <v>0.41149273722869939</v>
      </c>
      <c r="O15" s="8">
        <v>0.104</v>
      </c>
      <c r="P15" s="8"/>
      <c r="Q15" s="64">
        <f t="shared" si="4"/>
        <v>4.2795244671784735E-2</v>
      </c>
    </row>
    <row r="16" spans="1:18" x14ac:dyDescent="0.25">
      <c r="A16">
        <v>4</v>
      </c>
      <c r="C16" t="s">
        <v>209</v>
      </c>
      <c r="E16">
        <v>3413</v>
      </c>
      <c r="G16" s="64">
        <f t="shared" si="0"/>
        <v>1.0867827727257964E-3</v>
      </c>
      <c r="K16">
        <f>E16+I16</f>
        <v>3413</v>
      </c>
      <c r="M16" s="64">
        <f t="shared" si="3"/>
        <v>1.2238098243278906E-3</v>
      </c>
      <c r="O16" s="8">
        <v>0.02</v>
      </c>
      <c r="P16" s="8"/>
      <c r="Q16" s="64">
        <f t="shared" si="4"/>
        <v>2.4476196486557812E-5</v>
      </c>
    </row>
    <row r="17" spans="1:17" x14ac:dyDescent="0.25">
      <c r="A17">
        <v>5</v>
      </c>
      <c r="C17" t="s">
        <v>210</v>
      </c>
      <c r="E17">
        <v>0</v>
      </c>
      <c r="G17" s="64">
        <f t="shared" si="0"/>
        <v>0</v>
      </c>
      <c r="K17">
        <f>E17+I17</f>
        <v>0</v>
      </c>
      <c r="M17" s="64">
        <f t="shared" si="3"/>
        <v>0</v>
      </c>
      <c r="O17" s="8">
        <v>0</v>
      </c>
      <c r="P17" s="8"/>
      <c r="Q17" s="64">
        <f t="shared" si="4"/>
        <v>0</v>
      </c>
    </row>
    <row r="18" spans="1:17" x14ac:dyDescent="0.25">
      <c r="A18">
        <v>6</v>
      </c>
      <c r="C18" t="s">
        <v>211</v>
      </c>
      <c r="E18" s="3">
        <v>455255</v>
      </c>
      <c r="G18" s="68">
        <f t="shared" si="0"/>
        <v>0.14496433964174699</v>
      </c>
      <c r="I18">
        <v>990</v>
      </c>
      <c r="K18" s="3">
        <f>E18+I18</f>
        <v>456245</v>
      </c>
      <c r="M18" s="68">
        <f t="shared" si="3"/>
        <v>0.1635971618225838</v>
      </c>
      <c r="O18" s="8">
        <v>0</v>
      </c>
      <c r="P18" s="8"/>
      <c r="Q18" s="68">
        <f t="shared" si="4"/>
        <v>0</v>
      </c>
    </row>
    <row r="20" spans="1:17" ht="16.5" thickBot="1" x14ac:dyDescent="0.3">
      <c r="A20">
        <v>7</v>
      </c>
      <c r="C20" t="s">
        <v>189</v>
      </c>
      <c r="E20">
        <f>SUM(E13:E19)</f>
        <v>3140462</v>
      </c>
      <c r="G20" s="8">
        <f>SUM(G13:G19)</f>
        <v>1</v>
      </c>
      <c r="K20">
        <f>ER_wwRB!I23</f>
        <v>2788832</v>
      </c>
      <c r="M20" s="8">
        <f>SUM(M13:M19)</f>
        <v>0.99999999999999989</v>
      </c>
      <c r="Q20" s="71">
        <f>ROUND(SUM(Q13:Q19),4)</f>
        <v>6.9599999999999995E-2</v>
      </c>
    </row>
    <row r="21" spans="1:17" ht="16.5" thickTop="1" x14ac:dyDescent="0.25"/>
    <row r="22" spans="1:17" ht="18" x14ac:dyDescent="0.4">
      <c r="C22" s="4" t="s">
        <v>50</v>
      </c>
    </row>
    <row r="23" spans="1:17" x14ac:dyDescent="0.25">
      <c r="C23" t="s">
        <v>217</v>
      </c>
    </row>
    <row r="24" spans="1:17" x14ac:dyDescent="0.25">
      <c r="C24" t="s">
        <v>220</v>
      </c>
    </row>
    <row r="25" spans="1:17" x14ac:dyDescent="0.25">
      <c r="C25" t="s">
        <v>571</v>
      </c>
    </row>
  </sheetData>
  <pageMargins left="0.7" right="0.7" top="0.75" bottom="0.75" header="0.3" footer="0.3"/>
  <pageSetup scale="78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I24" sqref="I24"/>
    </sheetView>
  </sheetViews>
  <sheetFormatPr defaultRowHeight="15.75" x14ac:dyDescent="0.25"/>
  <cols>
    <col min="1" max="1" width="4.625" customWidth="1"/>
    <col min="2" max="2" width="1.375" customWidth="1"/>
    <col min="3" max="3" width="42.75" customWidth="1"/>
    <col min="4" max="4" width="5.5" customWidth="1"/>
    <col min="5" max="5" width="14.125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4.875" customWidth="1"/>
  </cols>
  <sheetData>
    <row r="1" spans="1:11" x14ac:dyDescent="0.25">
      <c r="A1" t="str">
        <f>CL_wRR!A1</f>
        <v>Utilities, Inc. of Florida</v>
      </c>
      <c r="J1" s="33" t="str">
        <f>ExhDR4_ER_TOC!$E$1</f>
        <v>Docket No. 160101-WS</v>
      </c>
    </row>
    <row r="2" spans="1:11" x14ac:dyDescent="0.25">
      <c r="A2" t="s">
        <v>109</v>
      </c>
      <c r="J2" s="33" t="str">
        <f>ExhDR4_ER_TOC!$E$2</f>
        <v>Exhibit DMR-4</v>
      </c>
    </row>
    <row r="3" spans="1:11" x14ac:dyDescent="0.25">
      <c r="A3" t="str">
        <f>CL_wRR!A3</f>
        <v>Test Year Ended December 31, 2015</v>
      </c>
      <c r="J3" s="33" t="str">
        <f>ExhDR4_ER_TOC!$E$3</f>
        <v>Eagle Ridge Revenue Requirement</v>
      </c>
    </row>
    <row r="4" spans="1:11" x14ac:dyDescent="0.25">
      <c r="I4" s="33" t="s">
        <v>87</v>
      </c>
      <c r="J4" s="33" t="str">
        <f>ExhDR4_ER_TOC!$E$4</f>
        <v>of 7</v>
      </c>
    </row>
    <row r="5" spans="1:11" x14ac:dyDescent="0.25">
      <c r="A5" t="s">
        <v>569</v>
      </c>
      <c r="I5" s="10"/>
    </row>
    <row r="6" spans="1:11" x14ac:dyDescent="0.25">
      <c r="A6" t="s">
        <v>570</v>
      </c>
    </row>
    <row r="10" spans="1:11" x14ac:dyDescent="0.25">
      <c r="E10" s="1" t="s">
        <v>346</v>
      </c>
      <c r="F10" s="1"/>
      <c r="G10" s="1" t="s">
        <v>348</v>
      </c>
      <c r="H10" s="1"/>
      <c r="I10" s="1"/>
    </row>
    <row r="11" spans="1:11" x14ac:dyDescent="0.25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1" x14ac:dyDescent="0.25">
      <c r="E12" s="7" t="s">
        <v>212</v>
      </c>
      <c r="F12" s="1"/>
      <c r="G12" s="7" t="s">
        <v>213</v>
      </c>
      <c r="H12" s="1"/>
      <c r="I12" s="7" t="s">
        <v>214</v>
      </c>
    </row>
    <row r="13" spans="1:11" x14ac:dyDescent="0.25">
      <c r="C13" s="82" t="s">
        <v>572</v>
      </c>
      <c r="E13" s="7"/>
      <c r="F13" s="1"/>
      <c r="G13" s="7"/>
      <c r="H13" s="1"/>
      <c r="I13" s="7"/>
    </row>
    <row r="14" spans="1:11" ht="18" x14ac:dyDescent="0.4">
      <c r="C14" s="4" t="s">
        <v>350</v>
      </c>
    </row>
    <row r="15" spans="1:11" x14ac:dyDescent="0.25">
      <c r="A15">
        <v>1</v>
      </c>
      <c r="C15" t="s">
        <v>417</v>
      </c>
      <c r="E15">
        <v>350000</v>
      </c>
      <c r="G15">
        <v>47275</v>
      </c>
    </row>
    <row r="16" spans="1:11" x14ac:dyDescent="0.25">
      <c r="A16">
        <v>2</v>
      </c>
      <c r="C16" t="s">
        <v>574</v>
      </c>
      <c r="E16" s="3">
        <f>-E15*0.75</f>
        <v>-262500</v>
      </c>
      <c r="G16" s="3">
        <f>-G15*0.75</f>
        <v>-35456.25</v>
      </c>
      <c r="K16" s="46"/>
    </row>
    <row r="18" spans="1:9" x14ac:dyDescent="0.25">
      <c r="A18">
        <v>3</v>
      </c>
      <c r="C18" t="s">
        <v>354</v>
      </c>
      <c r="E18">
        <f>SUM(E15:E16)</f>
        <v>87500</v>
      </c>
      <c r="G18">
        <f>SUM(G15:G16)</f>
        <v>11818.75</v>
      </c>
      <c r="I18" s="79">
        <f>G18-E18</f>
        <v>-75681.25</v>
      </c>
    </row>
    <row r="20" spans="1:9" ht="18" x14ac:dyDescent="0.4">
      <c r="C20" s="4" t="s">
        <v>351</v>
      </c>
    </row>
    <row r="21" spans="1:9" x14ac:dyDescent="0.25">
      <c r="A21">
        <v>4</v>
      </c>
      <c r="C21" t="s">
        <v>418</v>
      </c>
      <c r="E21">
        <f>E16</f>
        <v>-262500</v>
      </c>
      <c r="G21">
        <f>G16</f>
        <v>-35456.25</v>
      </c>
    </row>
    <row r="22" spans="1:9" x14ac:dyDescent="0.25">
      <c r="A22">
        <v>5</v>
      </c>
      <c r="C22" t="s">
        <v>352</v>
      </c>
      <c r="E22" s="3">
        <v>9772</v>
      </c>
      <c r="G22" s="3">
        <f>ROUND(G27/2,0)</f>
        <v>329</v>
      </c>
    </row>
    <row r="24" spans="1:9" x14ac:dyDescent="0.25">
      <c r="A24">
        <v>6</v>
      </c>
      <c r="C24" t="s">
        <v>356</v>
      </c>
      <c r="E24">
        <f>SUM(E21:E23)</f>
        <v>-252728</v>
      </c>
      <c r="G24">
        <f>SUM(G21:G23)</f>
        <v>-35127.25</v>
      </c>
      <c r="I24" s="79">
        <f>G24-E24</f>
        <v>217600.75</v>
      </c>
    </row>
    <row r="26" spans="1:9" ht="18" x14ac:dyDescent="0.4">
      <c r="C26" s="4" t="s">
        <v>353</v>
      </c>
    </row>
    <row r="27" spans="1:9" x14ac:dyDescent="0.25">
      <c r="A27">
        <v>7</v>
      </c>
      <c r="C27" t="s">
        <v>430</v>
      </c>
      <c r="E27">
        <f>-7292+19444</f>
        <v>12152</v>
      </c>
      <c r="G27">
        <f>ROUND(G18*(1/18),0)</f>
        <v>657</v>
      </c>
      <c r="I27" s="79">
        <f>G27-E27</f>
        <v>-11495</v>
      </c>
    </row>
    <row r="29" spans="1:9" x14ac:dyDescent="0.25">
      <c r="C29" s="82" t="s">
        <v>575</v>
      </c>
      <c r="E29" s="7"/>
      <c r="F29" s="1"/>
      <c r="G29" s="7"/>
      <c r="H29" s="1"/>
      <c r="I29" s="7"/>
    </row>
    <row r="30" spans="1:9" ht="18" x14ac:dyDescent="0.4">
      <c r="C30" s="4" t="s">
        <v>350</v>
      </c>
    </row>
    <row r="31" spans="1:9" x14ac:dyDescent="0.25">
      <c r="A31">
        <v>8</v>
      </c>
      <c r="C31" t="s">
        <v>417</v>
      </c>
      <c r="E31">
        <v>20000</v>
      </c>
      <c r="G31">
        <v>59113</v>
      </c>
    </row>
    <row r="32" spans="1:9" x14ac:dyDescent="0.25">
      <c r="A32">
        <v>9</v>
      </c>
      <c r="C32" t="s">
        <v>576</v>
      </c>
      <c r="E32" s="3">
        <f>-E31*0.75</f>
        <v>-15000</v>
      </c>
      <c r="G32" s="3">
        <v>-39832</v>
      </c>
    </row>
    <row r="34" spans="1:9" x14ac:dyDescent="0.25">
      <c r="A34">
        <v>10</v>
      </c>
      <c r="C34" t="s">
        <v>354</v>
      </c>
      <c r="E34">
        <f>SUM(E31:E32)</f>
        <v>5000</v>
      </c>
      <c r="G34">
        <f>SUM(G31:G32)</f>
        <v>19281</v>
      </c>
      <c r="I34" s="79">
        <f>G34-E34</f>
        <v>14281</v>
      </c>
    </row>
    <row r="36" spans="1:9" ht="18" x14ac:dyDescent="0.4">
      <c r="C36" s="4" t="s">
        <v>351</v>
      </c>
    </row>
    <row r="37" spans="1:9" x14ac:dyDescent="0.25">
      <c r="A37">
        <v>11</v>
      </c>
      <c r="C37" t="s">
        <v>418</v>
      </c>
      <c r="E37">
        <f>E32</f>
        <v>-15000</v>
      </c>
      <c r="G37">
        <f>G32</f>
        <v>-39832</v>
      </c>
    </row>
    <row r="38" spans="1:9" x14ac:dyDescent="0.25">
      <c r="A38">
        <v>12</v>
      </c>
      <c r="C38" t="s">
        <v>352</v>
      </c>
      <c r="E38" s="3">
        <v>250</v>
      </c>
      <c r="G38" s="3">
        <f>ROUND(G43/2,0)</f>
        <v>241</v>
      </c>
    </row>
    <row r="40" spans="1:9" x14ac:dyDescent="0.25">
      <c r="A40">
        <v>13</v>
      </c>
      <c r="C40" t="s">
        <v>356</v>
      </c>
      <c r="E40">
        <f>SUM(E37:E39)</f>
        <v>-14750</v>
      </c>
      <c r="G40">
        <f>SUM(G37:G39)</f>
        <v>-39591</v>
      </c>
      <c r="I40" s="79">
        <f>G40-E40</f>
        <v>-24841</v>
      </c>
    </row>
    <row r="42" spans="1:9" ht="18" x14ac:dyDescent="0.4">
      <c r="C42" s="4" t="s">
        <v>353</v>
      </c>
    </row>
    <row r="43" spans="1:9" x14ac:dyDescent="0.25">
      <c r="A43">
        <v>14</v>
      </c>
      <c r="C43" t="s">
        <v>573</v>
      </c>
      <c r="E43">
        <f>ROUND(E34*(1/40),0)</f>
        <v>125</v>
      </c>
      <c r="G43">
        <f>ROUND(G34*(1/40),0)</f>
        <v>482</v>
      </c>
      <c r="I43" s="79">
        <f>G43-E43</f>
        <v>357</v>
      </c>
    </row>
    <row r="47" spans="1:9" ht="18" x14ac:dyDescent="0.4">
      <c r="C47" s="4" t="s">
        <v>50</v>
      </c>
    </row>
    <row r="48" spans="1:9" x14ac:dyDescent="0.25">
      <c r="C48" t="s">
        <v>431</v>
      </c>
    </row>
    <row r="49" spans="3:3" x14ac:dyDescent="0.25">
      <c r="C49" t="s">
        <v>577</v>
      </c>
    </row>
    <row r="50" spans="3:3" x14ac:dyDescent="0.25">
      <c r="C50" t="s">
        <v>578</v>
      </c>
    </row>
  </sheetData>
  <pageMargins left="0.7" right="0.7" top="0.75" bottom="0.75" header="0.3" footer="0.3"/>
  <pageSetup scale="84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E17"/>
  <sheetViews>
    <sheetView workbookViewId="0">
      <selection activeCell="E5" sqref="E5"/>
    </sheetView>
  </sheetViews>
  <sheetFormatPr defaultRowHeight="15.75" x14ac:dyDescent="0.25"/>
  <cols>
    <col min="1" max="1" width="8.125" customWidth="1"/>
    <col min="2" max="2" width="1.875" customWidth="1"/>
    <col min="3" max="3" width="45.625" customWidth="1"/>
    <col min="4" max="4" width="13.375" customWidth="1"/>
    <col min="5" max="5" width="4.875" customWidth="1"/>
  </cols>
  <sheetData>
    <row r="1" spans="1:5" x14ac:dyDescent="0.25">
      <c r="A1" t="s">
        <v>61</v>
      </c>
      <c r="E1" s="33" t="s">
        <v>64</v>
      </c>
    </row>
    <row r="2" spans="1:5" x14ac:dyDescent="0.25">
      <c r="A2" t="s">
        <v>118</v>
      </c>
      <c r="E2" s="33" t="s">
        <v>114</v>
      </c>
    </row>
    <row r="3" spans="1:5" x14ac:dyDescent="0.25">
      <c r="A3" t="s">
        <v>86</v>
      </c>
      <c r="E3" s="33" t="s">
        <v>119</v>
      </c>
    </row>
    <row r="4" spans="1:5" x14ac:dyDescent="0.25">
      <c r="D4" s="33" t="s">
        <v>67</v>
      </c>
      <c r="E4" s="33" t="s">
        <v>561</v>
      </c>
    </row>
    <row r="5" spans="1:5" x14ac:dyDescent="0.25">
      <c r="A5" t="s">
        <v>63</v>
      </c>
    </row>
    <row r="8" spans="1:5" x14ac:dyDescent="0.25">
      <c r="A8" s="3" t="s">
        <v>84</v>
      </c>
      <c r="B8" s="3"/>
      <c r="C8" s="3" t="s">
        <v>85</v>
      </c>
      <c r="D8" s="3"/>
      <c r="E8" s="3"/>
    </row>
    <row r="10" spans="1:5" x14ac:dyDescent="0.25">
      <c r="A10" t="str">
        <f>LABwRR!N4</f>
        <v>Page 2</v>
      </c>
      <c r="C10" t="str">
        <f>LABwRR!A5</f>
        <v>Calculation of Revenue Requirement - Water</v>
      </c>
    </row>
    <row r="11" spans="1:5" x14ac:dyDescent="0.25">
      <c r="A11" t="str">
        <f>LABwwRR!N4</f>
        <v>Page 3</v>
      </c>
      <c r="C11" t="str">
        <f>LABwwRR!A5</f>
        <v>Calculation of Revenue Requirement - Wastewater</v>
      </c>
    </row>
    <row r="12" spans="1:5" x14ac:dyDescent="0.25">
      <c r="A12" t="str">
        <f>LAB_NOIadj!J4</f>
        <v>Page 4</v>
      </c>
      <c r="C12" t="str">
        <f>LAB_NOIadj!A5</f>
        <v>Schedule of Adjustments to Operating Income</v>
      </c>
    </row>
    <row r="13" spans="1:5" x14ac:dyDescent="0.25">
      <c r="A13" t="str">
        <f>LAB_wRB!I4</f>
        <v>Page 5</v>
      </c>
      <c r="C13" t="str">
        <f>LAB_wRB!A5</f>
        <v>Rate Base - Water</v>
      </c>
    </row>
    <row r="14" spans="1:5" x14ac:dyDescent="0.25">
      <c r="A14" t="str">
        <f>LAB_wwRB!I4</f>
        <v>Page 6</v>
      </c>
      <c r="C14" t="str">
        <f>LAB_wwRB!A5</f>
        <v>Rate Base - Wastewater</v>
      </c>
    </row>
    <row r="15" spans="1:5" x14ac:dyDescent="0.25">
      <c r="A15" t="str">
        <f>LAB_RBadj!K4</f>
        <v>Page 7</v>
      </c>
      <c r="C15" t="str">
        <f>LAB_RBadj!A5</f>
        <v>Schedule of Adjustments to Rate Base</v>
      </c>
    </row>
    <row r="16" spans="1:5" x14ac:dyDescent="0.25">
      <c r="A16" t="str">
        <f>LAB_ROR!Q4</f>
        <v>Page 8</v>
      </c>
      <c r="C16" t="str">
        <f>LAB_ROR!A5</f>
        <v>Cost of Capital</v>
      </c>
    </row>
    <row r="17" spans="1:3" x14ac:dyDescent="0.25">
      <c r="A17" t="str">
        <f>LAB_UandU!I4</f>
        <v>Page 9</v>
      </c>
      <c r="C17" t="str">
        <f>LAB_UandU!A5</f>
        <v>Non-Used &amp; Useful Plant</v>
      </c>
    </row>
  </sheetData>
  <pageMargins left="0.7" right="0.7" top="0.75" bottom="0.75" header="0.3" footer="0.3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workbookViewId="0">
      <selection activeCell="C29" sqref="C29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0.375" bestFit="1" customWidth="1"/>
    <col min="5" max="5" width="1.75" customWidth="1"/>
    <col min="6" max="6" width="10.875" customWidth="1"/>
    <col min="7" max="7" width="2.125" customWidth="1"/>
    <col min="8" max="8" width="10.375" bestFit="1" customWidth="1"/>
    <col min="9" max="9" width="1.375" customWidth="1"/>
    <col min="10" max="10" width="10.125" customWidth="1"/>
    <col min="11" max="11" width="1.125" customWidth="1"/>
    <col min="12" max="12" width="11.25" customWidth="1"/>
    <col min="13" max="13" width="1.75" customWidth="1"/>
    <col min="14" max="14" width="11" customWidth="1"/>
    <col min="15" max="15" width="5.125" customWidth="1"/>
  </cols>
  <sheetData>
    <row r="1" spans="1:15" x14ac:dyDescent="0.25">
      <c r="A1" t="s">
        <v>61</v>
      </c>
      <c r="O1" s="33" t="str">
        <f>ExhDR5_LAB_TOC!$E$1</f>
        <v>Docket No. 160101-WS</v>
      </c>
    </row>
    <row r="2" spans="1:15" x14ac:dyDescent="0.25">
      <c r="A2" t="s">
        <v>118</v>
      </c>
      <c r="O2" s="33" t="str">
        <f>ExhDR5_LAB_TOC!$E$2</f>
        <v>Exhibit DMR-5</v>
      </c>
    </row>
    <row r="3" spans="1:15" x14ac:dyDescent="0.25">
      <c r="A3" t="s">
        <v>63</v>
      </c>
      <c r="O3" s="33" t="str">
        <f>ExhDR5_LAB_TOC!$E$3</f>
        <v>Labrador Revenue Requirement</v>
      </c>
    </row>
    <row r="4" spans="1:15" x14ac:dyDescent="0.25">
      <c r="N4" s="33" t="s">
        <v>77</v>
      </c>
      <c r="O4" s="33" t="str">
        <f>ExhDR5_LAB_TOC!$E$4</f>
        <v>of 9</v>
      </c>
    </row>
    <row r="5" spans="1:15" x14ac:dyDescent="0.25">
      <c r="A5" t="s">
        <v>69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305242</v>
      </c>
      <c r="F12" s="29">
        <f>LAB_NOIadj!F13</f>
        <v>0</v>
      </c>
      <c r="G12" s="6"/>
      <c r="H12">
        <f>SUM(D12:F12)</f>
        <v>305242</v>
      </c>
      <c r="J12">
        <f>((H23*L25)-H21)*1.67888</f>
        <v>33045.172734865533</v>
      </c>
      <c r="L12">
        <f>SUM(H12:J12)</f>
        <v>338287.17273486551</v>
      </c>
      <c r="N12" t="str">
        <f>LAB_NOIadj!J4</f>
        <v>Page 4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189042</v>
      </c>
      <c r="F14" s="29">
        <f>LAB_NOIadj!F25</f>
        <v>-32827.25</v>
      </c>
      <c r="H14">
        <f>SUM(D14:F14)</f>
        <v>156214.75</v>
      </c>
      <c r="L14">
        <f>SUM(H14:J14)</f>
        <v>156214.75</v>
      </c>
      <c r="N14" t="str">
        <f>N12</f>
        <v>Page 4</v>
      </c>
    </row>
    <row r="15" spans="1:15" x14ac:dyDescent="0.25">
      <c r="A15">
        <v>3</v>
      </c>
      <c r="C15" t="s">
        <v>17</v>
      </c>
      <c r="D15">
        <v>70889</v>
      </c>
      <c r="F15" s="29">
        <f>LAB_NOIadj!F30</f>
        <v>-191</v>
      </c>
      <c r="H15">
        <f>SUM(D15:F15)</f>
        <v>70698</v>
      </c>
      <c r="L15">
        <f>SUM(H15:J15)</f>
        <v>70698</v>
      </c>
      <c r="N15" t="str">
        <f>N12</f>
        <v>Page 4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32040</v>
      </c>
      <c r="F17" s="29">
        <f>LAB_NOIadj!F35</f>
        <v>-18</v>
      </c>
      <c r="H17">
        <f>SUM(D17:F17)</f>
        <v>32022</v>
      </c>
      <c r="J17">
        <f>J12*0.045</f>
        <v>1487.0327730689489</v>
      </c>
      <c r="L17">
        <f>SUM(H17:J17)</f>
        <v>33509.032773068946</v>
      </c>
      <c r="N17" t="str">
        <f>N12</f>
        <v>Page 4</v>
      </c>
    </row>
    <row r="18" spans="1:14" x14ac:dyDescent="0.25">
      <c r="A18">
        <v>6</v>
      </c>
      <c r="C18" t="s">
        <v>19</v>
      </c>
      <c r="D18" s="3">
        <v>-3203</v>
      </c>
      <c r="F18" s="29">
        <f>LAB_NOIadj!F40</f>
        <v>12337.50158724</v>
      </c>
      <c r="H18" s="3">
        <f>SUM(D18:F18)</f>
        <v>9134.5015872399999</v>
      </c>
      <c r="J18">
        <f>(J12-J17)*0.3763</f>
        <v>11875.328067624056</v>
      </c>
      <c r="L18" s="9">
        <f>SUM(H18:J18)</f>
        <v>21009.829654864057</v>
      </c>
    </row>
    <row r="19" spans="1:14" x14ac:dyDescent="0.25">
      <c r="A19">
        <v>7</v>
      </c>
      <c r="C19" t="s">
        <v>20</v>
      </c>
      <c r="D19">
        <f>SUM(D14:D18)</f>
        <v>288768</v>
      </c>
      <c r="F19" s="29"/>
      <c r="H19" s="5">
        <f>SUM(H14:H18)</f>
        <v>268069.25158724003</v>
      </c>
      <c r="L19" s="5">
        <f>SUM(L14:L18)</f>
        <v>281431.61242793297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16474</v>
      </c>
      <c r="F21" s="29"/>
      <c r="H21">
        <f>H12-H19</f>
        <v>37172.748412759975</v>
      </c>
      <c r="L21">
        <f>H23*L25</f>
        <v>56855.616000000002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LAB_wRB!E23</f>
        <v>688813</v>
      </c>
      <c r="F23" s="29">
        <f>H23-D23</f>
        <v>7947</v>
      </c>
      <c r="H23">
        <f>LAB_wRB!I23</f>
        <v>696760</v>
      </c>
      <c r="L23">
        <f>H23</f>
        <v>696760</v>
      </c>
      <c r="N23" t="str">
        <f>LAB_wRB!I4</f>
        <v>Page 5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2.3916505640863339E-2</v>
      </c>
      <c r="F25" s="29"/>
      <c r="L25" s="8">
        <f>LAB_ROR!Q20</f>
        <v>8.1600000000000006E-2</v>
      </c>
      <c r="N25" t="str">
        <f>LAB_ROR!Q4</f>
        <v>Page 8</v>
      </c>
    </row>
    <row r="26" spans="1:14" x14ac:dyDescent="0.25">
      <c r="L26" s="8"/>
    </row>
    <row r="27" spans="1:14" ht="18" x14ac:dyDescent="0.4">
      <c r="C27" s="4" t="s">
        <v>88</v>
      </c>
      <c r="J27" s="32"/>
      <c r="L27" s="8"/>
    </row>
    <row r="28" spans="1:14" x14ac:dyDescent="0.25">
      <c r="C28" t="s">
        <v>102</v>
      </c>
      <c r="J28" s="29"/>
    </row>
  </sheetData>
  <pageMargins left="0.7" right="0.7" top="0.75" bottom="0.75" header="0.3" footer="0.3"/>
  <pageSetup scale="74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N26" sqref="N26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0.375" bestFit="1" customWidth="1"/>
    <col min="5" max="5" width="1.75" customWidth="1"/>
    <col min="6" max="6" width="10.875" customWidth="1"/>
    <col min="7" max="7" width="2.125" customWidth="1"/>
    <col min="8" max="8" width="10.375" bestFit="1" customWidth="1"/>
    <col min="9" max="9" width="1.375" customWidth="1"/>
    <col min="10" max="10" width="10.125" customWidth="1"/>
    <col min="11" max="11" width="1.125" customWidth="1"/>
    <col min="12" max="12" width="11.25" customWidth="1"/>
    <col min="13" max="13" width="1.75" customWidth="1"/>
    <col min="14" max="14" width="11" customWidth="1"/>
    <col min="15" max="15" width="5.125" customWidth="1"/>
  </cols>
  <sheetData>
    <row r="1" spans="1:15" x14ac:dyDescent="0.25">
      <c r="A1" t="s">
        <v>61</v>
      </c>
      <c r="O1" s="33" t="str">
        <f>ExhDR5_LAB_TOC!$E$1</f>
        <v>Docket No. 160101-WS</v>
      </c>
    </row>
    <row r="2" spans="1:15" x14ac:dyDescent="0.25">
      <c r="A2" t="s">
        <v>118</v>
      </c>
      <c r="O2" s="33" t="str">
        <f>ExhDR5_LAB_TOC!$E$2</f>
        <v>Exhibit DMR-5</v>
      </c>
    </row>
    <row r="3" spans="1:15" x14ac:dyDescent="0.25">
      <c r="A3" t="s">
        <v>63</v>
      </c>
      <c r="O3" s="33" t="str">
        <f>ExhDR5_LAB_TOC!$E$3</f>
        <v>Labrador Revenue Requirement</v>
      </c>
    </row>
    <row r="4" spans="1:15" x14ac:dyDescent="0.25">
      <c r="N4" s="33" t="s">
        <v>80</v>
      </c>
      <c r="O4" s="33" t="str">
        <f>ExhDR5_LAB_TOC!$E$4</f>
        <v>of 9</v>
      </c>
    </row>
    <row r="5" spans="1:15" x14ac:dyDescent="0.25">
      <c r="A5" t="s">
        <v>76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639372</v>
      </c>
      <c r="F12" s="29">
        <f>LAB_NOIadj!H13</f>
        <v>0</v>
      </c>
      <c r="G12" s="6"/>
      <c r="H12">
        <f>SUM(D12:F12)</f>
        <v>639372</v>
      </c>
      <c r="J12">
        <f>((H23*L25)-H21)*1.67888</f>
        <v>-218380.47229882563</v>
      </c>
      <c r="L12">
        <f>SUM(H12:J12)</f>
        <v>420991.52770117437</v>
      </c>
      <c r="N12" t="str">
        <f>LAB_NOIadj!J4</f>
        <v>Page 4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253716</v>
      </c>
      <c r="F14" s="29">
        <f>LAB_NOIadj!H25</f>
        <v>-34094</v>
      </c>
      <c r="H14">
        <f>SUM(D14:F14)</f>
        <v>219622</v>
      </c>
      <c r="L14">
        <f>SUM(H14:J14)</f>
        <v>219622</v>
      </c>
      <c r="N14" t="str">
        <f>N12</f>
        <v>Page 4</v>
      </c>
    </row>
    <row r="15" spans="1:15" x14ac:dyDescent="0.25">
      <c r="A15">
        <v>3</v>
      </c>
      <c r="C15" t="s">
        <v>17</v>
      </c>
      <c r="D15">
        <v>99683</v>
      </c>
      <c r="F15" s="29">
        <f>LAB_NOIadj!H30</f>
        <v>-42188</v>
      </c>
      <c r="H15">
        <f>SUM(D15:F15)</f>
        <v>57495</v>
      </c>
      <c r="L15">
        <f>SUM(H15:J15)</f>
        <v>57495</v>
      </c>
      <c r="N15" t="str">
        <f>N12</f>
        <v>Page 4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48392</v>
      </c>
      <c r="F17" s="29">
        <f>LAB_NOIadj!H35</f>
        <v>-14695</v>
      </c>
      <c r="H17">
        <f>SUM(D17:F17)</f>
        <v>33697</v>
      </c>
      <c r="J17">
        <f>J12*0.045</f>
        <v>-9827.1212534471524</v>
      </c>
      <c r="L17">
        <f>SUM(H17:J17)</f>
        <v>23869.878746552848</v>
      </c>
      <c r="N17" t="str">
        <f>N12</f>
        <v>Page 4</v>
      </c>
    </row>
    <row r="18" spans="1:14" x14ac:dyDescent="0.25">
      <c r="A18">
        <v>6</v>
      </c>
      <c r="C18" t="s">
        <v>19</v>
      </c>
      <c r="D18" s="3">
        <v>66432</v>
      </c>
      <c r="F18" s="29">
        <f>LAB_NOIadj!H40</f>
        <v>44438.129302920002</v>
      </c>
      <c r="H18" s="3">
        <f>SUM(D18:F18)</f>
        <v>110870.12930292</v>
      </c>
      <c r="J18">
        <f>(J12-J17)*0.3763</f>
        <v>-78478.625998375923</v>
      </c>
      <c r="L18" s="9">
        <f>SUM(H18:J18)</f>
        <v>32391.50330454408</v>
      </c>
    </row>
    <row r="19" spans="1:14" x14ac:dyDescent="0.25">
      <c r="A19">
        <v>7</v>
      </c>
      <c r="C19" t="s">
        <v>20</v>
      </c>
      <c r="D19">
        <f>SUM(D14:D18)</f>
        <v>468223</v>
      </c>
      <c r="F19" s="29"/>
      <c r="H19" s="5">
        <f>SUM(H14:H18)</f>
        <v>421684.12930292002</v>
      </c>
      <c r="L19" s="5">
        <f>SUM(L14:L18)</f>
        <v>333378.38205109694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171149</v>
      </c>
      <c r="F21" s="29"/>
      <c r="H21">
        <f>H12-H19</f>
        <v>217687.87069707998</v>
      </c>
      <c r="L21">
        <f>H23*L25</f>
        <v>87612.777600000001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LAB_wwRB!E23</f>
        <v>1931735</v>
      </c>
      <c r="F23" s="29">
        <f>H23-D23</f>
        <v>-858049</v>
      </c>
      <c r="H23">
        <f>LAB_wwRB!I23</f>
        <v>1073686</v>
      </c>
      <c r="L23">
        <f>H23</f>
        <v>1073686</v>
      </c>
      <c r="N23" t="str">
        <f>LAB_wwRB!I4</f>
        <v>Page 6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8.859859142170122E-2</v>
      </c>
      <c r="F25" s="29"/>
      <c r="L25" s="8">
        <f>LAB_ROR!Q20</f>
        <v>8.1600000000000006E-2</v>
      </c>
      <c r="N25" t="str">
        <f>LAB_ROR!Q4</f>
        <v>Page 8</v>
      </c>
    </row>
    <row r="28" spans="1:14" ht="18" x14ac:dyDescent="0.4">
      <c r="C28" s="4" t="s">
        <v>88</v>
      </c>
    </row>
    <row r="29" spans="1:14" x14ac:dyDescent="0.25">
      <c r="C29" t="s">
        <v>101</v>
      </c>
    </row>
  </sheetData>
  <pageMargins left="0.7" right="0.7" top="0.75" bottom="0.75" header="0.3" footer="0.3"/>
  <pageSetup scale="7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16"/>
  <sheetViews>
    <sheetView workbookViewId="0">
      <selection activeCell="C24" sqref="C24"/>
    </sheetView>
  </sheetViews>
  <sheetFormatPr defaultRowHeight="15.75" x14ac:dyDescent="0.25"/>
  <cols>
    <col min="1" max="1" width="8.125" customWidth="1"/>
    <col min="2" max="2" width="1.875" customWidth="1"/>
    <col min="3" max="3" width="45.625" customWidth="1"/>
    <col min="4" max="4" width="13.375" customWidth="1"/>
    <col min="5" max="5" width="4.875" customWidth="1"/>
    <col min="10" max="10" width="4.625" customWidth="1"/>
  </cols>
  <sheetData>
    <row r="1" spans="1:5" x14ac:dyDescent="0.25">
      <c r="A1" t="s">
        <v>61</v>
      </c>
      <c r="E1" s="33" t="s">
        <v>64</v>
      </c>
    </row>
    <row r="2" spans="1:5" x14ac:dyDescent="0.25">
      <c r="A2" t="s">
        <v>62</v>
      </c>
      <c r="E2" s="33" t="s">
        <v>91</v>
      </c>
    </row>
    <row r="3" spans="1:5" x14ac:dyDescent="0.25">
      <c r="A3" t="s">
        <v>86</v>
      </c>
      <c r="E3" s="33" t="s">
        <v>65</v>
      </c>
    </row>
    <row r="4" spans="1:5" x14ac:dyDescent="0.25">
      <c r="D4" s="33" t="s">
        <v>67</v>
      </c>
      <c r="E4" s="33" t="s">
        <v>559</v>
      </c>
    </row>
    <row r="5" spans="1:5" x14ac:dyDescent="0.25">
      <c r="A5" t="s">
        <v>63</v>
      </c>
    </row>
    <row r="8" spans="1:5" x14ac:dyDescent="0.25">
      <c r="A8" s="3" t="s">
        <v>84</v>
      </c>
      <c r="B8" s="3"/>
      <c r="C8" s="3" t="s">
        <v>85</v>
      </c>
      <c r="D8" s="3"/>
      <c r="E8" s="3"/>
    </row>
    <row r="10" spans="1:5" x14ac:dyDescent="0.25">
      <c r="A10" t="str">
        <f>CL_wRR!N4</f>
        <v>Page 2</v>
      </c>
      <c r="C10" t="str">
        <f>CL_wRR!A5</f>
        <v>Calculation of Revenue Requirement - Water</v>
      </c>
    </row>
    <row r="11" spans="1:5" x14ac:dyDescent="0.25">
      <c r="A11" t="str">
        <f>CL_wwRR!N4</f>
        <v>Page 3</v>
      </c>
      <c r="C11" t="str">
        <f>CL_wwRR!A5</f>
        <v>Calculation of Revenue Requirement - Wastewater</v>
      </c>
    </row>
    <row r="12" spans="1:5" x14ac:dyDescent="0.25">
      <c r="A12" t="str">
        <f>CL_NOIadj!J4</f>
        <v>Page 4</v>
      </c>
      <c r="C12" t="str">
        <f>CL_NOIadj!A5</f>
        <v>Schedule of Adjustments to Operating Income</v>
      </c>
    </row>
    <row r="13" spans="1:5" x14ac:dyDescent="0.25">
      <c r="A13" t="str">
        <f>CL_wRB!I4</f>
        <v>Page 5</v>
      </c>
      <c r="C13" t="str">
        <f>CL_wRB!A5</f>
        <v>Rate Base - Water</v>
      </c>
    </row>
    <row r="14" spans="1:5" x14ac:dyDescent="0.25">
      <c r="A14" t="str">
        <f>CL_wwRB!I4</f>
        <v>Page 6</v>
      </c>
      <c r="C14" t="str">
        <f>CL_wwRB!A5</f>
        <v>Rate Base - Wastewater</v>
      </c>
    </row>
    <row r="15" spans="1:5" x14ac:dyDescent="0.25">
      <c r="A15" t="str">
        <f>CL_RBadj!K4</f>
        <v>Page 7</v>
      </c>
      <c r="C15" t="str">
        <f>CL_RBadj!A5</f>
        <v>Schedule of Adjustments to Rate Base</v>
      </c>
    </row>
    <row r="16" spans="1:5" x14ac:dyDescent="0.25">
      <c r="A16" t="str">
        <f>CL_ROR!Q4</f>
        <v>Page 8</v>
      </c>
      <c r="C16" t="str">
        <f>CL_ROR!A5</f>
        <v>Cost of Capital</v>
      </c>
    </row>
  </sheetData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workbookViewId="0">
      <selection activeCell="C22" sqref="C22"/>
    </sheetView>
  </sheetViews>
  <sheetFormatPr defaultRowHeight="15.75" x14ac:dyDescent="0.25"/>
  <cols>
    <col min="1" max="1" width="4.375" customWidth="1"/>
    <col min="2" max="2" width="1.625" customWidth="1"/>
    <col min="3" max="3" width="42.875" customWidth="1"/>
    <col min="5" max="5" width="9.375" customWidth="1"/>
    <col min="6" max="6" width="9.625" bestFit="1" customWidth="1"/>
    <col min="7" max="7" width="1.75" customWidth="1"/>
    <col min="8" max="8" width="9.625" customWidth="1"/>
    <col min="9" max="9" width="1.375" customWidth="1"/>
    <col min="10" max="10" width="21.375" customWidth="1"/>
    <col min="11" max="11" width="4.5" customWidth="1"/>
  </cols>
  <sheetData>
    <row r="1" spans="1:11" x14ac:dyDescent="0.25">
      <c r="A1" t="str">
        <f>CL_wRR!A1</f>
        <v>Utilities, Inc. of Florida</v>
      </c>
      <c r="J1" s="33"/>
      <c r="K1" s="33" t="str">
        <f>ExhDR5_LAB_TOC!$E$1</f>
        <v>Docket No. 160101-WS</v>
      </c>
    </row>
    <row r="2" spans="1:11" x14ac:dyDescent="0.25">
      <c r="A2" t="s">
        <v>118</v>
      </c>
      <c r="J2" s="33"/>
      <c r="K2" s="33" t="str">
        <f>ExhDR5_LAB_TOC!$E$2</f>
        <v>Exhibit DMR-5</v>
      </c>
    </row>
    <row r="3" spans="1:11" x14ac:dyDescent="0.25">
      <c r="A3" t="str">
        <f>CL_wRR!A3</f>
        <v>Test Year Ended December 31, 2015</v>
      </c>
      <c r="J3" s="33"/>
      <c r="K3" s="33" t="str">
        <f>ExhDR5_LAB_TOC!$E$3</f>
        <v>Labrador Revenue Requirement</v>
      </c>
    </row>
    <row r="4" spans="1:11" x14ac:dyDescent="0.25">
      <c r="J4" s="33" t="s">
        <v>81</v>
      </c>
      <c r="K4" s="33" t="str">
        <f>ExhDR5_LAB_TOC!$E$4</f>
        <v>of 9</v>
      </c>
    </row>
    <row r="5" spans="1:11" x14ac:dyDescent="0.25">
      <c r="A5" t="s">
        <v>45</v>
      </c>
    </row>
    <row r="8" spans="1:11" x14ac:dyDescent="0.25">
      <c r="A8" t="s">
        <v>0</v>
      </c>
      <c r="F8" s="1" t="s">
        <v>70</v>
      </c>
      <c r="G8" s="1"/>
      <c r="H8" s="1" t="s">
        <v>71</v>
      </c>
    </row>
    <row r="9" spans="1:11" ht="18" x14ac:dyDescent="0.4">
      <c r="A9" s="3" t="s">
        <v>1</v>
      </c>
      <c r="C9" s="4" t="s">
        <v>2</v>
      </c>
      <c r="F9" s="2" t="s">
        <v>5</v>
      </c>
      <c r="G9" s="34"/>
      <c r="H9" s="2" t="s">
        <v>5</v>
      </c>
      <c r="J9" s="4" t="s">
        <v>72</v>
      </c>
    </row>
    <row r="11" spans="1:11" ht="18" x14ac:dyDescent="0.4">
      <c r="C11" s="4" t="s">
        <v>73</v>
      </c>
    </row>
    <row r="12" spans="1:11" x14ac:dyDescent="0.25">
      <c r="A12">
        <v>1</v>
      </c>
    </row>
    <row r="13" spans="1:11" ht="16.5" thickBot="1" x14ac:dyDescent="0.3">
      <c r="A13">
        <v>2</v>
      </c>
      <c r="C13" t="s">
        <v>110</v>
      </c>
      <c r="F13" s="24">
        <f>SUM(F12:F12)</f>
        <v>0</v>
      </c>
      <c r="H13" s="24">
        <f>SUM(H12:H12)</f>
        <v>0</v>
      </c>
    </row>
    <row r="14" spans="1:11" ht="16.5" thickTop="1" x14ac:dyDescent="0.25">
      <c r="A14">
        <v>3</v>
      </c>
    </row>
    <row r="15" spans="1:11" ht="18" x14ac:dyDescent="0.4">
      <c r="A15">
        <v>4</v>
      </c>
      <c r="C15" s="4" t="s">
        <v>49</v>
      </c>
    </row>
    <row r="16" spans="1:11" x14ac:dyDescent="0.25">
      <c r="A16">
        <v>5</v>
      </c>
      <c r="C16" t="s">
        <v>367</v>
      </c>
      <c r="F16">
        <f>ROUND((-8052-1952)*0.046,0)</f>
        <v>-460</v>
      </c>
      <c r="J16" s="6" t="s">
        <v>213</v>
      </c>
    </row>
    <row r="17" spans="1:10" x14ac:dyDescent="0.25">
      <c r="A17">
        <v>6</v>
      </c>
      <c r="C17" t="s">
        <v>364</v>
      </c>
      <c r="F17">
        <f>ROUND(-10000*0.502,0)</f>
        <v>-5020</v>
      </c>
      <c r="H17">
        <f>ROUND(-10000*0.498,0)</f>
        <v>-4980</v>
      </c>
      <c r="J17" t="s">
        <v>198</v>
      </c>
    </row>
    <row r="18" spans="1:10" x14ac:dyDescent="0.25">
      <c r="A18">
        <v>7</v>
      </c>
      <c r="C18" t="s">
        <v>365</v>
      </c>
      <c r="F18">
        <f>10000/5</f>
        <v>2000</v>
      </c>
      <c r="J18" t="s">
        <v>198</v>
      </c>
    </row>
    <row r="19" spans="1:10" x14ac:dyDescent="0.25">
      <c r="A19">
        <v>8</v>
      </c>
      <c r="C19" t="s">
        <v>363</v>
      </c>
      <c r="F19" s="25">
        <f>-505</f>
        <v>-505</v>
      </c>
      <c r="G19" s="25"/>
      <c r="H19" s="25">
        <f>-501</f>
        <v>-501</v>
      </c>
      <c r="J19" t="s">
        <v>198</v>
      </c>
    </row>
    <row r="20" spans="1:10" x14ac:dyDescent="0.25">
      <c r="A20">
        <v>9</v>
      </c>
      <c r="C20" t="s">
        <v>371</v>
      </c>
      <c r="F20" s="25">
        <v>-16714</v>
      </c>
      <c r="G20" s="25"/>
      <c r="H20" s="25">
        <v>-16581</v>
      </c>
      <c r="J20" t="s">
        <v>380</v>
      </c>
    </row>
    <row r="21" spans="1:10" x14ac:dyDescent="0.25">
      <c r="A21">
        <v>10</v>
      </c>
      <c r="C21" t="s">
        <v>684</v>
      </c>
      <c r="F21" s="25">
        <f>-(41996+1377)/4</f>
        <v>-10843.25</v>
      </c>
      <c r="G21" s="25"/>
      <c r="H21" s="25">
        <f>-(41661+1367)/4</f>
        <v>-10757</v>
      </c>
      <c r="J21" t="s">
        <v>376</v>
      </c>
    </row>
    <row r="22" spans="1:10" x14ac:dyDescent="0.25">
      <c r="A22">
        <v>11</v>
      </c>
      <c r="C22" t="s">
        <v>293</v>
      </c>
      <c r="F22" s="26">
        <f>ROUND(128*0.502,0)</f>
        <v>64</v>
      </c>
      <c r="G22" s="26"/>
      <c r="H22" s="26">
        <f>ROUND(128*0.498,0)</f>
        <v>64</v>
      </c>
      <c r="J22" t="s">
        <v>198</v>
      </c>
    </row>
    <row r="23" spans="1:10" x14ac:dyDescent="0.25">
      <c r="A23">
        <v>12</v>
      </c>
      <c r="C23" t="s">
        <v>290</v>
      </c>
      <c r="F23" s="5">
        <f>ROUND('WSC-Ins'!$I$14*0.502,0)</f>
        <v>-315</v>
      </c>
      <c r="G23" s="5"/>
      <c r="H23" s="5">
        <f>ROUND('WSC-Ins'!$I$14*0.498,0)</f>
        <v>-313</v>
      </c>
      <c r="J23" t="str">
        <f>'WSC-Ins'!J2</f>
        <v>Exhibit DMR-19</v>
      </c>
    </row>
    <row r="24" spans="1:10" x14ac:dyDescent="0.25">
      <c r="A24">
        <v>13</v>
      </c>
      <c r="C24" t="s">
        <v>291</v>
      </c>
      <c r="F24" s="5">
        <f>ROUND(WSCs_Dep!$I$14*0.502,0)</f>
        <v>-1034</v>
      </c>
      <c r="G24" s="5"/>
      <c r="H24" s="5">
        <f>ROUND(WSCs_Dep!$I$14*0.498,0)</f>
        <v>-1026</v>
      </c>
      <c r="J24" t="str">
        <f>WSCs_Dep!J2</f>
        <v>Exhibit DMR-20</v>
      </c>
    </row>
    <row r="25" spans="1:10" ht="16.5" thickBot="1" x14ac:dyDescent="0.3">
      <c r="A25">
        <v>14</v>
      </c>
      <c r="C25" t="s">
        <v>110</v>
      </c>
      <c r="F25" s="24">
        <f>SUM(F16:F24)</f>
        <v>-32827.25</v>
      </c>
      <c r="G25" s="26"/>
      <c r="H25" s="24">
        <f>SUM(H16:H24)</f>
        <v>-34094</v>
      </c>
    </row>
    <row r="26" spans="1:10" ht="16.5" thickTop="1" x14ac:dyDescent="0.25">
      <c r="A26">
        <v>15</v>
      </c>
    </row>
    <row r="27" spans="1:10" ht="18" x14ac:dyDescent="0.4">
      <c r="A27">
        <v>16</v>
      </c>
      <c r="C27" s="4" t="s">
        <v>46</v>
      </c>
    </row>
    <row r="28" spans="1:10" x14ac:dyDescent="0.25">
      <c r="A28">
        <v>17</v>
      </c>
      <c r="C28" t="s">
        <v>630</v>
      </c>
      <c r="F28">
        <f>-191</f>
        <v>-191</v>
      </c>
      <c r="H28">
        <v>-190</v>
      </c>
      <c r="J28" t="str">
        <f>GIS_Proj!O2</f>
        <v>Exhibit DMR-21</v>
      </c>
    </row>
    <row r="29" spans="1:10" x14ac:dyDescent="0.25">
      <c r="A29">
        <v>18</v>
      </c>
      <c r="C29" t="s">
        <v>325</v>
      </c>
      <c r="F29" s="3"/>
      <c r="G29" s="26"/>
      <c r="H29" s="3">
        <f>LAB_UandU!I24</f>
        <v>-41998</v>
      </c>
      <c r="J29" s="31" t="str">
        <f>LAB_UandU!I4</f>
        <v>Page 9</v>
      </c>
    </row>
    <row r="30" spans="1:10" ht="16.5" thickBot="1" x14ac:dyDescent="0.3">
      <c r="A30">
        <v>19</v>
      </c>
      <c r="C30" t="s">
        <v>110</v>
      </c>
      <c r="F30" s="24">
        <f>SUM(F28:F29)</f>
        <v>-191</v>
      </c>
      <c r="G30" s="26"/>
      <c r="H30" s="24">
        <f>SUM(H28:H29)</f>
        <v>-42188</v>
      </c>
    </row>
    <row r="31" spans="1:10" ht="16.5" thickTop="1" x14ac:dyDescent="0.25">
      <c r="A31">
        <v>20</v>
      </c>
    </row>
    <row r="32" spans="1:10" ht="18" x14ac:dyDescent="0.4">
      <c r="A32">
        <v>21</v>
      </c>
      <c r="C32" s="4" t="s">
        <v>60</v>
      </c>
    </row>
    <row r="33" spans="1:8" x14ac:dyDescent="0.25">
      <c r="A33">
        <v>22</v>
      </c>
      <c r="C33" s="40" t="s">
        <v>616</v>
      </c>
      <c r="F33">
        <f>ROUND((LAB_wRB!G12+LAB_wRB!G16)*0.0171026,0)</f>
        <v>-18</v>
      </c>
      <c r="H33">
        <f>ROUND((LAB_wwRB!G14+LAB_wwRB!G12+LAB_wwRB!G16)*0.017126,0)</f>
        <v>-14695</v>
      </c>
    </row>
    <row r="34" spans="1:8" x14ac:dyDescent="0.25">
      <c r="A34">
        <v>23</v>
      </c>
      <c r="C34" s="40" t="s">
        <v>89</v>
      </c>
      <c r="F34">
        <f>ROUND(F13*0.045,0)</f>
        <v>0</v>
      </c>
      <c r="H34">
        <f>ROUND(H13*0.045,0)</f>
        <v>0</v>
      </c>
    </row>
    <row r="35" spans="1:8" ht="16.5" thickBot="1" x14ac:dyDescent="0.3">
      <c r="A35">
        <v>24</v>
      </c>
      <c r="C35" t="s">
        <v>110</v>
      </c>
      <c r="F35" s="24">
        <f>SUM(F33:F34)</f>
        <v>-18</v>
      </c>
      <c r="G35" s="26"/>
      <c r="H35" s="24">
        <f>SUM(H33:H34)</f>
        <v>-14695</v>
      </c>
    </row>
    <row r="36" spans="1:8" ht="16.5" thickTop="1" x14ac:dyDescent="0.25">
      <c r="A36">
        <v>25</v>
      </c>
    </row>
    <row r="37" spans="1:8" ht="18" x14ac:dyDescent="0.4">
      <c r="A37">
        <v>26</v>
      </c>
      <c r="C37" s="4" t="s">
        <v>79</v>
      </c>
    </row>
    <row r="38" spans="1:8" x14ac:dyDescent="0.25">
      <c r="A38">
        <v>27</v>
      </c>
      <c r="C38" s="40" t="s">
        <v>115</v>
      </c>
      <c r="F38">
        <f>LAB_wRB!G23*0.0316*-0.3763</f>
        <v>-94.498412760000022</v>
      </c>
      <c r="H38">
        <f>LAB_wwRB!G23*0.0316*-0.3763</f>
        <v>10203.129302920002</v>
      </c>
    </row>
    <row r="39" spans="1:8" x14ac:dyDescent="0.25">
      <c r="A39">
        <v>28</v>
      </c>
      <c r="C39" s="40" t="s">
        <v>90</v>
      </c>
      <c r="F39">
        <f>ROUND((F13-F25-F30-F35)*0.3763,0)</f>
        <v>12432</v>
      </c>
      <c r="H39">
        <f>ROUND((H13-H25-H30-H35)*0.3763,0)</f>
        <v>34235</v>
      </c>
    </row>
    <row r="40" spans="1:8" ht="16.5" thickBot="1" x14ac:dyDescent="0.3">
      <c r="A40">
        <v>29</v>
      </c>
      <c r="C40" t="s">
        <v>110</v>
      </c>
      <c r="F40" s="24">
        <f>SUM(F38:F39)</f>
        <v>12337.50158724</v>
      </c>
      <c r="G40" s="26"/>
      <c r="H40" s="24">
        <f>SUM(H38:H39)</f>
        <v>44438.129302920002</v>
      </c>
    </row>
    <row r="41" spans="1:8" ht="16.5" thickTop="1" x14ac:dyDescent="0.25"/>
    <row r="42" spans="1:8" x14ac:dyDescent="0.25">
      <c r="C42" s="6" t="s">
        <v>120</v>
      </c>
    </row>
    <row r="43" spans="1:8" x14ac:dyDescent="0.25">
      <c r="C43" t="s">
        <v>116</v>
      </c>
    </row>
    <row r="44" spans="1:8" x14ac:dyDescent="0.25">
      <c r="C44" s="6" t="s">
        <v>681</v>
      </c>
    </row>
    <row r="45" spans="1:8" x14ac:dyDescent="0.25">
      <c r="C45" t="s">
        <v>683</v>
      </c>
    </row>
    <row r="46" spans="1:8" x14ac:dyDescent="0.25">
      <c r="C46" t="s">
        <v>682</v>
      </c>
    </row>
    <row r="47" spans="1:8" x14ac:dyDescent="0.25">
      <c r="C47" s="6" t="s">
        <v>381</v>
      </c>
    </row>
  </sheetData>
  <pageMargins left="0.7" right="0.7" top="0.75" bottom="0.75" header="0.3" footer="0.3"/>
  <pageSetup scale="70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G17" sqref="G17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7" customWidth="1"/>
    <col min="5" max="5" width="16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4.625" customWidth="1"/>
  </cols>
  <sheetData>
    <row r="1" spans="1:10" x14ac:dyDescent="0.25">
      <c r="A1" t="str">
        <f>CL_wRR!A1</f>
        <v>Utilities, Inc. of Florida</v>
      </c>
      <c r="H1" s="10"/>
      <c r="I1" s="10"/>
      <c r="J1" s="33" t="str">
        <f>ExhDR5_LAB_TOC!$E$1</f>
        <v>Docket No. 160101-WS</v>
      </c>
    </row>
    <row r="2" spans="1:10" x14ac:dyDescent="0.25">
      <c r="A2" t="s">
        <v>118</v>
      </c>
      <c r="H2" s="10"/>
      <c r="I2" s="10"/>
      <c r="J2" s="33" t="str">
        <f>ExhDR5_LAB_TOC!$E$2</f>
        <v>Exhibit DMR-5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ExhDR5_LAB_TOC!$E$3</f>
        <v>Labrador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82</v>
      </c>
      <c r="J4" s="33" t="str">
        <f>ExhDR5_LAB_TOC!$E$4</f>
        <v>of 9</v>
      </c>
    </row>
    <row r="5" spans="1:10" x14ac:dyDescent="0.25">
      <c r="A5" s="27" t="s">
        <v>74</v>
      </c>
      <c r="B5" s="10"/>
      <c r="C5" s="10"/>
      <c r="D5" s="10"/>
      <c r="E5" s="10"/>
      <c r="F5" s="10"/>
      <c r="G5" s="10"/>
      <c r="H5" s="10"/>
      <c r="I5" s="10"/>
      <c r="J5" s="35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  <c r="J6" s="35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  <c r="J7" s="10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  <c r="J8" s="10"/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  <c r="J9" s="10"/>
    </row>
    <row r="10" spans="1:10" x14ac:dyDescent="0.25">
      <c r="A10" s="10"/>
      <c r="B10" s="10"/>
      <c r="C10" s="10"/>
      <c r="D10" s="10"/>
      <c r="E10" s="43" t="s">
        <v>24</v>
      </c>
      <c r="F10" s="10"/>
      <c r="G10" s="43" t="s">
        <v>25</v>
      </c>
      <c r="H10" s="10"/>
      <c r="I10" s="43" t="s">
        <v>26</v>
      </c>
      <c r="J10" s="10"/>
    </row>
    <row r="11" spans="1:10" x14ac:dyDescent="0.25">
      <c r="A11" s="10"/>
      <c r="B11" s="10"/>
      <c r="C11" s="10"/>
      <c r="D11" s="10"/>
      <c r="E11" s="43"/>
      <c r="F11" s="10"/>
      <c r="G11" s="43"/>
      <c r="H11" s="10"/>
      <c r="I11" s="43"/>
      <c r="J11" s="10"/>
    </row>
    <row r="12" spans="1:10" x14ac:dyDescent="0.25">
      <c r="A12" s="10">
        <v>1</v>
      </c>
      <c r="B12" s="10"/>
      <c r="C12" s="11" t="s">
        <v>33</v>
      </c>
      <c r="D12" s="10"/>
      <c r="E12" s="10">
        <v>1118886</v>
      </c>
      <c r="F12" s="10"/>
      <c r="G12" s="10">
        <f>LAB_RBadj!G13</f>
        <v>-1148</v>
      </c>
      <c r="H12" s="10"/>
      <c r="I12" s="10">
        <f>SUM(E12:G12)</f>
        <v>1117738</v>
      </c>
      <c r="J12" s="10"/>
    </row>
    <row r="13" spans="1:10" x14ac:dyDescent="0.25">
      <c r="A13" s="10">
        <v>2</v>
      </c>
      <c r="B13" s="10"/>
      <c r="C13" s="11" t="s">
        <v>34</v>
      </c>
      <c r="D13" s="10"/>
      <c r="E13" s="10">
        <v>523</v>
      </c>
      <c r="F13" s="10"/>
      <c r="G13" s="10"/>
      <c r="H13" s="10"/>
      <c r="I13" s="10">
        <f t="shared" ref="I13:I21" si="0">SUM(E13:G13)</f>
        <v>523</v>
      </c>
      <c r="J13" s="10"/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  <c r="J14" s="10"/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  <c r="J15" s="10"/>
    </row>
    <row r="16" spans="1:10" x14ac:dyDescent="0.25">
      <c r="A16" s="10">
        <v>5</v>
      </c>
      <c r="B16" s="10"/>
      <c r="C16" s="11" t="s">
        <v>37</v>
      </c>
      <c r="D16" s="10"/>
      <c r="E16" s="27">
        <v>-457329</v>
      </c>
      <c r="F16" s="10"/>
      <c r="G16" s="10">
        <f>-LAB_RBadj!G21</f>
        <v>95</v>
      </c>
      <c r="H16" s="10"/>
      <c r="I16" s="10">
        <f t="shared" si="0"/>
        <v>-457234</v>
      </c>
      <c r="J16" s="10"/>
    </row>
    <row r="17" spans="1:10" x14ac:dyDescent="0.25">
      <c r="A17" s="10">
        <v>6</v>
      </c>
      <c r="B17" s="10"/>
      <c r="C17" s="11" t="s">
        <v>38</v>
      </c>
      <c r="D17" s="10"/>
      <c r="E17" s="10">
        <v>-342</v>
      </c>
      <c r="F17" s="10"/>
      <c r="G17" s="10"/>
      <c r="H17" s="10"/>
      <c r="I17" s="10">
        <f t="shared" si="0"/>
        <v>-342</v>
      </c>
      <c r="J17" s="10"/>
    </row>
    <row r="18" spans="1:10" x14ac:dyDescent="0.25">
      <c r="A18" s="10">
        <v>7</v>
      </c>
      <c r="B18" s="10"/>
      <c r="C18" s="11" t="s">
        <v>39</v>
      </c>
      <c r="D18" s="10"/>
      <c r="E18" s="10">
        <v>81</v>
      </c>
      <c r="F18" s="10"/>
      <c r="G18" s="10"/>
      <c r="H18" s="10"/>
      <c r="I18" s="10">
        <f t="shared" si="0"/>
        <v>81</v>
      </c>
      <c r="J18" s="10"/>
    </row>
    <row r="19" spans="1:10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  <c r="J19" s="10"/>
    </row>
    <row r="20" spans="1:10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  <c r="J20" s="10"/>
    </row>
    <row r="21" spans="1:10" x14ac:dyDescent="0.25">
      <c r="A21" s="10">
        <v>10</v>
      </c>
      <c r="B21" s="10"/>
      <c r="C21" s="11" t="s">
        <v>40</v>
      </c>
      <c r="D21" s="10"/>
      <c r="E21" s="28">
        <v>26994</v>
      </c>
      <c r="F21" s="10"/>
      <c r="G21" s="17">
        <f>LAB_RBadj!G25</f>
        <v>9000</v>
      </c>
      <c r="H21" s="10"/>
      <c r="I21" s="17">
        <f t="shared" si="0"/>
        <v>35994</v>
      </c>
      <c r="J21" s="10"/>
    </row>
    <row r="22" spans="1:1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ht="16.5" thickBot="1" x14ac:dyDescent="0.3">
      <c r="A23" s="10">
        <v>11</v>
      </c>
      <c r="B23" s="10"/>
      <c r="C23" s="11" t="s">
        <v>41</v>
      </c>
      <c r="D23" s="10"/>
      <c r="E23" s="18">
        <f>SUM(E12:E21)</f>
        <v>688813</v>
      </c>
      <c r="F23" s="10"/>
      <c r="G23" s="18">
        <f>SUM(G12:G21)</f>
        <v>7947</v>
      </c>
      <c r="H23" s="10"/>
      <c r="I23" s="18">
        <f>SUM(I12:I22)</f>
        <v>696760</v>
      </c>
      <c r="J23" s="10"/>
    </row>
    <row r="24" spans="1:10" ht="16.5" thickTop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18" x14ac:dyDescent="0.4">
      <c r="A25" s="10"/>
      <c r="B25" s="10"/>
      <c r="C25" s="12" t="s">
        <v>50</v>
      </c>
      <c r="D25" s="10"/>
      <c r="E25" s="10"/>
      <c r="F25" s="10"/>
      <c r="G25" s="10"/>
      <c r="H25" s="10"/>
      <c r="I25" s="10"/>
      <c r="J25" s="10"/>
    </row>
    <row r="26" spans="1:10" x14ac:dyDescent="0.25">
      <c r="A26" s="10"/>
      <c r="B26" s="10"/>
      <c r="C26" s="45" t="s">
        <v>103</v>
      </c>
      <c r="D26" s="10"/>
      <c r="E26" s="10"/>
      <c r="F26" s="10"/>
      <c r="G26" s="10"/>
      <c r="H26" s="10"/>
      <c r="I26" s="10"/>
      <c r="J26" s="10"/>
    </row>
    <row r="27" spans="1:10" x14ac:dyDescent="0.25">
      <c r="A27" s="10"/>
      <c r="B27" s="10"/>
      <c r="C27" s="27" t="s">
        <v>104</v>
      </c>
      <c r="D27" s="10"/>
      <c r="E27" s="10"/>
      <c r="F27" s="10"/>
      <c r="G27" s="10"/>
      <c r="H27" s="10"/>
      <c r="I27" s="10"/>
      <c r="J27" s="10"/>
    </row>
  </sheetData>
  <pageMargins left="0.7" right="0.7" top="0.75" bottom="0.75" header="0.3" footer="0.3"/>
  <pageSetup scale="91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G16" sqref="G16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7" customWidth="1"/>
    <col min="5" max="5" width="16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4.75" customWidth="1"/>
  </cols>
  <sheetData>
    <row r="1" spans="1:10" x14ac:dyDescent="0.25">
      <c r="A1" t="str">
        <f>CL_wRR!A1</f>
        <v>Utilities, Inc. of Florida</v>
      </c>
      <c r="H1" s="10"/>
      <c r="J1" s="33" t="str">
        <f>ExhDR5_LAB_TOC!$E$1</f>
        <v>Docket No. 160101-WS</v>
      </c>
    </row>
    <row r="2" spans="1:10" x14ac:dyDescent="0.25">
      <c r="A2" t="s">
        <v>118</v>
      </c>
      <c r="H2" s="10"/>
      <c r="I2" s="10"/>
      <c r="J2" s="33" t="str">
        <f>ExhDR5_LAB_TOC!$E$2</f>
        <v>Exhibit DMR-5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ExhDR5_LAB_TOC!$E$3</f>
        <v>Labrador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83</v>
      </c>
      <c r="J4" s="33" t="str">
        <f>ExhDR5_LAB_TOC!$E$4</f>
        <v>of 9</v>
      </c>
    </row>
    <row r="5" spans="1:10" x14ac:dyDescent="0.25">
      <c r="A5" s="27" t="s">
        <v>78</v>
      </c>
      <c r="B5" s="10"/>
      <c r="C5" s="10"/>
      <c r="D5" s="10"/>
      <c r="E5" s="10"/>
      <c r="F5" s="10"/>
      <c r="G5" s="10"/>
      <c r="H5" s="10"/>
      <c r="I5" s="10"/>
      <c r="J5" s="33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8" x14ac:dyDescent="0.4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25">
      <c r="A12" s="10">
        <v>1</v>
      </c>
      <c r="B12" s="10"/>
      <c r="C12" s="11" t="s">
        <v>33</v>
      </c>
      <c r="D12" s="10"/>
      <c r="E12" s="10">
        <v>2852074</v>
      </c>
      <c r="F12" s="10"/>
      <c r="G12" s="10">
        <f>LAB_RBadj!I13</f>
        <v>-1139</v>
      </c>
      <c r="H12" s="10"/>
      <c r="I12" s="10">
        <f>SUM(E12:G12)</f>
        <v>2850935</v>
      </c>
    </row>
    <row r="13" spans="1:10" x14ac:dyDescent="0.25">
      <c r="A13" s="10">
        <v>2</v>
      </c>
      <c r="B13" s="10"/>
      <c r="C13" s="11" t="s">
        <v>34</v>
      </c>
      <c r="D13" s="10"/>
      <c r="E13" s="10">
        <v>0</v>
      </c>
      <c r="F13" s="10"/>
      <c r="G13" s="10"/>
      <c r="H13" s="10"/>
      <c r="I13" s="10">
        <f t="shared" ref="I13:I21" si="0">SUM(E13:G13)</f>
        <v>0</v>
      </c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>
        <f>LAB_RBadj!I17</f>
        <v>-857005</v>
      </c>
      <c r="H14" s="10"/>
      <c r="I14" s="10">
        <f t="shared" si="0"/>
        <v>-857005</v>
      </c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25">
      <c r="A16" s="10">
        <v>5</v>
      </c>
      <c r="B16" s="10"/>
      <c r="C16" s="11" t="s">
        <v>37</v>
      </c>
      <c r="D16" s="10"/>
      <c r="E16" s="27">
        <v>-1030276</v>
      </c>
      <c r="F16" s="10"/>
      <c r="G16" s="10">
        <f>-LAB_RBadj!I21</f>
        <v>95</v>
      </c>
      <c r="H16" s="10"/>
      <c r="I16" s="10">
        <f t="shared" si="0"/>
        <v>-1030181</v>
      </c>
    </row>
    <row r="17" spans="1:9" x14ac:dyDescent="0.25">
      <c r="A17" s="10">
        <v>6</v>
      </c>
      <c r="B17" s="10"/>
      <c r="C17" s="11" t="s">
        <v>38</v>
      </c>
      <c r="D17" s="10"/>
      <c r="E17" s="10">
        <v>0</v>
      </c>
      <c r="F17" s="10"/>
      <c r="G17" s="10"/>
      <c r="H17" s="10"/>
      <c r="I17" s="10">
        <f t="shared" si="0"/>
        <v>0</v>
      </c>
    </row>
    <row r="18" spans="1:9" x14ac:dyDescent="0.25">
      <c r="A18" s="10">
        <v>7</v>
      </c>
      <c r="B18" s="10"/>
      <c r="C18" s="11" t="s">
        <v>39</v>
      </c>
      <c r="D18" s="10"/>
      <c r="E18" s="10">
        <v>0</v>
      </c>
      <c r="F18" s="10"/>
      <c r="G18" s="10"/>
      <c r="H18" s="10"/>
      <c r="I18" s="10">
        <f t="shared" si="0"/>
        <v>0</v>
      </c>
    </row>
    <row r="19" spans="1:9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25">
      <c r="A21" s="10">
        <v>10</v>
      </c>
      <c r="B21" s="10"/>
      <c r="C21" s="11" t="s">
        <v>40</v>
      </c>
      <c r="D21" s="10"/>
      <c r="E21" s="28">
        <v>109937</v>
      </c>
      <c r="F21" s="10"/>
      <c r="G21" s="17">
        <f>LAB_RBadj!I25</f>
        <v>0</v>
      </c>
      <c r="H21" s="10"/>
      <c r="I21" s="17">
        <f t="shared" si="0"/>
        <v>109937</v>
      </c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5" thickBot="1" x14ac:dyDescent="0.3">
      <c r="A23" s="10">
        <v>11</v>
      </c>
      <c r="B23" s="10"/>
      <c r="C23" s="11" t="s">
        <v>41</v>
      </c>
      <c r="D23" s="10"/>
      <c r="E23" s="18">
        <f>SUM(E12:E21)</f>
        <v>1931735</v>
      </c>
      <c r="F23" s="10"/>
      <c r="G23" s="18">
        <f>SUM(G12:G21)</f>
        <v>-858049</v>
      </c>
      <c r="H23" s="10"/>
      <c r="I23" s="18">
        <f>SUM(I12:I22)</f>
        <v>1073686</v>
      </c>
    </row>
    <row r="24" spans="1:9" ht="16.5" thickTop="1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8" x14ac:dyDescent="0.4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25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27" t="s">
        <v>104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0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activeCell="I21" sqref="I21"/>
    </sheetView>
  </sheetViews>
  <sheetFormatPr defaultRowHeight="15.75" x14ac:dyDescent="0.25"/>
  <cols>
    <col min="1" max="1" width="4.25" customWidth="1"/>
    <col min="2" max="2" width="1.375" customWidth="1"/>
    <col min="3" max="3" width="35.125" customWidth="1"/>
    <col min="4" max="6" width="7" customWidth="1"/>
    <col min="7" max="7" width="11.125" customWidth="1"/>
    <col min="8" max="8" width="1.875" customWidth="1"/>
    <col min="9" max="9" width="11.125" customWidth="1"/>
    <col min="10" max="10" width="2.25" customWidth="1"/>
    <col min="11" max="11" width="15.375" customWidth="1"/>
    <col min="12" max="12" width="4.375" customWidth="1"/>
  </cols>
  <sheetData>
    <row r="1" spans="1:12" x14ac:dyDescent="0.25">
      <c r="A1" t="str">
        <f>CL_wRR!A1</f>
        <v>Utilities, Inc. of Florida</v>
      </c>
      <c r="K1" s="37"/>
      <c r="L1" s="33" t="str">
        <f>ExhDR5_LAB_TOC!$E$1</f>
        <v>Docket No. 160101-WS</v>
      </c>
    </row>
    <row r="2" spans="1:12" x14ac:dyDescent="0.25">
      <c r="A2" t="s">
        <v>118</v>
      </c>
      <c r="K2" s="37"/>
      <c r="L2" s="33" t="str">
        <f>ExhDR5_LAB_TOC!$E$2</f>
        <v>Exhibit DMR-5</v>
      </c>
    </row>
    <row r="3" spans="1:12" x14ac:dyDescent="0.25">
      <c r="A3" t="str">
        <f>CL_wRR!A3</f>
        <v>Test Year Ended December 31, 2015</v>
      </c>
      <c r="K3" s="37"/>
      <c r="L3" s="33" t="str">
        <f>ExhDR5_LAB_TOC!$E$3</f>
        <v>Labrador Revenue Requirement</v>
      </c>
    </row>
    <row r="4" spans="1:12" x14ac:dyDescent="0.25">
      <c r="K4" s="38" t="s">
        <v>87</v>
      </c>
      <c r="L4" s="33" t="str">
        <f>ExhDR5_LAB_TOC!$E$4</f>
        <v>of 9</v>
      </c>
    </row>
    <row r="5" spans="1:12" x14ac:dyDescent="0.25">
      <c r="A5" t="s">
        <v>42</v>
      </c>
      <c r="K5" s="37"/>
      <c r="L5" s="37"/>
    </row>
    <row r="6" spans="1:12" x14ac:dyDescent="0.25">
      <c r="K6" s="37"/>
      <c r="L6" s="37"/>
    </row>
    <row r="7" spans="1:12" x14ac:dyDescent="0.25">
      <c r="G7" s="1"/>
      <c r="H7" s="1"/>
      <c r="I7" s="1"/>
      <c r="K7" s="37"/>
      <c r="L7" s="37"/>
    </row>
    <row r="8" spans="1:12" x14ac:dyDescent="0.25">
      <c r="A8" t="s">
        <v>0</v>
      </c>
      <c r="G8" s="1" t="s">
        <v>70</v>
      </c>
      <c r="H8" s="1"/>
      <c r="I8" s="1" t="s">
        <v>71</v>
      </c>
      <c r="K8" s="19"/>
      <c r="L8" s="19"/>
    </row>
    <row r="9" spans="1:12" x14ac:dyDescent="0.25">
      <c r="A9" s="3" t="s">
        <v>1</v>
      </c>
      <c r="C9" s="9" t="s">
        <v>2</v>
      </c>
      <c r="G9" s="2" t="s">
        <v>5</v>
      </c>
      <c r="H9" s="34"/>
      <c r="I9" s="2" t="s">
        <v>5</v>
      </c>
      <c r="K9" s="20" t="s">
        <v>23</v>
      </c>
      <c r="L9" s="19"/>
    </row>
    <row r="10" spans="1:12" x14ac:dyDescent="0.25">
      <c r="K10" s="19"/>
      <c r="L10" s="19"/>
    </row>
    <row r="11" spans="1:12" ht="18" x14ac:dyDescent="0.4">
      <c r="C11" s="4" t="s">
        <v>44</v>
      </c>
      <c r="K11" s="19"/>
      <c r="L11" s="19"/>
    </row>
    <row r="12" spans="1:12" x14ac:dyDescent="0.25">
      <c r="A12">
        <v>1</v>
      </c>
      <c r="C12" t="s">
        <v>630</v>
      </c>
      <c r="G12">
        <f>-1148</f>
        <v>-1148</v>
      </c>
      <c r="I12">
        <f>-1139</f>
        <v>-1139</v>
      </c>
      <c r="K12" s="19" t="str">
        <f>GIS_Proj!O2</f>
        <v>Exhibit DMR-21</v>
      </c>
      <c r="L12" s="19"/>
    </row>
    <row r="13" spans="1:12" ht="16.5" thickBot="1" x14ac:dyDescent="0.3">
      <c r="A13">
        <v>2</v>
      </c>
      <c r="C13" t="s">
        <v>48</v>
      </c>
      <c r="G13" s="24">
        <f>SUM(G12:G12)</f>
        <v>-1148</v>
      </c>
      <c r="H13" s="26"/>
      <c r="I13" s="24">
        <f>SUM(I12:I12)</f>
        <v>-1139</v>
      </c>
      <c r="K13" s="19"/>
      <c r="L13" s="19"/>
    </row>
    <row r="14" spans="1:12" ht="16.5" thickTop="1" x14ac:dyDescent="0.25">
      <c r="A14" s="19">
        <v>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ht="18" x14ac:dyDescent="0.4">
      <c r="A15" s="19">
        <v>4</v>
      </c>
      <c r="B15" s="19"/>
      <c r="C15" s="21" t="s">
        <v>58</v>
      </c>
      <c r="D15" s="19"/>
      <c r="E15" s="19"/>
      <c r="F15" s="19"/>
      <c r="G15" s="19"/>
      <c r="H15" s="19"/>
      <c r="I15" s="19"/>
      <c r="J15" s="19"/>
      <c r="K15" s="19"/>
      <c r="L15" s="19"/>
    </row>
    <row r="16" spans="1:12" x14ac:dyDescent="0.25">
      <c r="A16">
        <v>5</v>
      </c>
      <c r="B16" s="19"/>
      <c r="C16" t="s">
        <v>236</v>
      </c>
      <c r="D16" s="19"/>
      <c r="E16" s="19"/>
      <c r="F16" s="19"/>
      <c r="G16" s="22"/>
      <c r="H16" s="39"/>
      <c r="I16" s="22">
        <f>LAB_UandU!G22</f>
        <v>-857005</v>
      </c>
      <c r="J16" s="19"/>
      <c r="K16" s="31" t="str">
        <f>LAB_UandU!I4</f>
        <v>Page 9</v>
      </c>
      <c r="L16" s="19"/>
    </row>
    <row r="17" spans="1:12" ht="16.5" thickBot="1" x14ac:dyDescent="0.3">
      <c r="A17">
        <v>6</v>
      </c>
      <c r="B17" s="19"/>
      <c r="C17" t="s">
        <v>59</v>
      </c>
      <c r="D17" s="19"/>
      <c r="E17" s="19"/>
      <c r="F17" s="19"/>
      <c r="G17" s="23">
        <f>SUM(G16:G16)</f>
        <v>0</v>
      </c>
      <c r="H17" s="39"/>
      <c r="I17" s="23">
        <f>SUM(I16:I16)</f>
        <v>-857005</v>
      </c>
      <c r="J17" s="19"/>
      <c r="K17" s="31"/>
      <c r="L17" s="19"/>
    </row>
    <row r="18" spans="1:12" ht="16.5" thickTop="1" x14ac:dyDescent="0.25">
      <c r="A18" s="19">
        <v>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ht="18" x14ac:dyDescent="0.4">
      <c r="A19" s="19">
        <v>8</v>
      </c>
      <c r="B19" s="19"/>
      <c r="C19" s="21" t="s">
        <v>43</v>
      </c>
      <c r="D19" s="19"/>
      <c r="E19" s="19"/>
      <c r="F19" s="19"/>
      <c r="G19" s="19"/>
      <c r="H19" s="19"/>
      <c r="I19" s="19"/>
      <c r="J19" s="19"/>
      <c r="K19" s="19"/>
      <c r="L19" s="19"/>
    </row>
    <row r="20" spans="1:12" x14ac:dyDescent="0.25">
      <c r="A20">
        <v>9</v>
      </c>
      <c r="B20" s="19"/>
      <c r="C20" t="s">
        <v>630</v>
      </c>
      <c r="D20" s="19"/>
      <c r="E20" s="19"/>
      <c r="F20" s="19"/>
      <c r="G20" s="19">
        <f>-190*0.5</f>
        <v>-95</v>
      </c>
      <c r="H20" s="19"/>
      <c r="I20" s="19">
        <f>-190*0.5</f>
        <v>-95</v>
      </c>
      <c r="J20" s="19"/>
      <c r="K20" s="19"/>
      <c r="L20" s="19"/>
    </row>
    <row r="21" spans="1:12" ht="16.5" thickBot="1" x14ac:dyDescent="0.3">
      <c r="A21">
        <v>10</v>
      </c>
      <c r="B21" s="19"/>
      <c r="C21" s="20" t="s">
        <v>47</v>
      </c>
      <c r="D21" s="19"/>
      <c r="E21" s="19"/>
      <c r="F21" s="19"/>
      <c r="G21" s="23">
        <f>SUM(G20:G20)</f>
        <v>-95</v>
      </c>
      <c r="H21" s="39"/>
      <c r="I21" s="23">
        <f>SUM(I20:I20)</f>
        <v>-95</v>
      </c>
      <c r="J21" s="19"/>
      <c r="K21" s="19"/>
      <c r="L21" s="19"/>
    </row>
    <row r="22" spans="1:12" ht="16.5" thickTop="1" x14ac:dyDescent="0.25">
      <c r="A22" s="19">
        <v>11</v>
      </c>
      <c r="B22" s="19"/>
      <c r="C22" s="20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18" x14ac:dyDescent="0.4">
      <c r="A23" s="19">
        <v>12</v>
      </c>
      <c r="B23" s="19"/>
      <c r="C23" s="21" t="s">
        <v>51</v>
      </c>
      <c r="D23" s="19"/>
      <c r="E23" s="19"/>
      <c r="F23" s="19"/>
      <c r="G23" s="19"/>
      <c r="H23" s="19"/>
      <c r="I23" s="19"/>
      <c r="J23" s="19"/>
      <c r="K23" s="19"/>
      <c r="L23" s="19"/>
    </row>
    <row r="24" spans="1:12" x14ac:dyDescent="0.25">
      <c r="A24">
        <v>13</v>
      </c>
      <c r="B24" s="19"/>
      <c r="C24" s="31" t="s">
        <v>366</v>
      </c>
      <c r="D24" s="19"/>
      <c r="E24" s="19"/>
      <c r="F24" s="19"/>
      <c r="G24" s="22">
        <v>9000</v>
      </c>
      <c r="H24" s="39"/>
      <c r="I24" s="22"/>
      <c r="J24" s="19"/>
      <c r="K24" s="31" t="s">
        <v>198</v>
      </c>
      <c r="L24" s="19"/>
    </row>
    <row r="25" spans="1:12" ht="16.5" thickBot="1" x14ac:dyDescent="0.3">
      <c r="A25">
        <v>14</v>
      </c>
      <c r="B25" s="19"/>
      <c r="C25" s="20" t="s">
        <v>52</v>
      </c>
      <c r="D25" s="19"/>
      <c r="E25" s="19"/>
      <c r="F25" s="19"/>
      <c r="G25" s="23">
        <f>SUM(G24:G24)</f>
        <v>9000</v>
      </c>
      <c r="H25" s="39"/>
      <c r="I25" s="23">
        <f>SUM(I24:I24)</f>
        <v>0</v>
      </c>
      <c r="J25" s="19"/>
      <c r="K25" s="19"/>
      <c r="L25" s="19"/>
    </row>
    <row r="26" spans="1:12" ht="16.5" thickTop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</sheetData>
  <pageMargins left="0.7" right="0.7" top="0.75" bottom="0.75" header="0.3" footer="0.3"/>
  <pageSetup scale="78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workbookViewId="0">
      <selection activeCell="K20" sqref="K20"/>
    </sheetView>
  </sheetViews>
  <sheetFormatPr defaultRowHeight="15.75" x14ac:dyDescent="0.25"/>
  <cols>
    <col min="1" max="1" width="4.25" customWidth="1"/>
    <col min="2" max="2" width="1.375" customWidth="1"/>
    <col min="3" max="3" width="20.5" customWidth="1"/>
    <col min="4" max="4" width="1.125" customWidth="1"/>
    <col min="5" max="5" width="10.875" customWidth="1"/>
    <col min="6" max="6" width="1.125" customWidth="1"/>
    <col min="7" max="7" width="9.625" customWidth="1"/>
    <col min="8" max="8" width="1.125" customWidth="1"/>
    <col min="9" max="9" width="10.625" customWidth="1"/>
    <col min="10" max="10" width="0.75" customWidth="1"/>
    <col min="11" max="11" width="11.125" customWidth="1"/>
    <col min="12" max="12" width="0.75" customWidth="1"/>
    <col min="13" max="13" width="9.625" customWidth="1"/>
    <col min="14" max="14" width="0.75" customWidth="1"/>
    <col min="15" max="15" width="9.75" customWidth="1"/>
    <col min="16" max="16" width="0.75" customWidth="1"/>
    <col min="17" max="17" width="10" customWidth="1"/>
    <col min="18" max="18" width="4.5" customWidth="1"/>
  </cols>
  <sheetData>
    <row r="1" spans="1:18" x14ac:dyDescent="0.25">
      <c r="A1" t="str">
        <f>CL_wRR!A1</f>
        <v>Utilities, Inc. of Florida</v>
      </c>
      <c r="Q1" s="37"/>
      <c r="R1" s="33" t="str">
        <f>ExhDR5_LAB_TOC!$E$1</f>
        <v>Docket No. 160101-WS</v>
      </c>
    </row>
    <row r="2" spans="1:18" x14ac:dyDescent="0.25">
      <c r="A2" t="s">
        <v>118</v>
      </c>
      <c r="Q2" s="37"/>
      <c r="R2" s="33" t="str">
        <f>ExhDR5_LAB_TOC!$E$2</f>
        <v>Exhibit DMR-5</v>
      </c>
    </row>
    <row r="3" spans="1:18" x14ac:dyDescent="0.25">
      <c r="A3" t="str">
        <f>CL_wRR!A3</f>
        <v>Test Year Ended December 31, 2015</v>
      </c>
      <c r="Q3" s="37"/>
      <c r="R3" s="33" t="str">
        <f>ExhDR5_LAB_TOC!$E$3</f>
        <v>Labrador Revenue Requirement</v>
      </c>
    </row>
    <row r="4" spans="1:18" x14ac:dyDescent="0.25">
      <c r="Q4" s="38" t="s">
        <v>222</v>
      </c>
      <c r="R4" s="33" t="str">
        <f>ExhDR5_LAB_TOC!$E$4</f>
        <v>of 9</v>
      </c>
    </row>
    <row r="5" spans="1:18" x14ac:dyDescent="0.25">
      <c r="A5" t="s">
        <v>199</v>
      </c>
    </row>
    <row r="8" spans="1:18" x14ac:dyDescent="0.25">
      <c r="Q8" s="1" t="s">
        <v>8</v>
      </c>
    </row>
    <row r="9" spans="1:18" x14ac:dyDescent="0.25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8" x14ac:dyDescent="0.4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25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25">
      <c r="A13">
        <v>1</v>
      </c>
      <c r="C13" t="s">
        <v>206</v>
      </c>
      <c r="E13">
        <v>1196729</v>
      </c>
      <c r="G13" s="64">
        <f>E13/$E$20</f>
        <v>0.45667145065514947</v>
      </c>
      <c r="I13">
        <f>K13-E13</f>
        <v>-393786.03161645087</v>
      </c>
      <c r="K13">
        <f>($K$20-$K$16-$K$17-$K$18)*(E13/SUM($E$13:$E$15))</f>
        <v>802942.96838354913</v>
      </c>
      <c r="M13" s="64">
        <f>K13/$K$20</f>
        <v>0.45352581687526711</v>
      </c>
      <c r="O13" s="64">
        <v>6.7000000000000004E-2</v>
      </c>
      <c r="P13" s="8"/>
      <c r="Q13" s="64">
        <f>M13*O13</f>
        <v>3.0386229730642898E-2</v>
      </c>
    </row>
    <row r="14" spans="1:18" x14ac:dyDescent="0.25">
      <c r="A14">
        <v>2</v>
      </c>
      <c r="C14" t="s">
        <v>207</v>
      </c>
      <c r="E14">
        <v>113654</v>
      </c>
      <c r="G14" s="64">
        <f t="shared" ref="G14:G18" si="0">E14/$E$20</f>
        <v>4.3370334514130068E-2</v>
      </c>
      <c r="I14">
        <f t="shared" ref="I14:I15" si="1">K14-E14</f>
        <v>-37398.072276460342</v>
      </c>
      <c r="K14">
        <f t="shared" ref="K14:K15" si="2">($K$20-$K$16-$K$17-$K$18)*(E14/SUM($E$13:$E$15))</f>
        <v>76255.927723539658</v>
      </c>
      <c r="M14" s="64">
        <f t="shared" ref="M14:M18" si="3">K14/$K$20</f>
        <v>4.3071591973739755E-2</v>
      </c>
      <c r="O14" s="8">
        <v>2.3199999999999998E-2</v>
      </c>
      <c r="P14" s="8"/>
      <c r="Q14" s="64">
        <f t="shared" ref="Q14:Q18" si="4">M14*O14</f>
        <v>9.9926093379076224E-4</v>
      </c>
    </row>
    <row r="15" spans="1:18" x14ac:dyDescent="0.25">
      <c r="A15">
        <v>3</v>
      </c>
      <c r="C15" t="s">
        <v>208</v>
      </c>
      <c r="E15">
        <v>1272671</v>
      </c>
      <c r="G15" s="64">
        <f t="shared" si="0"/>
        <v>0.48565089654946086</v>
      </c>
      <c r="I15">
        <f t="shared" si="1"/>
        <v>-418774.89610708877</v>
      </c>
      <c r="K15">
        <f t="shared" si="2"/>
        <v>853896.10389291123</v>
      </c>
      <c r="M15" s="64">
        <f t="shared" si="3"/>
        <v>0.48230564721709174</v>
      </c>
      <c r="O15" s="8">
        <v>0.104</v>
      </c>
      <c r="P15" s="8"/>
      <c r="Q15" s="64">
        <f t="shared" si="4"/>
        <v>5.015978731057754E-2</v>
      </c>
    </row>
    <row r="16" spans="1:18" x14ac:dyDescent="0.25">
      <c r="A16">
        <v>4</v>
      </c>
      <c r="C16" t="s">
        <v>209</v>
      </c>
      <c r="E16">
        <v>2711</v>
      </c>
      <c r="G16" s="64">
        <f t="shared" si="0"/>
        <v>1.0345168394232196E-3</v>
      </c>
      <c r="K16">
        <f>E16+I16</f>
        <v>2711</v>
      </c>
      <c r="M16" s="64">
        <f t="shared" si="3"/>
        <v>1.5312525770342614E-3</v>
      </c>
      <c r="O16" s="8">
        <v>0.02</v>
      </c>
      <c r="P16" s="8"/>
      <c r="Q16" s="64">
        <f t="shared" si="4"/>
        <v>3.0625051540685225E-5</v>
      </c>
    </row>
    <row r="17" spans="1:17" x14ac:dyDescent="0.25">
      <c r="A17">
        <v>5</v>
      </c>
      <c r="C17" t="s">
        <v>210</v>
      </c>
      <c r="E17">
        <v>0</v>
      </c>
      <c r="G17" s="64">
        <f t="shared" si="0"/>
        <v>0</v>
      </c>
      <c r="K17">
        <f>E17+I17</f>
        <v>0</v>
      </c>
      <c r="M17" s="64">
        <f t="shared" si="3"/>
        <v>0</v>
      </c>
      <c r="O17" s="8">
        <v>0</v>
      </c>
      <c r="P17" s="8"/>
      <c r="Q17" s="64">
        <f t="shared" si="4"/>
        <v>0</v>
      </c>
    </row>
    <row r="18" spans="1:17" x14ac:dyDescent="0.25">
      <c r="A18">
        <v>6</v>
      </c>
      <c r="C18" t="s">
        <v>211</v>
      </c>
      <c r="E18" s="3">
        <v>34782</v>
      </c>
      <c r="G18" s="68">
        <f t="shared" si="0"/>
        <v>1.3272801441836381E-2</v>
      </c>
      <c r="I18">
        <v>-142</v>
      </c>
      <c r="K18" s="3">
        <f>E18+I18</f>
        <v>34640</v>
      </c>
      <c r="M18" s="68">
        <f t="shared" si="3"/>
        <v>1.956569135686714E-2</v>
      </c>
      <c r="O18" s="8">
        <v>0</v>
      </c>
      <c r="P18" s="8"/>
      <c r="Q18" s="68">
        <f t="shared" si="4"/>
        <v>0</v>
      </c>
    </row>
    <row r="20" spans="1:17" ht="16.5" thickBot="1" x14ac:dyDescent="0.3">
      <c r="A20">
        <v>7</v>
      </c>
      <c r="C20" t="s">
        <v>189</v>
      </c>
      <c r="E20">
        <f>SUM(E13:E19)</f>
        <v>2620547</v>
      </c>
      <c r="G20" s="8">
        <f>SUM(G13:G19)</f>
        <v>1</v>
      </c>
      <c r="K20">
        <f>LAB_wRB!I23+LAB_wwRB!I23</f>
        <v>1770446</v>
      </c>
      <c r="M20" s="8">
        <f>SUM(M13:M19)</f>
        <v>1</v>
      </c>
      <c r="Q20" s="71">
        <f>ROUND(SUM(Q13:Q19),4)</f>
        <v>8.1600000000000006E-2</v>
      </c>
    </row>
    <row r="21" spans="1:17" ht="16.5" thickTop="1" x14ac:dyDescent="0.25"/>
    <row r="22" spans="1:17" ht="18" x14ac:dyDescent="0.4">
      <c r="C22" s="4" t="s">
        <v>50</v>
      </c>
    </row>
    <row r="23" spans="1:17" x14ac:dyDescent="0.25">
      <c r="C23" t="s">
        <v>217</v>
      </c>
    </row>
    <row r="24" spans="1:17" x14ac:dyDescent="0.25">
      <c r="C24" t="s">
        <v>362</v>
      </c>
    </row>
    <row r="25" spans="1:17" x14ac:dyDescent="0.25">
      <c r="C25" t="s">
        <v>571</v>
      </c>
    </row>
  </sheetData>
  <pageMargins left="0.7" right="0.7" top="0.75" bottom="0.75" header="0.3" footer="0.3"/>
  <pageSetup scale="78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opLeftCell="A4" workbookViewId="0">
      <selection activeCell="I19" sqref="I19"/>
    </sheetView>
  </sheetViews>
  <sheetFormatPr defaultRowHeight="15.75" x14ac:dyDescent="0.25"/>
  <cols>
    <col min="1" max="1" width="4.5" customWidth="1"/>
    <col min="2" max="2" width="1.375" customWidth="1"/>
    <col min="3" max="3" width="44.625" customWidth="1"/>
    <col min="4" max="4" width="4.375" customWidth="1"/>
    <col min="5" max="5" width="11.625" customWidth="1"/>
    <col min="6" max="6" width="1.625" customWidth="1"/>
    <col min="7" max="7" width="11.125" customWidth="1"/>
    <col min="8" max="8" width="1.375" customWidth="1"/>
    <col min="9" max="9" width="9.25" bestFit="1" customWidth="1"/>
    <col min="10" max="10" width="5" customWidth="1"/>
  </cols>
  <sheetData>
    <row r="1" spans="1:10" x14ac:dyDescent="0.25">
      <c r="A1" t="str">
        <f>CL_wRR!A1</f>
        <v>Utilities, Inc. of Florida</v>
      </c>
      <c r="I1" s="37"/>
      <c r="J1" s="33" t="str">
        <f>ExhDR5_LAB_TOC!$E$1</f>
        <v>Docket No. 160101-WS</v>
      </c>
    </row>
    <row r="2" spans="1:10" x14ac:dyDescent="0.25">
      <c r="A2" t="s">
        <v>118</v>
      </c>
      <c r="I2" s="37"/>
      <c r="J2" s="33" t="str">
        <f>ExhDR5_LAB_TOC!$E$2</f>
        <v>Exhibit DMR-5</v>
      </c>
    </row>
    <row r="3" spans="1:10" x14ac:dyDescent="0.25">
      <c r="A3" t="str">
        <f>CL_wRR!A3</f>
        <v>Test Year Ended December 31, 2015</v>
      </c>
      <c r="I3" s="37"/>
      <c r="J3" s="33" t="str">
        <f>ExhDR5_LAB_TOC!$E$3</f>
        <v>Labrador Revenue Requirement</v>
      </c>
    </row>
    <row r="4" spans="1:10" x14ac:dyDescent="0.25">
      <c r="I4" s="38" t="s">
        <v>345</v>
      </c>
      <c r="J4" s="33" t="str">
        <f>ExhDR5_LAB_TOC!$E$4</f>
        <v>of 9</v>
      </c>
    </row>
    <row r="5" spans="1:10" x14ac:dyDescent="0.25">
      <c r="A5" t="s">
        <v>236</v>
      </c>
    </row>
    <row r="9" spans="1:10" x14ac:dyDescent="0.25">
      <c r="A9" t="s">
        <v>0</v>
      </c>
      <c r="E9" s="1"/>
      <c r="F9" s="1"/>
      <c r="G9" s="1" t="s">
        <v>240</v>
      </c>
      <c r="I9" t="s">
        <v>241</v>
      </c>
    </row>
    <row r="10" spans="1:10" x14ac:dyDescent="0.25">
      <c r="A10" s="3" t="s">
        <v>1</v>
      </c>
      <c r="C10" s="3" t="s">
        <v>237</v>
      </c>
      <c r="E10" s="2" t="s">
        <v>239</v>
      </c>
      <c r="F10" s="1"/>
      <c r="G10" s="2" t="s">
        <v>241</v>
      </c>
      <c r="I10" s="3" t="s">
        <v>242</v>
      </c>
    </row>
    <row r="11" spans="1:10" x14ac:dyDescent="0.25">
      <c r="A11" s="26"/>
      <c r="C11" s="26"/>
      <c r="E11" s="34"/>
      <c r="F11" s="1"/>
      <c r="G11" s="34"/>
      <c r="I11" s="26"/>
    </row>
    <row r="12" spans="1:10" ht="18" x14ac:dyDescent="0.4">
      <c r="C12" s="50" t="s">
        <v>312</v>
      </c>
    </row>
    <row r="13" spans="1:10" x14ac:dyDescent="0.25">
      <c r="A13">
        <v>1</v>
      </c>
      <c r="C13" s="74" t="s">
        <v>306</v>
      </c>
      <c r="E13">
        <v>1479455</v>
      </c>
      <c r="G13">
        <v>-453287</v>
      </c>
      <c r="I13">
        <v>33289</v>
      </c>
    </row>
    <row r="14" spans="1:10" x14ac:dyDescent="0.25">
      <c r="A14">
        <v>2</v>
      </c>
      <c r="C14" s="6" t="s">
        <v>308</v>
      </c>
      <c r="E14">
        <v>654953</v>
      </c>
      <c r="G14">
        <v>-276122</v>
      </c>
      <c r="I14">
        <v>36419</v>
      </c>
    </row>
    <row r="15" spans="1:10" x14ac:dyDescent="0.25">
      <c r="A15">
        <v>3</v>
      </c>
      <c r="C15" s="6" t="s">
        <v>309</v>
      </c>
      <c r="E15">
        <v>23402</v>
      </c>
      <c r="G15">
        <v>6824</v>
      </c>
      <c r="I15">
        <v>695</v>
      </c>
    </row>
    <row r="16" spans="1:10" x14ac:dyDescent="0.25">
      <c r="A16">
        <v>4</v>
      </c>
      <c r="C16" s="6" t="s">
        <v>368</v>
      </c>
      <c r="E16">
        <v>5778</v>
      </c>
      <c r="G16">
        <v>-289</v>
      </c>
      <c r="I16">
        <v>193</v>
      </c>
    </row>
    <row r="17" spans="1:9" x14ac:dyDescent="0.25">
      <c r="A17">
        <v>5</v>
      </c>
      <c r="C17" s="6" t="s">
        <v>311</v>
      </c>
      <c r="E17" s="3">
        <v>1701</v>
      </c>
      <c r="G17" s="3">
        <v>111</v>
      </c>
      <c r="I17" s="3">
        <v>95</v>
      </c>
    </row>
    <row r="18" spans="1:9" x14ac:dyDescent="0.25">
      <c r="C18" t="s">
        <v>324</v>
      </c>
      <c r="E18">
        <f>SUM(E13:E17)</f>
        <v>2165289</v>
      </c>
      <c r="G18">
        <f>SUM(G13:G17)</f>
        <v>-722763</v>
      </c>
      <c r="I18">
        <f>SUM(I13:I17)</f>
        <v>70691</v>
      </c>
    </row>
    <row r="19" spans="1:9" x14ac:dyDescent="0.25">
      <c r="A19">
        <v>6</v>
      </c>
      <c r="C19" t="s">
        <v>245</v>
      </c>
      <c r="E19" s="68">
        <f>1-0.4059</f>
        <v>0.59410000000000007</v>
      </c>
      <c r="G19" s="68">
        <f>1-0.4059</f>
        <v>0.59410000000000007</v>
      </c>
      <c r="I19" s="68">
        <f>1-0.4059</f>
        <v>0.59410000000000007</v>
      </c>
    </row>
    <row r="20" spans="1:9" x14ac:dyDescent="0.25">
      <c r="C20" t="s">
        <v>246</v>
      </c>
      <c r="E20" s="73">
        <f>ROUND(E18*E19,0)</f>
        <v>1286398</v>
      </c>
      <c r="G20" s="73">
        <f>ROUND(G18*G19,0)</f>
        <v>-429393</v>
      </c>
      <c r="I20" s="73">
        <f>ROUND(I18*I19,0)</f>
        <v>41998</v>
      </c>
    </row>
    <row r="21" spans="1:9" x14ac:dyDescent="0.25">
      <c r="A21">
        <v>7</v>
      </c>
    </row>
    <row r="22" spans="1:9" ht="16.5" thickBot="1" x14ac:dyDescent="0.3">
      <c r="C22" t="s">
        <v>244</v>
      </c>
      <c r="G22" s="70">
        <f>-(E20+G20)</f>
        <v>-857005</v>
      </c>
    </row>
    <row r="23" spans="1:9" ht="16.5" thickTop="1" x14ac:dyDescent="0.25"/>
    <row r="24" spans="1:9" ht="16.5" thickBot="1" x14ac:dyDescent="0.3">
      <c r="C24" t="s">
        <v>247</v>
      </c>
      <c r="I24" s="70">
        <f>-I20</f>
        <v>-41998</v>
      </c>
    </row>
    <row r="25" spans="1:9" ht="16.5" thickTop="1" x14ac:dyDescent="0.25"/>
    <row r="27" spans="1:9" ht="18" x14ac:dyDescent="0.4">
      <c r="C27" s="4" t="s">
        <v>50</v>
      </c>
    </row>
    <row r="28" spans="1:9" x14ac:dyDescent="0.25">
      <c r="C28" t="s">
        <v>342</v>
      </c>
    </row>
    <row r="29" spans="1:9" x14ac:dyDescent="0.25">
      <c r="C29" t="s">
        <v>343</v>
      </c>
    </row>
  </sheetData>
  <pageMargins left="0.7" right="0.7" top="0.75" bottom="0.75" header="0.3" footer="0.3"/>
  <pageSetup scale="8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E17"/>
  <sheetViews>
    <sheetView workbookViewId="0">
      <selection activeCell="E5" sqref="E5"/>
    </sheetView>
  </sheetViews>
  <sheetFormatPr defaultRowHeight="15.75" x14ac:dyDescent="0.25"/>
  <cols>
    <col min="1" max="1" width="8.125" customWidth="1"/>
    <col min="2" max="2" width="1.875" customWidth="1"/>
    <col min="3" max="3" width="45.625" customWidth="1"/>
    <col min="4" max="4" width="13.375" customWidth="1"/>
    <col min="5" max="5" width="4.875" customWidth="1"/>
  </cols>
  <sheetData>
    <row r="1" spans="1:5" x14ac:dyDescent="0.25">
      <c r="A1" t="s">
        <v>61</v>
      </c>
      <c r="E1" s="33" t="s">
        <v>64</v>
      </c>
    </row>
    <row r="2" spans="1:5" x14ac:dyDescent="0.25">
      <c r="A2" t="s">
        <v>121</v>
      </c>
      <c r="E2" s="33" t="s">
        <v>122</v>
      </c>
    </row>
    <row r="3" spans="1:5" x14ac:dyDescent="0.25">
      <c r="A3" t="s">
        <v>86</v>
      </c>
      <c r="E3" s="33" t="s">
        <v>123</v>
      </c>
    </row>
    <row r="4" spans="1:5" x14ac:dyDescent="0.25">
      <c r="D4" s="33" t="s">
        <v>67</v>
      </c>
      <c r="E4" s="33" t="s">
        <v>561</v>
      </c>
    </row>
    <row r="5" spans="1:5" x14ac:dyDescent="0.25">
      <c r="A5" t="s">
        <v>63</v>
      </c>
    </row>
    <row r="8" spans="1:5" x14ac:dyDescent="0.25">
      <c r="A8" s="3" t="s">
        <v>84</v>
      </c>
      <c r="B8" s="3"/>
      <c r="C8" s="3" t="s">
        <v>85</v>
      </c>
      <c r="D8" s="3"/>
      <c r="E8" s="3"/>
    </row>
    <row r="10" spans="1:5" x14ac:dyDescent="0.25">
      <c r="A10" t="str">
        <f>LP_wRR!N4</f>
        <v>Page 2</v>
      </c>
      <c r="C10" t="str">
        <f>LP_wRR!A5</f>
        <v>Calculation of Revenue Requirement - Water</v>
      </c>
    </row>
    <row r="11" spans="1:5" x14ac:dyDescent="0.25">
      <c r="A11" t="str">
        <f>LP_wwRR!N4</f>
        <v>Page 3</v>
      </c>
      <c r="C11" t="str">
        <f>LP_wwRR!A5</f>
        <v>Calculation of Revenue Requirement - Wastewater</v>
      </c>
    </row>
    <row r="12" spans="1:5" x14ac:dyDescent="0.25">
      <c r="A12" t="str">
        <f>LP_NOIadj!J4</f>
        <v>Page 4</v>
      </c>
      <c r="C12" t="str">
        <f>LP_NOIadj!A5</f>
        <v>Schedule of Adjustments to Operating Income</v>
      </c>
    </row>
    <row r="13" spans="1:5" x14ac:dyDescent="0.25">
      <c r="A13" t="str">
        <f>LP_wRB!I4</f>
        <v>Page 5</v>
      </c>
      <c r="C13" t="str">
        <f>LP_wRB!A5</f>
        <v>Rate Base - Water</v>
      </c>
    </row>
    <row r="14" spans="1:5" x14ac:dyDescent="0.25">
      <c r="A14" t="str">
        <f>LP_wwRB!I4</f>
        <v>Page 6</v>
      </c>
      <c r="C14" t="str">
        <f>LP_wwRB!A5</f>
        <v>Rate Base - Wastewater</v>
      </c>
    </row>
    <row r="15" spans="1:5" x14ac:dyDescent="0.25">
      <c r="A15" t="str">
        <f>LP_RBadj!K4</f>
        <v>Page 7</v>
      </c>
      <c r="C15" t="str">
        <f>LP_RBadj!A5</f>
        <v>Schedule of Adjustments to Rate Base</v>
      </c>
    </row>
    <row r="16" spans="1:5" x14ac:dyDescent="0.25">
      <c r="A16" t="str">
        <f>LP_ROR!Q4</f>
        <v>Page 8</v>
      </c>
      <c r="C16" t="str">
        <f>LP_ROR!A5</f>
        <v>Cost of Capital</v>
      </c>
    </row>
    <row r="17" spans="1:3" x14ac:dyDescent="0.25">
      <c r="A17" t="str">
        <f>LP_UandU!I4</f>
        <v>Page 9</v>
      </c>
      <c r="C17" t="str">
        <f>LP_UandU!A5</f>
        <v>Non-Used &amp; Useful Plant</v>
      </c>
    </row>
  </sheetData>
  <pageMargins left="0.7" right="0.7" top="0.75" bottom="0.75" header="0.3" footer="0.3"/>
  <pageSetup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workbookViewId="0">
      <selection activeCell="C30" sqref="C30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0.375" bestFit="1" customWidth="1"/>
    <col min="5" max="5" width="1.75" customWidth="1"/>
    <col min="6" max="6" width="10.875" customWidth="1"/>
    <col min="7" max="7" width="2.125" customWidth="1"/>
    <col min="8" max="8" width="10.375" bestFit="1" customWidth="1"/>
    <col min="9" max="9" width="1.375" customWidth="1"/>
    <col min="10" max="10" width="10.125" customWidth="1"/>
    <col min="11" max="11" width="1.125" customWidth="1"/>
    <col min="12" max="12" width="11.25" customWidth="1"/>
    <col min="13" max="13" width="1.75" customWidth="1"/>
    <col min="14" max="14" width="11" customWidth="1"/>
    <col min="15" max="15" width="5" customWidth="1"/>
  </cols>
  <sheetData>
    <row r="1" spans="1:15" x14ac:dyDescent="0.25">
      <c r="A1" t="s">
        <v>61</v>
      </c>
      <c r="O1" s="33" t="str">
        <f>ExhDR6_LP_TOC!$E$1</f>
        <v>Docket No. 160101-WS</v>
      </c>
    </row>
    <row r="2" spans="1:15" x14ac:dyDescent="0.25">
      <c r="A2" t="s">
        <v>121</v>
      </c>
      <c r="O2" s="33" t="str">
        <f>ExhDR6_LP_TOC!$E$2</f>
        <v>Exhibit DMR-6</v>
      </c>
    </row>
    <row r="3" spans="1:15" x14ac:dyDescent="0.25">
      <c r="A3" t="s">
        <v>63</v>
      </c>
      <c r="O3" s="33" t="str">
        <f>ExhDR6_LP_TOC!$E$3</f>
        <v>Lake Placid Revenue Requirement</v>
      </c>
    </row>
    <row r="4" spans="1:15" x14ac:dyDescent="0.25">
      <c r="N4" s="33" t="s">
        <v>77</v>
      </c>
      <c r="O4" s="33" t="str">
        <f>ExhDR6_LP_TOC!$E$4</f>
        <v>of 9</v>
      </c>
    </row>
    <row r="5" spans="1:15" x14ac:dyDescent="0.25">
      <c r="A5" t="s">
        <v>69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69370</v>
      </c>
      <c r="F12" s="29">
        <f>LP_NOIadj!F13</f>
        <v>0</v>
      </c>
      <c r="G12" s="6"/>
      <c r="H12">
        <f>SUM(D12:F12)</f>
        <v>69370</v>
      </c>
      <c r="J12">
        <f>((H23*L25)-H21)*1.67888</f>
        <v>9159.5647808352005</v>
      </c>
      <c r="L12">
        <f>SUM(H12:J12)</f>
        <v>78529.564780835208</v>
      </c>
      <c r="N12" t="str">
        <f>LP_NOIadj!J4</f>
        <v>Page 4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46994</v>
      </c>
      <c r="F14" s="29">
        <f>LP_NOIadj!F22</f>
        <v>-3928</v>
      </c>
      <c r="H14">
        <f>SUM(D14:F14)</f>
        <v>43066</v>
      </c>
      <c r="L14">
        <f>SUM(H14:J14)</f>
        <v>43066</v>
      </c>
      <c r="N14" t="str">
        <f>N12</f>
        <v>Page 4</v>
      </c>
    </row>
    <row r="15" spans="1:15" x14ac:dyDescent="0.25">
      <c r="A15">
        <v>3</v>
      </c>
      <c r="C15" t="s">
        <v>17</v>
      </c>
      <c r="D15">
        <v>12178</v>
      </c>
      <c r="F15" s="29">
        <f>LP_NOIadj!F28</f>
        <v>-674</v>
      </c>
      <c r="H15">
        <f>SUM(D15:F15)</f>
        <v>11504</v>
      </c>
      <c r="L15">
        <f>SUM(H15:J15)</f>
        <v>11504</v>
      </c>
      <c r="N15" t="str">
        <f>N12</f>
        <v>Page 4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6870</v>
      </c>
      <c r="F17" s="29">
        <f>LP_NOIadj!F33</f>
        <v>0</v>
      </c>
      <c r="H17">
        <f>SUM(D17:F17)</f>
        <v>6870</v>
      </c>
      <c r="J17">
        <f>J12*0.045</f>
        <v>412.18041513758402</v>
      </c>
      <c r="L17">
        <f>SUM(H17:J17)</f>
        <v>7282.1804151375836</v>
      </c>
      <c r="N17" t="str">
        <f>N12</f>
        <v>Page 4</v>
      </c>
    </row>
    <row r="18" spans="1:14" x14ac:dyDescent="0.25">
      <c r="A18">
        <v>6</v>
      </c>
      <c r="C18" t="s">
        <v>19</v>
      </c>
      <c r="D18" s="3">
        <v>-568</v>
      </c>
      <c r="F18" s="29">
        <f>LP_NOIadj!F38</f>
        <v>1708.766316065</v>
      </c>
      <c r="H18" s="3">
        <f>SUM(D18:F18)</f>
        <v>1140.766316065</v>
      </c>
      <c r="J18">
        <f>(J12-J17)*0.3763</f>
        <v>3291.6407368120135</v>
      </c>
      <c r="L18" s="9">
        <f>SUM(H18:J18)</f>
        <v>4432.4070528770135</v>
      </c>
      <c r="N18" t="str">
        <f>N12</f>
        <v>Page 4</v>
      </c>
    </row>
    <row r="19" spans="1:14" x14ac:dyDescent="0.25">
      <c r="A19">
        <v>7</v>
      </c>
      <c r="C19" t="s">
        <v>20</v>
      </c>
      <c r="D19">
        <f>SUM(D14:D18)</f>
        <v>65474</v>
      </c>
      <c r="F19" s="29"/>
      <c r="H19" s="5">
        <f>SUM(H14:H18)</f>
        <v>62580.766316064997</v>
      </c>
      <c r="L19" s="5">
        <f>SUM(L14:L18)</f>
        <v>66284.587468014593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3896</v>
      </c>
      <c r="F21" s="29"/>
      <c r="H21">
        <f>H12-H19</f>
        <v>6789.2336839350028</v>
      </c>
      <c r="L21">
        <f>H23*L25</f>
        <v>12244.992749999999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LP_wRB!E23</f>
        <v>145417</v>
      </c>
      <c r="F23" s="29">
        <f>H23-D23</f>
        <v>1935.5</v>
      </c>
      <c r="H23">
        <f>LP_wRB!I23</f>
        <v>147352.5</v>
      </c>
      <c r="L23">
        <f>H23</f>
        <v>147352.5</v>
      </c>
      <c r="N23" t="str">
        <f>LP_wRB!I4</f>
        <v>Page 5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2.6791915663230571E-2</v>
      </c>
      <c r="F25" s="29"/>
      <c r="L25" s="8">
        <f>LP_ROR!Q20</f>
        <v>8.3099999999999993E-2</v>
      </c>
      <c r="N25" s="6" t="str">
        <f>LP_ROR!Q4</f>
        <v>Page 8</v>
      </c>
    </row>
    <row r="26" spans="1:14" x14ac:dyDescent="0.25">
      <c r="L26" s="8"/>
    </row>
    <row r="27" spans="1:14" ht="18" x14ac:dyDescent="0.4">
      <c r="C27" s="4" t="s">
        <v>88</v>
      </c>
      <c r="J27" s="32"/>
      <c r="L27" s="8"/>
    </row>
    <row r="28" spans="1:14" x14ac:dyDescent="0.25">
      <c r="C28" t="s">
        <v>195</v>
      </c>
      <c r="J28" s="29"/>
    </row>
  </sheetData>
  <pageMargins left="0.7" right="0.7" top="0.75" bottom="0.75" header="0.3" footer="0.3"/>
  <pageSetup scale="74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C35" sqref="C35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0.375" bestFit="1" customWidth="1"/>
    <col min="5" max="5" width="1.75" customWidth="1"/>
    <col min="6" max="6" width="10.875" customWidth="1"/>
    <col min="7" max="7" width="2.125" customWidth="1"/>
    <col min="8" max="8" width="10.375" bestFit="1" customWidth="1"/>
    <col min="9" max="9" width="1.375" customWidth="1"/>
    <col min="10" max="10" width="10.125" customWidth="1"/>
    <col min="11" max="11" width="1.125" customWidth="1"/>
    <col min="12" max="12" width="11.25" customWidth="1"/>
    <col min="13" max="13" width="1.75" customWidth="1"/>
    <col min="14" max="14" width="11" customWidth="1"/>
    <col min="15" max="15" width="5.125" customWidth="1"/>
  </cols>
  <sheetData>
    <row r="1" spans="1:15" x14ac:dyDescent="0.25">
      <c r="A1" t="s">
        <v>61</v>
      </c>
      <c r="O1" s="33" t="str">
        <f>ExhDR6_LP_TOC!$E$1</f>
        <v>Docket No. 160101-WS</v>
      </c>
    </row>
    <row r="2" spans="1:15" x14ac:dyDescent="0.25">
      <c r="A2" t="s">
        <v>121</v>
      </c>
      <c r="O2" s="33" t="str">
        <f>ExhDR6_LP_TOC!$E$2</f>
        <v>Exhibit DMR-6</v>
      </c>
    </row>
    <row r="3" spans="1:15" x14ac:dyDescent="0.25">
      <c r="A3" t="s">
        <v>63</v>
      </c>
      <c r="O3" s="33" t="str">
        <f>ExhDR6_LP_TOC!$E$3</f>
        <v>Lake Placid Revenue Requirement</v>
      </c>
    </row>
    <row r="4" spans="1:15" x14ac:dyDescent="0.25">
      <c r="N4" s="33" t="s">
        <v>80</v>
      </c>
      <c r="O4" s="33" t="str">
        <f>ExhDR6_LP_TOC!$E$4</f>
        <v>of 9</v>
      </c>
    </row>
    <row r="5" spans="1:15" x14ac:dyDescent="0.25">
      <c r="A5" t="s">
        <v>76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72690</v>
      </c>
      <c r="F12" s="29">
        <f>LP_NOIadj!H13</f>
        <v>0</v>
      </c>
      <c r="G12" s="6"/>
      <c r="H12">
        <f>SUM(D12:F12)</f>
        <v>72690</v>
      </c>
      <c r="J12">
        <f>((H23*L25)-H21)*1.67888</f>
        <v>-5669.8663116491134</v>
      </c>
      <c r="L12">
        <f>SUM(H12:J12)</f>
        <v>67020.133688350892</v>
      </c>
      <c r="N12" t="str">
        <f>LP_NOIadj!J4</f>
        <v>Page 4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50489</v>
      </c>
      <c r="F14" s="29">
        <f>LP_NOIadj!H22</f>
        <v>-3856.25</v>
      </c>
      <c r="H14">
        <f>SUM(D14:F14)</f>
        <v>46632.75</v>
      </c>
      <c r="L14">
        <f>SUM(H14:J14)</f>
        <v>46632.75</v>
      </c>
      <c r="N14" t="str">
        <f>N12</f>
        <v>Page 4</v>
      </c>
    </row>
    <row r="15" spans="1:15" x14ac:dyDescent="0.25">
      <c r="A15">
        <v>3</v>
      </c>
      <c r="C15" t="s">
        <v>17</v>
      </c>
      <c r="D15">
        <v>17393</v>
      </c>
      <c r="F15" s="29">
        <f>LP_NOIadj!H28</f>
        <v>-8525</v>
      </c>
      <c r="H15">
        <f>SUM(D15:F15)</f>
        <v>8868</v>
      </c>
      <c r="L15">
        <f>SUM(H15:J15)</f>
        <v>8868</v>
      </c>
      <c r="N15" t="str">
        <f>N12</f>
        <v>Page 4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7324</v>
      </c>
      <c r="F17" s="29">
        <f>LP_NOIadj!H33</f>
        <v>0</v>
      </c>
      <c r="H17">
        <f>SUM(D17:F17)</f>
        <v>7324</v>
      </c>
      <c r="J17">
        <f>J12*0.045</f>
        <v>-255.14398402421008</v>
      </c>
      <c r="L17">
        <f>SUM(H17:J17)</f>
        <v>7068.8560159757899</v>
      </c>
      <c r="N17" t="str">
        <f>N12</f>
        <v>Page 4</v>
      </c>
    </row>
    <row r="18" spans="1:14" x14ac:dyDescent="0.25">
      <c r="A18">
        <v>6</v>
      </c>
      <c r="C18" t="s">
        <v>19</v>
      </c>
      <c r="D18" s="3">
        <v>-2667</v>
      </c>
      <c r="F18" s="29">
        <f>LP_NOIadj!H38</f>
        <v>5828.7928784850001</v>
      </c>
      <c r="H18" s="3">
        <f>SUM(D18:F18)</f>
        <v>3161.7928784850001</v>
      </c>
      <c r="J18">
        <f>(J12-J17)*0.3763</f>
        <v>-2037.5600118852512</v>
      </c>
      <c r="L18" s="9">
        <f>SUM(H18:J18)</f>
        <v>1124.2328665997488</v>
      </c>
      <c r="N18" t="str">
        <f>N12</f>
        <v>Page 4</v>
      </c>
    </row>
    <row r="19" spans="1:14" x14ac:dyDescent="0.25">
      <c r="A19">
        <v>7</v>
      </c>
      <c r="C19" t="s">
        <v>20</v>
      </c>
      <c r="D19">
        <f>SUM(D14:D18)</f>
        <v>72539</v>
      </c>
      <c r="F19" s="29"/>
      <c r="H19" s="5">
        <f>SUM(H14:H18)</f>
        <v>65986.542878484994</v>
      </c>
      <c r="L19" s="5">
        <f>SUM(L14:L18)</f>
        <v>63693.838882575539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151</v>
      </c>
      <c r="F21" s="29"/>
      <c r="H21">
        <f>H12-H19</f>
        <v>6703.4571215150063</v>
      </c>
      <c r="L21">
        <f>H23*L25</f>
        <v>3326.2852499999999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LP_wwRB!E23</f>
        <v>137478</v>
      </c>
      <c r="F23" s="29">
        <f>H23-D23</f>
        <v>-97450.5</v>
      </c>
      <c r="H23">
        <f>LP_wwRB!I23</f>
        <v>40027.5</v>
      </c>
      <c r="L23">
        <f>H23</f>
        <v>40027.5</v>
      </c>
      <c r="N23" t="str">
        <f>LP_wwRB!I4</f>
        <v>Page 6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1.0983575553906806E-3</v>
      </c>
      <c r="F25" s="29"/>
      <c r="L25" s="8">
        <f>LP_ROR!Q20</f>
        <v>8.3099999999999993E-2</v>
      </c>
      <c r="N25" s="6" t="str">
        <f>LP_ROR!Q4</f>
        <v>Page 8</v>
      </c>
    </row>
    <row r="28" spans="1:14" ht="18" x14ac:dyDescent="0.4">
      <c r="C28" s="4" t="s">
        <v>88</v>
      </c>
    </row>
    <row r="29" spans="1:14" x14ac:dyDescent="0.25">
      <c r="C29" t="s">
        <v>196</v>
      </c>
    </row>
  </sheetData>
  <pageMargins left="0.7" right="0.7" top="0.75" bottom="0.75" header="0.3" footer="0.3"/>
  <pageSetup scale="74" orientation="portrait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opLeftCell="A16" workbookViewId="0">
      <selection activeCell="C44" sqref="C44"/>
    </sheetView>
  </sheetViews>
  <sheetFormatPr defaultRowHeight="15.75" x14ac:dyDescent="0.25"/>
  <cols>
    <col min="1" max="1" width="4.375" customWidth="1"/>
    <col min="2" max="2" width="1.625" customWidth="1"/>
    <col min="3" max="3" width="42.875" customWidth="1"/>
    <col min="5" max="5" width="10.25" customWidth="1"/>
    <col min="6" max="6" width="9.625" bestFit="1" customWidth="1"/>
    <col min="7" max="7" width="1.75" customWidth="1"/>
    <col min="8" max="8" width="9.625" customWidth="1"/>
    <col min="9" max="9" width="1.375" customWidth="1"/>
    <col min="10" max="10" width="20.375" customWidth="1"/>
    <col min="11" max="11" width="4.5" customWidth="1"/>
  </cols>
  <sheetData>
    <row r="1" spans="1:11" x14ac:dyDescent="0.25">
      <c r="A1" t="str">
        <f>CL_wRR!A1</f>
        <v>Utilities, Inc. of Florida</v>
      </c>
      <c r="J1" s="33"/>
      <c r="K1" s="33" t="str">
        <f>ExhDR6_LP_TOC!$E$1</f>
        <v>Docket No. 160101-WS</v>
      </c>
    </row>
    <row r="2" spans="1:11" x14ac:dyDescent="0.25">
      <c r="A2" t="s">
        <v>121</v>
      </c>
      <c r="J2" s="33"/>
      <c r="K2" s="33" t="str">
        <f>ExhDR6_LP_TOC!$E$2</f>
        <v>Exhibit DMR-6</v>
      </c>
    </row>
    <row r="3" spans="1:11" x14ac:dyDescent="0.25">
      <c r="A3" t="str">
        <f>CL_wRR!A3</f>
        <v>Test Year Ended December 31, 2015</v>
      </c>
      <c r="J3" s="33"/>
      <c r="K3" s="33" t="str">
        <f>ExhDR6_LP_TOC!$E$3</f>
        <v>Lake Placid Revenue Requirement</v>
      </c>
    </row>
    <row r="4" spans="1:11" x14ac:dyDescent="0.25">
      <c r="J4" s="33" t="s">
        <v>81</v>
      </c>
      <c r="K4" s="33" t="str">
        <f>ExhDR6_LP_TOC!$E$4</f>
        <v>of 9</v>
      </c>
    </row>
    <row r="5" spans="1:11" x14ac:dyDescent="0.25">
      <c r="A5" t="s">
        <v>45</v>
      </c>
    </row>
    <row r="8" spans="1:11" x14ac:dyDescent="0.25">
      <c r="A8" t="s">
        <v>0</v>
      </c>
      <c r="F8" s="1" t="s">
        <v>70</v>
      </c>
      <c r="G8" s="1"/>
      <c r="H8" s="1" t="s">
        <v>71</v>
      </c>
    </row>
    <row r="9" spans="1:11" ht="18" x14ac:dyDescent="0.4">
      <c r="A9" s="3" t="s">
        <v>1</v>
      </c>
      <c r="C9" s="4" t="s">
        <v>2</v>
      </c>
      <c r="F9" s="2" t="s">
        <v>5</v>
      </c>
      <c r="G9" s="34"/>
      <c r="H9" s="2" t="s">
        <v>5</v>
      </c>
      <c r="J9" s="4" t="s">
        <v>72</v>
      </c>
    </row>
    <row r="11" spans="1:11" ht="18" x14ac:dyDescent="0.4">
      <c r="C11" s="4" t="s">
        <v>73</v>
      </c>
    </row>
    <row r="12" spans="1:11" x14ac:dyDescent="0.25">
      <c r="A12">
        <v>1</v>
      </c>
    </row>
    <row r="13" spans="1:11" ht="16.5" thickBot="1" x14ac:dyDescent="0.3">
      <c r="A13">
        <v>2</v>
      </c>
      <c r="C13" t="s">
        <v>110</v>
      </c>
      <c r="F13" s="24">
        <f>SUM(F12:F12)</f>
        <v>0</v>
      </c>
      <c r="H13" s="24">
        <f>SUM(H12:H12)</f>
        <v>0</v>
      </c>
    </row>
    <row r="14" spans="1:11" ht="16.5" thickTop="1" x14ac:dyDescent="0.25">
      <c r="A14">
        <v>3</v>
      </c>
    </row>
    <row r="15" spans="1:11" ht="18" x14ac:dyDescent="0.4">
      <c r="A15">
        <v>4</v>
      </c>
      <c r="C15" s="4" t="s">
        <v>49</v>
      </c>
    </row>
    <row r="16" spans="1:11" x14ac:dyDescent="0.25">
      <c r="A16">
        <v>5</v>
      </c>
      <c r="C16" t="s">
        <v>367</v>
      </c>
      <c r="F16">
        <f>ROUND((3117+399)*-0.0306,0)</f>
        <v>-108</v>
      </c>
      <c r="J16" s="6" t="s">
        <v>214</v>
      </c>
    </row>
    <row r="17" spans="1:10" x14ac:dyDescent="0.25">
      <c r="A17">
        <v>6</v>
      </c>
      <c r="C17" t="s">
        <v>371</v>
      </c>
      <c r="F17" s="25">
        <v>-2586</v>
      </c>
      <c r="G17" s="25"/>
      <c r="H17" s="25">
        <v>-2606</v>
      </c>
      <c r="J17" t="s">
        <v>372</v>
      </c>
    </row>
    <row r="18" spans="1:10" x14ac:dyDescent="0.25">
      <c r="A18">
        <v>7</v>
      </c>
      <c r="C18" t="s">
        <v>684</v>
      </c>
      <c r="F18" s="25">
        <f>-4044/4</f>
        <v>-1011</v>
      </c>
      <c r="G18" s="25"/>
      <c r="H18" s="25">
        <f>-4101/4</f>
        <v>-1025.25</v>
      </c>
      <c r="J18" t="s">
        <v>376</v>
      </c>
    </row>
    <row r="19" spans="1:10" x14ac:dyDescent="0.25">
      <c r="A19">
        <v>8</v>
      </c>
      <c r="C19" t="s">
        <v>293</v>
      </c>
      <c r="F19" s="26">
        <f>ROUND(24*0.4965,0)</f>
        <v>12</v>
      </c>
      <c r="G19" s="26"/>
      <c r="H19" s="26">
        <f>ROUND(24*0.5035,0)</f>
        <v>12</v>
      </c>
      <c r="J19" t="s">
        <v>198</v>
      </c>
    </row>
    <row r="20" spans="1:10" x14ac:dyDescent="0.25">
      <c r="A20">
        <v>9</v>
      </c>
      <c r="C20" t="s">
        <v>290</v>
      </c>
      <c r="F20" s="5">
        <f>ROUND('WSC-Ins'!$I$15*0.4965,0)</f>
        <v>-57</v>
      </c>
      <c r="G20" s="5"/>
      <c r="H20" s="5">
        <f>ROUND('WSC-Ins'!$I$15*0.5035,0)</f>
        <v>-57</v>
      </c>
      <c r="J20" t="str">
        <f>'WSC-Ins'!J2</f>
        <v>Exhibit DMR-19</v>
      </c>
    </row>
    <row r="21" spans="1:10" x14ac:dyDescent="0.25">
      <c r="A21">
        <v>10</v>
      </c>
      <c r="C21" t="s">
        <v>291</v>
      </c>
      <c r="F21" s="5">
        <f>ROUND(WSCs_Dep!$I$15*0.4965,0)</f>
        <v>-178</v>
      </c>
      <c r="G21" s="5"/>
      <c r="H21" s="5">
        <f>ROUND(WSCs_Dep!$I$15*0.5035,0)</f>
        <v>-180</v>
      </c>
      <c r="J21" t="str">
        <f>WSCs_Dep!J2</f>
        <v>Exhibit DMR-20</v>
      </c>
    </row>
    <row r="22" spans="1:10" ht="16.5" thickBot="1" x14ac:dyDescent="0.3">
      <c r="A22">
        <v>11</v>
      </c>
      <c r="C22" t="s">
        <v>110</v>
      </c>
      <c r="F22" s="24">
        <f>SUM(F16:F21)</f>
        <v>-3928</v>
      </c>
      <c r="G22" s="26"/>
      <c r="H22" s="24">
        <f>SUM(H16:H21)</f>
        <v>-3856.25</v>
      </c>
    </row>
    <row r="23" spans="1:10" ht="16.5" thickTop="1" x14ac:dyDescent="0.25">
      <c r="A23">
        <v>12</v>
      </c>
    </row>
    <row r="24" spans="1:10" ht="18" x14ac:dyDescent="0.4">
      <c r="A24">
        <v>13</v>
      </c>
      <c r="C24" s="4" t="s">
        <v>46</v>
      </c>
    </row>
    <row r="25" spans="1:10" x14ac:dyDescent="0.25">
      <c r="A25">
        <v>14</v>
      </c>
      <c r="C25" t="s">
        <v>630</v>
      </c>
      <c r="F25">
        <f>GIS_Proj!M13</f>
        <v>-149</v>
      </c>
      <c r="H25">
        <f>GIS_Proj!O13</f>
        <v>-151</v>
      </c>
      <c r="J25" t="str">
        <f>GIS_Proj!O2</f>
        <v>Exhibit DMR-21</v>
      </c>
    </row>
    <row r="26" spans="1:10" x14ac:dyDescent="0.25">
      <c r="A26">
        <v>15</v>
      </c>
      <c r="C26" t="s">
        <v>387</v>
      </c>
      <c r="F26">
        <v>-525</v>
      </c>
      <c r="H26">
        <f>-31-49-876</f>
        <v>-956</v>
      </c>
      <c r="J26" t="s">
        <v>198</v>
      </c>
    </row>
    <row r="27" spans="1:10" x14ac:dyDescent="0.25">
      <c r="A27">
        <v>16</v>
      </c>
      <c r="C27" t="s">
        <v>389</v>
      </c>
      <c r="F27" s="3"/>
      <c r="G27" s="26"/>
      <c r="H27" s="3">
        <f>LP_UandU!I24</f>
        <v>-7418</v>
      </c>
      <c r="J27" s="31" t="str">
        <f>LP_UandU!I4</f>
        <v>Page 9</v>
      </c>
    </row>
    <row r="28" spans="1:10" ht="16.5" thickBot="1" x14ac:dyDescent="0.3">
      <c r="A28">
        <v>17</v>
      </c>
      <c r="C28" t="s">
        <v>110</v>
      </c>
      <c r="F28" s="24">
        <f>SUM(F25:F27)</f>
        <v>-674</v>
      </c>
      <c r="G28" s="26"/>
      <c r="H28" s="24">
        <f>SUM(H25:H27)</f>
        <v>-8525</v>
      </c>
    </row>
    <row r="29" spans="1:10" ht="16.5" thickTop="1" x14ac:dyDescent="0.25">
      <c r="A29">
        <v>18</v>
      </c>
    </row>
    <row r="30" spans="1:10" ht="18" x14ac:dyDescent="0.4">
      <c r="A30">
        <v>19</v>
      </c>
      <c r="C30" s="4" t="s">
        <v>60</v>
      </c>
    </row>
    <row r="31" spans="1:10" x14ac:dyDescent="0.25">
      <c r="A31">
        <v>20</v>
      </c>
      <c r="C31" s="40"/>
    </row>
    <row r="32" spans="1:10" x14ac:dyDescent="0.25">
      <c r="A32">
        <v>21</v>
      </c>
      <c r="C32" s="40" t="s">
        <v>89</v>
      </c>
      <c r="F32">
        <f>ROUND(F13*0.045,0)</f>
        <v>0</v>
      </c>
      <c r="H32">
        <f>ROUND(H13*0.045,0)</f>
        <v>0</v>
      </c>
    </row>
    <row r="33" spans="1:10" ht="16.5" thickBot="1" x14ac:dyDescent="0.3">
      <c r="A33">
        <v>22</v>
      </c>
      <c r="C33" t="s">
        <v>110</v>
      </c>
      <c r="F33" s="24">
        <f>SUM(F31:F32)</f>
        <v>0</v>
      </c>
      <c r="G33" s="26"/>
      <c r="H33" s="24">
        <f>SUM(H31:H32)</f>
        <v>0</v>
      </c>
    </row>
    <row r="34" spans="1:10" ht="16.5" thickTop="1" x14ac:dyDescent="0.25">
      <c r="A34">
        <v>23</v>
      </c>
    </row>
    <row r="35" spans="1:10" ht="18" x14ac:dyDescent="0.4">
      <c r="A35">
        <v>24</v>
      </c>
      <c r="C35" s="4" t="s">
        <v>79</v>
      </c>
    </row>
    <row r="36" spans="1:10" x14ac:dyDescent="0.25">
      <c r="A36">
        <v>25</v>
      </c>
      <c r="C36" s="40" t="s">
        <v>115</v>
      </c>
      <c r="F36">
        <f>LP_wRB!G23*0.0319*-0.3763</f>
        <v>-23.233683935000002</v>
      </c>
      <c r="H36">
        <f>LP_wwRB!G23*0.0319*-0.3763</f>
        <v>1169.7928784850001</v>
      </c>
    </row>
    <row r="37" spans="1:10" x14ac:dyDescent="0.25">
      <c r="A37">
        <v>26</v>
      </c>
      <c r="C37" s="40" t="s">
        <v>90</v>
      </c>
      <c r="F37">
        <f>ROUND((F13-F22-F28-F33)*0.3763,0)</f>
        <v>1732</v>
      </c>
      <c r="H37">
        <f>ROUND((H13-H22-H28-H33)*0.3763,0)</f>
        <v>4659</v>
      </c>
    </row>
    <row r="38" spans="1:10" ht="16.5" thickBot="1" x14ac:dyDescent="0.3">
      <c r="A38">
        <v>27</v>
      </c>
      <c r="C38" t="s">
        <v>110</v>
      </c>
      <c r="F38" s="24">
        <f>SUM(F36:F37)</f>
        <v>1708.766316065</v>
      </c>
      <c r="G38" s="26"/>
      <c r="H38" s="24">
        <f>SUM(H36:H37)</f>
        <v>5828.7928784850001</v>
      </c>
      <c r="J38" s="47"/>
    </row>
    <row r="39" spans="1:10" ht="16.5" thickTop="1" x14ac:dyDescent="0.25"/>
    <row r="40" spans="1:10" x14ac:dyDescent="0.25">
      <c r="C40" s="6" t="s">
        <v>124</v>
      </c>
    </row>
    <row r="41" spans="1:10" x14ac:dyDescent="0.25">
      <c r="C41" t="s">
        <v>116</v>
      </c>
    </row>
    <row r="42" spans="1:10" x14ac:dyDescent="0.25">
      <c r="C42" s="6" t="s">
        <v>383</v>
      </c>
    </row>
    <row r="43" spans="1:10" x14ac:dyDescent="0.25">
      <c r="C43" s="6" t="s">
        <v>687</v>
      </c>
    </row>
    <row r="44" spans="1:10" x14ac:dyDescent="0.25">
      <c r="C44" t="s">
        <v>686</v>
      </c>
    </row>
    <row r="45" spans="1:10" x14ac:dyDescent="0.25">
      <c r="C45" t="s">
        <v>685</v>
      </c>
    </row>
  </sheetData>
  <pageMargins left="0.7" right="0.7" top="0.75" bottom="0.75" header="0.3" footer="0.3"/>
  <pageSetup scale="7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zoomScaleNormal="100" workbookViewId="0">
      <selection activeCell="D5" sqref="D5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0.375" bestFit="1" customWidth="1"/>
    <col min="5" max="5" width="1.75" customWidth="1"/>
    <col min="6" max="6" width="10.875" customWidth="1"/>
    <col min="7" max="7" width="2.125" customWidth="1"/>
    <col min="8" max="8" width="10.375" bestFit="1" customWidth="1"/>
    <col min="9" max="9" width="1.375" customWidth="1"/>
    <col min="10" max="10" width="10.125" customWidth="1"/>
    <col min="11" max="11" width="1.125" customWidth="1"/>
    <col min="12" max="12" width="11.25" customWidth="1"/>
    <col min="13" max="13" width="1.75" customWidth="1"/>
    <col min="14" max="14" width="11" customWidth="1"/>
    <col min="15" max="15" width="4.75" customWidth="1"/>
  </cols>
  <sheetData>
    <row r="1" spans="1:15" x14ac:dyDescent="0.25">
      <c r="A1" t="s">
        <v>61</v>
      </c>
      <c r="O1" s="33" t="str">
        <f>ExhDR3_CL_TOC!$E$1</f>
        <v>Docket No. 160101-WS</v>
      </c>
    </row>
    <row r="2" spans="1:15" x14ac:dyDescent="0.25">
      <c r="A2" t="s">
        <v>62</v>
      </c>
      <c r="O2" s="33" t="str">
        <f>ExhDR3_CL_TOC!$E$2</f>
        <v>Exhibit DMR-3</v>
      </c>
    </row>
    <row r="3" spans="1:15" x14ac:dyDescent="0.25">
      <c r="A3" t="s">
        <v>63</v>
      </c>
      <c r="O3" s="33" t="str">
        <f>ExhDR3_CL_TOC!$E$3</f>
        <v>Cypress Lakes Revenue Requirement</v>
      </c>
    </row>
    <row r="4" spans="1:15" x14ac:dyDescent="0.25">
      <c r="N4" s="33" t="s">
        <v>77</v>
      </c>
      <c r="O4" s="33" t="str">
        <f>ExhDR3_CL_TOC!$E$4</f>
        <v>of 8</v>
      </c>
    </row>
    <row r="5" spans="1:15" x14ac:dyDescent="0.25">
      <c r="A5" t="s">
        <v>69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358029</v>
      </c>
      <c r="F12" s="29">
        <f>CL_NOIadj!F13</f>
        <v>0</v>
      </c>
      <c r="G12" s="6"/>
      <c r="H12">
        <f>SUM(D12:F12)</f>
        <v>358029</v>
      </c>
      <c r="J12">
        <f>((H23*L25)-H21)*1.67888</f>
        <v>-34604.029987667331</v>
      </c>
      <c r="L12">
        <f>SUM(H12:J12)</f>
        <v>323424.97001233266</v>
      </c>
      <c r="N12" t="str">
        <f>CL_NOIadj!J4</f>
        <v>Page 4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238850</v>
      </c>
      <c r="F14" s="29">
        <f>CL_NOIadj!F22</f>
        <v>-25117</v>
      </c>
      <c r="H14">
        <f>SUM(D14:F14)</f>
        <v>213733</v>
      </c>
      <c r="L14">
        <f>SUM(H14:J14)</f>
        <v>213733</v>
      </c>
      <c r="N14" t="str">
        <f>N12</f>
        <v>Page 4</v>
      </c>
    </row>
    <row r="15" spans="1:15" x14ac:dyDescent="0.25">
      <c r="A15">
        <v>3</v>
      </c>
      <c r="C15" t="s">
        <v>17</v>
      </c>
      <c r="D15">
        <v>62325</v>
      </c>
      <c r="F15" s="29">
        <f>CL_NOIadj!F26</f>
        <v>-1335</v>
      </c>
      <c r="H15">
        <f>SUM(D15:F15)</f>
        <v>60990</v>
      </c>
      <c r="L15">
        <f>SUM(H15:J15)</f>
        <v>60990</v>
      </c>
      <c r="N15" t="str">
        <f>N12</f>
        <v>Page 4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21871</v>
      </c>
      <c r="F17" s="29">
        <f>CL_NOIadj!F32</f>
        <v>-111</v>
      </c>
      <c r="H17">
        <f>SUM(D17:F17)</f>
        <v>21760</v>
      </c>
      <c r="J17">
        <f>J12*0.045</f>
        <v>-1557.1813494450298</v>
      </c>
      <c r="L17">
        <f>SUM(H17:J17)</f>
        <v>20202.818650554971</v>
      </c>
      <c r="N17" t="str">
        <f>N12</f>
        <v>Page 4</v>
      </c>
    </row>
    <row r="18" spans="1:14" x14ac:dyDescent="0.25">
      <c r="A18">
        <v>6</v>
      </c>
      <c r="C18" t="s">
        <v>19</v>
      </c>
      <c r="D18" s="3">
        <v>10060</v>
      </c>
      <c r="F18" s="29">
        <f>CL_NOIadj!F37</f>
        <v>10079.188434035001</v>
      </c>
      <c r="H18" s="3">
        <f>SUM(D18:F18)</f>
        <v>20139.188434035001</v>
      </c>
      <c r="J18">
        <f>(J12-J17)*0.3763</f>
        <v>-12435.529142563051</v>
      </c>
      <c r="L18" s="9">
        <f>SUM(H18:J18)</f>
        <v>7703.6592914719495</v>
      </c>
    </row>
    <row r="19" spans="1:14" x14ac:dyDescent="0.25">
      <c r="A19">
        <v>7</v>
      </c>
      <c r="C19" t="s">
        <v>20</v>
      </c>
      <c r="D19">
        <f>SUM(D14:D18)</f>
        <v>333106</v>
      </c>
      <c r="F19" s="29"/>
      <c r="H19" s="5">
        <f>SUM(H14:H18)</f>
        <v>316622.18843403499</v>
      </c>
      <c r="L19" s="5">
        <f>SUM(L14:L18)</f>
        <v>302629.47794202692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24923</v>
      </c>
      <c r="F21" s="29"/>
      <c r="H21">
        <f>H12-H19</f>
        <v>41406.811565965007</v>
      </c>
      <c r="L21">
        <f>H23*L25</f>
        <v>20795.43375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CL_wRB!E23</f>
        <v>274982</v>
      </c>
      <c r="F23" s="29">
        <f>H23-D23</f>
        <v>-7344.5</v>
      </c>
      <c r="H23">
        <f>CL_wRB!I23</f>
        <v>267637.5</v>
      </c>
      <c r="L23">
        <f>H23</f>
        <v>267637.5</v>
      </c>
      <c r="N23" t="str">
        <f>CL_wRB!I4</f>
        <v>Page 5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9.0635023383348723E-2</v>
      </c>
      <c r="F25" s="29"/>
      <c r="L25" s="8">
        <f>CL_ROR!Q20</f>
        <v>7.7700000000000005E-2</v>
      </c>
      <c r="N25" t="str">
        <f>CL_ROR!Q4</f>
        <v>Page 8</v>
      </c>
    </row>
    <row r="26" spans="1:14" x14ac:dyDescent="0.25">
      <c r="L26" s="8"/>
    </row>
    <row r="27" spans="1:14" ht="18" x14ac:dyDescent="0.4">
      <c r="C27" s="4" t="s">
        <v>88</v>
      </c>
      <c r="J27" s="32"/>
      <c r="L27" s="8"/>
    </row>
    <row r="28" spans="1:14" x14ac:dyDescent="0.25">
      <c r="C28" t="s">
        <v>195</v>
      </c>
      <c r="J28" s="29"/>
    </row>
  </sheetData>
  <phoneticPr fontId="0" type="noConversion"/>
  <pageMargins left="0.75" right="0.75" top="1.25" bottom="1" header="0.5" footer="0.5"/>
  <pageSetup scale="74" orientation="portrait" horizontalDpi="4294967292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G16" sqref="G16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7" customWidth="1"/>
    <col min="5" max="5" width="16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4.625" customWidth="1"/>
  </cols>
  <sheetData>
    <row r="1" spans="1:10" x14ac:dyDescent="0.25">
      <c r="A1" t="str">
        <f>CL_wRR!A1</f>
        <v>Utilities, Inc. of Florida</v>
      </c>
      <c r="H1" s="10"/>
      <c r="I1" s="10"/>
      <c r="J1" s="33" t="str">
        <f>ExhDR6_LP_TOC!$E$1</f>
        <v>Docket No. 160101-WS</v>
      </c>
    </row>
    <row r="2" spans="1:10" x14ac:dyDescent="0.25">
      <c r="A2" t="s">
        <v>121</v>
      </c>
      <c r="H2" s="10"/>
      <c r="I2" s="10"/>
      <c r="J2" s="33" t="str">
        <f>ExhDR6_LP_TOC!$E$2</f>
        <v>Exhibit DMR-6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ExhDR6_LP_TOC!$E$3</f>
        <v>Lake Placid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82</v>
      </c>
      <c r="J4" s="33" t="str">
        <f>ExhDR6_LP_TOC!$E$4</f>
        <v>of 9</v>
      </c>
    </row>
    <row r="5" spans="1:10" x14ac:dyDescent="0.25">
      <c r="A5" s="27" t="s">
        <v>74</v>
      </c>
      <c r="B5" s="10"/>
      <c r="C5" s="10"/>
      <c r="D5" s="10"/>
      <c r="E5" s="10"/>
      <c r="F5" s="10"/>
      <c r="G5" s="10"/>
      <c r="H5" s="10"/>
      <c r="I5" s="10"/>
      <c r="J5" s="35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  <c r="J6" s="35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  <c r="J7" s="10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  <c r="J8" s="10"/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  <c r="J9" s="10"/>
    </row>
    <row r="10" spans="1:10" x14ac:dyDescent="0.25">
      <c r="A10" s="10"/>
      <c r="B10" s="10"/>
      <c r="C10" s="10"/>
      <c r="D10" s="10"/>
      <c r="E10" s="43" t="s">
        <v>24</v>
      </c>
      <c r="F10" s="10"/>
      <c r="G10" s="43" t="s">
        <v>25</v>
      </c>
      <c r="H10" s="10"/>
      <c r="I10" s="43" t="s">
        <v>26</v>
      </c>
      <c r="J10" s="10"/>
    </row>
    <row r="11" spans="1:10" x14ac:dyDescent="0.25">
      <c r="A11" s="10"/>
      <c r="B11" s="10"/>
      <c r="C11" s="10"/>
      <c r="D11" s="10"/>
      <c r="E11" s="43"/>
      <c r="F11" s="10"/>
      <c r="G11" s="43"/>
      <c r="H11" s="10"/>
      <c r="I11" s="43"/>
      <c r="J11" s="10"/>
    </row>
    <row r="12" spans="1:10" x14ac:dyDescent="0.25">
      <c r="A12" s="10">
        <v>1</v>
      </c>
      <c r="B12" s="10"/>
      <c r="C12" s="11" t="s">
        <v>33</v>
      </c>
      <c r="D12" s="10"/>
      <c r="E12" s="10">
        <v>511465</v>
      </c>
      <c r="F12" s="10"/>
      <c r="G12" s="10">
        <f>LP_RBadj!G16</f>
        <v>-14084</v>
      </c>
      <c r="H12" s="10"/>
      <c r="I12" s="10">
        <f>SUM(E12:G12)</f>
        <v>497381</v>
      </c>
      <c r="J12" s="10"/>
    </row>
    <row r="13" spans="1:10" x14ac:dyDescent="0.25">
      <c r="A13" s="10">
        <v>2</v>
      </c>
      <c r="B13" s="10"/>
      <c r="C13" s="11" t="s">
        <v>34</v>
      </c>
      <c r="D13" s="10"/>
      <c r="E13" s="10">
        <v>2799</v>
      </c>
      <c r="F13" s="10"/>
      <c r="G13" s="10"/>
      <c r="H13" s="10"/>
      <c r="I13" s="10">
        <f t="shared" ref="I13:I21" si="0">SUM(E13:G13)</f>
        <v>2799</v>
      </c>
      <c r="J13" s="10"/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  <c r="J14" s="10"/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  <c r="J15" s="10"/>
    </row>
    <row r="16" spans="1:10" x14ac:dyDescent="0.25">
      <c r="A16" s="10">
        <v>5</v>
      </c>
      <c r="B16" s="10"/>
      <c r="C16" s="11" t="s">
        <v>37</v>
      </c>
      <c r="D16" s="10"/>
      <c r="E16" s="27">
        <v>-232108</v>
      </c>
      <c r="F16" s="10"/>
      <c r="G16" s="10">
        <f>-LP_RBadj!G27</f>
        <v>16019.5</v>
      </c>
      <c r="H16" s="10"/>
      <c r="I16" s="10">
        <f t="shared" si="0"/>
        <v>-216088.5</v>
      </c>
      <c r="J16" s="10"/>
    </row>
    <row r="17" spans="1:10" x14ac:dyDescent="0.25">
      <c r="A17" s="10">
        <v>6</v>
      </c>
      <c r="B17" s="10"/>
      <c r="C17" s="11" t="s">
        <v>38</v>
      </c>
      <c r="D17" s="10"/>
      <c r="E17" s="10">
        <v>-235199</v>
      </c>
      <c r="F17" s="10"/>
      <c r="G17" s="10"/>
      <c r="H17" s="10"/>
      <c r="I17" s="10">
        <f t="shared" si="0"/>
        <v>-235199</v>
      </c>
      <c r="J17" s="10"/>
    </row>
    <row r="18" spans="1:10" x14ac:dyDescent="0.25">
      <c r="A18" s="10">
        <v>7</v>
      </c>
      <c r="B18" s="10"/>
      <c r="C18" s="11" t="s">
        <v>39</v>
      </c>
      <c r="D18" s="10"/>
      <c r="E18" s="10">
        <v>92146</v>
      </c>
      <c r="F18" s="10"/>
      <c r="G18" s="10"/>
      <c r="H18" s="10"/>
      <c r="I18" s="10">
        <f t="shared" si="0"/>
        <v>92146</v>
      </c>
      <c r="J18" s="10"/>
    </row>
    <row r="19" spans="1:10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  <c r="J19" s="10"/>
    </row>
    <row r="20" spans="1:10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  <c r="J20" s="10"/>
    </row>
    <row r="21" spans="1:10" x14ac:dyDescent="0.25">
      <c r="A21" s="10">
        <v>10</v>
      </c>
      <c r="B21" s="10"/>
      <c r="C21" s="11" t="s">
        <v>40</v>
      </c>
      <c r="D21" s="10"/>
      <c r="E21" s="28">
        <v>6314</v>
      </c>
      <c r="F21" s="10"/>
      <c r="G21" s="17">
        <f>LP_RBadj!G31</f>
        <v>0</v>
      </c>
      <c r="H21" s="10"/>
      <c r="I21" s="17">
        <f t="shared" si="0"/>
        <v>6314</v>
      </c>
      <c r="J21" s="10"/>
    </row>
    <row r="22" spans="1:1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ht="16.5" thickBot="1" x14ac:dyDescent="0.3">
      <c r="A23" s="10">
        <v>11</v>
      </c>
      <c r="B23" s="10"/>
      <c r="C23" s="11" t="s">
        <v>41</v>
      </c>
      <c r="D23" s="10"/>
      <c r="E23" s="18">
        <f>SUM(E12:E21)</f>
        <v>145417</v>
      </c>
      <c r="F23" s="10"/>
      <c r="G23" s="18">
        <f>SUM(G12:G21)</f>
        <v>1935.5</v>
      </c>
      <c r="H23" s="10"/>
      <c r="I23" s="18">
        <f>SUM(I12:I22)</f>
        <v>147352.5</v>
      </c>
      <c r="J23" s="10"/>
    </row>
    <row r="24" spans="1:10" ht="16.5" thickTop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18" x14ac:dyDescent="0.4">
      <c r="A25" s="10"/>
      <c r="B25" s="10"/>
      <c r="C25" s="12" t="s">
        <v>50</v>
      </c>
      <c r="D25" s="10"/>
      <c r="E25" s="10"/>
      <c r="F25" s="10"/>
      <c r="G25" s="10"/>
      <c r="H25" s="10"/>
      <c r="I25" s="10"/>
      <c r="J25" s="10"/>
    </row>
    <row r="26" spans="1:10" x14ac:dyDescent="0.25">
      <c r="A26" s="10"/>
      <c r="B26" s="10"/>
      <c r="C26" s="45" t="s">
        <v>103</v>
      </c>
      <c r="D26" s="10"/>
      <c r="E26" s="10"/>
      <c r="F26" s="10"/>
      <c r="G26" s="10"/>
      <c r="H26" s="10"/>
      <c r="I26" s="10"/>
      <c r="J26" s="10"/>
    </row>
    <row r="27" spans="1:10" x14ac:dyDescent="0.25">
      <c r="A27" s="10"/>
      <c r="B27" s="10"/>
      <c r="C27" s="27" t="s">
        <v>104</v>
      </c>
      <c r="D27" s="10"/>
      <c r="E27" s="10"/>
      <c r="F27" s="10"/>
      <c r="G27" s="10"/>
      <c r="H27" s="10"/>
      <c r="I27" s="10"/>
      <c r="J27" s="10"/>
    </row>
  </sheetData>
  <pageMargins left="0.7" right="0.7" top="0.75" bottom="0.75" header="0.3" footer="0.3"/>
  <pageSetup scale="91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opLeftCell="A4" workbookViewId="0">
      <selection activeCell="G15" sqref="G15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7" customWidth="1"/>
    <col min="5" max="5" width="16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4.75" customWidth="1"/>
  </cols>
  <sheetData>
    <row r="1" spans="1:10" x14ac:dyDescent="0.25">
      <c r="A1" t="str">
        <f>CL_wRR!A1</f>
        <v>Utilities, Inc. of Florida</v>
      </c>
      <c r="H1" s="10"/>
      <c r="J1" s="33" t="str">
        <f>ExhDR6_LP_TOC!$E$1</f>
        <v>Docket No. 160101-WS</v>
      </c>
    </row>
    <row r="2" spans="1:10" x14ac:dyDescent="0.25">
      <c r="A2" t="s">
        <v>121</v>
      </c>
      <c r="H2" s="10"/>
      <c r="I2" s="10"/>
      <c r="J2" s="33" t="str">
        <f>ExhDR6_LP_TOC!$E$2</f>
        <v>Exhibit DMR-6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ExhDR6_LP_TOC!$E$3</f>
        <v>Lake Placid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83</v>
      </c>
      <c r="J4" s="33" t="str">
        <f>ExhDR6_LP_TOC!$E$4</f>
        <v>of 9</v>
      </c>
    </row>
    <row r="5" spans="1:10" x14ac:dyDescent="0.25">
      <c r="A5" s="27" t="s">
        <v>78</v>
      </c>
      <c r="B5" s="10"/>
      <c r="C5" s="10"/>
      <c r="D5" s="10"/>
      <c r="E5" s="10"/>
      <c r="F5" s="10"/>
      <c r="G5" s="10"/>
      <c r="H5" s="10"/>
      <c r="I5" s="10"/>
      <c r="J5" s="33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8" x14ac:dyDescent="0.4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25">
      <c r="A12" s="10">
        <v>1</v>
      </c>
      <c r="B12" s="10"/>
      <c r="C12" s="11" t="s">
        <v>33</v>
      </c>
      <c r="D12" s="10"/>
      <c r="E12" s="10">
        <v>806546</v>
      </c>
      <c r="F12" s="10"/>
      <c r="G12" s="10">
        <f>LP_RBadj!I16</f>
        <v>-4096</v>
      </c>
      <c r="H12" s="10"/>
      <c r="I12" s="10">
        <f>SUM(E12:G12)</f>
        <v>802450</v>
      </c>
    </row>
    <row r="13" spans="1:10" x14ac:dyDescent="0.25">
      <c r="A13" s="10">
        <v>2</v>
      </c>
      <c r="B13" s="10"/>
      <c r="C13" s="11" t="s">
        <v>34</v>
      </c>
      <c r="D13" s="10"/>
      <c r="E13" s="10">
        <v>21665</v>
      </c>
      <c r="F13" s="10"/>
      <c r="G13" s="10"/>
      <c r="H13" s="10"/>
      <c r="I13" s="10">
        <f t="shared" ref="I13:I21" si="0">SUM(E13:G13)</f>
        <v>21665</v>
      </c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>
        <f>LP_RBadj!I20</f>
        <v>-89885</v>
      </c>
      <c r="H14" s="10"/>
      <c r="I14" s="10">
        <f t="shared" si="0"/>
        <v>-89885</v>
      </c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25">
      <c r="A16" s="10">
        <v>5</v>
      </c>
      <c r="B16" s="10"/>
      <c r="C16" s="11" t="s">
        <v>37</v>
      </c>
      <c r="D16" s="10"/>
      <c r="E16" s="27">
        <v>-543007</v>
      </c>
      <c r="F16" s="10"/>
      <c r="G16" s="10">
        <f>LP_RBadj!I27</f>
        <v>-3469.5</v>
      </c>
      <c r="H16" s="10"/>
      <c r="I16" s="10">
        <f t="shared" si="0"/>
        <v>-546476.5</v>
      </c>
    </row>
    <row r="17" spans="1:9" x14ac:dyDescent="0.25">
      <c r="A17" s="10">
        <v>6</v>
      </c>
      <c r="B17" s="10"/>
      <c r="C17" s="11" t="s">
        <v>38</v>
      </c>
      <c r="D17" s="10"/>
      <c r="E17" s="10">
        <v>-335881</v>
      </c>
      <c r="F17" s="10"/>
      <c r="G17" s="10"/>
      <c r="H17" s="10"/>
      <c r="I17" s="10">
        <f t="shared" si="0"/>
        <v>-335881</v>
      </c>
    </row>
    <row r="18" spans="1:9" x14ac:dyDescent="0.25">
      <c r="A18" s="10">
        <v>7</v>
      </c>
      <c r="B18" s="10"/>
      <c r="C18" s="11" t="s">
        <v>39</v>
      </c>
      <c r="D18" s="10"/>
      <c r="E18" s="10">
        <v>180809</v>
      </c>
      <c r="F18" s="10"/>
      <c r="G18" s="10"/>
      <c r="H18" s="10"/>
      <c r="I18" s="10">
        <f t="shared" si="0"/>
        <v>180809</v>
      </c>
    </row>
    <row r="19" spans="1:9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25">
      <c r="A21" s="10">
        <v>10</v>
      </c>
      <c r="B21" s="10"/>
      <c r="C21" s="11" t="s">
        <v>40</v>
      </c>
      <c r="D21" s="10"/>
      <c r="E21" s="28">
        <v>7346</v>
      </c>
      <c r="F21" s="10"/>
      <c r="G21" s="17">
        <f>LP_RBadj!I31</f>
        <v>0</v>
      </c>
      <c r="H21" s="10"/>
      <c r="I21" s="17">
        <f t="shared" si="0"/>
        <v>7346</v>
      </c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5" thickBot="1" x14ac:dyDescent="0.3">
      <c r="A23" s="10">
        <v>11</v>
      </c>
      <c r="B23" s="10"/>
      <c r="C23" s="11" t="s">
        <v>41</v>
      </c>
      <c r="D23" s="10"/>
      <c r="E23" s="18">
        <f>SUM(E12:E21)</f>
        <v>137478</v>
      </c>
      <c r="F23" s="10"/>
      <c r="G23" s="18">
        <f>SUM(G12:G21)</f>
        <v>-97450.5</v>
      </c>
      <c r="H23" s="10"/>
      <c r="I23" s="18">
        <f>SUM(I12:I22)</f>
        <v>40027.5</v>
      </c>
    </row>
    <row r="24" spans="1:9" ht="16.5" thickTop="1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8" x14ac:dyDescent="0.4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25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27" t="s">
        <v>104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0" orientation="portrait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workbookViewId="0">
      <selection activeCell="I27" sqref="I27"/>
    </sheetView>
  </sheetViews>
  <sheetFormatPr defaultRowHeight="15.75" x14ac:dyDescent="0.25"/>
  <cols>
    <col min="1" max="1" width="4.25" customWidth="1"/>
    <col min="2" max="2" width="1.375" customWidth="1"/>
    <col min="3" max="3" width="40.25" customWidth="1"/>
    <col min="4" max="6" width="7" customWidth="1"/>
    <col min="7" max="7" width="11.125" customWidth="1"/>
    <col min="8" max="8" width="1.875" customWidth="1"/>
    <col min="9" max="9" width="11.125" customWidth="1"/>
    <col min="10" max="10" width="2.25" customWidth="1"/>
    <col min="11" max="11" width="15.375" customWidth="1"/>
    <col min="12" max="12" width="4.375" customWidth="1"/>
  </cols>
  <sheetData>
    <row r="1" spans="1:12" x14ac:dyDescent="0.25">
      <c r="A1" t="str">
        <f>CL_wRR!A1</f>
        <v>Utilities, Inc. of Florida</v>
      </c>
      <c r="K1" s="37"/>
      <c r="L1" s="33" t="str">
        <f>ExhDR6_LP_TOC!$E$1</f>
        <v>Docket No. 160101-WS</v>
      </c>
    </row>
    <row r="2" spans="1:12" x14ac:dyDescent="0.25">
      <c r="A2" t="s">
        <v>121</v>
      </c>
      <c r="K2" s="37"/>
      <c r="L2" s="33" t="str">
        <f>ExhDR6_LP_TOC!$E$2</f>
        <v>Exhibit DMR-6</v>
      </c>
    </row>
    <row r="3" spans="1:12" x14ac:dyDescent="0.25">
      <c r="A3" t="str">
        <f>CL_wRR!A3</f>
        <v>Test Year Ended December 31, 2015</v>
      </c>
      <c r="K3" s="37"/>
      <c r="L3" s="33" t="str">
        <f>ExhDR6_LP_TOC!$E$3</f>
        <v>Lake Placid Revenue Requirement</v>
      </c>
    </row>
    <row r="4" spans="1:12" x14ac:dyDescent="0.25">
      <c r="K4" s="38" t="s">
        <v>87</v>
      </c>
      <c r="L4" s="33" t="str">
        <f>ExhDR6_LP_TOC!$E$4</f>
        <v>of 9</v>
      </c>
    </row>
    <row r="5" spans="1:12" x14ac:dyDescent="0.25">
      <c r="A5" t="s">
        <v>42</v>
      </c>
      <c r="K5" s="37"/>
      <c r="L5" s="37"/>
    </row>
    <row r="6" spans="1:12" x14ac:dyDescent="0.25">
      <c r="K6" s="37"/>
      <c r="L6" s="37"/>
    </row>
    <row r="7" spans="1:12" x14ac:dyDescent="0.25">
      <c r="G7" s="1"/>
      <c r="H7" s="1"/>
      <c r="I7" s="1"/>
      <c r="K7" s="37"/>
      <c r="L7" s="37"/>
    </row>
    <row r="8" spans="1:12" x14ac:dyDescent="0.25">
      <c r="A8" t="s">
        <v>0</v>
      </c>
      <c r="G8" s="1" t="s">
        <v>70</v>
      </c>
      <c r="H8" s="1"/>
      <c r="I8" s="1" t="s">
        <v>71</v>
      </c>
      <c r="K8" s="19"/>
      <c r="L8" s="19"/>
    </row>
    <row r="9" spans="1:12" x14ac:dyDescent="0.25">
      <c r="A9" s="3" t="s">
        <v>1</v>
      </c>
      <c r="C9" s="9" t="s">
        <v>2</v>
      </c>
      <c r="G9" s="2" t="s">
        <v>5</v>
      </c>
      <c r="H9" s="34"/>
      <c r="I9" s="2" t="s">
        <v>5</v>
      </c>
      <c r="K9" s="20" t="s">
        <v>23</v>
      </c>
      <c r="L9" s="19"/>
    </row>
    <row r="10" spans="1:12" x14ac:dyDescent="0.25">
      <c r="K10" s="19"/>
      <c r="L10" s="19"/>
    </row>
    <row r="11" spans="1:12" ht="18" x14ac:dyDescent="0.4">
      <c r="C11" s="4" t="s">
        <v>44</v>
      </c>
      <c r="K11" s="19"/>
      <c r="L11" s="19"/>
    </row>
    <row r="12" spans="1:12" x14ac:dyDescent="0.25">
      <c r="A12">
        <v>1</v>
      </c>
      <c r="C12" t="s">
        <v>630</v>
      </c>
      <c r="G12">
        <f>GIS_Proj!I13</f>
        <v>-893</v>
      </c>
      <c r="I12">
        <f>GIS_Proj!K13</f>
        <v>-906</v>
      </c>
      <c r="K12" t="str">
        <f>GIS_Proj!O2</f>
        <v>Exhibit DMR-21</v>
      </c>
      <c r="L12" s="19"/>
    </row>
    <row r="13" spans="1:12" x14ac:dyDescent="0.25">
      <c r="A13">
        <v>2</v>
      </c>
      <c r="C13" s="40" t="s">
        <v>601</v>
      </c>
      <c r="G13">
        <v>-13191</v>
      </c>
      <c r="K13" s="31" t="s">
        <v>198</v>
      </c>
      <c r="L13" s="19"/>
    </row>
    <row r="14" spans="1:12" x14ac:dyDescent="0.25">
      <c r="A14" s="19">
        <v>3</v>
      </c>
      <c r="C14" t="s">
        <v>602</v>
      </c>
      <c r="I14">
        <v>-1250</v>
      </c>
      <c r="K14" s="31" t="s">
        <v>198</v>
      </c>
      <c r="L14" s="19"/>
    </row>
    <row r="15" spans="1:12" x14ac:dyDescent="0.25">
      <c r="A15" s="19">
        <v>4</v>
      </c>
      <c r="C15" t="s">
        <v>603</v>
      </c>
      <c r="I15">
        <v>-1940</v>
      </c>
      <c r="K15" s="31" t="s">
        <v>198</v>
      </c>
      <c r="L15" s="19"/>
    </row>
    <row r="16" spans="1:12" ht="16.5" thickBot="1" x14ac:dyDescent="0.3">
      <c r="A16">
        <v>5</v>
      </c>
      <c r="B16" s="19"/>
      <c r="C16" t="s">
        <v>48</v>
      </c>
      <c r="G16" s="24">
        <f>SUM(G12:G15)</f>
        <v>-14084</v>
      </c>
      <c r="H16" s="26"/>
      <c r="I16" s="24">
        <f>SUM(I12:I15)</f>
        <v>-4096</v>
      </c>
      <c r="K16" s="19"/>
      <c r="L16" s="19"/>
    </row>
    <row r="17" spans="1:12" ht="16.5" thickTop="1" x14ac:dyDescent="0.25">
      <c r="A17">
        <v>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ht="18" x14ac:dyDescent="0.4">
      <c r="A18" s="19">
        <v>7</v>
      </c>
      <c r="B18" s="19"/>
      <c r="C18" s="21" t="s">
        <v>58</v>
      </c>
      <c r="D18" s="19"/>
      <c r="E18" s="19"/>
      <c r="F18" s="19"/>
      <c r="G18" s="19"/>
      <c r="H18" s="19"/>
      <c r="I18" s="19"/>
      <c r="J18" s="19"/>
      <c r="K18" s="19"/>
      <c r="L18" s="19"/>
    </row>
    <row r="19" spans="1:12" x14ac:dyDescent="0.25">
      <c r="A19" s="19">
        <v>8</v>
      </c>
      <c r="B19" s="19"/>
      <c r="C19" t="s">
        <v>388</v>
      </c>
      <c r="D19" s="19"/>
      <c r="E19" s="19"/>
      <c r="F19" s="19"/>
      <c r="G19" s="22"/>
      <c r="H19" s="39"/>
      <c r="I19" s="22">
        <f>LP_UandU!G22</f>
        <v>-89885</v>
      </c>
      <c r="J19" s="19"/>
      <c r="K19" s="31" t="str">
        <f>LP_UandU!I4</f>
        <v>Page 9</v>
      </c>
      <c r="L19" s="19"/>
    </row>
    <row r="20" spans="1:12" ht="16.5" thickBot="1" x14ac:dyDescent="0.3">
      <c r="A20">
        <v>9</v>
      </c>
      <c r="B20" s="19"/>
      <c r="C20" t="s">
        <v>59</v>
      </c>
      <c r="D20" s="19"/>
      <c r="E20" s="19"/>
      <c r="F20" s="19"/>
      <c r="G20" s="23">
        <f>SUM(G19:G19)</f>
        <v>0</v>
      </c>
      <c r="H20" s="39"/>
      <c r="I20" s="23">
        <f>SUM(I19:I19)</f>
        <v>-89885</v>
      </c>
      <c r="J20" s="19"/>
      <c r="K20" s="31"/>
      <c r="L20" s="19"/>
    </row>
    <row r="21" spans="1:12" ht="16.5" thickTop="1" x14ac:dyDescent="0.25">
      <c r="A21">
        <v>10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18" x14ac:dyDescent="0.4">
      <c r="A22" s="19">
        <v>11</v>
      </c>
      <c r="B22" s="19"/>
      <c r="C22" s="21" t="s">
        <v>43</v>
      </c>
      <c r="D22" s="19"/>
      <c r="E22" s="19"/>
      <c r="F22" s="19"/>
      <c r="G22" s="19"/>
      <c r="H22" s="19"/>
      <c r="I22" s="19"/>
      <c r="J22" s="19"/>
      <c r="K22" s="19"/>
      <c r="L22" s="19"/>
    </row>
    <row r="23" spans="1:12" x14ac:dyDescent="0.25">
      <c r="A23" s="19">
        <v>12</v>
      </c>
      <c r="B23" s="19"/>
      <c r="C23" t="s">
        <v>630</v>
      </c>
      <c r="G23">
        <f>LP_NOIadj!F25*0.5</f>
        <v>-74.5</v>
      </c>
      <c r="I23">
        <f>LP_NOIadj!H25*0.5</f>
        <v>-75.5</v>
      </c>
      <c r="L23" s="19"/>
    </row>
    <row r="24" spans="1:12" x14ac:dyDescent="0.25">
      <c r="A24">
        <v>13</v>
      </c>
      <c r="B24" s="19"/>
      <c r="C24" s="40" t="s">
        <v>601</v>
      </c>
      <c r="D24" s="19"/>
      <c r="E24" s="19"/>
      <c r="F24" s="19"/>
      <c r="G24" s="19">
        <v>-15945</v>
      </c>
      <c r="H24" s="19"/>
      <c r="I24" s="19"/>
      <c r="J24" s="19"/>
      <c r="K24" s="31" t="s">
        <v>198</v>
      </c>
      <c r="L24" s="19"/>
    </row>
    <row r="25" spans="1:12" x14ac:dyDescent="0.25">
      <c r="A25">
        <v>14</v>
      </c>
      <c r="B25" s="19"/>
      <c r="C25" t="s">
        <v>602</v>
      </c>
      <c r="D25" s="19"/>
      <c r="E25" s="19"/>
      <c r="F25" s="19"/>
      <c r="G25" s="19"/>
      <c r="H25" s="19"/>
      <c r="I25" s="19">
        <v>-1314</v>
      </c>
      <c r="J25" s="19"/>
      <c r="K25" s="31" t="s">
        <v>198</v>
      </c>
      <c r="L25" s="19"/>
    </row>
    <row r="26" spans="1:12" x14ac:dyDescent="0.25">
      <c r="A26">
        <v>15</v>
      </c>
      <c r="B26" s="19"/>
      <c r="C26" t="s">
        <v>603</v>
      </c>
      <c r="D26" s="19"/>
      <c r="E26" s="19"/>
      <c r="F26" s="19"/>
      <c r="G26" s="19"/>
      <c r="H26" s="19"/>
      <c r="I26" s="19">
        <v>-2080</v>
      </c>
      <c r="J26" s="19"/>
      <c r="K26" s="31" t="s">
        <v>198</v>
      </c>
      <c r="L26" s="19"/>
    </row>
    <row r="27" spans="1:12" ht="16.5" thickBot="1" x14ac:dyDescent="0.3">
      <c r="A27" s="19">
        <v>16</v>
      </c>
      <c r="B27" s="19"/>
      <c r="C27" s="20" t="s">
        <v>47</v>
      </c>
      <c r="D27" s="19"/>
      <c r="E27" s="19"/>
      <c r="F27" s="19"/>
      <c r="G27" s="23">
        <f>SUM(G23:G26)</f>
        <v>-16019.5</v>
      </c>
      <c r="H27" s="39"/>
      <c r="I27" s="23">
        <f>SUM(I23:I26)</f>
        <v>-3469.5</v>
      </c>
      <c r="J27" s="19"/>
      <c r="K27" s="19"/>
      <c r="L27" s="19"/>
    </row>
    <row r="28" spans="1:12" ht="16.5" thickTop="1" x14ac:dyDescent="0.25">
      <c r="A28" s="19">
        <v>17</v>
      </c>
      <c r="B28" s="19"/>
      <c r="C28" s="20"/>
      <c r="D28" s="19"/>
      <c r="E28" s="19"/>
      <c r="F28" s="19"/>
      <c r="G28" s="19"/>
      <c r="H28" s="19"/>
      <c r="I28" s="19"/>
      <c r="J28" s="19"/>
      <c r="K28" s="19"/>
      <c r="L28" s="19"/>
    </row>
    <row r="29" spans="1:12" ht="18" x14ac:dyDescent="0.4">
      <c r="A29">
        <v>18</v>
      </c>
      <c r="B29" s="19"/>
      <c r="C29" s="21" t="s">
        <v>51</v>
      </c>
      <c r="D29" s="19"/>
      <c r="E29" s="19"/>
      <c r="F29" s="19"/>
      <c r="G29" s="19"/>
      <c r="H29" s="19"/>
      <c r="I29" s="19"/>
      <c r="J29" s="19"/>
      <c r="K29" s="19"/>
      <c r="L29" s="19"/>
    </row>
    <row r="30" spans="1:12" x14ac:dyDescent="0.25">
      <c r="A30">
        <v>19</v>
      </c>
      <c r="B30" s="19"/>
      <c r="C30" s="19"/>
      <c r="D30" s="19"/>
      <c r="E30" s="19"/>
      <c r="F30" s="19"/>
      <c r="G30" s="22"/>
      <c r="H30" s="39"/>
      <c r="I30" s="22"/>
      <c r="J30" s="19"/>
      <c r="K30" s="19"/>
      <c r="L30" s="19"/>
    </row>
    <row r="31" spans="1:12" ht="16.5" thickBot="1" x14ac:dyDescent="0.3">
      <c r="A31" s="19">
        <v>20</v>
      </c>
      <c r="C31" s="20" t="s">
        <v>52</v>
      </c>
      <c r="D31" s="19"/>
      <c r="E31" s="19"/>
      <c r="F31" s="19"/>
      <c r="G31" s="23">
        <f>SUM(G30:G30)</f>
        <v>0</v>
      </c>
      <c r="H31" s="39"/>
      <c r="I31" s="23">
        <f>SUM(I30:I30)</f>
        <v>0</v>
      </c>
      <c r="J31" s="19"/>
      <c r="K31" s="19"/>
    </row>
    <row r="32" spans="1:12" ht="16.5" thickTop="1" x14ac:dyDescent="0.25"/>
  </sheetData>
  <pageMargins left="0.7" right="0.7" top="0.75" bottom="0.75" header="0.3" footer="0.3"/>
  <pageSetup scale="75" orientation="portrait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workbookViewId="0">
      <selection activeCell="I18" sqref="I18"/>
    </sheetView>
  </sheetViews>
  <sheetFormatPr defaultRowHeight="15.75" x14ac:dyDescent="0.25"/>
  <cols>
    <col min="1" max="1" width="4.25" customWidth="1"/>
    <col min="2" max="2" width="1.375" customWidth="1"/>
    <col min="3" max="3" width="22" customWidth="1"/>
    <col min="4" max="4" width="1.125" customWidth="1"/>
    <col min="5" max="5" width="10.125" customWidth="1"/>
    <col min="6" max="6" width="1.125" customWidth="1"/>
    <col min="7" max="7" width="9.625" customWidth="1"/>
    <col min="8" max="8" width="1.125" customWidth="1"/>
    <col min="9" max="9" width="10.625" customWidth="1"/>
    <col min="10" max="10" width="0.75" customWidth="1"/>
    <col min="11" max="11" width="10" customWidth="1"/>
    <col min="12" max="12" width="0.75" customWidth="1"/>
    <col min="13" max="13" width="9.625" customWidth="1"/>
    <col min="14" max="14" width="0.75" customWidth="1"/>
    <col min="15" max="15" width="9.75" customWidth="1"/>
    <col min="16" max="16" width="0.75" customWidth="1"/>
    <col min="17" max="17" width="12.5" customWidth="1"/>
    <col min="18" max="18" width="5.625" customWidth="1"/>
  </cols>
  <sheetData>
    <row r="1" spans="1:18" x14ac:dyDescent="0.25">
      <c r="A1" t="str">
        <f>CL_wRR!A1</f>
        <v>Utilities, Inc. of Florida</v>
      </c>
      <c r="Q1" s="37"/>
      <c r="R1" s="33" t="str">
        <f>ExhDR6_LP_TOC!$E$1</f>
        <v>Docket No. 160101-WS</v>
      </c>
    </row>
    <row r="2" spans="1:18" x14ac:dyDescent="0.25">
      <c r="A2" t="s">
        <v>121</v>
      </c>
      <c r="Q2" s="37"/>
      <c r="R2" s="33" t="str">
        <f>ExhDR6_LP_TOC!$E$2</f>
        <v>Exhibit DMR-6</v>
      </c>
    </row>
    <row r="3" spans="1:18" x14ac:dyDescent="0.25">
      <c r="A3" t="str">
        <f>CL_wRR!A3</f>
        <v>Test Year Ended December 31, 2015</v>
      </c>
      <c r="Q3" s="37"/>
      <c r="R3" s="33" t="str">
        <f>ExhDR6_LP_TOC!$E$3</f>
        <v>Lake Placid Revenue Requirement</v>
      </c>
    </row>
    <row r="4" spans="1:18" x14ac:dyDescent="0.25">
      <c r="Q4" s="38" t="s">
        <v>222</v>
      </c>
      <c r="R4" s="33" t="str">
        <f>ExhDR6_LP_TOC!$E$4</f>
        <v>of 9</v>
      </c>
    </row>
    <row r="5" spans="1:18" x14ac:dyDescent="0.25">
      <c r="A5" t="s">
        <v>199</v>
      </c>
    </row>
    <row r="9" spans="1:18" x14ac:dyDescent="0.25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8</v>
      </c>
    </row>
    <row r="10" spans="1:18" ht="18" x14ac:dyDescent="0.4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205</v>
      </c>
    </row>
    <row r="11" spans="1:18" x14ac:dyDescent="0.25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25">
      <c r="A13">
        <v>1</v>
      </c>
      <c r="C13" t="s">
        <v>206</v>
      </c>
      <c r="E13">
        <v>130743</v>
      </c>
      <c r="G13" s="64">
        <f>E13/$E$20</f>
        <v>0.4621608724084908</v>
      </c>
      <c r="I13">
        <f>K13-E13</f>
        <v>-44252.168310305846</v>
      </c>
      <c r="K13">
        <f>($K$20-$K$16-$K$17-$K$18)*(E13/SUM($E$13:$E$15))</f>
        <v>86490.831689694154</v>
      </c>
      <c r="M13" s="64">
        <f>K13/$K$20</f>
        <v>0.46157984678030822</v>
      </c>
      <c r="O13" s="64">
        <v>6.7000000000000004E-2</v>
      </c>
      <c r="P13" s="8"/>
      <c r="Q13" s="64">
        <f>M13*O13</f>
        <v>3.0925849734280652E-2</v>
      </c>
    </row>
    <row r="14" spans="1:18" x14ac:dyDescent="0.25">
      <c r="A14">
        <v>2</v>
      </c>
      <c r="C14" t="s">
        <v>207</v>
      </c>
      <c r="E14">
        <v>12417</v>
      </c>
      <c r="G14" s="64">
        <f t="shared" ref="G14:G18" si="0">E14/$E$20</f>
        <v>4.3892610332455506E-2</v>
      </c>
      <c r="I14">
        <f t="shared" ref="I14:I15" si="1">K14-E14</f>
        <v>-4202.7425859056912</v>
      </c>
      <c r="K14">
        <f t="shared" ref="K14:K15" si="2">($K$20-$K$16-$K$17-$K$18)*(E14/SUM($E$13:$E$15))</f>
        <v>8214.2574140943088</v>
      </c>
      <c r="M14" s="64">
        <f t="shared" ref="M14:M18" si="3">K14/$K$20</f>
        <v>4.3837428829620606E-2</v>
      </c>
      <c r="O14" s="8">
        <v>2.3199999999999998E-2</v>
      </c>
      <c r="P14" s="8"/>
      <c r="Q14" s="64">
        <f t="shared" ref="Q14:Q18" si="4">M14*O14</f>
        <v>1.017028348847198E-3</v>
      </c>
    </row>
    <row r="15" spans="1:18" x14ac:dyDescent="0.25">
      <c r="A15">
        <v>3</v>
      </c>
      <c r="C15" t="s">
        <v>208</v>
      </c>
      <c r="E15">
        <v>139039</v>
      </c>
      <c r="G15" s="64">
        <f t="shared" si="0"/>
        <v>0.49148624047791584</v>
      </c>
      <c r="I15">
        <f t="shared" si="1"/>
        <v>-47060.089103788458</v>
      </c>
      <c r="K15">
        <f t="shared" si="2"/>
        <v>91978.910896211542</v>
      </c>
      <c r="M15" s="64">
        <f t="shared" si="3"/>
        <v>0.49086834718866229</v>
      </c>
      <c r="O15" s="8">
        <v>0.104</v>
      </c>
      <c r="P15" s="8"/>
      <c r="Q15" s="64">
        <f t="shared" si="4"/>
        <v>5.1050308107620873E-2</v>
      </c>
    </row>
    <row r="16" spans="1:18" x14ac:dyDescent="0.25">
      <c r="A16">
        <v>4</v>
      </c>
      <c r="C16" t="s">
        <v>209</v>
      </c>
      <c r="E16">
        <v>696</v>
      </c>
      <c r="G16" s="64">
        <f t="shared" si="0"/>
        <v>2.4602767811378779E-3</v>
      </c>
      <c r="K16">
        <f>E16+I16</f>
        <v>696</v>
      </c>
      <c r="M16" s="64">
        <f t="shared" si="3"/>
        <v>3.7143772014089018E-3</v>
      </c>
      <c r="O16" s="8">
        <v>0.02</v>
      </c>
      <c r="P16" s="8"/>
      <c r="Q16" s="64">
        <f t="shared" si="4"/>
        <v>7.4287544028178032E-5</v>
      </c>
    </row>
    <row r="17" spans="1:17" x14ac:dyDescent="0.25">
      <c r="A17">
        <v>5</v>
      </c>
      <c r="C17" t="s">
        <v>210</v>
      </c>
      <c r="E17">
        <v>0</v>
      </c>
      <c r="G17" s="64">
        <f t="shared" si="0"/>
        <v>0</v>
      </c>
      <c r="K17">
        <f>E17+I17</f>
        <v>0</v>
      </c>
      <c r="M17" s="64">
        <f t="shared" si="3"/>
        <v>0</v>
      </c>
      <c r="O17" s="8">
        <v>0</v>
      </c>
      <c r="P17" s="8"/>
      <c r="Q17" s="64">
        <f t="shared" si="4"/>
        <v>0</v>
      </c>
    </row>
    <row r="18" spans="1:17" x14ac:dyDescent="0.25">
      <c r="A18">
        <v>6</v>
      </c>
      <c r="C18" t="s">
        <v>211</v>
      </c>
      <c r="E18" s="81">
        <v>0</v>
      </c>
      <c r="G18" s="68">
        <f t="shared" si="0"/>
        <v>0</v>
      </c>
      <c r="K18" s="3">
        <f>E18+I18</f>
        <v>0</v>
      </c>
      <c r="M18" s="68">
        <f t="shared" si="3"/>
        <v>0</v>
      </c>
      <c r="O18" s="8">
        <v>0</v>
      </c>
      <c r="P18" s="8"/>
      <c r="Q18" s="68">
        <f t="shared" si="4"/>
        <v>0</v>
      </c>
    </row>
    <row r="20" spans="1:17" x14ac:dyDescent="0.25">
      <c r="A20">
        <v>7</v>
      </c>
      <c r="C20" t="s">
        <v>189</v>
      </c>
      <c r="E20">
        <f>SUM(E13:E19)</f>
        <v>282895</v>
      </c>
      <c r="G20" s="8">
        <f>SUM(G13:G19)</f>
        <v>1</v>
      </c>
      <c r="K20">
        <f>LP_wRB!I23+LP_wwRB!I23</f>
        <v>187380</v>
      </c>
      <c r="M20" s="8">
        <f>SUM(M13:M19)</f>
        <v>1.0000000000000002</v>
      </c>
      <c r="Q20" s="8">
        <f>ROUND(SUM(Q13:Q19),4)</f>
        <v>8.3099999999999993E-2</v>
      </c>
    </row>
    <row r="22" spans="1:17" ht="18" x14ac:dyDescent="0.4">
      <c r="C22" s="4" t="s">
        <v>50</v>
      </c>
    </row>
    <row r="23" spans="1:17" x14ac:dyDescent="0.25">
      <c r="C23" t="s">
        <v>217</v>
      </c>
    </row>
    <row r="24" spans="1:17" x14ac:dyDescent="0.25">
      <c r="C24" t="s">
        <v>220</v>
      </c>
    </row>
    <row r="25" spans="1:17" x14ac:dyDescent="0.25">
      <c r="C25" t="s">
        <v>221</v>
      </c>
    </row>
  </sheetData>
  <pageMargins left="0.7" right="0.7" top="0.75" bottom="0.75" header="0.3" footer="0.3"/>
  <pageSetup scale="75" orientation="portrait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C31" sqref="C31"/>
    </sheetView>
  </sheetViews>
  <sheetFormatPr defaultRowHeight="15.75" x14ac:dyDescent="0.25"/>
  <cols>
    <col min="1" max="1" width="4.5" customWidth="1"/>
    <col min="2" max="2" width="1.375" customWidth="1"/>
    <col min="3" max="3" width="44.625" customWidth="1"/>
    <col min="4" max="4" width="4.375" customWidth="1"/>
    <col min="5" max="5" width="11.625" customWidth="1"/>
    <col min="6" max="6" width="1.625" customWidth="1"/>
    <col min="7" max="7" width="11.125" customWidth="1"/>
    <col min="8" max="8" width="1.375" customWidth="1"/>
    <col min="9" max="9" width="9.25" bestFit="1" customWidth="1"/>
    <col min="10" max="10" width="5" customWidth="1"/>
  </cols>
  <sheetData>
    <row r="1" spans="1:10" x14ac:dyDescent="0.25">
      <c r="A1" t="str">
        <f>CL_wRR!A1</f>
        <v>Utilities, Inc. of Florida</v>
      </c>
      <c r="I1" s="37"/>
      <c r="J1" s="33" t="str">
        <f>ExhDR6_LP_TOC!$E$1</f>
        <v>Docket No. 160101-WS</v>
      </c>
    </row>
    <row r="2" spans="1:10" x14ac:dyDescent="0.25">
      <c r="A2" t="s">
        <v>121</v>
      </c>
      <c r="I2" s="37"/>
      <c r="J2" s="33" t="str">
        <f>ExhDR6_LP_TOC!$E$2</f>
        <v>Exhibit DMR-6</v>
      </c>
    </row>
    <row r="3" spans="1:10" x14ac:dyDescent="0.25">
      <c r="A3" t="str">
        <f>CL_wRR!A3</f>
        <v>Test Year Ended December 31, 2015</v>
      </c>
      <c r="I3" s="37"/>
      <c r="J3" s="33" t="str">
        <f>ExhDR6_LP_TOC!$E$3</f>
        <v>Lake Placid Revenue Requirement</v>
      </c>
    </row>
    <row r="4" spans="1:10" x14ac:dyDescent="0.25">
      <c r="I4" s="38" t="s">
        <v>345</v>
      </c>
      <c r="J4" s="33" t="str">
        <f>ExhDR6_LP_TOC!$E$4</f>
        <v>of 9</v>
      </c>
    </row>
    <row r="5" spans="1:10" x14ac:dyDescent="0.25">
      <c r="A5" t="s">
        <v>236</v>
      </c>
    </row>
    <row r="9" spans="1:10" x14ac:dyDescent="0.25">
      <c r="A9" t="s">
        <v>0</v>
      </c>
      <c r="E9" s="1"/>
      <c r="F9" s="1"/>
      <c r="G9" s="1" t="s">
        <v>240</v>
      </c>
      <c r="I9" t="s">
        <v>241</v>
      </c>
    </row>
    <row r="10" spans="1:10" x14ac:dyDescent="0.25">
      <c r="A10" s="3" t="s">
        <v>1</v>
      </c>
      <c r="C10" s="3" t="s">
        <v>237</v>
      </c>
      <c r="E10" s="2" t="s">
        <v>239</v>
      </c>
      <c r="F10" s="1"/>
      <c r="G10" s="2" t="s">
        <v>241</v>
      </c>
      <c r="I10" s="3" t="s">
        <v>242</v>
      </c>
    </row>
    <row r="11" spans="1:10" x14ac:dyDescent="0.25">
      <c r="A11" s="26"/>
      <c r="C11" s="26"/>
      <c r="E11" s="34"/>
      <c r="F11" s="1"/>
      <c r="G11" s="34"/>
      <c r="I11" s="26"/>
    </row>
    <row r="12" spans="1:10" ht="18" x14ac:dyDescent="0.4">
      <c r="C12" s="50" t="s">
        <v>312</v>
      </c>
    </row>
    <row r="13" spans="1:10" x14ac:dyDescent="0.25">
      <c r="A13">
        <v>1</v>
      </c>
      <c r="C13" s="6" t="s">
        <v>435</v>
      </c>
      <c r="E13">
        <v>21665</v>
      </c>
    </row>
    <row r="14" spans="1:10" x14ac:dyDescent="0.25">
      <c r="A14">
        <v>2</v>
      </c>
      <c r="C14" s="74" t="s">
        <v>306</v>
      </c>
      <c r="E14">
        <v>237176</v>
      </c>
      <c r="G14">
        <v>-158856</v>
      </c>
      <c r="I14">
        <v>7455</v>
      </c>
    </row>
    <row r="15" spans="1:10" x14ac:dyDescent="0.25">
      <c r="A15">
        <v>3</v>
      </c>
      <c r="C15" s="6" t="s">
        <v>308</v>
      </c>
      <c r="E15">
        <v>55927</v>
      </c>
      <c r="G15">
        <v>-28422</v>
      </c>
      <c r="I15">
        <v>3105</v>
      </c>
    </row>
    <row r="16" spans="1:10" x14ac:dyDescent="0.25">
      <c r="A16">
        <v>4</v>
      </c>
      <c r="C16" s="6" t="s">
        <v>309</v>
      </c>
      <c r="E16">
        <v>392</v>
      </c>
      <c r="G16">
        <v>141</v>
      </c>
      <c r="I16">
        <v>6</v>
      </c>
    </row>
    <row r="17" spans="1:10" x14ac:dyDescent="0.25">
      <c r="A17">
        <v>5</v>
      </c>
      <c r="C17" s="6" t="s">
        <v>368</v>
      </c>
      <c r="E17" s="3">
        <v>0</v>
      </c>
      <c r="G17" s="3">
        <v>0</v>
      </c>
      <c r="I17" s="3">
        <v>0</v>
      </c>
      <c r="J17" s="6" t="s">
        <v>212</v>
      </c>
    </row>
    <row r="18" spans="1:10" x14ac:dyDescent="0.25">
      <c r="A18">
        <v>6</v>
      </c>
      <c r="C18" t="s">
        <v>324</v>
      </c>
      <c r="E18">
        <f>SUM(E13:E17)</f>
        <v>315160</v>
      </c>
      <c r="G18">
        <f>SUM(G14:G17)</f>
        <v>-187137</v>
      </c>
      <c r="I18">
        <f>SUM(I14:I17)</f>
        <v>10566</v>
      </c>
    </row>
    <row r="19" spans="1:10" x14ac:dyDescent="0.25">
      <c r="A19">
        <v>7</v>
      </c>
      <c r="C19" t="s">
        <v>245</v>
      </c>
      <c r="E19" s="68">
        <f>1-0.2979</f>
        <v>0.70209999999999995</v>
      </c>
      <c r="G19" s="68">
        <f>1-0.2979</f>
        <v>0.70209999999999995</v>
      </c>
      <c r="I19" s="68">
        <f>1-0.2979</f>
        <v>0.70209999999999995</v>
      </c>
    </row>
    <row r="20" spans="1:10" x14ac:dyDescent="0.25">
      <c r="A20">
        <v>8</v>
      </c>
      <c r="C20" t="s">
        <v>246</v>
      </c>
      <c r="E20" s="73">
        <f>ROUND(E18*E19,0)</f>
        <v>221274</v>
      </c>
      <c r="G20" s="73">
        <f>ROUND(G18*G19,0)</f>
        <v>-131389</v>
      </c>
      <c r="I20" s="73">
        <f>ROUND(I18*I19,0)</f>
        <v>7418</v>
      </c>
    </row>
    <row r="22" spans="1:10" ht="16.5" thickBot="1" x14ac:dyDescent="0.3">
      <c r="A22">
        <v>9</v>
      </c>
      <c r="C22" t="s">
        <v>244</v>
      </c>
      <c r="G22" s="70">
        <f>-(E20+G20)</f>
        <v>-89885</v>
      </c>
    </row>
    <row r="23" spans="1:10" ht="16.5" thickTop="1" x14ac:dyDescent="0.25"/>
    <row r="24" spans="1:10" ht="16.5" thickBot="1" x14ac:dyDescent="0.3">
      <c r="A24">
        <v>10</v>
      </c>
      <c r="C24" t="s">
        <v>247</v>
      </c>
      <c r="I24" s="70">
        <f>-I20</f>
        <v>-7418</v>
      </c>
    </row>
    <row r="25" spans="1:10" ht="16.5" thickTop="1" x14ac:dyDescent="0.25"/>
    <row r="27" spans="1:10" ht="18" x14ac:dyDescent="0.4">
      <c r="C27" s="4" t="s">
        <v>50</v>
      </c>
    </row>
    <row r="28" spans="1:10" x14ac:dyDescent="0.25">
      <c r="C28" t="s">
        <v>342</v>
      </c>
    </row>
    <row r="29" spans="1:10" x14ac:dyDescent="0.25">
      <c r="C29" t="s">
        <v>343</v>
      </c>
    </row>
    <row r="30" spans="1:10" x14ac:dyDescent="0.25">
      <c r="C30" s="6" t="s">
        <v>689</v>
      </c>
    </row>
    <row r="31" spans="1:10" x14ac:dyDescent="0.25">
      <c r="C31" t="s">
        <v>688</v>
      </c>
    </row>
  </sheetData>
  <pageMargins left="0.7" right="0.7" top="0.75" bottom="0.75" header="0.3" footer="0.3"/>
  <pageSetup scale="89" orientation="portrait" horizontalDpi="0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P34"/>
  <sheetViews>
    <sheetView workbookViewId="0">
      <selection activeCell="E5" sqref="E5"/>
    </sheetView>
  </sheetViews>
  <sheetFormatPr defaultRowHeight="15.75" x14ac:dyDescent="0.25"/>
  <cols>
    <col min="1" max="1" width="8.125" customWidth="1"/>
    <col min="2" max="2" width="1.875" customWidth="1"/>
    <col min="3" max="3" width="45.625" customWidth="1"/>
    <col min="4" max="4" width="13.375" customWidth="1"/>
    <col min="5" max="5" width="4.875" customWidth="1"/>
    <col min="6" max="6" width="10.875" customWidth="1"/>
    <col min="7" max="7" width="2.125" customWidth="1"/>
    <col min="8" max="8" width="10.375" bestFit="1" customWidth="1"/>
    <col min="9" max="9" width="1.375" customWidth="1"/>
    <col min="10" max="10" width="10.125" customWidth="1"/>
    <col min="11" max="11" width="1.125" customWidth="1"/>
    <col min="12" max="12" width="11.25" customWidth="1"/>
    <col min="13" max="13" width="1.75" customWidth="1"/>
    <col min="14" max="14" width="10" customWidth="1"/>
    <col min="15" max="15" width="5.125" customWidth="1"/>
  </cols>
  <sheetData>
    <row r="1" spans="1:16" x14ac:dyDescent="0.25">
      <c r="A1" t="s">
        <v>61</v>
      </c>
      <c r="E1" s="33" t="s">
        <v>64</v>
      </c>
      <c r="F1" s="26"/>
      <c r="G1" s="26"/>
      <c r="H1" s="26"/>
      <c r="I1" s="26"/>
      <c r="J1" s="26"/>
      <c r="K1" s="26"/>
      <c r="L1" s="26"/>
      <c r="M1" s="26"/>
      <c r="N1" s="26"/>
      <c r="O1" s="48"/>
      <c r="P1" s="26"/>
    </row>
    <row r="2" spans="1:16" x14ac:dyDescent="0.25">
      <c r="A2" t="s">
        <v>129</v>
      </c>
      <c r="E2" s="33" t="s">
        <v>130</v>
      </c>
      <c r="F2" s="26"/>
      <c r="G2" s="26"/>
      <c r="H2" s="26"/>
      <c r="I2" s="26"/>
      <c r="J2" s="26"/>
      <c r="K2" s="26"/>
      <c r="L2" s="26"/>
      <c r="M2" s="26"/>
      <c r="N2" s="26"/>
      <c r="O2" s="48"/>
      <c r="P2" s="26"/>
    </row>
    <row r="3" spans="1:16" x14ac:dyDescent="0.25">
      <c r="A3" t="s">
        <v>86</v>
      </c>
      <c r="E3" s="33" t="s">
        <v>131</v>
      </c>
      <c r="F3" s="26"/>
      <c r="G3" s="26"/>
      <c r="H3" s="26"/>
      <c r="I3" s="26"/>
      <c r="J3" s="26"/>
      <c r="K3" s="26"/>
      <c r="L3" s="26"/>
      <c r="M3" s="26"/>
      <c r="N3" s="26"/>
      <c r="O3" s="48"/>
      <c r="P3" s="26"/>
    </row>
    <row r="4" spans="1:16" x14ac:dyDescent="0.25">
      <c r="D4" s="33" t="s">
        <v>67</v>
      </c>
      <c r="E4" s="33" t="s">
        <v>560</v>
      </c>
      <c r="F4" s="26"/>
      <c r="G4" s="26"/>
      <c r="H4" s="26"/>
      <c r="I4" s="26"/>
      <c r="J4" s="26"/>
      <c r="K4" s="26"/>
      <c r="L4" s="26"/>
      <c r="M4" s="26"/>
      <c r="N4" s="48"/>
      <c r="O4" s="48"/>
      <c r="P4" s="26"/>
    </row>
    <row r="5" spans="1:16" x14ac:dyDescent="0.25">
      <c r="A5" t="s">
        <v>63</v>
      </c>
      <c r="F5" s="26"/>
      <c r="G5" s="26"/>
      <c r="H5" s="26"/>
      <c r="I5" s="26"/>
      <c r="J5" s="26"/>
      <c r="K5" s="26"/>
      <c r="L5" s="26"/>
      <c r="M5" s="26"/>
      <c r="N5" s="48"/>
      <c r="O5" s="26"/>
      <c r="P5" s="26"/>
    </row>
    <row r="6" spans="1:16" x14ac:dyDescent="0.25"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5">
      <c r="F7" s="49"/>
      <c r="G7" s="34"/>
      <c r="H7" s="49"/>
      <c r="I7" s="34"/>
      <c r="J7" s="49"/>
      <c r="K7" s="34"/>
      <c r="L7" s="49"/>
      <c r="M7" s="34"/>
      <c r="N7" s="49"/>
      <c r="O7" s="26"/>
      <c r="P7" s="26"/>
    </row>
    <row r="8" spans="1:16" x14ac:dyDescent="0.25">
      <c r="A8" s="3" t="s">
        <v>84</v>
      </c>
      <c r="B8" s="3"/>
      <c r="C8" s="3" t="s">
        <v>85</v>
      </c>
      <c r="D8" s="3"/>
      <c r="E8" s="3"/>
      <c r="F8" s="34"/>
      <c r="G8" s="26"/>
      <c r="H8" s="26"/>
      <c r="I8" s="26"/>
      <c r="J8" s="26"/>
      <c r="K8" s="26"/>
      <c r="L8" s="34"/>
      <c r="M8" s="26"/>
      <c r="N8" s="26"/>
      <c r="O8" s="26"/>
      <c r="P8" s="26"/>
    </row>
    <row r="9" spans="1:16" x14ac:dyDescent="0.25">
      <c r="A9" s="26"/>
      <c r="B9" s="26"/>
      <c r="C9" s="26"/>
      <c r="D9" s="34"/>
      <c r="E9" s="26"/>
      <c r="F9" s="34"/>
      <c r="G9" s="26"/>
      <c r="H9" s="26"/>
      <c r="I9" s="26"/>
      <c r="J9" s="34"/>
      <c r="K9" s="26"/>
      <c r="L9" s="34"/>
      <c r="M9" s="26"/>
      <c r="N9" s="26"/>
      <c r="O9" s="26"/>
      <c r="P9" s="26"/>
    </row>
    <row r="10" spans="1:16" ht="18" x14ac:dyDescent="0.4">
      <c r="A10" s="58" t="str">
        <f>LW_wwRR!N4</f>
        <v>Page 2</v>
      </c>
      <c r="B10" s="26"/>
      <c r="C10" s="58" t="str">
        <f>LW_wwRR!A5</f>
        <v>Calculation of Revenue Requirement - Wastewater</v>
      </c>
      <c r="D10" s="34"/>
      <c r="E10" s="26"/>
      <c r="F10" s="34"/>
      <c r="G10" s="26"/>
      <c r="H10" s="34"/>
      <c r="I10" s="26"/>
      <c r="J10" s="34"/>
      <c r="K10" s="26"/>
      <c r="L10" s="34"/>
      <c r="M10" s="26"/>
      <c r="N10" s="50"/>
      <c r="O10" s="26"/>
      <c r="P10" s="26"/>
    </row>
    <row r="11" spans="1:16" x14ac:dyDescent="0.25">
      <c r="A11" s="26" t="str">
        <f>LW_NOIadj!G4</f>
        <v>Page 3</v>
      </c>
      <c r="B11" s="26"/>
      <c r="C11" s="26" t="str">
        <f>LW_NOIadj!A5</f>
        <v>Schedule of Adjustments to Operating Income</v>
      </c>
      <c r="D11" s="34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 x14ac:dyDescent="0.25">
      <c r="A12" s="26" t="str">
        <f>LW_wwRB!I4</f>
        <v>Page 4</v>
      </c>
      <c r="B12" s="26"/>
      <c r="C12" s="26" t="str">
        <f>LW_wwRB!A5</f>
        <v>Rate Base - Wastewater</v>
      </c>
      <c r="D12" s="26"/>
      <c r="E12" s="26"/>
      <c r="F12" s="5"/>
      <c r="G12" s="51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5">
      <c r="A13" s="26" t="str">
        <f>LW_RBadj!H4</f>
        <v>Page 5</v>
      </c>
      <c r="B13" s="26"/>
      <c r="C13" s="26" t="str">
        <f>LW_RBadj!A5</f>
        <v>Schedule of Adjustments to Rate Base</v>
      </c>
      <c r="D13" s="26"/>
      <c r="E13" s="26"/>
      <c r="F13" s="5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1:16" x14ac:dyDescent="0.25">
      <c r="A14" s="26" t="str">
        <f>LW_ROR!Q4</f>
        <v>Page 6</v>
      </c>
      <c r="B14" s="26"/>
      <c r="C14" s="26" t="str">
        <f>LW_ROR!A5</f>
        <v>Cost of Capital</v>
      </c>
      <c r="D14" s="26"/>
      <c r="E14" s="26"/>
      <c r="F14" s="5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16" x14ac:dyDescent="0.25">
      <c r="A15" s="26"/>
      <c r="B15" s="26"/>
      <c r="C15" s="26"/>
      <c r="D15" s="26"/>
      <c r="E15" s="26"/>
      <c r="F15" s="5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1:16" x14ac:dyDescent="0.25">
      <c r="A16" s="26"/>
      <c r="B16" s="26"/>
      <c r="C16" s="26"/>
      <c r="D16" s="26"/>
      <c r="E16" s="26"/>
      <c r="F16" s="5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1:16" x14ac:dyDescent="0.25">
      <c r="A17" s="26"/>
      <c r="B17" s="26"/>
      <c r="C17" s="26"/>
      <c r="D17" s="26"/>
      <c r="E17" s="26"/>
      <c r="F17" s="5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16" x14ac:dyDescent="0.25">
      <c r="A18" s="26"/>
      <c r="B18" s="26"/>
      <c r="C18" s="26"/>
      <c r="D18" s="26"/>
      <c r="E18" s="26"/>
      <c r="F18" s="5"/>
      <c r="G18" s="26"/>
      <c r="H18" s="26"/>
      <c r="I18" s="26"/>
      <c r="J18" s="26"/>
      <c r="K18" s="26"/>
      <c r="L18" s="52"/>
      <c r="M18" s="26"/>
      <c r="N18" s="26"/>
      <c r="O18" s="26"/>
      <c r="P18" s="26"/>
    </row>
    <row r="19" spans="1:16" x14ac:dyDescent="0.25">
      <c r="A19" s="26"/>
      <c r="B19" s="26"/>
      <c r="C19" s="26"/>
      <c r="D19" s="26"/>
      <c r="E19" s="26"/>
      <c r="F19" s="5"/>
      <c r="G19" s="26"/>
      <c r="H19" s="5"/>
      <c r="I19" s="26"/>
      <c r="J19" s="26"/>
      <c r="K19" s="26"/>
      <c r="L19" s="5"/>
      <c r="M19" s="26"/>
      <c r="N19" s="26"/>
      <c r="O19" s="26"/>
      <c r="P19" s="26"/>
    </row>
    <row r="20" spans="1:16" x14ac:dyDescent="0.25">
      <c r="A20" s="26"/>
      <c r="B20" s="26"/>
      <c r="C20" s="26"/>
      <c r="D20" s="26"/>
      <c r="E20" s="26"/>
      <c r="F20" s="5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1:16" x14ac:dyDescent="0.25">
      <c r="A21" s="26"/>
      <c r="B21" s="26"/>
      <c r="C21" s="26"/>
      <c r="D21" s="26"/>
      <c r="E21" s="26"/>
      <c r="F21" s="5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x14ac:dyDescent="0.25">
      <c r="A22" s="26"/>
      <c r="B22" s="26"/>
      <c r="C22" s="26"/>
      <c r="D22" s="26"/>
      <c r="E22" s="26"/>
      <c r="F22" s="5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1:16" x14ac:dyDescent="0.25">
      <c r="A23" s="26"/>
      <c r="B23" s="26"/>
      <c r="C23" s="26"/>
      <c r="D23" s="5"/>
      <c r="E23" s="26"/>
      <c r="F23" s="5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1:16" x14ac:dyDescent="0.25">
      <c r="A24" s="26"/>
      <c r="B24" s="26"/>
      <c r="C24" s="26"/>
      <c r="D24" s="26"/>
      <c r="E24" s="26"/>
      <c r="F24" s="5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1:16" x14ac:dyDescent="0.25">
      <c r="A25" s="26"/>
      <c r="B25" s="26"/>
      <c r="C25" s="26"/>
      <c r="D25" s="53"/>
      <c r="E25" s="26"/>
      <c r="F25" s="5"/>
      <c r="G25" s="26"/>
      <c r="H25" s="26"/>
      <c r="I25" s="26"/>
      <c r="J25" s="26"/>
      <c r="K25" s="26"/>
      <c r="L25" s="54"/>
      <c r="M25" s="26"/>
      <c r="N25" s="26"/>
      <c r="O25" s="26"/>
      <c r="P25" s="26"/>
    </row>
    <row r="26" spans="1:16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54"/>
      <c r="M26" s="26"/>
      <c r="N26" s="26"/>
      <c r="O26" s="26"/>
      <c r="P26" s="26"/>
    </row>
    <row r="27" spans="1:16" ht="18" x14ac:dyDescent="0.4">
      <c r="A27" s="26"/>
      <c r="B27" s="26"/>
      <c r="C27" s="50"/>
      <c r="D27" s="26"/>
      <c r="E27" s="26"/>
      <c r="F27" s="26"/>
      <c r="G27" s="26"/>
      <c r="H27" s="26"/>
      <c r="I27" s="26"/>
      <c r="J27" s="55"/>
      <c r="K27" s="26"/>
      <c r="L27" s="54"/>
      <c r="M27" s="26"/>
      <c r="N27" s="26"/>
      <c r="O27" s="26"/>
      <c r="P27" s="26"/>
    </row>
    <row r="28" spans="1:16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5"/>
      <c r="K28" s="26"/>
      <c r="L28" s="26"/>
      <c r="M28" s="26"/>
      <c r="N28" s="26"/>
      <c r="O28" s="26"/>
      <c r="P28" s="26"/>
    </row>
    <row r="29" spans="1:16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56"/>
      <c r="M29" s="26"/>
      <c r="N29" s="26"/>
      <c r="O29" s="26"/>
      <c r="P29" s="26"/>
    </row>
    <row r="30" spans="1:16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</row>
    <row r="31" spans="1:16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</row>
    <row r="32" spans="1:16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1:16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</row>
    <row r="34" spans="1:16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</row>
  </sheetData>
  <pageMargins left="0.7" right="0.7" top="0.75" bottom="0.75" header="0.3" footer="0.3"/>
  <pageSetup orientation="portrait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D33" sqref="D33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0.375" bestFit="1" customWidth="1"/>
    <col min="5" max="5" width="1.75" customWidth="1"/>
    <col min="6" max="6" width="10.875" customWidth="1"/>
    <col min="7" max="7" width="2.125" customWidth="1"/>
    <col min="8" max="8" width="10.375" bestFit="1" customWidth="1"/>
    <col min="9" max="9" width="1.375" customWidth="1"/>
    <col min="10" max="10" width="10.125" customWidth="1"/>
    <col min="11" max="11" width="1.125" customWidth="1"/>
    <col min="12" max="12" width="11.25" customWidth="1"/>
    <col min="13" max="13" width="1.75" customWidth="1"/>
    <col min="14" max="14" width="10" customWidth="1"/>
    <col min="15" max="15" width="5.125" customWidth="1"/>
  </cols>
  <sheetData>
    <row r="1" spans="1:15" x14ac:dyDescent="0.25">
      <c r="A1" t="s">
        <v>61</v>
      </c>
      <c r="O1" s="33" t="str">
        <f>ExhDR7_LW_TOC!$E$1</f>
        <v>Docket No. 160101-WS</v>
      </c>
    </row>
    <row r="2" spans="1:15" x14ac:dyDescent="0.25">
      <c r="A2" t="s">
        <v>129</v>
      </c>
      <c r="O2" s="33" t="str">
        <f>ExhDR7_LW_TOC!$E$2</f>
        <v>Exhibit DMR-7</v>
      </c>
    </row>
    <row r="3" spans="1:15" x14ac:dyDescent="0.25">
      <c r="A3" t="s">
        <v>63</v>
      </c>
      <c r="O3" s="33" t="str">
        <f>ExhDR7_LW_TOC!$E$3</f>
        <v>Longwood Revenue Requirement</v>
      </c>
    </row>
    <row r="4" spans="1:15" x14ac:dyDescent="0.25">
      <c r="N4" s="33" t="s">
        <v>77</v>
      </c>
      <c r="O4" s="33" t="str">
        <f>ExhDR7_LW_TOC!$E$4</f>
        <v>of 6</v>
      </c>
    </row>
    <row r="5" spans="1:15" x14ac:dyDescent="0.25">
      <c r="A5" t="s">
        <v>76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808813</v>
      </c>
      <c r="F12" s="29">
        <f>LW_NOIadj!E13</f>
        <v>0</v>
      </c>
      <c r="G12" s="6"/>
      <c r="H12">
        <f>SUM(D12:F12)</f>
        <v>808813</v>
      </c>
      <c r="J12">
        <f>((H23*L25)-H21)*1.67888</f>
        <v>35315.631763177938</v>
      </c>
      <c r="L12">
        <f>SUM(H12:J12)</f>
        <v>844128.63176317792</v>
      </c>
      <c r="N12" t="str">
        <f>LW_NOIadj!G4</f>
        <v>Page 3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437716</v>
      </c>
      <c r="F14" s="29">
        <f>LW_NOIadj!E20</f>
        <v>-9945</v>
      </c>
      <c r="H14">
        <f>SUM(D14:F14)</f>
        <v>427771</v>
      </c>
      <c r="L14">
        <f>SUM(H14:J14)</f>
        <v>427771</v>
      </c>
      <c r="N14" t="str">
        <f>N12</f>
        <v>Page 3</v>
      </c>
    </row>
    <row r="15" spans="1:15" x14ac:dyDescent="0.25">
      <c r="A15">
        <v>3</v>
      </c>
      <c r="C15" t="s">
        <v>17</v>
      </c>
      <c r="D15">
        <v>46630</v>
      </c>
      <c r="F15" s="29">
        <f>LW_NOIadj!E29</f>
        <v>70613</v>
      </c>
      <c r="H15">
        <f>SUM(D15:F15)</f>
        <v>117243</v>
      </c>
      <c r="L15">
        <f>SUM(H15:J15)</f>
        <v>117243</v>
      </c>
      <c r="N15" t="str">
        <f>N12</f>
        <v>Page 3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99619</v>
      </c>
      <c r="F17" s="29">
        <f>LW_NOIadj!E34</f>
        <v>-6431</v>
      </c>
      <c r="H17">
        <f>SUM(D17:F17)</f>
        <v>93188</v>
      </c>
      <c r="J17">
        <f>J12*0.045</f>
        <v>1589.2034293430072</v>
      </c>
      <c r="L17">
        <f>SUM(H17:J17)</f>
        <v>94777.203429343004</v>
      </c>
      <c r="N17" t="str">
        <f>N12</f>
        <v>Page 3</v>
      </c>
    </row>
    <row r="18" spans="1:14" x14ac:dyDescent="0.25">
      <c r="A18">
        <v>6</v>
      </c>
      <c r="C18" t="s">
        <v>19</v>
      </c>
      <c r="D18" s="3">
        <v>58714</v>
      </c>
      <c r="F18" s="29">
        <f>LW_NOIadj!E39</f>
        <v>-17077.922878575002</v>
      </c>
      <c r="H18" s="3">
        <f>SUM(D18:F18)</f>
        <v>41636.077121424998</v>
      </c>
      <c r="J18">
        <f>(J12-J17)*0.3763</f>
        <v>12691.254982022087</v>
      </c>
      <c r="L18" s="9">
        <f>SUM(H18:J18)</f>
        <v>54327.332103447086</v>
      </c>
    </row>
    <row r="19" spans="1:14" x14ac:dyDescent="0.25">
      <c r="A19">
        <v>7</v>
      </c>
      <c r="C19" t="s">
        <v>20</v>
      </c>
      <c r="D19">
        <f>SUM(D14:D18)</f>
        <v>642679</v>
      </c>
      <c r="F19" s="29"/>
      <c r="H19" s="5">
        <f>SUM(H14:H18)</f>
        <v>679838.07712142495</v>
      </c>
      <c r="L19" s="5">
        <f>SUM(L14:L18)</f>
        <v>694118.53553279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166134</v>
      </c>
      <c r="F21" s="29"/>
      <c r="H21">
        <f>H12-H19</f>
        <v>128974.92287857505</v>
      </c>
      <c r="L21">
        <f>H23*L25</f>
        <v>150010.15575000001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LW_wwRB!E23</f>
        <v>2702092</v>
      </c>
      <c r="F23" s="29">
        <f>H23-D23</f>
        <v>-347144.5</v>
      </c>
      <c r="H23">
        <f>LW_wwRB!I23</f>
        <v>2354947.5</v>
      </c>
      <c r="L23">
        <f>H23</f>
        <v>2354947.5</v>
      </c>
      <c r="N23" t="str">
        <f>LW_wwRB!I4</f>
        <v>Page 4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6.1483472805515131E-2</v>
      </c>
      <c r="F25" s="29"/>
      <c r="L25" s="8">
        <f>LW_ROR!Q20</f>
        <v>6.3700000000000007E-2</v>
      </c>
      <c r="N25" t="s">
        <v>83</v>
      </c>
    </row>
    <row r="26" spans="1:14" x14ac:dyDescent="0.25">
      <c r="L26" s="8"/>
    </row>
    <row r="27" spans="1:14" ht="18" x14ac:dyDescent="0.4">
      <c r="C27" s="4" t="s">
        <v>88</v>
      </c>
      <c r="J27" s="32"/>
      <c r="L27" s="8"/>
    </row>
    <row r="28" spans="1:14" x14ac:dyDescent="0.25">
      <c r="C28" t="s">
        <v>101</v>
      </c>
      <c r="J28" s="29"/>
    </row>
    <row r="29" spans="1:14" x14ac:dyDescent="0.25">
      <c r="L29" s="46"/>
    </row>
  </sheetData>
  <pageMargins left="0.7" right="0.7" top="0.75" bottom="0.75" header="0.3" footer="0.3"/>
  <pageSetup scale="75" orientation="portrait" horizontalDpi="0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opLeftCell="A13" workbookViewId="0">
      <selection activeCell="C46" sqref="C46"/>
    </sheetView>
  </sheetViews>
  <sheetFormatPr defaultRowHeight="15.75" x14ac:dyDescent="0.25"/>
  <cols>
    <col min="1" max="1" width="4.375" customWidth="1"/>
    <col min="2" max="2" width="1.625" customWidth="1"/>
    <col min="3" max="3" width="49.375" customWidth="1"/>
    <col min="4" max="4" width="7.5" customWidth="1"/>
    <col min="5" max="5" width="12.125" customWidth="1"/>
    <col min="6" max="6" width="1.375" customWidth="1"/>
    <col min="7" max="7" width="16.5" customWidth="1"/>
    <col min="8" max="8" width="5.25" customWidth="1"/>
  </cols>
  <sheetData>
    <row r="1" spans="1:8" x14ac:dyDescent="0.25">
      <c r="A1" t="str">
        <f>CL_wRR!A1</f>
        <v>Utilities, Inc. of Florida</v>
      </c>
      <c r="H1" s="33" t="str">
        <f>ExhDR7_LW_TOC!$E$1</f>
        <v>Docket No. 160101-WS</v>
      </c>
    </row>
    <row r="2" spans="1:8" x14ac:dyDescent="0.25">
      <c r="A2" t="s">
        <v>129</v>
      </c>
      <c r="H2" s="33" t="str">
        <f>ExhDR7_LW_TOC!$E$2</f>
        <v>Exhibit DMR-7</v>
      </c>
    </row>
    <row r="3" spans="1:8" x14ac:dyDescent="0.25">
      <c r="A3" t="str">
        <f>CL_wRR!A3</f>
        <v>Test Year Ended December 31, 2015</v>
      </c>
      <c r="H3" s="33" t="str">
        <f>ExhDR7_LW_TOC!$E$3</f>
        <v>Longwood Revenue Requirement</v>
      </c>
    </row>
    <row r="4" spans="1:8" x14ac:dyDescent="0.25">
      <c r="G4" s="33" t="s">
        <v>80</v>
      </c>
      <c r="H4" s="33" t="str">
        <f>ExhDR7_LW_TOC!$E$4</f>
        <v>of 6</v>
      </c>
    </row>
    <row r="5" spans="1:8" x14ac:dyDescent="0.25">
      <c r="A5" t="s">
        <v>45</v>
      </c>
    </row>
    <row r="8" spans="1:8" x14ac:dyDescent="0.25">
      <c r="A8" t="s">
        <v>0</v>
      </c>
      <c r="G8" s="1"/>
    </row>
    <row r="9" spans="1:8" ht="18" x14ac:dyDescent="0.4">
      <c r="A9" s="3" t="s">
        <v>1</v>
      </c>
      <c r="C9" s="4" t="s">
        <v>2</v>
      </c>
      <c r="E9" s="2" t="s">
        <v>5</v>
      </c>
      <c r="F9" s="34"/>
      <c r="G9" s="4" t="s">
        <v>23</v>
      </c>
    </row>
    <row r="11" spans="1:8" ht="18" x14ac:dyDescent="0.4">
      <c r="C11" s="4" t="s">
        <v>73</v>
      </c>
    </row>
    <row r="12" spans="1:8" x14ac:dyDescent="0.25">
      <c r="A12">
        <v>1</v>
      </c>
    </row>
    <row r="13" spans="1:8" ht="16.5" thickBot="1" x14ac:dyDescent="0.3">
      <c r="A13">
        <v>2</v>
      </c>
      <c r="C13" t="s">
        <v>111</v>
      </c>
      <c r="E13" s="24">
        <f>SUM(E12:E12)</f>
        <v>0</v>
      </c>
      <c r="F13" s="26"/>
    </row>
    <row r="14" spans="1:8" ht="16.5" thickTop="1" x14ac:dyDescent="0.25">
      <c r="A14">
        <v>3</v>
      </c>
    </row>
    <row r="15" spans="1:8" ht="18" x14ac:dyDescent="0.4">
      <c r="A15">
        <v>4</v>
      </c>
      <c r="C15" s="4" t="s">
        <v>49</v>
      </c>
    </row>
    <row r="16" spans="1:8" x14ac:dyDescent="0.25">
      <c r="A16">
        <v>5</v>
      </c>
      <c r="C16" t="s">
        <v>414</v>
      </c>
      <c r="E16">
        <v>-7147</v>
      </c>
      <c r="G16" t="s">
        <v>198</v>
      </c>
    </row>
    <row r="17" spans="1:7" x14ac:dyDescent="0.25">
      <c r="A17">
        <v>6</v>
      </c>
      <c r="C17" t="s">
        <v>293</v>
      </c>
      <c r="E17" s="26">
        <v>142</v>
      </c>
      <c r="F17" s="26"/>
      <c r="G17" t="s">
        <v>198</v>
      </c>
    </row>
    <row r="18" spans="1:7" x14ac:dyDescent="0.25">
      <c r="A18">
        <v>7</v>
      </c>
      <c r="C18" t="s">
        <v>290</v>
      </c>
      <c r="E18" s="5">
        <f>'WSC-Ins'!I16</f>
        <v>-696</v>
      </c>
      <c r="F18" s="5"/>
      <c r="G18" t="str">
        <f>'WSC-Ins'!J2</f>
        <v>Exhibit DMR-19</v>
      </c>
    </row>
    <row r="19" spans="1:7" x14ac:dyDescent="0.25">
      <c r="A19">
        <v>8</v>
      </c>
      <c r="C19" t="s">
        <v>291</v>
      </c>
      <c r="E19" s="5">
        <f>WSCs_Dep!I16</f>
        <v>-2244</v>
      </c>
      <c r="F19" s="5"/>
      <c r="G19" t="str">
        <f>WSCs_Dep!J2</f>
        <v>Exhibit DMR-20</v>
      </c>
    </row>
    <row r="20" spans="1:7" ht="16.5" thickBot="1" x14ac:dyDescent="0.3">
      <c r="A20">
        <v>9</v>
      </c>
      <c r="C20" t="s">
        <v>111</v>
      </c>
      <c r="E20" s="24">
        <f>SUM(E16:E19)</f>
        <v>-9945</v>
      </c>
      <c r="F20" s="26"/>
    </row>
    <row r="21" spans="1:7" ht="16.5" thickTop="1" x14ac:dyDescent="0.25">
      <c r="A21">
        <v>10</v>
      </c>
    </row>
    <row r="22" spans="1:7" ht="18" x14ac:dyDescent="0.4">
      <c r="A22">
        <v>11</v>
      </c>
      <c r="C22" s="4" t="s">
        <v>46</v>
      </c>
    </row>
    <row r="23" spans="1:7" x14ac:dyDescent="0.25">
      <c r="A23">
        <v>12</v>
      </c>
      <c r="C23" t="s">
        <v>630</v>
      </c>
      <c r="E23">
        <f>GIS_Proj!O14</f>
        <v>-1788</v>
      </c>
      <c r="G23" t="str">
        <f>GIS_Proj!O2</f>
        <v>Exhibit DMR-21</v>
      </c>
    </row>
    <row r="24" spans="1:7" x14ac:dyDescent="0.25">
      <c r="A24">
        <v>13</v>
      </c>
      <c r="C24" t="s">
        <v>649</v>
      </c>
      <c r="E24">
        <v>4994</v>
      </c>
      <c r="G24" t="s">
        <v>520</v>
      </c>
    </row>
    <row r="25" spans="1:7" x14ac:dyDescent="0.25">
      <c r="A25">
        <v>14</v>
      </c>
      <c r="C25" t="s">
        <v>650</v>
      </c>
      <c r="E25">
        <f>40921+30151+464+33+495</f>
        <v>72064</v>
      </c>
      <c r="G25" t="s">
        <v>520</v>
      </c>
    </row>
    <row r="26" spans="1:7" x14ac:dyDescent="0.25">
      <c r="A26">
        <v>15</v>
      </c>
      <c r="C26" t="s">
        <v>391</v>
      </c>
      <c r="E26">
        <f>-9778</f>
        <v>-9778</v>
      </c>
      <c r="G26" s="6" t="s">
        <v>213</v>
      </c>
    </row>
    <row r="27" spans="1:7" x14ac:dyDescent="0.25">
      <c r="A27">
        <v>16</v>
      </c>
      <c r="C27" t="s">
        <v>393</v>
      </c>
      <c r="E27">
        <f>ROUND(LW_RBadj!F16/30,0)</f>
        <v>1667</v>
      </c>
      <c r="G27" s="6" t="s">
        <v>394</v>
      </c>
    </row>
    <row r="28" spans="1:7" x14ac:dyDescent="0.25">
      <c r="A28">
        <v>17</v>
      </c>
      <c r="C28" s="80" t="s">
        <v>456</v>
      </c>
      <c r="E28">
        <f>ROUND(LW_RBadj!F17/30,0)</f>
        <v>3454</v>
      </c>
      <c r="G28" s="6" t="s">
        <v>215</v>
      </c>
    </row>
    <row r="29" spans="1:7" ht="16.5" thickBot="1" x14ac:dyDescent="0.3">
      <c r="A29">
        <v>18</v>
      </c>
      <c r="C29" t="s">
        <v>111</v>
      </c>
      <c r="E29" s="24">
        <f>SUM(E23:E28)</f>
        <v>70613</v>
      </c>
      <c r="F29" s="26"/>
    </row>
    <row r="30" spans="1:7" ht="16.5" thickTop="1" x14ac:dyDescent="0.25">
      <c r="A30">
        <v>19</v>
      </c>
    </row>
    <row r="31" spans="1:7" ht="18" x14ac:dyDescent="0.4">
      <c r="A31">
        <v>20</v>
      </c>
      <c r="C31" s="4" t="s">
        <v>60</v>
      </c>
    </row>
    <row r="32" spans="1:7" x14ac:dyDescent="0.25">
      <c r="A32">
        <v>21</v>
      </c>
      <c r="C32" s="40" t="s">
        <v>617</v>
      </c>
      <c r="E32">
        <f>ROUND((LW_wwRB!G12+LW_wwRB!G16)*0.0185264,0)</f>
        <v>-6431</v>
      </c>
    </row>
    <row r="33" spans="1:7" x14ac:dyDescent="0.25">
      <c r="A33">
        <v>22</v>
      </c>
      <c r="C33" s="40" t="s">
        <v>89</v>
      </c>
      <c r="E33">
        <f>ROUND(E13*0.045,0)</f>
        <v>0</v>
      </c>
    </row>
    <row r="34" spans="1:7" ht="16.5" thickBot="1" x14ac:dyDescent="0.3">
      <c r="A34">
        <v>23</v>
      </c>
      <c r="C34" t="s">
        <v>111</v>
      </c>
      <c r="E34" s="24">
        <f>SUM(E32:E33)</f>
        <v>-6431</v>
      </c>
      <c r="F34" s="26"/>
    </row>
    <row r="35" spans="1:7" ht="16.5" thickTop="1" x14ac:dyDescent="0.25">
      <c r="A35">
        <v>24</v>
      </c>
    </row>
    <row r="36" spans="1:7" ht="18" x14ac:dyDescent="0.4">
      <c r="A36">
        <v>25</v>
      </c>
      <c r="C36" s="4" t="s">
        <v>79</v>
      </c>
    </row>
    <row r="37" spans="1:7" x14ac:dyDescent="0.25">
      <c r="A37">
        <v>26</v>
      </c>
      <c r="C37" s="40" t="s">
        <v>115</v>
      </c>
      <c r="E37">
        <f>LW_wwRB!G23*0.0255*-0.3763</f>
        <v>3331.0771214249999</v>
      </c>
    </row>
    <row r="38" spans="1:7" x14ac:dyDescent="0.25">
      <c r="A38">
        <v>27</v>
      </c>
      <c r="C38" s="40" t="s">
        <v>90</v>
      </c>
      <c r="E38">
        <f>ROUND((E13-E20-E29-E34)*0.3763,0)</f>
        <v>-20409</v>
      </c>
    </row>
    <row r="39" spans="1:7" ht="16.5" thickBot="1" x14ac:dyDescent="0.3">
      <c r="A39">
        <v>28</v>
      </c>
      <c r="C39" t="s">
        <v>111</v>
      </c>
      <c r="E39" s="24">
        <f>SUM(E37:E38)</f>
        <v>-17077.922878575002</v>
      </c>
      <c r="F39" s="26"/>
    </row>
    <row r="40" spans="1:7" ht="16.5" thickTop="1" x14ac:dyDescent="0.25"/>
    <row r="41" spans="1:7" x14ac:dyDescent="0.25">
      <c r="C41" s="6" t="s">
        <v>132</v>
      </c>
    </row>
    <row r="42" spans="1:7" x14ac:dyDescent="0.25">
      <c r="C42" t="s">
        <v>116</v>
      </c>
    </row>
    <row r="43" spans="1:7" x14ac:dyDescent="0.25">
      <c r="C43" s="6" t="s">
        <v>339</v>
      </c>
      <c r="G43" s="57"/>
    </row>
    <row r="44" spans="1:7" x14ac:dyDescent="0.25">
      <c r="C44" s="6" t="s">
        <v>395</v>
      </c>
    </row>
    <row r="45" spans="1:7" x14ac:dyDescent="0.25">
      <c r="C45" s="6" t="s">
        <v>691</v>
      </c>
    </row>
    <row r="46" spans="1:7" x14ac:dyDescent="0.25">
      <c r="C46" t="s">
        <v>690</v>
      </c>
    </row>
  </sheetData>
  <pageMargins left="0.7" right="0.7" top="0.75" bottom="0.75" header="0.3" footer="0.3"/>
  <pageSetup scale="88" orientation="portrait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G17" sqref="G17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5.5" customWidth="1"/>
    <col min="5" max="5" width="14.125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4.875" customWidth="1"/>
  </cols>
  <sheetData>
    <row r="1" spans="1:10" x14ac:dyDescent="0.25">
      <c r="A1" t="str">
        <f>CL_wRR!A1</f>
        <v>Utilities, Inc. of Florida</v>
      </c>
      <c r="H1" s="10"/>
      <c r="J1" s="33" t="str">
        <f>ExhDR7_LW_TOC!$E$1</f>
        <v>Docket No. 160101-WS</v>
      </c>
    </row>
    <row r="2" spans="1:10" x14ac:dyDescent="0.25">
      <c r="A2" t="s">
        <v>129</v>
      </c>
      <c r="H2" s="10"/>
      <c r="I2" s="10"/>
      <c r="J2" s="33" t="str">
        <f>ExhDR7_LW_TOC!$E$2</f>
        <v>Exhibit DMR-7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ExhDR7_LW_TOC!$E$3</f>
        <v>Longwood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81</v>
      </c>
      <c r="J4" s="33" t="str">
        <f>ExhDR7_LW_TOC!$E$4</f>
        <v>of 6</v>
      </c>
    </row>
    <row r="5" spans="1:10" x14ac:dyDescent="0.25">
      <c r="A5" s="27" t="s">
        <v>78</v>
      </c>
      <c r="B5" s="10"/>
      <c r="C5" s="10"/>
      <c r="D5" s="10"/>
      <c r="E5" s="10"/>
      <c r="F5" s="10"/>
      <c r="G5" s="10"/>
      <c r="H5" s="10"/>
      <c r="I5" s="10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8" x14ac:dyDescent="0.4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25">
      <c r="A12" s="10">
        <v>1</v>
      </c>
      <c r="B12" s="10"/>
      <c r="C12" s="11" t="s">
        <v>33</v>
      </c>
      <c r="D12" s="10"/>
      <c r="E12" s="10">
        <v>2871457</v>
      </c>
      <c r="F12" s="10"/>
      <c r="G12" s="10">
        <f>LW_RBadj!F18</f>
        <v>1577208</v>
      </c>
      <c r="H12" s="10"/>
      <c r="I12" s="10">
        <f>SUM(E12:G12)</f>
        <v>4448665</v>
      </c>
    </row>
    <row r="13" spans="1:10" x14ac:dyDescent="0.25">
      <c r="A13" s="10">
        <v>2</v>
      </c>
      <c r="B13" s="10"/>
      <c r="C13" s="11" t="s">
        <v>34</v>
      </c>
      <c r="D13" s="10"/>
      <c r="E13" s="10">
        <v>229155</v>
      </c>
      <c r="F13" s="10"/>
      <c r="G13" s="10"/>
      <c r="H13" s="10"/>
      <c r="I13" s="10">
        <f t="shared" ref="I13:I21" si="0">SUM(E13:G13)</f>
        <v>229155</v>
      </c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25">
      <c r="A16" s="10">
        <v>5</v>
      </c>
      <c r="B16" s="10"/>
      <c r="C16" s="11" t="s">
        <v>37</v>
      </c>
      <c r="D16" s="10"/>
      <c r="E16" s="27">
        <v>-359038</v>
      </c>
      <c r="F16" s="10"/>
      <c r="G16" s="10">
        <f>-LW_RBadj!F32</f>
        <v>-1924352.5</v>
      </c>
      <c r="H16" s="10"/>
      <c r="I16" s="10">
        <f t="shared" si="0"/>
        <v>-2283390.5</v>
      </c>
    </row>
    <row r="17" spans="1:9" x14ac:dyDescent="0.25">
      <c r="A17" s="10">
        <v>6</v>
      </c>
      <c r="B17" s="10"/>
      <c r="C17" s="11" t="s">
        <v>38</v>
      </c>
      <c r="D17" s="10"/>
      <c r="E17" s="10">
        <v>-1675009</v>
      </c>
      <c r="F17" s="10"/>
      <c r="G17" s="10"/>
      <c r="H17" s="10"/>
      <c r="I17" s="10">
        <f t="shared" si="0"/>
        <v>-1675009</v>
      </c>
    </row>
    <row r="18" spans="1:9" x14ac:dyDescent="0.25">
      <c r="A18" s="10">
        <v>7</v>
      </c>
      <c r="B18" s="10"/>
      <c r="C18" s="11" t="s">
        <v>39</v>
      </c>
      <c r="D18" s="10"/>
      <c r="E18" s="10">
        <v>1635514</v>
      </c>
      <c r="F18" s="10"/>
      <c r="G18" s="10"/>
      <c r="H18" s="10"/>
      <c r="I18" s="10">
        <f t="shared" si="0"/>
        <v>1635514</v>
      </c>
    </row>
    <row r="19" spans="1:9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25">
      <c r="A21" s="10">
        <v>10</v>
      </c>
      <c r="B21" s="10"/>
      <c r="C21" s="11" t="s">
        <v>40</v>
      </c>
      <c r="D21" s="10"/>
      <c r="E21" s="28">
        <v>13</v>
      </c>
      <c r="F21" s="10"/>
      <c r="G21" s="17">
        <f>LW_RBadj!F36</f>
        <v>0</v>
      </c>
      <c r="H21" s="10"/>
      <c r="I21" s="17">
        <f t="shared" si="0"/>
        <v>13</v>
      </c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5" thickBot="1" x14ac:dyDescent="0.3">
      <c r="A23" s="10">
        <v>11</v>
      </c>
      <c r="B23" s="10"/>
      <c r="C23" s="11" t="s">
        <v>41</v>
      </c>
      <c r="D23" s="10"/>
      <c r="E23" s="18">
        <f>SUM(E12:E21)</f>
        <v>2702092</v>
      </c>
      <c r="F23" s="10"/>
      <c r="G23" s="18">
        <f>SUM(G12:G21)</f>
        <v>-347144.5</v>
      </c>
      <c r="H23" s="10"/>
      <c r="I23" s="18">
        <f>SUM(I12:I22)</f>
        <v>2354947.5</v>
      </c>
    </row>
    <row r="24" spans="1:9" ht="16.5" thickTop="1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8" x14ac:dyDescent="0.4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25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27" t="s">
        <v>112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4" orientation="portrait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opLeftCell="A10" workbookViewId="0">
      <selection activeCell="C44" sqref="C44"/>
    </sheetView>
  </sheetViews>
  <sheetFormatPr defaultRowHeight="15.75" x14ac:dyDescent="0.25"/>
  <cols>
    <col min="1" max="1" width="4.25" customWidth="1"/>
    <col min="2" max="2" width="1.375" customWidth="1"/>
    <col min="3" max="3" width="35.125" customWidth="1"/>
    <col min="4" max="5" width="7" customWidth="1"/>
    <col min="6" max="6" width="13.375" customWidth="1"/>
    <col min="7" max="7" width="1.375" customWidth="1"/>
    <col min="8" max="8" width="17.125" customWidth="1"/>
    <col min="9" max="9" width="4.5" customWidth="1"/>
    <col min="10" max="10" width="11.125" customWidth="1"/>
  </cols>
  <sheetData>
    <row r="1" spans="1:9" x14ac:dyDescent="0.25">
      <c r="A1" t="str">
        <f>CL_wRR!A1</f>
        <v>Utilities, Inc. of Florida</v>
      </c>
      <c r="I1" s="33" t="str">
        <f>ExhDR7_LW_TOC!$E$1</f>
        <v>Docket No. 160101-WS</v>
      </c>
    </row>
    <row r="2" spans="1:9" x14ac:dyDescent="0.25">
      <c r="A2" t="s">
        <v>129</v>
      </c>
      <c r="I2" s="33" t="str">
        <f>ExhDR7_LW_TOC!$E$2</f>
        <v>Exhibit DMR-7</v>
      </c>
    </row>
    <row r="3" spans="1:9" x14ac:dyDescent="0.25">
      <c r="A3" t="str">
        <f>CL_wRR!A3</f>
        <v>Test Year Ended December 31, 2015</v>
      </c>
      <c r="I3" s="33" t="str">
        <f>ExhDR7_LW_TOC!$E$3</f>
        <v>Longwood Revenue Requirement</v>
      </c>
    </row>
    <row r="4" spans="1:9" x14ac:dyDescent="0.25">
      <c r="H4" s="33" t="s">
        <v>82</v>
      </c>
      <c r="I4" s="33" t="str">
        <f>ExhDR7_LW_TOC!$E$4</f>
        <v>of 6</v>
      </c>
    </row>
    <row r="5" spans="1:9" x14ac:dyDescent="0.25">
      <c r="A5" t="s">
        <v>42</v>
      </c>
    </row>
    <row r="7" spans="1:9" x14ac:dyDescent="0.25">
      <c r="H7" s="1"/>
    </row>
    <row r="8" spans="1:9" x14ac:dyDescent="0.25">
      <c r="A8" t="s">
        <v>0</v>
      </c>
      <c r="H8" s="1"/>
    </row>
    <row r="9" spans="1:9" ht="18" x14ac:dyDescent="0.4">
      <c r="A9" s="3" t="s">
        <v>1</v>
      </c>
      <c r="C9" s="9" t="s">
        <v>2</v>
      </c>
      <c r="F9" s="2" t="s">
        <v>5</v>
      </c>
      <c r="G9" s="34"/>
      <c r="H9" s="4" t="s">
        <v>72</v>
      </c>
    </row>
    <row r="11" spans="1:9" ht="18" x14ac:dyDescent="0.4">
      <c r="C11" s="4" t="s">
        <v>44</v>
      </c>
    </row>
    <row r="12" spans="1:9" x14ac:dyDescent="0.25">
      <c r="A12">
        <v>1</v>
      </c>
      <c r="C12" t="s">
        <v>630</v>
      </c>
      <c r="F12">
        <f>GIS_Proj!K14</f>
        <v>-10728</v>
      </c>
      <c r="H12" t="str">
        <f>GIS_Proj!O2</f>
        <v>Exhibit DMR-21</v>
      </c>
    </row>
    <row r="13" spans="1:9" x14ac:dyDescent="0.25">
      <c r="A13">
        <v>2</v>
      </c>
      <c r="C13" t="s">
        <v>649</v>
      </c>
      <c r="F13">
        <v>89900</v>
      </c>
      <c r="H13" t="s">
        <v>413</v>
      </c>
    </row>
    <row r="14" spans="1:9" x14ac:dyDescent="0.25">
      <c r="A14">
        <v>3</v>
      </c>
      <c r="C14" t="s">
        <v>650</v>
      </c>
      <c r="F14">
        <f>1305654+451809+17134+900+8909</f>
        <v>1784406</v>
      </c>
      <c r="H14" t="s">
        <v>413</v>
      </c>
    </row>
    <row r="15" spans="1:9" x14ac:dyDescent="0.25">
      <c r="A15">
        <v>4</v>
      </c>
      <c r="C15" t="s">
        <v>390</v>
      </c>
      <c r="F15">
        <f>-440000</f>
        <v>-440000</v>
      </c>
      <c r="H15" s="6" t="s">
        <v>212</v>
      </c>
    </row>
    <row r="16" spans="1:9" x14ac:dyDescent="0.25">
      <c r="A16" s="19">
        <v>5</v>
      </c>
      <c r="B16" s="19"/>
      <c r="C16" s="31" t="s">
        <v>392</v>
      </c>
      <c r="F16" s="19">
        <v>50000</v>
      </c>
      <c r="G16" s="19"/>
      <c r="H16" s="6" t="s">
        <v>212</v>
      </c>
    </row>
    <row r="17" spans="1:8" x14ac:dyDescent="0.25">
      <c r="A17" s="19">
        <v>6</v>
      </c>
      <c r="B17" s="19"/>
      <c r="C17" s="80" t="s">
        <v>455</v>
      </c>
      <c r="F17">
        <f>127500-23870</f>
        <v>103630</v>
      </c>
      <c r="H17" s="6" t="s">
        <v>213</v>
      </c>
    </row>
    <row r="18" spans="1:8" ht="16.5" thickBot="1" x14ac:dyDescent="0.3">
      <c r="A18">
        <v>7</v>
      </c>
      <c r="B18" s="19"/>
      <c r="C18" t="s">
        <v>48</v>
      </c>
      <c r="F18" s="24">
        <f>SUM(F12:F17)</f>
        <v>1577208</v>
      </c>
      <c r="G18" s="26"/>
    </row>
    <row r="19" spans="1:8" ht="16.5" thickTop="1" x14ac:dyDescent="0.25">
      <c r="A19">
        <v>8</v>
      </c>
      <c r="B19" s="19"/>
      <c r="C19" s="19"/>
      <c r="D19" s="19"/>
      <c r="E19" s="19"/>
      <c r="F19" s="19"/>
      <c r="G19" s="19"/>
    </row>
    <row r="20" spans="1:8" ht="18" x14ac:dyDescent="0.4">
      <c r="A20" s="19">
        <v>9</v>
      </c>
      <c r="B20" s="19"/>
      <c r="C20" s="21" t="s">
        <v>58</v>
      </c>
      <c r="D20" s="19"/>
      <c r="E20" s="19"/>
      <c r="F20" s="19"/>
      <c r="G20" s="19"/>
    </row>
    <row r="21" spans="1:8" x14ac:dyDescent="0.25">
      <c r="A21" s="19">
        <v>10</v>
      </c>
      <c r="B21" s="19"/>
      <c r="D21" s="19"/>
      <c r="E21" s="19"/>
      <c r="F21" s="22"/>
      <c r="G21" s="39"/>
    </row>
    <row r="22" spans="1:8" ht="16.5" thickBot="1" x14ac:dyDescent="0.3">
      <c r="A22">
        <v>11</v>
      </c>
      <c r="B22" s="19"/>
      <c r="C22" t="s">
        <v>59</v>
      </c>
      <c r="D22" s="19"/>
      <c r="E22" s="19"/>
      <c r="F22" s="23">
        <f>SUM(F21:F21)</f>
        <v>0</v>
      </c>
      <c r="G22" s="39"/>
    </row>
    <row r="23" spans="1:8" ht="16.5" thickTop="1" x14ac:dyDescent="0.25">
      <c r="A23">
        <v>12</v>
      </c>
      <c r="B23" s="19"/>
      <c r="C23" s="19"/>
      <c r="D23" s="19"/>
      <c r="E23" s="19"/>
      <c r="F23" s="19"/>
      <c r="G23" s="19"/>
    </row>
    <row r="24" spans="1:8" ht="18" x14ac:dyDescent="0.4">
      <c r="A24" s="19">
        <v>13</v>
      </c>
      <c r="B24" s="19"/>
      <c r="C24" s="21" t="s">
        <v>43</v>
      </c>
      <c r="D24" s="19"/>
      <c r="E24" s="19"/>
      <c r="F24" s="19"/>
      <c r="G24" s="19"/>
    </row>
    <row r="25" spans="1:8" x14ac:dyDescent="0.25">
      <c r="A25" s="19">
        <v>14</v>
      </c>
      <c r="B25" s="19"/>
      <c r="C25" t="s">
        <v>630</v>
      </c>
      <c r="F25">
        <f>LW_NOIadj!E23*0.5</f>
        <v>-894</v>
      </c>
    </row>
    <row r="26" spans="1:8" x14ac:dyDescent="0.25">
      <c r="A26">
        <v>15</v>
      </c>
      <c r="B26" s="19"/>
      <c r="C26" t="s">
        <v>649</v>
      </c>
      <c r="F26">
        <v>39539</v>
      </c>
      <c r="H26" t="s">
        <v>413</v>
      </c>
    </row>
    <row r="27" spans="1:8" x14ac:dyDescent="0.25">
      <c r="A27">
        <v>16</v>
      </c>
      <c r="B27" s="19"/>
      <c r="C27" t="s">
        <v>650</v>
      </c>
      <c r="F27">
        <f>F14</f>
        <v>1784406</v>
      </c>
      <c r="H27" t="s">
        <v>413</v>
      </c>
    </row>
    <row r="28" spans="1:8" x14ac:dyDescent="0.25">
      <c r="A28" s="19">
        <v>17</v>
      </c>
      <c r="B28" s="19"/>
      <c r="C28" t="s">
        <v>390</v>
      </c>
      <c r="D28" s="19"/>
      <c r="E28" s="19"/>
      <c r="F28" s="19">
        <v>-4889</v>
      </c>
      <c r="G28" s="19"/>
      <c r="H28" s="6" t="s">
        <v>212</v>
      </c>
    </row>
    <row r="29" spans="1:8" x14ac:dyDescent="0.25">
      <c r="A29" s="19">
        <v>18</v>
      </c>
      <c r="B29" s="19"/>
      <c r="C29" s="31" t="s">
        <v>396</v>
      </c>
      <c r="D29" s="19"/>
      <c r="E29" s="19"/>
      <c r="F29" s="19">
        <f>LW_NOIadj!E27*0.5</f>
        <v>833.5</v>
      </c>
      <c r="G29" s="19"/>
      <c r="H29" s="6" t="s">
        <v>397</v>
      </c>
    </row>
    <row r="30" spans="1:8" x14ac:dyDescent="0.25">
      <c r="A30">
        <v>19</v>
      </c>
      <c r="B30" s="19"/>
      <c r="C30" s="80" t="s">
        <v>455</v>
      </c>
      <c r="D30" s="19"/>
      <c r="E30" s="19"/>
      <c r="F30" s="19">
        <f>F17</f>
        <v>103630</v>
      </c>
      <c r="G30" s="19"/>
      <c r="H30" s="6" t="s">
        <v>213</v>
      </c>
    </row>
    <row r="31" spans="1:8" x14ac:dyDescent="0.25">
      <c r="A31">
        <v>20</v>
      </c>
      <c r="B31" s="19"/>
      <c r="C31" s="80" t="s">
        <v>469</v>
      </c>
      <c r="D31" s="19"/>
      <c r="E31" s="19"/>
      <c r="F31" s="19">
        <f>LW_NOIadj!E28*0.5</f>
        <v>1727</v>
      </c>
      <c r="G31" s="19"/>
      <c r="H31" s="6" t="s">
        <v>214</v>
      </c>
    </row>
    <row r="32" spans="1:8" ht="16.5" thickBot="1" x14ac:dyDescent="0.3">
      <c r="A32">
        <v>21</v>
      </c>
      <c r="B32" s="19"/>
      <c r="C32" s="20" t="s">
        <v>47</v>
      </c>
      <c r="D32" s="19"/>
      <c r="E32" s="19"/>
      <c r="F32" s="23">
        <f>SUM(F25:F31)</f>
        <v>1924352.5</v>
      </c>
      <c r="G32" s="39"/>
    </row>
    <row r="33" spans="1:7" ht="16.5" thickTop="1" x14ac:dyDescent="0.25">
      <c r="A33" s="19"/>
      <c r="B33" s="19"/>
      <c r="C33" s="20"/>
      <c r="D33" s="19"/>
      <c r="E33" s="19"/>
      <c r="F33" s="19"/>
      <c r="G33" s="19"/>
    </row>
    <row r="34" spans="1:7" ht="18" x14ac:dyDescent="0.4">
      <c r="C34" s="21" t="s">
        <v>51</v>
      </c>
      <c r="D34" s="19"/>
      <c r="E34" s="19"/>
      <c r="F34" s="19"/>
      <c r="G34" s="19"/>
    </row>
    <row r="35" spans="1:7" x14ac:dyDescent="0.25">
      <c r="C35" s="19"/>
      <c r="D35" s="19"/>
      <c r="E35" s="19"/>
      <c r="F35" s="22"/>
      <c r="G35" s="39"/>
    </row>
    <row r="36" spans="1:7" ht="16.5" thickBot="1" x14ac:dyDescent="0.3">
      <c r="C36" s="20" t="s">
        <v>52</v>
      </c>
      <c r="D36" s="19"/>
      <c r="E36" s="19"/>
      <c r="F36" s="23">
        <f>SUM(F35:F35)</f>
        <v>0</v>
      </c>
      <c r="G36" s="39"/>
    </row>
    <row r="37" spans="1:7" ht="16.5" thickTop="1" x14ac:dyDescent="0.25">
      <c r="C37" s="19"/>
      <c r="D37" s="19"/>
      <c r="E37" s="19"/>
      <c r="F37" s="19"/>
      <c r="G37" s="19"/>
    </row>
    <row r="38" spans="1:7" x14ac:dyDescent="0.25">
      <c r="C38" s="19"/>
      <c r="D38" s="19"/>
      <c r="E38" s="19"/>
      <c r="F38" s="19"/>
      <c r="G38" s="19"/>
    </row>
    <row r="39" spans="1:7" x14ac:dyDescent="0.25">
      <c r="C39" s="6" t="s">
        <v>326</v>
      </c>
      <c r="D39" s="19"/>
      <c r="E39" s="19"/>
      <c r="F39" s="19"/>
      <c r="G39" s="19"/>
    </row>
    <row r="40" spans="1:7" x14ac:dyDescent="0.25">
      <c r="C40" s="6" t="s">
        <v>467</v>
      </c>
    </row>
    <row r="41" spans="1:7" x14ac:dyDescent="0.25">
      <c r="C41" s="80" t="s">
        <v>468</v>
      </c>
    </row>
    <row r="42" spans="1:7" x14ac:dyDescent="0.25">
      <c r="C42" s="80" t="s">
        <v>692</v>
      </c>
    </row>
    <row r="43" spans="1:7" x14ac:dyDescent="0.25">
      <c r="C43" s="80" t="s">
        <v>693</v>
      </c>
    </row>
    <row r="44" spans="1:7" x14ac:dyDescent="0.25">
      <c r="C44" s="84" t="s">
        <v>470</v>
      </c>
    </row>
  </sheetData>
  <pageMargins left="0.7" right="0.7" top="0.75" bottom="0.75" header="0.3" footer="0.3"/>
  <pageSetup scale="93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D25" sqref="D25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0.375" bestFit="1" customWidth="1"/>
    <col min="5" max="5" width="1.75" customWidth="1"/>
    <col min="6" max="6" width="10.875" customWidth="1"/>
    <col min="7" max="7" width="2.125" customWidth="1"/>
    <col min="8" max="8" width="10.375" bestFit="1" customWidth="1"/>
    <col min="9" max="9" width="1.375" customWidth="1"/>
    <col min="10" max="10" width="10.125" customWidth="1"/>
    <col min="11" max="11" width="1.125" customWidth="1"/>
    <col min="12" max="12" width="11.25" customWidth="1"/>
    <col min="13" max="13" width="1.75" customWidth="1"/>
    <col min="14" max="14" width="11" customWidth="1"/>
    <col min="15" max="15" width="5.125" customWidth="1"/>
  </cols>
  <sheetData>
    <row r="1" spans="1:15" x14ac:dyDescent="0.25">
      <c r="A1" t="s">
        <v>61</v>
      </c>
      <c r="O1" s="33" t="str">
        <f>ExhDR3_CL_TOC!$E$1</f>
        <v>Docket No. 160101-WS</v>
      </c>
    </row>
    <row r="2" spans="1:15" x14ac:dyDescent="0.25">
      <c r="A2" t="s">
        <v>62</v>
      </c>
      <c r="O2" s="33" t="str">
        <f>ExhDR3_CL_TOC!$E$2</f>
        <v>Exhibit DMR-3</v>
      </c>
    </row>
    <row r="3" spans="1:15" x14ac:dyDescent="0.25">
      <c r="A3" t="s">
        <v>63</v>
      </c>
      <c r="O3" s="33" t="str">
        <f>ExhDR3_CL_TOC!$E$3</f>
        <v>Cypress Lakes Revenue Requirement</v>
      </c>
    </row>
    <row r="4" spans="1:15" x14ac:dyDescent="0.25">
      <c r="N4" s="33" t="s">
        <v>80</v>
      </c>
      <c r="O4" s="33" t="str">
        <f>ExhDR3_CL_TOC!$E$4</f>
        <v>of 8</v>
      </c>
    </row>
    <row r="5" spans="1:15" x14ac:dyDescent="0.25">
      <c r="A5" t="s">
        <v>76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660639</v>
      </c>
      <c r="F12" s="29">
        <f>CL_NOIadj!H13</f>
        <v>0</v>
      </c>
      <c r="G12" s="6"/>
      <c r="H12">
        <f>SUM(D12:F12)</f>
        <v>660639</v>
      </c>
      <c r="J12">
        <f>((H23*L25)-H21)*1.67888</f>
        <v>61962.266195490345</v>
      </c>
      <c r="L12">
        <f>SUM(H12:J12)</f>
        <v>722601.26619549037</v>
      </c>
      <c r="N12" t="str">
        <f>CL_NOIadj!J4</f>
        <v>Page 4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327694</v>
      </c>
      <c r="F14" s="29">
        <f>CL_NOIadj!H22</f>
        <v>-23944.25</v>
      </c>
      <c r="H14">
        <f>SUM(D14:F14)</f>
        <v>303749.75</v>
      </c>
      <c r="L14">
        <f>SUM(H14:J14)</f>
        <v>303749.75</v>
      </c>
      <c r="N14" t="str">
        <f>N12</f>
        <v>Page 4</v>
      </c>
    </row>
    <row r="15" spans="1:15" x14ac:dyDescent="0.25">
      <c r="A15">
        <v>3</v>
      </c>
      <c r="C15" t="s">
        <v>17</v>
      </c>
      <c r="D15">
        <v>125276</v>
      </c>
      <c r="F15" s="29">
        <f>CL_NOIadj!H26</f>
        <v>-1270</v>
      </c>
      <c r="H15">
        <f>SUM(D15:F15)</f>
        <v>124006</v>
      </c>
      <c r="L15">
        <f>SUM(H15:J15)</f>
        <v>124006</v>
      </c>
      <c r="N15" t="str">
        <f>N12</f>
        <v>Page 4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54093</v>
      </c>
      <c r="F17" s="29">
        <f>CL_NOIadj!H32</f>
        <v>-106</v>
      </c>
      <c r="H17">
        <f>SUM(D17:F17)</f>
        <v>53987</v>
      </c>
      <c r="J17">
        <f>J12*0.045</f>
        <v>2788.3019787970652</v>
      </c>
      <c r="L17">
        <f>SUM(H17:J17)</f>
        <v>56775.301978797062</v>
      </c>
      <c r="N17" t="str">
        <f>N12</f>
        <v>Page 4</v>
      </c>
    </row>
    <row r="18" spans="1:14" x14ac:dyDescent="0.25">
      <c r="A18">
        <v>6</v>
      </c>
      <c r="C18" t="s">
        <v>19</v>
      </c>
      <c r="D18" s="3">
        <v>32468</v>
      </c>
      <c r="F18" s="29">
        <f>CL_NOIadj!H37</f>
        <v>9615.28301078</v>
      </c>
      <c r="H18" s="3">
        <f>SUM(D18:F18)</f>
        <v>42083.283010779996</v>
      </c>
      <c r="J18">
        <f>(J12-J17)*0.3763</f>
        <v>22267.162734741683</v>
      </c>
      <c r="L18" s="9">
        <f>SUM(H18:J18)</f>
        <v>64350.445745521676</v>
      </c>
    </row>
    <row r="19" spans="1:14" x14ac:dyDescent="0.25">
      <c r="A19">
        <v>7</v>
      </c>
      <c r="C19" t="s">
        <v>20</v>
      </c>
      <c r="D19">
        <f>SUM(D14:D18)</f>
        <v>539531</v>
      </c>
      <c r="F19" s="29"/>
      <c r="H19" s="5">
        <f>SUM(H14:H18)</f>
        <v>523826.03301078</v>
      </c>
      <c r="L19" s="5">
        <f>SUM(L14:L18)</f>
        <v>548881.49772431876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121108</v>
      </c>
      <c r="F21" s="29"/>
      <c r="H21">
        <f>H12-H19</f>
        <v>136812.96698922</v>
      </c>
      <c r="L21">
        <f>H23*L25</f>
        <v>173719.87290000002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CL_wwRB!E23</f>
        <v>2243483</v>
      </c>
      <c r="F23" s="29">
        <f>H23-D23</f>
        <v>-7706</v>
      </c>
      <c r="H23">
        <f>CL_wwRB!I23</f>
        <v>2235777</v>
      </c>
      <c r="L23">
        <f>H23</f>
        <v>2235777</v>
      </c>
      <c r="N23" t="str">
        <f>CL_wwRB!I4</f>
        <v>Page 6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5.3982134029988194E-2</v>
      </c>
      <c r="F25" s="29"/>
      <c r="L25" s="8">
        <f>CL_ROR!Q20</f>
        <v>7.7700000000000005E-2</v>
      </c>
      <c r="N25" t="str">
        <f>CL_ROR!Q4</f>
        <v>Page 8</v>
      </c>
    </row>
    <row r="28" spans="1:14" ht="18" x14ac:dyDescent="0.4">
      <c r="C28" s="4" t="s">
        <v>88</v>
      </c>
    </row>
    <row r="29" spans="1:14" x14ac:dyDescent="0.25">
      <c r="C29" t="s">
        <v>196</v>
      </c>
    </row>
  </sheetData>
  <pageMargins left="0.7" right="0.7" top="0.75" bottom="0.75" header="0.3" footer="0.3"/>
  <pageSetup scale="74" orientation="portrait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workbookViewId="0">
      <selection activeCell="I18" sqref="I18"/>
    </sheetView>
  </sheetViews>
  <sheetFormatPr defaultRowHeight="15.75" x14ac:dyDescent="0.25"/>
  <cols>
    <col min="1" max="1" width="4.25" customWidth="1"/>
    <col min="2" max="2" width="1.375" customWidth="1"/>
    <col min="3" max="3" width="22" customWidth="1"/>
    <col min="4" max="4" width="1.125" customWidth="1"/>
    <col min="5" max="5" width="10.875" customWidth="1"/>
    <col min="6" max="6" width="1.125" customWidth="1"/>
    <col min="7" max="7" width="9.625" customWidth="1"/>
    <col min="8" max="8" width="1.125" customWidth="1"/>
    <col min="9" max="9" width="10.625" customWidth="1"/>
    <col min="10" max="10" width="0.75" customWidth="1"/>
    <col min="11" max="11" width="11.125" customWidth="1"/>
    <col min="12" max="12" width="0.75" customWidth="1"/>
    <col min="13" max="13" width="9.625" customWidth="1"/>
    <col min="14" max="14" width="0.75" customWidth="1"/>
    <col min="15" max="15" width="9.75" customWidth="1"/>
    <col min="16" max="16" width="0.75" customWidth="1"/>
    <col min="17" max="17" width="12.5" customWidth="1"/>
    <col min="18" max="18" width="4.5" customWidth="1"/>
  </cols>
  <sheetData>
    <row r="1" spans="1:18" x14ac:dyDescent="0.25">
      <c r="A1" t="str">
        <f>CL_wRR!A1</f>
        <v>Utilities, Inc. of Florida</v>
      </c>
      <c r="R1" s="33" t="str">
        <f>ExhDR7_LW_TOC!$E$1</f>
        <v>Docket No. 160101-WS</v>
      </c>
    </row>
    <row r="2" spans="1:18" x14ac:dyDescent="0.25">
      <c r="A2" t="s">
        <v>129</v>
      </c>
      <c r="R2" s="33" t="str">
        <f>ExhDR7_LW_TOC!$E$2</f>
        <v>Exhibit DMR-7</v>
      </c>
    </row>
    <row r="3" spans="1:18" x14ac:dyDescent="0.25">
      <c r="A3" t="str">
        <f>CL_wRR!A3</f>
        <v>Test Year Ended December 31, 2015</v>
      </c>
      <c r="R3" s="33" t="str">
        <f>ExhDR7_LW_TOC!$E$3</f>
        <v>Longwood Revenue Requirement</v>
      </c>
    </row>
    <row r="4" spans="1:18" x14ac:dyDescent="0.25">
      <c r="Q4" s="33" t="s">
        <v>83</v>
      </c>
      <c r="R4" s="33" t="str">
        <f>ExhDR7_LW_TOC!$E$4</f>
        <v>of 6</v>
      </c>
    </row>
    <row r="5" spans="1:18" x14ac:dyDescent="0.25">
      <c r="A5" t="s">
        <v>199</v>
      </c>
    </row>
    <row r="9" spans="1:18" x14ac:dyDescent="0.25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8</v>
      </c>
    </row>
    <row r="10" spans="1:18" ht="18" x14ac:dyDescent="0.4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205</v>
      </c>
    </row>
    <row r="11" spans="1:18" x14ac:dyDescent="0.25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25">
      <c r="A13">
        <v>1</v>
      </c>
      <c r="C13" t="s">
        <v>206</v>
      </c>
      <c r="E13">
        <v>991780</v>
      </c>
      <c r="G13" s="64">
        <f>E13/$E$20</f>
        <v>0.367041536705634</v>
      </c>
      <c r="I13">
        <f>K13-E13</f>
        <v>-159311.06125326187</v>
      </c>
      <c r="K13">
        <f>($K$20-$K$16-$K$17-$K$18)*(E13/SUM($E$13:$E$15))</f>
        <v>832468.93874673813</v>
      </c>
      <c r="M13" s="64">
        <f>K13/$K$20</f>
        <v>0.3534978757474373</v>
      </c>
      <c r="O13" s="64">
        <v>6.7000000000000004E-2</v>
      </c>
      <c r="P13" s="8"/>
      <c r="Q13" s="64">
        <f>M13*O13</f>
        <v>2.3684357675078302E-2</v>
      </c>
    </row>
    <row r="14" spans="1:18" x14ac:dyDescent="0.25">
      <c r="A14">
        <v>2</v>
      </c>
      <c r="C14" t="s">
        <v>207</v>
      </c>
      <c r="E14">
        <v>94190</v>
      </c>
      <c r="G14" s="64">
        <f t="shared" ref="G14:G18" si="0">E14/$E$20</f>
        <v>3.4858176553574045E-2</v>
      </c>
      <c r="I14">
        <f t="shared" ref="I14:I15" si="1">K14-E14</f>
        <v>-15129.876443812871</v>
      </c>
      <c r="K14">
        <f t="shared" ref="K14:K15" si="2">($K$20-$K$16-$K$17-$K$18)*(E14/SUM($E$13:$E$15))</f>
        <v>79060.123556187129</v>
      </c>
      <c r="M14" s="64">
        <f t="shared" ref="M14:M18" si="3">K14/$K$20</f>
        <v>3.3571926149600841E-2</v>
      </c>
      <c r="O14" s="8">
        <v>2.3199999999999998E-2</v>
      </c>
      <c r="P14" s="8"/>
      <c r="Q14" s="64">
        <f t="shared" ref="Q14:Q18" si="4">M14*O14</f>
        <v>7.7886868667073942E-4</v>
      </c>
    </row>
    <row r="15" spans="1:18" x14ac:dyDescent="0.25">
      <c r="A15">
        <v>3</v>
      </c>
      <c r="C15" t="s">
        <v>208</v>
      </c>
      <c r="E15">
        <v>1054716</v>
      </c>
      <c r="G15" s="64">
        <f t="shared" si="0"/>
        <v>0.39033311967172102</v>
      </c>
      <c r="I15">
        <f t="shared" si="1"/>
        <v>-169420.56230292539</v>
      </c>
      <c r="K15">
        <f t="shared" si="2"/>
        <v>885295.43769707461</v>
      </c>
      <c r="M15" s="64">
        <f t="shared" si="3"/>
        <v>0.37593001020068373</v>
      </c>
      <c r="O15" s="8">
        <v>0.104</v>
      </c>
      <c r="P15" s="8"/>
      <c r="Q15" s="64">
        <f t="shared" si="4"/>
        <v>3.9096721060871108E-2</v>
      </c>
    </row>
    <row r="16" spans="1:18" x14ac:dyDescent="0.25">
      <c r="A16">
        <v>4</v>
      </c>
      <c r="C16" t="s">
        <v>209</v>
      </c>
      <c r="E16">
        <v>10986</v>
      </c>
      <c r="G16" s="64">
        <f t="shared" si="0"/>
        <v>4.0657386943153675E-3</v>
      </c>
      <c r="K16">
        <f>E16+I16</f>
        <v>10986</v>
      </c>
      <c r="M16" s="64">
        <f t="shared" si="3"/>
        <v>4.6650721512899972E-3</v>
      </c>
      <c r="O16" s="8">
        <v>0.02</v>
      </c>
      <c r="P16" s="8"/>
      <c r="Q16" s="64">
        <f t="shared" si="4"/>
        <v>9.3301443025799944E-5</v>
      </c>
    </row>
    <row r="17" spans="1:17" x14ac:dyDescent="0.25">
      <c r="A17">
        <v>5</v>
      </c>
      <c r="C17" t="s">
        <v>210</v>
      </c>
      <c r="E17">
        <v>0</v>
      </c>
      <c r="G17" s="64">
        <f t="shared" si="0"/>
        <v>0</v>
      </c>
      <c r="K17">
        <f>E17+I17</f>
        <v>0</v>
      </c>
      <c r="M17" s="64">
        <f t="shared" si="3"/>
        <v>0</v>
      </c>
      <c r="O17" s="8">
        <v>0</v>
      </c>
      <c r="P17" s="8"/>
      <c r="Q17" s="64">
        <f t="shared" si="4"/>
        <v>0</v>
      </c>
    </row>
    <row r="18" spans="1:17" x14ac:dyDescent="0.25">
      <c r="A18">
        <v>6</v>
      </c>
      <c r="C18" t="s">
        <v>211</v>
      </c>
      <c r="E18" s="3">
        <v>550420</v>
      </c>
      <c r="G18" s="68">
        <f t="shared" si="0"/>
        <v>0.20370142837475555</v>
      </c>
      <c r="I18">
        <v>-3283</v>
      </c>
      <c r="K18" s="3">
        <f>E18+I18</f>
        <v>547137</v>
      </c>
      <c r="M18" s="68">
        <f t="shared" si="3"/>
        <v>0.23233511575098809</v>
      </c>
      <c r="O18" s="8">
        <v>0</v>
      </c>
      <c r="P18" s="8"/>
      <c r="Q18" s="68">
        <f t="shared" si="4"/>
        <v>0</v>
      </c>
    </row>
    <row r="20" spans="1:17" x14ac:dyDescent="0.25">
      <c r="A20">
        <v>7</v>
      </c>
      <c r="C20" t="s">
        <v>189</v>
      </c>
      <c r="E20">
        <f>SUM(E13:E19)</f>
        <v>2702092</v>
      </c>
      <c r="G20" s="8">
        <f>SUM(G13:G19)</f>
        <v>1</v>
      </c>
      <c r="K20">
        <f>LW_wwRB!I23</f>
        <v>2354947.5</v>
      </c>
      <c r="M20" s="8">
        <f>SUM(M13:M19)</f>
        <v>1</v>
      </c>
      <c r="Q20" s="8">
        <f>ROUND(SUM(Q13:Q19),4)</f>
        <v>6.3700000000000007E-2</v>
      </c>
    </row>
    <row r="22" spans="1:17" ht="18" x14ac:dyDescent="0.4">
      <c r="C22" s="4" t="s">
        <v>50</v>
      </c>
    </row>
    <row r="23" spans="1:17" x14ac:dyDescent="0.25">
      <c r="C23" t="s">
        <v>217</v>
      </c>
    </row>
    <row r="24" spans="1:17" x14ac:dyDescent="0.25">
      <c r="C24" t="s">
        <v>220</v>
      </c>
    </row>
    <row r="25" spans="1:17" x14ac:dyDescent="0.25">
      <c r="C25" t="s">
        <v>221</v>
      </c>
    </row>
    <row r="26" spans="1:17" x14ac:dyDescent="0.25">
      <c r="C26" t="s">
        <v>398</v>
      </c>
    </row>
  </sheetData>
  <pageMargins left="0.7" right="0.7" top="0.75" bottom="0.75" header="0.3" footer="0.3"/>
  <pageSetup scale="75" orientation="portrait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23"/>
  <sheetViews>
    <sheetView workbookViewId="0">
      <selection activeCell="E5" sqref="E5"/>
    </sheetView>
  </sheetViews>
  <sheetFormatPr defaultRowHeight="15.75" x14ac:dyDescent="0.25"/>
  <cols>
    <col min="1" max="1" width="8.125" customWidth="1"/>
    <col min="2" max="2" width="1.875" customWidth="1"/>
    <col min="3" max="3" width="45.625" customWidth="1"/>
    <col min="4" max="4" width="13.375" customWidth="1"/>
    <col min="5" max="5" width="5.75" customWidth="1"/>
  </cols>
  <sheetData>
    <row r="1" spans="1:5" x14ac:dyDescent="0.25">
      <c r="A1" t="s">
        <v>61</v>
      </c>
      <c r="E1" s="33" t="s">
        <v>64</v>
      </c>
    </row>
    <row r="2" spans="1:5" x14ac:dyDescent="0.25">
      <c r="A2" t="s">
        <v>193</v>
      </c>
      <c r="E2" s="33" t="s">
        <v>134</v>
      </c>
    </row>
    <row r="3" spans="1:5" x14ac:dyDescent="0.25">
      <c r="A3" t="s">
        <v>86</v>
      </c>
      <c r="E3" s="33" t="s">
        <v>194</v>
      </c>
    </row>
    <row r="4" spans="1:5" x14ac:dyDescent="0.25">
      <c r="D4" s="33" t="s">
        <v>67</v>
      </c>
      <c r="E4" s="33" t="s">
        <v>562</v>
      </c>
    </row>
    <row r="5" spans="1:5" x14ac:dyDescent="0.25">
      <c r="A5" t="s">
        <v>63</v>
      </c>
    </row>
    <row r="8" spans="1:5" x14ac:dyDescent="0.25">
      <c r="A8" s="3" t="s">
        <v>84</v>
      </c>
      <c r="B8" s="3"/>
      <c r="C8" s="3" t="s">
        <v>85</v>
      </c>
      <c r="D8" s="3"/>
      <c r="E8" s="3"/>
    </row>
    <row r="10" spans="1:5" x14ac:dyDescent="0.25">
      <c r="A10" t="str">
        <f>LUS_wRR!N4</f>
        <v>Page 2</v>
      </c>
      <c r="C10" t="str">
        <f>LUS_wRR!A5</f>
        <v>Calculation of Revenue Requirement - Water</v>
      </c>
    </row>
    <row r="11" spans="1:5" x14ac:dyDescent="0.25">
      <c r="A11" t="str">
        <f>LUS_wwRR!N4</f>
        <v>Page 3</v>
      </c>
      <c r="C11" t="str">
        <f>LUS_wwRR!A5</f>
        <v>Calculation of Revenue Requirement - Wastewater</v>
      </c>
    </row>
    <row r="12" spans="1:5" x14ac:dyDescent="0.25">
      <c r="A12" t="str">
        <f>LUS_NOIadj!J4</f>
        <v>Page 4</v>
      </c>
      <c r="C12" t="str">
        <f>LUS_NOIadj!A5</f>
        <v>Schedule of Adjustments to Operating Income</v>
      </c>
    </row>
    <row r="13" spans="1:5" x14ac:dyDescent="0.25">
      <c r="A13" t="str">
        <f>LUS_wRB!I4</f>
        <v>Page 5</v>
      </c>
      <c r="C13" t="str">
        <f>LUS_wRB!A5</f>
        <v>Rate Base - Water</v>
      </c>
    </row>
    <row r="14" spans="1:5" x14ac:dyDescent="0.25">
      <c r="A14" t="str">
        <f>LUS_wwRB!I4</f>
        <v>Page 6</v>
      </c>
      <c r="C14" t="str">
        <f>LUS_wwRB!A5</f>
        <v>Rate Base - Wastewater</v>
      </c>
    </row>
    <row r="15" spans="1:5" x14ac:dyDescent="0.25">
      <c r="A15" t="str">
        <f>LUS_RBadj!K4</f>
        <v>Page 7</v>
      </c>
      <c r="C15" t="str">
        <f>LUS_RBadj!A5</f>
        <v>Schedule of Adjustments to Rate Base</v>
      </c>
    </row>
    <row r="16" spans="1:5" x14ac:dyDescent="0.25">
      <c r="A16" t="str">
        <f>LUS_ROR!Q4</f>
        <v>Page 8</v>
      </c>
      <c r="C16" t="str">
        <f>LUS_ROR!A5</f>
        <v>Cost of Capital</v>
      </c>
    </row>
    <row r="17" spans="1:3" x14ac:dyDescent="0.25">
      <c r="A17" t="str">
        <f>LUS_PlantA!I4</f>
        <v>Page 9</v>
      </c>
      <c r="C17" t="str">
        <f>LUS_PlantA!A5</f>
        <v>Pro Forma Plant Addition Adjustments</v>
      </c>
    </row>
    <row r="18" spans="1:3" x14ac:dyDescent="0.25">
      <c r="C18" t="str">
        <f>LUS_PlantA!A6</f>
        <v xml:space="preserve">    -  SCADA System</v>
      </c>
    </row>
    <row r="19" spans="1:3" x14ac:dyDescent="0.25">
      <c r="A19" t="str">
        <f>LUS_PlantB!I4</f>
        <v>Page 10</v>
      </c>
      <c r="C19" t="str">
        <f>LUS_PlantB!A5</f>
        <v>Pro Forma Plant Addition Adjustments</v>
      </c>
    </row>
    <row r="20" spans="1:3" x14ac:dyDescent="0.25">
      <c r="C20" t="str">
        <f>LUS_PlantB!A6</f>
        <v xml:space="preserve">  -  Lake Grove WWTP - Splitter Box Replacement</v>
      </c>
    </row>
    <row r="21" spans="1:3" x14ac:dyDescent="0.25">
      <c r="A21" t="str">
        <f>LUS_PlantC!I4</f>
        <v>Page 11</v>
      </c>
      <c r="C21" t="str">
        <f>LUS_PlantC!A5</f>
        <v>Pro Forma Plant Addition Adjustments</v>
      </c>
    </row>
    <row r="22" spans="1:3" x14ac:dyDescent="0.25">
      <c r="C22" t="str">
        <f>LUS_PlantC!A6</f>
        <v xml:space="preserve">  -  US 27 North - Utility Relocations</v>
      </c>
    </row>
    <row r="23" spans="1:3" x14ac:dyDescent="0.25">
      <c r="A23" t="str">
        <f>LUS_UandU!I4</f>
        <v>Page 12</v>
      </c>
      <c r="C23" t="str">
        <f>LUS_UandU!A5</f>
        <v>Non-Used &amp; Useful Plant, Revised Percentage</v>
      </c>
    </row>
  </sheetData>
  <pageMargins left="0.7" right="0.7" top="0.75" bottom="0.75" header="0.3" footer="0.3"/>
  <pageSetup orientation="portrait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workbookViewId="0">
      <selection activeCell="C29" sqref="C29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1.375" customWidth="1"/>
    <col min="5" max="5" width="1.75" customWidth="1"/>
    <col min="6" max="6" width="10.875" customWidth="1"/>
    <col min="7" max="7" width="2.125" customWidth="1"/>
    <col min="8" max="8" width="11.625" customWidth="1"/>
    <col min="9" max="9" width="1.375" customWidth="1"/>
    <col min="10" max="10" width="10.125" customWidth="1"/>
    <col min="11" max="11" width="1.125" customWidth="1"/>
    <col min="12" max="12" width="11.875" customWidth="1"/>
    <col min="13" max="13" width="1.75" customWidth="1"/>
    <col min="14" max="14" width="11" customWidth="1"/>
    <col min="15" max="15" width="5.125" customWidth="1"/>
  </cols>
  <sheetData>
    <row r="1" spans="1:15" x14ac:dyDescent="0.25">
      <c r="A1" t="s">
        <v>61</v>
      </c>
      <c r="O1" s="33" t="str">
        <f>ExhDR8_LUS_TOC!$E$1</f>
        <v>Docket No. 160101-WS</v>
      </c>
    </row>
    <row r="2" spans="1:15" x14ac:dyDescent="0.25">
      <c r="A2" t="s">
        <v>193</v>
      </c>
      <c r="O2" s="33" t="str">
        <f>ExhDR8_LUS_TOC!$E$2</f>
        <v>Exhibit DMR-8</v>
      </c>
    </row>
    <row r="3" spans="1:15" x14ac:dyDescent="0.25">
      <c r="A3" t="s">
        <v>63</v>
      </c>
      <c r="O3" s="33" t="str">
        <f>ExhDR8_LUS_TOC!$E$3</f>
        <v>Lake Utility Services Revenue Requirement</v>
      </c>
    </row>
    <row r="4" spans="1:15" x14ac:dyDescent="0.25">
      <c r="N4" s="33" t="s">
        <v>77</v>
      </c>
      <c r="O4" s="33" t="str">
        <f>ExhDR8_LUS_TOC!$E$4</f>
        <v>of 12</v>
      </c>
    </row>
    <row r="5" spans="1:15" x14ac:dyDescent="0.25">
      <c r="A5" t="s">
        <v>69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5484612</v>
      </c>
      <c r="F12" s="29">
        <f>LUS_NOIadj!F13</f>
        <v>0</v>
      </c>
      <c r="G12" s="6"/>
      <c r="H12">
        <f>SUM(D12:F12)</f>
        <v>5484612</v>
      </c>
      <c r="J12">
        <f>((H23*L25)-H21)*1.67888</f>
        <v>-147252.67466652993</v>
      </c>
      <c r="L12">
        <f>SUM(H12:J12)</f>
        <v>5337359.3253334705</v>
      </c>
      <c r="N12" t="str">
        <f>LUS_NOIadj!J4</f>
        <v>Page 4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2244087</v>
      </c>
      <c r="F14" s="29">
        <f>LUS_NOIadj!F23</f>
        <v>-60410</v>
      </c>
      <c r="H14">
        <f>SUM(D14:F14)</f>
        <v>2183677</v>
      </c>
      <c r="L14">
        <f>SUM(H14:J14)</f>
        <v>2183677</v>
      </c>
      <c r="N14" t="str">
        <f>N12</f>
        <v>Page 4</v>
      </c>
    </row>
    <row r="15" spans="1:15" x14ac:dyDescent="0.25">
      <c r="A15">
        <v>3</v>
      </c>
      <c r="C15" t="s">
        <v>17</v>
      </c>
      <c r="D15">
        <v>968146</v>
      </c>
      <c r="F15" s="29">
        <f>LUS_NOIadj!F34</f>
        <v>-12819</v>
      </c>
      <c r="H15">
        <f>SUM(D15:F15)</f>
        <v>955327</v>
      </c>
      <c r="L15">
        <f>SUM(H15:J15)</f>
        <v>955327</v>
      </c>
      <c r="N15" t="str">
        <f>N12</f>
        <v>Page 4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564874</v>
      </c>
      <c r="F17" s="29">
        <f>LUS_NOIadj!F40</f>
        <v>299</v>
      </c>
      <c r="H17">
        <f>SUM(D17:F17)</f>
        <v>565173</v>
      </c>
      <c r="J17">
        <f>J12*0.045</f>
        <v>-6626.3703599938463</v>
      </c>
      <c r="L17">
        <f>SUM(H17:J17)</f>
        <v>558546.62964000611</v>
      </c>
      <c r="N17" t="str">
        <f>N12</f>
        <v>Page 4</v>
      </c>
    </row>
    <row r="18" spans="1:14" x14ac:dyDescent="0.25">
      <c r="A18">
        <v>6</v>
      </c>
      <c r="C18" t="s">
        <v>19</v>
      </c>
      <c r="D18" s="3">
        <v>457475</v>
      </c>
      <c r="F18" s="29">
        <f>LUS_NOIadj!F45</f>
        <v>27444</v>
      </c>
      <c r="H18" s="3">
        <f>SUM(D18:F18)</f>
        <v>484919</v>
      </c>
      <c r="J18">
        <f>(J12-J17)*0.3763</f>
        <v>-52917.678310549527</v>
      </c>
      <c r="L18" s="9">
        <f>SUM(H18:J18)</f>
        <v>432001.32168945047</v>
      </c>
    </row>
    <row r="19" spans="1:14" x14ac:dyDescent="0.25">
      <c r="A19">
        <v>7</v>
      </c>
      <c r="C19" t="s">
        <v>20</v>
      </c>
      <c r="D19">
        <f>SUM(D14:D18)</f>
        <v>4234582</v>
      </c>
      <c r="F19" s="29"/>
      <c r="H19" s="5">
        <f>SUM(H14:H18)</f>
        <v>4189096</v>
      </c>
      <c r="L19" s="5">
        <f>SUM(L14:L18)</f>
        <v>4129551.9513294566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1250030</v>
      </c>
      <c r="F21" s="29"/>
      <c r="H21">
        <f>H12-H19</f>
        <v>1295516</v>
      </c>
      <c r="L21">
        <f>H23*L25</f>
        <v>1207807.1258299998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LUS_wRB!E24</f>
        <v>16953271</v>
      </c>
      <c r="F23" s="29">
        <f>H23-D23</f>
        <v>-430601.70000000298</v>
      </c>
      <c r="H23">
        <f>LUS_wRB!I24</f>
        <v>16522669.299999997</v>
      </c>
      <c r="L23">
        <f>H23</f>
        <v>16522669.299999997</v>
      </c>
      <c r="N23" t="str">
        <f>LUS_wRB!I4</f>
        <v>Page 5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7.3733853484675607E-2</v>
      </c>
      <c r="F25" s="29"/>
      <c r="L25" s="8">
        <f>LUS_ROR!Q20</f>
        <v>7.3099999999999998E-2</v>
      </c>
      <c r="N25" t="str">
        <f>LUS_ROR!Q4</f>
        <v>Page 8</v>
      </c>
    </row>
    <row r="26" spans="1:14" x14ac:dyDescent="0.25">
      <c r="L26" s="8"/>
    </row>
    <row r="27" spans="1:14" ht="18" x14ac:dyDescent="0.4">
      <c r="C27" s="4" t="s">
        <v>88</v>
      </c>
      <c r="J27" s="32"/>
      <c r="L27" s="8"/>
    </row>
    <row r="28" spans="1:14" x14ac:dyDescent="0.25">
      <c r="C28" t="s">
        <v>102</v>
      </c>
      <c r="J28" s="29"/>
    </row>
  </sheetData>
  <pageMargins left="0.7" right="0.7" top="0.75" bottom="0.75" header="0.3" footer="0.3"/>
  <pageSetup scale="73" orientation="portrait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N26" sqref="N26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1" customWidth="1"/>
    <col min="5" max="5" width="1.75" customWidth="1"/>
    <col min="6" max="6" width="10.875" customWidth="1"/>
    <col min="7" max="7" width="2.125" customWidth="1"/>
    <col min="8" max="8" width="11" customWidth="1"/>
    <col min="9" max="9" width="1.375" customWidth="1"/>
    <col min="10" max="10" width="10.125" customWidth="1"/>
    <col min="11" max="11" width="1.125" customWidth="1"/>
    <col min="12" max="12" width="11.875" customWidth="1"/>
    <col min="13" max="13" width="1.75" customWidth="1"/>
    <col min="14" max="14" width="11" customWidth="1"/>
    <col min="15" max="15" width="6.25" customWidth="1"/>
  </cols>
  <sheetData>
    <row r="1" spans="1:15" x14ac:dyDescent="0.25">
      <c r="A1" t="s">
        <v>61</v>
      </c>
      <c r="O1" s="33" t="str">
        <f>ExhDR8_LUS_TOC!$E$1</f>
        <v>Docket No. 160101-WS</v>
      </c>
    </row>
    <row r="2" spans="1:15" x14ac:dyDescent="0.25">
      <c r="A2" t="s">
        <v>193</v>
      </c>
      <c r="O2" s="33" t="str">
        <f>ExhDR8_LUS_TOC!$E$2</f>
        <v>Exhibit DMR-8</v>
      </c>
    </row>
    <row r="3" spans="1:15" x14ac:dyDescent="0.25">
      <c r="A3" t="s">
        <v>63</v>
      </c>
      <c r="O3" s="33" t="str">
        <f>ExhDR8_LUS_TOC!$E$3</f>
        <v>Lake Utility Services Revenue Requirement</v>
      </c>
    </row>
    <row r="4" spans="1:15" x14ac:dyDescent="0.25">
      <c r="N4" s="33" t="s">
        <v>80</v>
      </c>
      <c r="O4" s="33" t="str">
        <f>ExhDR8_LUS_TOC!$E$4</f>
        <v>of 12</v>
      </c>
    </row>
    <row r="5" spans="1:15" x14ac:dyDescent="0.25">
      <c r="A5" t="s">
        <v>76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2305689</v>
      </c>
      <c r="F12" s="29">
        <f>LUS_NOIadj!H13</f>
        <v>0</v>
      </c>
      <c r="G12" s="6"/>
      <c r="H12">
        <f>SUM(D12:F12)</f>
        <v>2305689</v>
      </c>
      <c r="J12">
        <f>((H23*L25)-H21)*1.67888</f>
        <v>197925.26088519496</v>
      </c>
      <c r="L12">
        <f>SUM(H12:J12)</f>
        <v>2503614.2608851949</v>
      </c>
      <c r="N12" t="str">
        <f>LUS_NOIadj!J4</f>
        <v>Page 4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840985</v>
      </c>
      <c r="F14" s="29">
        <f>LUS_NOIadj!H23</f>
        <v>-63944</v>
      </c>
      <c r="H14">
        <f>SUM(D14:F14)</f>
        <v>777041</v>
      </c>
      <c r="L14">
        <f>SUM(H14:J14)</f>
        <v>777041</v>
      </c>
      <c r="N14" t="str">
        <f>N12</f>
        <v>Page 4</v>
      </c>
    </row>
    <row r="15" spans="1:15" x14ac:dyDescent="0.25">
      <c r="A15">
        <v>3</v>
      </c>
      <c r="C15" t="s">
        <v>17</v>
      </c>
      <c r="D15">
        <v>621580</v>
      </c>
      <c r="F15" s="29">
        <f>LUS_NOIadj!H34</f>
        <v>-73113</v>
      </c>
      <c r="H15">
        <f>SUM(D15:F15)</f>
        <v>548467</v>
      </c>
      <c r="L15">
        <f>SUM(H15:J15)</f>
        <v>548467</v>
      </c>
      <c r="N15" t="str">
        <f>N12</f>
        <v>Page 4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350663</v>
      </c>
      <c r="F17" s="29">
        <f>LUS_NOIadj!H40</f>
        <v>-3192.8404999999998</v>
      </c>
      <c r="H17">
        <f>SUM(D17:F17)</f>
        <v>347470.15950000001</v>
      </c>
      <c r="J17">
        <f>J12*0.045</f>
        <v>8906.6367398337734</v>
      </c>
      <c r="L17">
        <f>SUM(H17:J17)</f>
        <v>356376.79623983375</v>
      </c>
      <c r="N17" t="str">
        <f>N12</f>
        <v>Page 4</v>
      </c>
    </row>
    <row r="18" spans="1:14" x14ac:dyDescent="0.25">
      <c r="A18">
        <v>6</v>
      </c>
      <c r="C18" t="s">
        <v>19</v>
      </c>
      <c r="D18" s="3">
        <v>78466</v>
      </c>
      <c r="F18" s="29">
        <f>LUS_NOIadj!H45</f>
        <v>69833.851985109999</v>
      </c>
      <c r="H18" s="3">
        <f>SUM(D18:F18)</f>
        <v>148299.85198511</v>
      </c>
      <c r="J18">
        <f>(J12-J17)*0.3763</f>
        <v>71127.708265899419</v>
      </c>
      <c r="L18" s="9">
        <f>SUM(H18:J18)</f>
        <v>219427.56025100942</v>
      </c>
    </row>
    <row r="19" spans="1:14" x14ac:dyDescent="0.25">
      <c r="A19">
        <v>7</v>
      </c>
      <c r="C19" t="s">
        <v>20</v>
      </c>
      <c r="D19">
        <f>SUM(D14:D18)</f>
        <v>1891694</v>
      </c>
      <c r="F19" s="29"/>
      <c r="H19" s="5">
        <f>SUM(H14:H18)</f>
        <v>1821278.01148511</v>
      </c>
      <c r="L19" s="5">
        <f>SUM(L14:L18)</f>
        <v>1901312.3564908432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413995</v>
      </c>
      <c r="F21" s="29"/>
      <c r="H21">
        <f>H12-H19</f>
        <v>484410.98851488996</v>
      </c>
      <c r="L21">
        <f>H23*L25</f>
        <v>602302.2379699999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LUS_wwRB!E23</f>
        <v>9802548</v>
      </c>
      <c r="F23" s="29">
        <f>H23-D23</f>
        <v>-1563119.3000000007</v>
      </c>
      <c r="H23">
        <f>LUS_wwRB!I23</f>
        <v>8239428.6999999993</v>
      </c>
      <c r="L23">
        <f>H23</f>
        <v>8239428.6999999993</v>
      </c>
      <c r="N23" t="str">
        <f>LUS_wwRB!I4</f>
        <v>Page 6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4.2233407069264033E-2</v>
      </c>
      <c r="F25" s="29"/>
      <c r="L25" s="8">
        <f>LUS_ROR!Q20</f>
        <v>7.3099999999999998E-2</v>
      </c>
      <c r="N25" t="str">
        <f>LUS_ROR!Q4</f>
        <v>Page 8</v>
      </c>
    </row>
    <row r="28" spans="1:14" ht="18" x14ac:dyDescent="0.4">
      <c r="C28" s="4" t="s">
        <v>88</v>
      </c>
    </row>
    <row r="29" spans="1:14" x14ac:dyDescent="0.25">
      <c r="C29" t="s">
        <v>101</v>
      </c>
    </row>
  </sheetData>
  <pageMargins left="0.7" right="0.7" top="0.75" bottom="0.75" header="0.3" footer="0.3"/>
  <pageSetup scale="73" orientation="portrait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36" workbookViewId="0">
      <selection activeCell="E67" sqref="E67"/>
    </sheetView>
  </sheetViews>
  <sheetFormatPr defaultRowHeight="15.75" x14ac:dyDescent="0.25"/>
  <cols>
    <col min="1" max="1" width="4.375" customWidth="1"/>
    <col min="2" max="2" width="1.625" customWidth="1"/>
    <col min="3" max="3" width="42.875" customWidth="1"/>
    <col min="5" max="5" width="12.125" customWidth="1"/>
    <col min="6" max="6" width="9.625" bestFit="1" customWidth="1"/>
    <col min="7" max="7" width="1.75" customWidth="1"/>
    <col min="8" max="8" width="9.625" customWidth="1"/>
    <col min="9" max="9" width="1.375" customWidth="1"/>
    <col min="10" max="10" width="15.375" customWidth="1"/>
    <col min="11" max="11" width="6.5" customWidth="1"/>
  </cols>
  <sheetData>
    <row r="1" spans="1:11" x14ac:dyDescent="0.25">
      <c r="A1" t="str">
        <f>CL_wRR!A1</f>
        <v>Utilities, Inc. of Florida</v>
      </c>
      <c r="J1" s="33"/>
      <c r="K1" s="33" t="str">
        <f>ExhDR8_LUS_TOC!$E$1</f>
        <v>Docket No. 160101-WS</v>
      </c>
    </row>
    <row r="2" spans="1:11" x14ac:dyDescent="0.25">
      <c r="A2" t="s">
        <v>193</v>
      </c>
      <c r="J2" s="33"/>
      <c r="K2" s="33" t="str">
        <f>ExhDR8_LUS_TOC!$E$2</f>
        <v>Exhibit DMR-8</v>
      </c>
    </row>
    <row r="3" spans="1:11" x14ac:dyDescent="0.25">
      <c r="A3" t="str">
        <f>CL_wRR!A3</f>
        <v>Test Year Ended December 31, 2015</v>
      </c>
      <c r="J3" s="33"/>
      <c r="K3" s="33" t="str">
        <f>ExhDR8_LUS_TOC!$E$3</f>
        <v>Lake Utility Services Revenue Requirement</v>
      </c>
    </row>
    <row r="4" spans="1:11" x14ac:dyDescent="0.25">
      <c r="J4" s="33" t="s">
        <v>81</v>
      </c>
      <c r="K4" s="33" t="str">
        <f>ExhDR8_LUS_TOC!$E$4</f>
        <v>of 12</v>
      </c>
    </row>
    <row r="5" spans="1:11" x14ac:dyDescent="0.25">
      <c r="A5" t="s">
        <v>45</v>
      </c>
    </row>
    <row r="8" spans="1:11" x14ac:dyDescent="0.25">
      <c r="A8" t="s">
        <v>0</v>
      </c>
      <c r="F8" s="1" t="s">
        <v>70</v>
      </c>
      <c r="G8" s="1"/>
      <c r="H8" s="1" t="s">
        <v>71</v>
      </c>
    </row>
    <row r="9" spans="1:11" ht="18" x14ac:dyDescent="0.4">
      <c r="A9" s="3" t="s">
        <v>1</v>
      </c>
      <c r="C9" s="4" t="s">
        <v>2</v>
      </c>
      <c r="F9" s="2" t="s">
        <v>5</v>
      </c>
      <c r="G9" s="34"/>
      <c r="H9" s="2" t="s">
        <v>5</v>
      </c>
      <c r="J9" s="4" t="s">
        <v>72</v>
      </c>
    </row>
    <row r="11" spans="1:11" ht="18" x14ac:dyDescent="0.4">
      <c r="C11" s="4" t="s">
        <v>73</v>
      </c>
    </row>
    <row r="12" spans="1:11" x14ac:dyDescent="0.25">
      <c r="A12">
        <v>1</v>
      </c>
    </row>
    <row r="13" spans="1:11" ht="16.5" thickBot="1" x14ac:dyDescent="0.3">
      <c r="A13">
        <v>2</v>
      </c>
      <c r="C13" t="s">
        <v>110</v>
      </c>
      <c r="F13" s="24">
        <f>SUM(F12:F12)</f>
        <v>0</v>
      </c>
      <c r="H13" s="24">
        <f>SUM(H12:H12)</f>
        <v>0</v>
      </c>
    </row>
    <row r="14" spans="1:11" ht="16.5" thickTop="1" x14ac:dyDescent="0.25">
      <c r="A14">
        <v>3</v>
      </c>
    </row>
    <row r="15" spans="1:11" ht="18" x14ac:dyDescent="0.4">
      <c r="A15">
        <v>4</v>
      </c>
      <c r="C15" s="4" t="s">
        <v>49</v>
      </c>
    </row>
    <row r="16" spans="1:11" x14ac:dyDescent="0.25">
      <c r="A16">
        <v>5</v>
      </c>
      <c r="C16" t="s">
        <v>318</v>
      </c>
      <c r="F16">
        <v>-20623</v>
      </c>
      <c r="H16">
        <v>-6377</v>
      </c>
      <c r="J16" t="s">
        <v>198</v>
      </c>
    </row>
    <row r="17" spans="1:10" x14ac:dyDescent="0.25">
      <c r="A17">
        <v>6</v>
      </c>
      <c r="C17" t="s">
        <v>319</v>
      </c>
      <c r="F17">
        <v>-6187</v>
      </c>
      <c r="H17">
        <v>-1913</v>
      </c>
      <c r="J17" t="s">
        <v>198</v>
      </c>
    </row>
    <row r="18" spans="1:10" x14ac:dyDescent="0.25">
      <c r="A18">
        <v>7</v>
      </c>
      <c r="C18" t="s">
        <v>641</v>
      </c>
      <c r="H18">
        <f>-3500*12</f>
        <v>-42000</v>
      </c>
      <c r="J18" t="s">
        <v>198</v>
      </c>
    </row>
    <row r="19" spans="1:10" x14ac:dyDescent="0.25">
      <c r="A19">
        <v>8</v>
      </c>
      <c r="C19" t="s">
        <v>414</v>
      </c>
      <c r="F19">
        <v>-14209</v>
      </c>
      <c r="H19">
        <v>-7657</v>
      </c>
      <c r="J19" t="s">
        <v>198</v>
      </c>
    </row>
    <row r="20" spans="1:10" x14ac:dyDescent="0.25">
      <c r="A20">
        <v>9</v>
      </c>
      <c r="C20" t="s">
        <v>293</v>
      </c>
      <c r="F20" s="26">
        <f>ROUND(1291*0.7638,0)</f>
        <v>986</v>
      </c>
      <c r="G20" s="26"/>
      <c r="H20" s="26">
        <f>ROUND(1291*0.2362,0)</f>
        <v>305</v>
      </c>
      <c r="J20" t="s">
        <v>198</v>
      </c>
    </row>
    <row r="21" spans="1:10" x14ac:dyDescent="0.25">
      <c r="A21">
        <v>10</v>
      </c>
      <c r="C21" t="s">
        <v>290</v>
      </c>
      <c r="F21" s="5">
        <f>ROUND('WSC-Ins'!$I$17*0.7638,0)</f>
        <v>-4768</v>
      </c>
      <c r="G21" s="5"/>
      <c r="H21" s="5">
        <f>ROUND('WSC-Ins'!$I$17*0.2362,0)</f>
        <v>-1475</v>
      </c>
      <c r="J21" t="str">
        <f>'WSC-Ins'!J2</f>
        <v>Exhibit DMR-19</v>
      </c>
    </row>
    <row r="22" spans="1:10" x14ac:dyDescent="0.25">
      <c r="A22">
        <v>11</v>
      </c>
      <c r="C22" t="s">
        <v>291</v>
      </c>
      <c r="F22" s="5">
        <f>ROUND(WSCs_Dep!$I$17*0.7638,0)</f>
        <v>-15609</v>
      </c>
      <c r="G22" s="5"/>
      <c r="H22" s="5">
        <f>ROUND(WSCs_Dep!$I$17*0.2362,0)</f>
        <v>-4827</v>
      </c>
      <c r="J22" t="str">
        <f>WSCs_Dep!J2</f>
        <v>Exhibit DMR-20</v>
      </c>
    </row>
    <row r="23" spans="1:10" ht="16.5" thickBot="1" x14ac:dyDescent="0.3">
      <c r="A23">
        <v>12</v>
      </c>
      <c r="C23" t="s">
        <v>110</v>
      </c>
      <c r="F23" s="24">
        <f>SUM(F16:F22)</f>
        <v>-60410</v>
      </c>
      <c r="G23" s="26"/>
      <c r="H23" s="24">
        <f>SUM(H16:H22)</f>
        <v>-63944</v>
      </c>
    </row>
    <row r="24" spans="1:10" ht="16.5" thickTop="1" x14ac:dyDescent="0.25">
      <c r="A24">
        <v>13</v>
      </c>
    </row>
    <row r="25" spans="1:10" ht="18" x14ac:dyDescent="0.4">
      <c r="A25">
        <v>14</v>
      </c>
      <c r="C25" s="4" t="s">
        <v>46</v>
      </c>
    </row>
    <row r="26" spans="1:10" x14ac:dyDescent="0.25">
      <c r="A26">
        <v>15</v>
      </c>
      <c r="C26" t="s">
        <v>630</v>
      </c>
      <c r="F26">
        <f>GIS_Proj!M15</f>
        <v>-12381</v>
      </c>
      <c r="H26">
        <f>GIS_Proj!O15</f>
        <v>-3829</v>
      </c>
      <c r="J26" t="str">
        <f>GIS_Proj!O2</f>
        <v>Exhibit DMR-21</v>
      </c>
    </row>
    <row r="27" spans="1:10" x14ac:dyDescent="0.25">
      <c r="A27">
        <v>16</v>
      </c>
      <c r="C27" s="31" t="s">
        <v>453</v>
      </c>
      <c r="H27">
        <f>LUS_UandU!I30</f>
        <v>-19037</v>
      </c>
      <c r="J27" t="str">
        <f>LUS_UandU!I4</f>
        <v>Page 12</v>
      </c>
    </row>
    <row r="28" spans="1:10" x14ac:dyDescent="0.25">
      <c r="A28">
        <v>17</v>
      </c>
      <c r="C28" s="31" t="s">
        <v>411</v>
      </c>
      <c r="H28">
        <v>-48890</v>
      </c>
      <c r="J28" t="s">
        <v>412</v>
      </c>
    </row>
    <row r="29" spans="1:10" x14ac:dyDescent="0.25">
      <c r="A29">
        <v>18</v>
      </c>
      <c r="C29" t="s">
        <v>643</v>
      </c>
      <c r="H29">
        <f>ROUND(-5000/18,0)</f>
        <v>-278</v>
      </c>
      <c r="J29" s="6"/>
    </row>
    <row r="30" spans="1:10" x14ac:dyDescent="0.25">
      <c r="A30">
        <v>19</v>
      </c>
      <c r="C30" s="31" t="s">
        <v>427</v>
      </c>
      <c r="F30">
        <f>LUS_PlantA!I21</f>
        <v>-999</v>
      </c>
      <c r="H30">
        <f>LUS_PlantA!I31</f>
        <v>-111</v>
      </c>
      <c r="J30" s="31" t="str">
        <f>LUS_PlantA!I4</f>
        <v>Page 9</v>
      </c>
    </row>
    <row r="31" spans="1:10" x14ac:dyDescent="0.25">
      <c r="A31">
        <v>20</v>
      </c>
      <c r="C31" s="31" t="s">
        <v>432</v>
      </c>
      <c r="H31">
        <f>LUS_PlantB!I27</f>
        <v>-84</v>
      </c>
      <c r="J31" s="31" t="str">
        <f>LUS_PlantB!I4</f>
        <v>Page 10</v>
      </c>
    </row>
    <row r="32" spans="1:10" x14ac:dyDescent="0.25">
      <c r="A32">
        <v>21</v>
      </c>
      <c r="C32" s="31" t="s">
        <v>433</v>
      </c>
      <c r="F32">
        <f>LUS_PlantC!I25</f>
        <v>561</v>
      </c>
      <c r="H32">
        <f>LUS_PlantC!I39</f>
        <v>-1725</v>
      </c>
      <c r="J32" s="31" t="str">
        <f>LUS_PlantC!I4</f>
        <v>Page 11</v>
      </c>
    </row>
    <row r="33" spans="1:10" x14ac:dyDescent="0.25">
      <c r="A33">
        <v>22</v>
      </c>
      <c r="C33" s="31" t="s">
        <v>446</v>
      </c>
      <c r="F33" s="3"/>
      <c r="G33" s="26"/>
      <c r="H33" s="3">
        <f>LUS_PlantC!I53</f>
        <v>841</v>
      </c>
      <c r="J33" s="31" t="str">
        <f>J32</f>
        <v>Page 11</v>
      </c>
    </row>
    <row r="34" spans="1:10" ht="16.5" thickBot="1" x14ac:dyDescent="0.3">
      <c r="A34">
        <v>23</v>
      </c>
      <c r="C34" t="s">
        <v>110</v>
      </c>
      <c r="F34" s="24">
        <f>SUM(F26:F33)</f>
        <v>-12819</v>
      </c>
      <c r="G34" s="26"/>
      <c r="H34" s="24">
        <f>SUM(H26:H33)</f>
        <v>-73113</v>
      </c>
    </row>
    <row r="35" spans="1:10" ht="16.5" thickTop="1" x14ac:dyDescent="0.25">
      <c r="A35">
        <v>24</v>
      </c>
    </row>
    <row r="36" spans="1:10" ht="18" x14ac:dyDescent="0.4">
      <c r="A36">
        <v>25</v>
      </c>
      <c r="C36" s="4" t="s">
        <v>60</v>
      </c>
    </row>
    <row r="37" spans="1:10" x14ac:dyDescent="0.25">
      <c r="A37">
        <v>26</v>
      </c>
      <c r="C37" s="40" t="s">
        <v>648</v>
      </c>
      <c r="F37">
        <f>ROUND((LUS_wRB!G12+LUS_wRB!G16)*0.0154121,0)</f>
        <v>299</v>
      </c>
      <c r="H37">
        <f>ROUND((LUS_wwRB!G12+LUS_wwRB!G16)*0.0154121,0)</f>
        <v>-2705</v>
      </c>
    </row>
    <row r="38" spans="1:10" x14ac:dyDescent="0.25">
      <c r="A38">
        <v>27</v>
      </c>
      <c r="C38" t="s">
        <v>320</v>
      </c>
      <c r="H38">
        <f>H16*0.0765</f>
        <v>-487.84049999999996</v>
      </c>
      <c r="J38" t="s">
        <v>198</v>
      </c>
    </row>
    <row r="39" spans="1:10" x14ac:dyDescent="0.25">
      <c r="A39">
        <v>28</v>
      </c>
      <c r="C39" s="40" t="s">
        <v>89</v>
      </c>
      <c r="F39">
        <f>ROUND(F13*0.045,0)</f>
        <v>0</v>
      </c>
      <c r="H39">
        <f>ROUND(H13*0.045,0)</f>
        <v>0</v>
      </c>
    </row>
    <row r="40" spans="1:10" ht="16.5" thickBot="1" x14ac:dyDescent="0.3">
      <c r="A40">
        <v>29</v>
      </c>
      <c r="C40" t="s">
        <v>110</v>
      </c>
      <c r="F40" s="24">
        <f>SUM(F37:F39)</f>
        <v>299</v>
      </c>
      <c r="G40" s="26"/>
      <c r="H40" s="24">
        <f>SUM(H37:H39)</f>
        <v>-3192.8404999999998</v>
      </c>
    </row>
    <row r="41" spans="1:10" ht="16.5" thickTop="1" x14ac:dyDescent="0.25">
      <c r="A41">
        <v>30</v>
      </c>
    </row>
    <row r="42" spans="1:10" ht="18" x14ac:dyDescent="0.4">
      <c r="A42">
        <v>31</v>
      </c>
      <c r="C42" s="4" t="s">
        <v>79</v>
      </c>
    </row>
    <row r="43" spans="1:10" x14ac:dyDescent="0.25">
      <c r="A43">
        <v>32</v>
      </c>
      <c r="C43" s="40" t="s">
        <v>115</v>
      </c>
      <c r="F43">
        <f>LUS_wRB!G23*0.029*-0.3763</f>
        <v>0</v>
      </c>
      <c r="H43">
        <f>LUS_wwRB!G23*0.029*-0.3763</f>
        <v>17057.851985110003</v>
      </c>
    </row>
    <row r="44" spans="1:10" x14ac:dyDescent="0.25">
      <c r="C44" s="40" t="s">
        <v>90</v>
      </c>
      <c r="F44">
        <f>ROUND((F13-F23-F34-F40)*0.3763,0)</f>
        <v>27444</v>
      </c>
      <c r="H44">
        <f>ROUND((H13-H23-H34-H40)*0.3763,0)</f>
        <v>52776</v>
      </c>
    </row>
    <row r="45" spans="1:10" ht="16.5" thickBot="1" x14ac:dyDescent="0.3">
      <c r="C45" t="s">
        <v>110</v>
      </c>
      <c r="F45" s="24">
        <f>SUM(F43:F44)</f>
        <v>27444</v>
      </c>
      <c r="G45" s="26"/>
      <c r="H45" s="24">
        <f>SUM(H43:H44)</f>
        <v>69833.851985109999</v>
      </c>
    </row>
    <row r="46" spans="1:10" ht="16.5" thickTop="1" x14ac:dyDescent="0.25"/>
    <row r="47" spans="1:10" x14ac:dyDescent="0.25">
      <c r="C47" s="6" t="s">
        <v>136</v>
      </c>
    </row>
    <row r="48" spans="1:10" x14ac:dyDescent="0.25">
      <c r="C48" t="s">
        <v>116</v>
      </c>
    </row>
  </sheetData>
  <pageMargins left="0.7" right="0.7" top="0.75" bottom="0.75" header="0.3" footer="0.3"/>
  <pageSetup scale="75" orientation="portrait" horizontalDpi="0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workbookViewId="0">
      <selection activeCell="G16" sqref="G16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7" customWidth="1"/>
    <col min="5" max="5" width="16" customWidth="1"/>
    <col min="6" max="6" width="1.75" customWidth="1"/>
    <col min="7" max="7" width="12.375" customWidth="1"/>
    <col min="8" max="8" width="2.5" customWidth="1"/>
    <col min="9" max="9" width="12.875" customWidth="1"/>
    <col min="10" max="10" width="7" customWidth="1"/>
  </cols>
  <sheetData>
    <row r="1" spans="1:10" x14ac:dyDescent="0.25">
      <c r="A1" t="str">
        <f>CL_wRR!A1</f>
        <v>Utilities, Inc. of Florida</v>
      </c>
      <c r="H1" s="10"/>
      <c r="I1" s="10"/>
      <c r="J1" s="33" t="str">
        <f>ExhDR8_LUS_TOC!$E$1</f>
        <v>Docket No. 160101-WS</v>
      </c>
    </row>
    <row r="2" spans="1:10" x14ac:dyDescent="0.25">
      <c r="A2" t="s">
        <v>193</v>
      </c>
      <c r="H2" s="10"/>
      <c r="I2" s="10"/>
      <c r="J2" s="33" t="str">
        <f>ExhDR8_LUS_TOC!$E$2</f>
        <v>Exhibit DMR-8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ExhDR8_LUS_TOC!$E$3</f>
        <v>Lake Utility Services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82</v>
      </c>
      <c r="J4" s="33" t="str">
        <f>ExhDR8_LUS_TOC!$E$4</f>
        <v>of 12</v>
      </c>
    </row>
    <row r="5" spans="1:10" x14ac:dyDescent="0.25">
      <c r="A5" s="27" t="s">
        <v>74</v>
      </c>
      <c r="B5" s="10"/>
      <c r="C5" s="10"/>
      <c r="D5" s="10"/>
      <c r="E5" s="10"/>
      <c r="F5" s="10"/>
      <c r="G5" s="10"/>
      <c r="H5" s="10"/>
      <c r="I5" s="10"/>
      <c r="J5" s="35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  <c r="J6" s="35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  <c r="J7" s="10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  <c r="J8" s="10"/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  <c r="J9" s="10"/>
    </row>
    <row r="10" spans="1:10" x14ac:dyDescent="0.25">
      <c r="A10" s="10"/>
      <c r="B10" s="10"/>
      <c r="C10" s="10"/>
      <c r="D10" s="10"/>
      <c r="E10" s="43" t="s">
        <v>24</v>
      </c>
      <c r="F10" s="10"/>
      <c r="G10" s="43" t="s">
        <v>25</v>
      </c>
      <c r="H10" s="10"/>
      <c r="I10" s="43" t="s">
        <v>26</v>
      </c>
      <c r="J10" s="10"/>
    </row>
    <row r="11" spans="1:10" x14ac:dyDescent="0.25">
      <c r="A11" s="10"/>
      <c r="B11" s="10"/>
      <c r="C11" s="10"/>
      <c r="D11" s="10"/>
      <c r="E11" s="43"/>
      <c r="F11" s="10"/>
      <c r="G11" s="43"/>
      <c r="H11" s="10"/>
      <c r="I11" s="43"/>
      <c r="J11" s="10"/>
    </row>
    <row r="12" spans="1:10" x14ac:dyDescent="0.25">
      <c r="A12" s="10">
        <v>1</v>
      </c>
      <c r="B12" s="10"/>
      <c r="C12" s="11" t="s">
        <v>33</v>
      </c>
      <c r="D12" s="10"/>
      <c r="E12" s="10">
        <v>42174245</v>
      </c>
      <c r="F12" s="10"/>
      <c r="G12" s="10">
        <f>LUS_RBadj!G18</f>
        <v>-60143.200000000012</v>
      </c>
      <c r="H12" s="10"/>
      <c r="I12" s="10">
        <f>SUM(E12:G12)</f>
        <v>42114101.799999997</v>
      </c>
      <c r="J12" s="10"/>
    </row>
    <row r="13" spans="1:10" x14ac:dyDescent="0.25">
      <c r="A13" s="10">
        <v>2</v>
      </c>
      <c r="B13" s="10"/>
      <c r="C13" s="11" t="s">
        <v>34</v>
      </c>
      <c r="D13" s="10"/>
      <c r="E13" s="10">
        <v>112871</v>
      </c>
      <c r="F13" s="10"/>
      <c r="G13" s="10"/>
      <c r="H13" s="10"/>
      <c r="I13" s="10">
        <f t="shared" ref="I13:I22" si="0">SUM(E13:G13)</f>
        <v>112871</v>
      </c>
      <c r="J13" s="10"/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  <c r="J14" s="10"/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  <c r="J15" s="10"/>
    </row>
    <row r="16" spans="1:10" x14ac:dyDescent="0.25">
      <c r="A16" s="10">
        <v>5</v>
      </c>
      <c r="B16" s="10"/>
      <c r="C16" s="11" t="s">
        <v>37</v>
      </c>
      <c r="D16" s="10"/>
      <c r="E16" s="27">
        <v>-11712849</v>
      </c>
      <c r="F16" s="10"/>
      <c r="G16" s="10">
        <f>-LUS_RBadj!G33</f>
        <v>79541.5</v>
      </c>
      <c r="H16" s="10"/>
      <c r="I16" s="10">
        <f t="shared" si="0"/>
        <v>-11633307.5</v>
      </c>
      <c r="J16" s="10"/>
    </row>
    <row r="17" spans="1:10" x14ac:dyDescent="0.25">
      <c r="A17" s="10">
        <v>6</v>
      </c>
      <c r="B17" s="10"/>
      <c r="C17" s="11" t="s">
        <v>38</v>
      </c>
      <c r="D17" s="10"/>
      <c r="E17" s="10">
        <v>-20696093</v>
      </c>
      <c r="F17" s="10"/>
      <c r="G17" s="10"/>
      <c r="H17" s="10"/>
      <c r="I17" s="10">
        <f t="shared" si="0"/>
        <v>-20696093</v>
      </c>
      <c r="J17" s="10"/>
    </row>
    <row r="18" spans="1:10" x14ac:dyDescent="0.25">
      <c r="A18" s="10">
        <v>7</v>
      </c>
      <c r="B18" s="10"/>
      <c r="C18" s="11" t="s">
        <v>39</v>
      </c>
      <c r="D18" s="10"/>
      <c r="E18" s="10">
        <v>6742925</v>
      </c>
      <c r="F18" s="10"/>
      <c r="G18" s="10"/>
      <c r="H18" s="10"/>
      <c r="I18" s="10">
        <f t="shared" si="0"/>
        <v>6742925</v>
      </c>
      <c r="J18" s="10"/>
    </row>
    <row r="19" spans="1:10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  <c r="J19" s="10"/>
    </row>
    <row r="20" spans="1:10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  <c r="J20" s="10"/>
    </row>
    <row r="21" spans="1:10" x14ac:dyDescent="0.25">
      <c r="A21" s="10">
        <v>10</v>
      </c>
      <c r="B21" s="10"/>
      <c r="C21" s="27" t="s">
        <v>135</v>
      </c>
      <c r="D21" s="10"/>
      <c r="E21" s="27">
        <v>-38400</v>
      </c>
      <c r="F21" s="10"/>
      <c r="G21" s="10"/>
      <c r="H21" s="10"/>
      <c r="I21" s="10">
        <f t="shared" si="0"/>
        <v>-38400</v>
      </c>
      <c r="J21" s="10"/>
    </row>
    <row r="22" spans="1:10" x14ac:dyDescent="0.25">
      <c r="A22" s="10">
        <v>11</v>
      </c>
      <c r="B22" s="10"/>
      <c r="C22" s="11" t="s">
        <v>40</v>
      </c>
      <c r="D22" s="10"/>
      <c r="E22" s="28">
        <v>370572</v>
      </c>
      <c r="F22" s="10"/>
      <c r="G22" s="17">
        <f>LUS_RBadj!G38</f>
        <v>-450000</v>
      </c>
      <c r="H22" s="10"/>
      <c r="I22" s="17">
        <f t="shared" si="0"/>
        <v>-79428</v>
      </c>
      <c r="J22" s="10"/>
    </row>
    <row r="23" spans="1:10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 ht="16.5" thickBot="1" x14ac:dyDescent="0.3">
      <c r="A24" s="10">
        <v>12</v>
      </c>
      <c r="B24" s="10"/>
      <c r="C24" s="11" t="s">
        <v>41</v>
      </c>
      <c r="D24" s="10"/>
      <c r="E24" s="18">
        <f>SUM(E12:E22)</f>
        <v>16953271</v>
      </c>
      <c r="F24" s="10"/>
      <c r="G24" s="18">
        <f>SUM(G12:G22)</f>
        <v>-430601.7</v>
      </c>
      <c r="H24" s="10"/>
      <c r="I24" s="18">
        <f>SUM(I12:I23)</f>
        <v>16522669.299999997</v>
      </c>
      <c r="J24" s="10"/>
    </row>
    <row r="25" spans="1:10" ht="16.5" thickTop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0" ht="18" x14ac:dyDescent="0.4">
      <c r="A26" s="10"/>
      <c r="B26" s="10"/>
      <c r="C26" s="12" t="s">
        <v>50</v>
      </c>
      <c r="D26" s="10"/>
      <c r="E26" s="10"/>
      <c r="F26" s="10"/>
      <c r="G26" s="10"/>
      <c r="H26" s="10"/>
      <c r="I26" s="10"/>
      <c r="J26" s="10"/>
    </row>
    <row r="27" spans="1:10" x14ac:dyDescent="0.25">
      <c r="A27" s="10"/>
      <c r="B27" s="10"/>
      <c r="C27" s="45" t="s">
        <v>103</v>
      </c>
      <c r="D27" s="10"/>
      <c r="E27" s="10"/>
      <c r="F27" s="10"/>
      <c r="G27" s="10"/>
      <c r="H27" s="10"/>
      <c r="I27" s="10"/>
      <c r="J27" s="10"/>
    </row>
    <row r="28" spans="1:10" x14ac:dyDescent="0.25">
      <c r="A28" s="10"/>
      <c r="B28" s="10"/>
      <c r="C28" s="27" t="s">
        <v>104</v>
      </c>
      <c r="D28" s="10"/>
      <c r="E28" s="10"/>
      <c r="F28" s="10"/>
      <c r="G28" s="10"/>
      <c r="H28" s="10"/>
      <c r="I28" s="10"/>
      <c r="J28" s="10"/>
    </row>
  </sheetData>
  <pageMargins left="0.7" right="0.7" top="0.75" bottom="0.75" header="0.3" footer="0.3"/>
  <pageSetup scale="89" orientation="portrait" horizontalDpi="0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G16" sqref="G16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7" customWidth="1"/>
    <col min="5" max="5" width="16" customWidth="1"/>
    <col min="6" max="6" width="1.75" customWidth="1"/>
    <col min="7" max="7" width="12.375" customWidth="1"/>
    <col min="8" max="8" width="2.5" customWidth="1"/>
    <col min="9" max="9" width="13.375" customWidth="1"/>
    <col min="10" max="10" width="6.125" customWidth="1"/>
  </cols>
  <sheetData>
    <row r="1" spans="1:10" x14ac:dyDescent="0.25">
      <c r="A1" t="str">
        <f>CL_wRR!A1</f>
        <v>Utilities, Inc. of Florida</v>
      </c>
      <c r="H1" s="10"/>
      <c r="J1" s="33" t="str">
        <f>ExhDR8_LUS_TOC!$E$1</f>
        <v>Docket No. 160101-WS</v>
      </c>
    </row>
    <row r="2" spans="1:10" x14ac:dyDescent="0.25">
      <c r="A2" t="s">
        <v>193</v>
      </c>
      <c r="H2" s="10"/>
      <c r="I2" s="10"/>
      <c r="J2" s="33" t="str">
        <f>ExhDR8_LUS_TOC!$E$2</f>
        <v>Exhibit DMR-8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ExhDR8_LUS_TOC!$E$3</f>
        <v>Lake Utility Services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83</v>
      </c>
      <c r="J4" s="33" t="str">
        <f>ExhDR8_LUS_TOC!$E$4</f>
        <v>of 12</v>
      </c>
    </row>
    <row r="5" spans="1:10" x14ac:dyDescent="0.25">
      <c r="A5" s="27" t="s">
        <v>78</v>
      </c>
      <c r="B5" s="10"/>
      <c r="C5" s="10"/>
      <c r="D5" s="10"/>
      <c r="E5" s="10"/>
      <c r="F5" s="10"/>
      <c r="G5" s="10"/>
      <c r="H5" s="10"/>
      <c r="I5" s="10"/>
      <c r="J5" s="33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8" x14ac:dyDescent="0.4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25">
      <c r="A12" s="10">
        <v>1</v>
      </c>
      <c r="B12" s="10"/>
      <c r="C12" s="11" t="s">
        <v>33</v>
      </c>
      <c r="D12" s="10"/>
      <c r="E12" s="10">
        <v>25206425</v>
      </c>
      <c r="F12" s="10"/>
      <c r="G12" s="10">
        <f>LUS_RBadj!I18</f>
        <v>-72068.799999999988</v>
      </c>
      <c r="H12" s="10"/>
      <c r="I12" s="10">
        <f>SUM(E12:G12)</f>
        <v>25134356.199999999</v>
      </c>
    </row>
    <row r="13" spans="1:10" x14ac:dyDescent="0.25">
      <c r="A13" s="10">
        <v>2</v>
      </c>
      <c r="B13" s="10"/>
      <c r="C13" s="11" t="s">
        <v>34</v>
      </c>
      <c r="D13" s="10"/>
      <c r="E13" s="10">
        <v>19459</v>
      </c>
      <c r="F13" s="10"/>
      <c r="G13" s="10"/>
      <c r="H13" s="10"/>
      <c r="I13" s="10">
        <f t="shared" ref="I13:I21" si="0">SUM(E13:G13)</f>
        <v>19459</v>
      </c>
    </row>
    <row r="14" spans="1:10" x14ac:dyDescent="0.25">
      <c r="A14" s="10">
        <v>3</v>
      </c>
      <c r="B14" s="10"/>
      <c r="C14" s="11" t="s">
        <v>35</v>
      </c>
      <c r="D14" s="10"/>
      <c r="E14" s="27">
        <v>-1222003</v>
      </c>
      <c r="F14" s="10"/>
      <c r="G14" s="10">
        <f>LUS_RBadj!I24</f>
        <v>-1387617</v>
      </c>
      <c r="H14" s="10"/>
      <c r="I14" s="10">
        <f t="shared" si="0"/>
        <v>-2609620</v>
      </c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25">
      <c r="A16" s="10">
        <v>5</v>
      </c>
      <c r="B16" s="10"/>
      <c r="C16" s="11" t="s">
        <v>37</v>
      </c>
      <c r="D16" s="10"/>
      <c r="E16" s="27">
        <v>-5952127</v>
      </c>
      <c r="F16" s="10"/>
      <c r="G16" s="10">
        <f>-LUS_RBadj!I33</f>
        <v>-103433.5</v>
      </c>
      <c r="H16" s="10"/>
      <c r="I16" s="10">
        <f t="shared" si="0"/>
        <v>-6055560.5</v>
      </c>
    </row>
    <row r="17" spans="1:9" x14ac:dyDescent="0.25">
      <c r="A17" s="10">
        <v>6</v>
      </c>
      <c r="B17" s="10"/>
      <c r="C17" s="11" t="s">
        <v>38</v>
      </c>
      <c r="D17" s="10"/>
      <c r="E17" s="10">
        <v>-12115037</v>
      </c>
      <c r="F17" s="10"/>
      <c r="G17" s="10"/>
      <c r="H17" s="10"/>
      <c r="I17" s="10">
        <f t="shared" si="0"/>
        <v>-12115037</v>
      </c>
    </row>
    <row r="18" spans="1:9" x14ac:dyDescent="0.25">
      <c r="A18" s="10">
        <v>7</v>
      </c>
      <c r="B18" s="10"/>
      <c r="C18" s="11" t="s">
        <v>39</v>
      </c>
      <c r="D18" s="10"/>
      <c r="E18" s="10">
        <v>3815915</v>
      </c>
      <c r="F18" s="10"/>
      <c r="G18" s="10"/>
      <c r="H18" s="10"/>
      <c r="I18" s="10">
        <f t="shared" si="0"/>
        <v>3815915</v>
      </c>
    </row>
    <row r="19" spans="1:9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25">
      <c r="A21" s="10">
        <v>10</v>
      </c>
      <c r="B21" s="10"/>
      <c r="C21" s="11" t="s">
        <v>40</v>
      </c>
      <c r="D21" s="10"/>
      <c r="E21" s="28">
        <v>49916</v>
      </c>
      <c r="F21" s="10"/>
      <c r="G21" s="17">
        <f>LUS_RBadj!I38</f>
        <v>0</v>
      </c>
      <c r="H21" s="10"/>
      <c r="I21" s="17">
        <f t="shared" si="0"/>
        <v>49916</v>
      </c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5" thickBot="1" x14ac:dyDescent="0.3">
      <c r="A23" s="10">
        <v>11</v>
      </c>
      <c r="B23" s="10"/>
      <c r="C23" s="11" t="s">
        <v>41</v>
      </c>
      <c r="D23" s="10"/>
      <c r="E23" s="18">
        <f>SUM(E12:E21)</f>
        <v>9802548</v>
      </c>
      <c r="F23" s="10"/>
      <c r="G23" s="18">
        <f>SUM(G12:G21)</f>
        <v>-1563119.3</v>
      </c>
      <c r="H23" s="10"/>
      <c r="I23" s="18">
        <f>SUM(I12:I22)</f>
        <v>8239428.6999999993</v>
      </c>
    </row>
    <row r="24" spans="1:9" ht="16.5" thickTop="1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8" x14ac:dyDescent="0.4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25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27" t="s">
        <v>104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88" orientation="portrait" horizontalDpi="0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workbookViewId="0">
      <selection activeCell="I32" sqref="I32"/>
    </sheetView>
  </sheetViews>
  <sheetFormatPr defaultRowHeight="15.75" x14ac:dyDescent="0.25"/>
  <cols>
    <col min="1" max="1" width="4.25" customWidth="1"/>
    <col min="2" max="2" width="1.375" customWidth="1"/>
    <col min="3" max="3" width="35.125" customWidth="1"/>
    <col min="4" max="6" width="7" customWidth="1"/>
    <col min="7" max="7" width="11.125" customWidth="1"/>
    <col min="8" max="8" width="1.875" customWidth="1"/>
    <col min="9" max="9" width="11.125" customWidth="1"/>
    <col min="10" max="10" width="2.25" customWidth="1"/>
    <col min="11" max="11" width="15.375" customWidth="1"/>
    <col min="12" max="12" width="5.75" customWidth="1"/>
  </cols>
  <sheetData>
    <row r="1" spans="1:12" x14ac:dyDescent="0.25">
      <c r="A1" t="str">
        <f>CL_wRR!A1</f>
        <v>Utilities, Inc. of Florida</v>
      </c>
      <c r="K1" s="37"/>
      <c r="L1" s="33" t="str">
        <f>ExhDR8_LUS_TOC!$E$1</f>
        <v>Docket No. 160101-WS</v>
      </c>
    </row>
    <row r="2" spans="1:12" x14ac:dyDescent="0.25">
      <c r="A2" t="s">
        <v>193</v>
      </c>
      <c r="K2" s="37"/>
      <c r="L2" s="33" t="str">
        <f>ExhDR8_LUS_TOC!$E$2</f>
        <v>Exhibit DMR-8</v>
      </c>
    </row>
    <row r="3" spans="1:12" x14ac:dyDescent="0.25">
      <c r="A3" t="str">
        <f>CL_wRR!A3</f>
        <v>Test Year Ended December 31, 2015</v>
      </c>
      <c r="K3" s="37"/>
      <c r="L3" s="33" t="str">
        <f>ExhDR8_LUS_TOC!$E$3</f>
        <v>Lake Utility Services Revenue Requirement</v>
      </c>
    </row>
    <row r="4" spans="1:12" x14ac:dyDescent="0.25">
      <c r="K4" s="38" t="s">
        <v>87</v>
      </c>
      <c r="L4" s="33" t="str">
        <f>ExhDR8_LUS_TOC!$E$4</f>
        <v>of 12</v>
      </c>
    </row>
    <row r="5" spans="1:12" x14ac:dyDescent="0.25">
      <c r="A5" t="s">
        <v>42</v>
      </c>
      <c r="K5" s="37"/>
      <c r="L5" s="37"/>
    </row>
    <row r="6" spans="1:12" x14ac:dyDescent="0.25">
      <c r="K6" s="37"/>
      <c r="L6" s="37"/>
    </row>
    <row r="7" spans="1:12" x14ac:dyDescent="0.25">
      <c r="G7" s="1"/>
      <c r="H7" s="1"/>
      <c r="I7" s="1"/>
      <c r="K7" s="37"/>
      <c r="L7" s="37"/>
    </row>
    <row r="8" spans="1:12" x14ac:dyDescent="0.25">
      <c r="A8" t="s">
        <v>0</v>
      </c>
      <c r="G8" s="1" t="s">
        <v>70</v>
      </c>
      <c r="H8" s="1"/>
      <c r="I8" s="1" t="s">
        <v>71</v>
      </c>
      <c r="K8" s="19"/>
      <c r="L8" s="19"/>
    </row>
    <row r="9" spans="1:12" x14ac:dyDescent="0.25">
      <c r="A9" s="3" t="s">
        <v>1</v>
      </c>
      <c r="C9" s="9" t="s">
        <v>2</v>
      </c>
      <c r="G9" s="2" t="s">
        <v>5</v>
      </c>
      <c r="H9" s="34"/>
      <c r="I9" s="2" t="s">
        <v>5</v>
      </c>
      <c r="K9" s="20" t="s">
        <v>23</v>
      </c>
      <c r="L9" s="19"/>
    </row>
    <row r="10" spans="1:12" x14ac:dyDescent="0.25">
      <c r="K10" s="19"/>
      <c r="L10" s="19"/>
    </row>
    <row r="11" spans="1:12" ht="18" x14ac:dyDescent="0.4">
      <c r="C11" s="4" t="s">
        <v>44</v>
      </c>
      <c r="K11" s="19"/>
      <c r="L11" s="19"/>
    </row>
    <row r="12" spans="1:12" x14ac:dyDescent="0.25">
      <c r="A12">
        <v>1</v>
      </c>
      <c r="C12" t="s">
        <v>630</v>
      </c>
      <c r="G12">
        <f>GIS_Proj!I15</f>
        <v>-74285</v>
      </c>
      <c r="I12">
        <f>GIS_Proj!K15</f>
        <v>-22972</v>
      </c>
      <c r="K12" s="19" t="str">
        <f>GIS_Proj!O2</f>
        <v>Exhibit DMR-21</v>
      </c>
      <c r="L12" s="19"/>
    </row>
    <row r="13" spans="1:12" x14ac:dyDescent="0.25">
      <c r="A13">
        <v>2</v>
      </c>
      <c r="C13" t="s">
        <v>642</v>
      </c>
      <c r="I13">
        <v>-5000</v>
      </c>
      <c r="K13" s="76" t="s">
        <v>212</v>
      </c>
      <c r="L13" s="19"/>
    </row>
    <row r="14" spans="1:12" x14ac:dyDescent="0.25">
      <c r="A14">
        <v>3</v>
      </c>
      <c r="C14" s="31" t="s">
        <v>427</v>
      </c>
      <c r="G14" s="19">
        <f>LUS_PlantA!I15</f>
        <v>-9988.2000000000116</v>
      </c>
      <c r="H14" s="19"/>
      <c r="I14" s="19">
        <f>LUS_PlantA!I25</f>
        <v>-1109.7999999999956</v>
      </c>
      <c r="J14" s="19"/>
      <c r="K14" s="19" t="str">
        <f>LUS_PlantA!I4</f>
        <v>Page 9</v>
      </c>
      <c r="L14" s="19"/>
    </row>
    <row r="15" spans="1:12" x14ac:dyDescent="0.25">
      <c r="A15">
        <v>4</v>
      </c>
      <c r="C15" s="31" t="s">
        <v>432</v>
      </c>
      <c r="G15" s="19"/>
      <c r="H15" s="19"/>
      <c r="I15" s="19">
        <f>LUS_PlantB!I18</f>
        <v>-1500</v>
      </c>
      <c r="J15" s="19"/>
      <c r="K15" s="19" t="str">
        <f>LUS_PlantB!I4</f>
        <v>Page 10</v>
      </c>
      <c r="L15" s="19"/>
    </row>
    <row r="16" spans="1:12" x14ac:dyDescent="0.25">
      <c r="A16">
        <v>5</v>
      </c>
      <c r="C16" s="31" t="s">
        <v>433</v>
      </c>
      <c r="G16" s="19">
        <f>LUS_PlantC!I17</f>
        <v>24130</v>
      </c>
      <c r="H16" s="19"/>
      <c r="I16" s="19">
        <f>LUS_PlantC!I31</f>
        <v>-77621</v>
      </c>
      <c r="J16" s="19"/>
      <c r="K16" s="31" t="str">
        <f>LUS_PlantC!I4</f>
        <v>Page 11</v>
      </c>
      <c r="L16" s="19"/>
    </row>
    <row r="17" spans="1:12" x14ac:dyDescent="0.25">
      <c r="A17">
        <v>6</v>
      </c>
      <c r="C17" s="31" t="s">
        <v>446</v>
      </c>
      <c r="I17">
        <f>LUS_PlantC!I45</f>
        <v>36134</v>
      </c>
      <c r="K17" s="19" t="str">
        <f>K16</f>
        <v>Page 11</v>
      </c>
      <c r="L17" s="19"/>
    </row>
    <row r="18" spans="1:12" ht="16.5" thickBot="1" x14ac:dyDescent="0.3">
      <c r="A18">
        <v>7</v>
      </c>
      <c r="B18" s="19"/>
      <c r="C18" t="s">
        <v>48</v>
      </c>
      <c r="G18" s="24">
        <f>SUM(G12:G17)</f>
        <v>-60143.200000000012</v>
      </c>
      <c r="H18" s="26"/>
      <c r="I18" s="24">
        <f>SUM(I12:I17)</f>
        <v>-72068.799999999988</v>
      </c>
      <c r="K18" s="19"/>
      <c r="L18" s="19"/>
    </row>
    <row r="19" spans="1:12" ht="16.5" thickTop="1" x14ac:dyDescent="0.25">
      <c r="A19">
        <v>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18" x14ac:dyDescent="0.4">
      <c r="A20">
        <v>9</v>
      </c>
      <c r="B20" s="19"/>
      <c r="C20" s="21" t="s">
        <v>58</v>
      </c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25">
      <c r="A21">
        <v>10</v>
      </c>
      <c r="B21" s="19"/>
      <c r="C21" s="20" t="s">
        <v>452</v>
      </c>
      <c r="D21" s="19"/>
      <c r="E21" s="19"/>
      <c r="F21" s="19"/>
      <c r="G21" s="19"/>
      <c r="H21" s="19"/>
      <c r="I21" s="19">
        <f>LUS_UandU!G28</f>
        <v>-304578</v>
      </c>
      <c r="J21" s="19"/>
      <c r="K21" s="19" t="str">
        <f>LUS_UandU!I4</f>
        <v>Page 12</v>
      </c>
      <c r="L21" s="19"/>
    </row>
    <row r="22" spans="1:12" x14ac:dyDescent="0.25">
      <c r="A22">
        <v>11</v>
      </c>
      <c r="B22" s="19"/>
      <c r="C22" s="31" t="s">
        <v>409</v>
      </c>
      <c r="D22" s="19"/>
      <c r="E22" s="19"/>
      <c r="F22" s="19"/>
      <c r="G22" s="19"/>
      <c r="H22" s="19"/>
      <c r="I22" s="19">
        <v>-1656177</v>
      </c>
      <c r="J22" s="19"/>
      <c r="K22" s="31" t="s">
        <v>413</v>
      </c>
      <c r="L22" s="19"/>
    </row>
    <row r="23" spans="1:12" x14ac:dyDescent="0.25">
      <c r="A23">
        <v>12</v>
      </c>
      <c r="B23" s="19"/>
      <c r="C23" s="80" t="s">
        <v>410</v>
      </c>
      <c r="D23" s="19"/>
      <c r="E23" s="19"/>
      <c r="F23" s="19"/>
      <c r="G23" s="22"/>
      <c r="H23" s="39"/>
      <c r="I23" s="22">
        <v>573138</v>
      </c>
      <c r="J23" s="19"/>
      <c r="K23" s="31" t="s">
        <v>413</v>
      </c>
      <c r="L23" s="19"/>
    </row>
    <row r="24" spans="1:12" ht="16.5" thickBot="1" x14ac:dyDescent="0.3">
      <c r="A24">
        <v>13</v>
      </c>
      <c r="B24" s="19"/>
      <c r="C24" t="s">
        <v>59</v>
      </c>
      <c r="D24" s="19"/>
      <c r="E24" s="19"/>
      <c r="F24" s="19"/>
      <c r="G24" s="23">
        <f>SUM(G21:G23)</f>
        <v>0</v>
      </c>
      <c r="H24" s="39"/>
      <c r="I24" s="23">
        <f>SUM(I21:I23)</f>
        <v>-1387617</v>
      </c>
      <c r="J24" s="19"/>
      <c r="K24" s="31"/>
      <c r="L24" s="19"/>
    </row>
    <row r="25" spans="1:12" ht="16.5" thickTop="1" x14ac:dyDescent="0.25">
      <c r="A25">
        <v>14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ht="18" x14ac:dyDescent="0.4">
      <c r="A26">
        <v>15</v>
      </c>
      <c r="B26" s="19"/>
      <c r="C26" s="21" t="s">
        <v>43</v>
      </c>
      <c r="D26" s="19"/>
      <c r="E26" s="19"/>
      <c r="F26" s="19"/>
      <c r="G26" s="19"/>
      <c r="H26" s="19"/>
      <c r="I26" s="19"/>
      <c r="J26" s="19"/>
      <c r="K26" s="19"/>
      <c r="L26" s="19"/>
    </row>
    <row r="27" spans="1:12" x14ac:dyDescent="0.25">
      <c r="A27">
        <v>16</v>
      </c>
      <c r="B27" s="19"/>
      <c r="C27" t="s">
        <v>630</v>
      </c>
      <c r="D27" s="19"/>
      <c r="E27" s="19"/>
      <c r="F27" s="19"/>
      <c r="G27" s="19">
        <f>LUS_NOIadj!F26*0.5</f>
        <v>-6190.5</v>
      </c>
      <c r="H27" s="19"/>
      <c r="I27" s="19">
        <f>LUS_NOIadj!H26*0.5</f>
        <v>-1914.5</v>
      </c>
      <c r="J27" s="19"/>
      <c r="K27" s="19"/>
      <c r="L27" s="19"/>
    </row>
    <row r="28" spans="1:12" x14ac:dyDescent="0.25">
      <c r="A28">
        <v>17</v>
      </c>
      <c r="B28" s="19"/>
      <c r="C28" t="s">
        <v>642</v>
      </c>
      <c r="D28" s="19"/>
      <c r="E28" s="19"/>
      <c r="F28" s="19"/>
      <c r="G28" s="19"/>
      <c r="H28" s="19"/>
      <c r="I28" s="19">
        <f>LUS_NOIadj!H29*0.5</f>
        <v>-139</v>
      </c>
      <c r="J28" s="19"/>
      <c r="K28" s="76" t="s">
        <v>212</v>
      </c>
      <c r="L28" s="19"/>
    </row>
    <row r="29" spans="1:12" x14ac:dyDescent="0.25">
      <c r="A29">
        <v>18</v>
      </c>
      <c r="B29" s="19"/>
      <c r="C29" s="31" t="s">
        <v>427</v>
      </c>
      <c r="D29" s="19"/>
      <c r="E29" s="19"/>
      <c r="F29" s="19"/>
      <c r="G29" s="19">
        <f>LUS_PlantA!I18</f>
        <v>-499</v>
      </c>
      <c r="H29" s="19"/>
      <c r="I29" s="19">
        <f>LUS_PlantA!I28</f>
        <v>-55</v>
      </c>
      <c r="J29" s="19"/>
      <c r="K29" s="19" t="str">
        <f>LUS_PlantA!I4</f>
        <v>Page 9</v>
      </c>
      <c r="L29" s="19"/>
    </row>
    <row r="30" spans="1:12" x14ac:dyDescent="0.25">
      <c r="A30">
        <v>19</v>
      </c>
      <c r="B30" s="19"/>
      <c r="C30" s="31" t="s">
        <v>432</v>
      </c>
      <c r="D30" s="19"/>
      <c r="E30" s="19"/>
      <c r="F30" s="19"/>
      <c r="G30" s="19"/>
      <c r="H30" s="19"/>
      <c r="I30" s="19">
        <f>LUS_PlantB!I24</f>
        <v>2709</v>
      </c>
      <c r="J30" s="19"/>
      <c r="K30" s="19" t="str">
        <f>LUS_PlantB!I4</f>
        <v>Page 10</v>
      </c>
      <c r="L30" s="19"/>
    </row>
    <row r="31" spans="1:12" x14ac:dyDescent="0.25">
      <c r="A31">
        <v>20</v>
      </c>
      <c r="B31" s="19"/>
      <c r="C31" s="31" t="s">
        <v>433</v>
      </c>
      <c r="D31" s="19"/>
      <c r="E31" s="19"/>
      <c r="F31" s="19"/>
      <c r="G31" s="19">
        <f>LUS_PlantC!I22</f>
        <v>-72852</v>
      </c>
      <c r="H31" s="19"/>
      <c r="I31" s="19">
        <f>LUS_PlantC!I36</f>
        <v>199275</v>
      </c>
      <c r="J31" s="19"/>
      <c r="K31" s="31" t="str">
        <f>K16</f>
        <v>Page 11</v>
      </c>
      <c r="L31" s="19"/>
    </row>
    <row r="32" spans="1:12" x14ac:dyDescent="0.25">
      <c r="A32">
        <v>21</v>
      </c>
      <c r="B32" s="19"/>
      <c r="C32" s="31" t="s">
        <v>446</v>
      </c>
      <c r="D32" s="19"/>
      <c r="E32" s="19"/>
      <c r="F32" s="19"/>
      <c r="G32" s="19"/>
      <c r="H32" s="19"/>
      <c r="I32" s="19">
        <f>LUS_PlantC!I50</f>
        <v>-96442</v>
      </c>
      <c r="J32" s="19"/>
      <c r="K32" s="19" t="str">
        <f>K17</f>
        <v>Page 11</v>
      </c>
      <c r="L32" s="19"/>
    </row>
    <row r="33" spans="1:12" ht="16.5" thickBot="1" x14ac:dyDescent="0.3">
      <c r="A33">
        <v>22</v>
      </c>
      <c r="B33" s="19"/>
      <c r="C33" s="20" t="s">
        <v>47</v>
      </c>
      <c r="D33" s="19"/>
      <c r="E33" s="19"/>
      <c r="F33" s="19"/>
      <c r="G33" s="23">
        <f>SUM(G27:G32)</f>
        <v>-79541.5</v>
      </c>
      <c r="H33" s="39"/>
      <c r="I33" s="23">
        <f>SUM(I27:I32)</f>
        <v>103433.5</v>
      </c>
      <c r="J33" s="19"/>
      <c r="K33" s="19"/>
      <c r="L33" s="19"/>
    </row>
    <row r="34" spans="1:12" ht="16.5" thickTop="1" x14ac:dyDescent="0.25">
      <c r="A34">
        <v>23</v>
      </c>
      <c r="B34" s="19"/>
      <c r="C34" s="20"/>
      <c r="D34" s="19"/>
      <c r="E34" s="19"/>
      <c r="F34" s="19"/>
      <c r="G34" s="19"/>
      <c r="H34" s="19"/>
      <c r="I34" s="19"/>
      <c r="J34" s="19"/>
      <c r="K34" s="19"/>
      <c r="L34" s="19"/>
    </row>
    <row r="35" spans="1:12" ht="18" x14ac:dyDescent="0.4">
      <c r="A35">
        <v>24</v>
      </c>
      <c r="B35" s="19"/>
      <c r="C35" s="21" t="s">
        <v>51</v>
      </c>
      <c r="D35" s="19"/>
      <c r="E35" s="19"/>
      <c r="F35" s="19"/>
      <c r="G35" s="19"/>
      <c r="H35" s="19"/>
      <c r="I35" s="19"/>
      <c r="J35" s="19"/>
      <c r="K35" s="19"/>
      <c r="L35" s="19"/>
    </row>
    <row r="36" spans="1:12" x14ac:dyDescent="0.25">
      <c r="A36">
        <v>25</v>
      </c>
      <c r="B36" s="19"/>
      <c r="C36" s="31" t="s">
        <v>415</v>
      </c>
      <c r="D36" s="19"/>
      <c r="E36" s="19"/>
      <c r="F36" s="19"/>
      <c r="G36" s="19">
        <v>-450000</v>
      </c>
      <c r="H36" s="19"/>
      <c r="I36" s="19"/>
      <c r="J36" s="19"/>
      <c r="K36" s="76" t="s">
        <v>212</v>
      </c>
      <c r="L36" s="19"/>
    </row>
    <row r="37" spans="1:12" x14ac:dyDescent="0.25">
      <c r="A37" s="19"/>
      <c r="B37" s="19"/>
      <c r="C37" s="19"/>
      <c r="D37" s="19"/>
      <c r="E37" s="19"/>
      <c r="F37" s="19"/>
      <c r="G37" s="22"/>
      <c r="H37" s="39"/>
      <c r="I37" s="22"/>
      <c r="J37" s="19"/>
      <c r="K37" s="19"/>
      <c r="L37" s="19"/>
    </row>
    <row r="38" spans="1:12" ht="16.5" thickBot="1" x14ac:dyDescent="0.3">
      <c r="C38" s="20" t="s">
        <v>52</v>
      </c>
      <c r="D38" s="19"/>
      <c r="E38" s="19"/>
      <c r="F38" s="19"/>
      <c r="G38" s="23">
        <f>SUM(G36:G37)</f>
        <v>-450000</v>
      </c>
      <c r="H38" s="39"/>
      <c r="I38" s="23">
        <f>SUM(I36:I37)</f>
        <v>0</v>
      </c>
      <c r="J38" s="19"/>
      <c r="K38" s="19"/>
      <c r="L38" s="19"/>
    </row>
    <row r="39" spans="1:12" ht="16.5" thickTop="1" x14ac:dyDescent="0.25">
      <c r="C39" s="19"/>
      <c r="D39" s="19"/>
      <c r="E39" s="19"/>
      <c r="F39" s="19"/>
      <c r="G39" s="19"/>
      <c r="H39" s="19"/>
      <c r="I39" s="19"/>
      <c r="J39" s="19"/>
      <c r="K39" s="19"/>
    </row>
    <row r="41" spans="1:12" x14ac:dyDescent="0.25">
      <c r="C41" s="6" t="s">
        <v>416</v>
      </c>
    </row>
  </sheetData>
  <pageMargins left="0.7" right="0.7" top="0.75" bottom="0.75" header="0.3" footer="0.3"/>
  <pageSetup scale="78" orientation="portrait" horizontalDpi="0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opLeftCell="A3" workbookViewId="0">
      <selection activeCell="C26" sqref="C26"/>
    </sheetView>
  </sheetViews>
  <sheetFormatPr defaultRowHeight="15.75" x14ac:dyDescent="0.25"/>
  <cols>
    <col min="1" max="1" width="4.25" customWidth="1"/>
    <col min="2" max="2" width="1.375" customWidth="1"/>
    <col min="3" max="3" width="20.5" customWidth="1"/>
    <col min="4" max="4" width="1.125" customWidth="1"/>
    <col min="5" max="5" width="12.375" customWidth="1"/>
    <col min="6" max="6" width="1.125" customWidth="1"/>
    <col min="7" max="7" width="9.625" customWidth="1"/>
    <col min="8" max="8" width="1.125" customWidth="1"/>
    <col min="9" max="9" width="12" customWidth="1"/>
    <col min="10" max="10" width="0.75" customWidth="1"/>
    <col min="11" max="11" width="11.875" customWidth="1"/>
    <col min="12" max="12" width="0.75" customWidth="1"/>
    <col min="13" max="13" width="9.625" customWidth="1"/>
    <col min="14" max="14" width="0.75" customWidth="1"/>
    <col min="15" max="15" width="9.75" customWidth="1"/>
    <col min="16" max="16" width="0.75" customWidth="1"/>
    <col min="17" max="17" width="10" customWidth="1"/>
    <col min="18" max="18" width="6.125" customWidth="1"/>
  </cols>
  <sheetData>
    <row r="1" spans="1:18" x14ac:dyDescent="0.25">
      <c r="A1" t="str">
        <f>CL_wRR!A1</f>
        <v>Utilities, Inc. of Florida</v>
      </c>
      <c r="Q1" s="37"/>
      <c r="R1" s="33" t="str">
        <f>ExhDR8_LUS_TOC!$E$1</f>
        <v>Docket No. 160101-WS</v>
      </c>
    </row>
    <row r="2" spans="1:18" x14ac:dyDescent="0.25">
      <c r="A2" t="s">
        <v>193</v>
      </c>
      <c r="Q2" s="37"/>
      <c r="R2" s="33" t="str">
        <f>ExhDR8_LUS_TOC!$E$2</f>
        <v>Exhibit DMR-8</v>
      </c>
    </row>
    <row r="3" spans="1:18" x14ac:dyDescent="0.25">
      <c r="A3" t="str">
        <f>CL_wRR!A3</f>
        <v>Test Year Ended December 31, 2015</v>
      </c>
      <c r="Q3" s="37"/>
      <c r="R3" s="33" t="str">
        <f>ExhDR8_LUS_TOC!$E$3</f>
        <v>Lake Utility Services Revenue Requirement</v>
      </c>
    </row>
    <row r="4" spans="1:18" x14ac:dyDescent="0.25">
      <c r="Q4" s="38" t="s">
        <v>222</v>
      </c>
      <c r="R4" s="33" t="str">
        <f>ExhDR8_LUS_TOC!$E$4</f>
        <v>of 12</v>
      </c>
    </row>
    <row r="5" spans="1:18" x14ac:dyDescent="0.25">
      <c r="A5" t="s">
        <v>199</v>
      </c>
    </row>
    <row r="8" spans="1:18" x14ac:dyDescent="0.25">
      <c r="Q8" s="1" t="s">
        <v>8</v>
      </c>
    </row>
    <row r="9" spans="1:18" x14ac:dyDescent="0.25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8" x14ac:dyDescent="0.4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25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25">
      <c r="A13">
        <v>1</v>
      </c>
      <c r="C13" t="s">
        <v>206</v>
      </c>
      <c r="E13">
        <v>11186553</v>
      </c>
      <c r="G13" s="64">
        <f>E13/$E$20</f>
        <v>0.41809793159021102</v>
      </c>
      <c r="I13">
        <f>K13-E13</f>
        <v>-1129752.8637272064</v>
      </c>
      <c r="K13">
        <f>($K$20-$K$16-$K$17-$K$18)*(E13/SUM($E$13:$E$15))</f>
        <v>10056800.136272794</v>
      </c>
      <c r="M13" s="64">
        <f>K13/$K$20</f>
        <v>0.4061368360739383</v>
      </c>
      <c r="O13" s="64">
        <v>6.7000000000000004E-2</v>
      </c>
      <c r="P13" s="8"/>
      <c r="Q13" s="64">
        <f>M13*O13</f>
        <v>2.7211168016953866E-2</v>
      </c>
    </row>
    <row r="14" spans="1:18" x14ac:dyDescent="0.25">
      <c r="A14">
        <v>2</v>
      </c>
      <c r="C14" t="s">
        <v>207</v>
      </c>
      <c r="E14">
        <v>1062397</v>
      </c>
      <c r="G14" s="64">
        <f t="shared" ref="G14:G18" si="0">E14/$E$20</f>
        <v>3.9707136615510195E-2</v>
      </c>
      <c r="I14">
        <f t="shared" ref="I14:I15" si="1">K14-E14</f>
        <v>-107293.6456087227</v>
      </c>
      <c r="K14">
        <f t="shared" ref="K14:K15" si="2">($K$20-$K$16-$K$17-$K$18)*(E14/SUM($E$13:$E$15))</f>
        <v>955103.3543912773</v>
      </c>
      <c r="M14" s="64">
        <f t="shared" ref="M14:M18" si="3">K14/$K$20</f>
        <v>3.857118061608824E-2</v>
      </c>
      <c r="O14" s="8">
        <v>2.3199999999999998E-2</v>
      </c>
      <c r="P14" s="8"/>
      <c r="Q14" s="64">
        <f t="shared" ref="Q14:Q18" si="4">M14*O14</f>
        <v>8.9485139029324705E-4</v>
      </c>
    </row>
    <row r="15" spans="1:18" x14ac:dyDescent="0.25">
      <c r="A15">
        <v>3</v>
      </c>
      <c r="C15" t="s">
        <v>208</v>
      </c>
      <c r="E15">
        <v>11896427</v>
      </c>
      <c r="G15" s="64">
        <f t="shared" si="0"/>
        <v>0.4446295049077173</v>
      </c>
      <c r="I15">
        <f t="shared" si="1"/>
        <v>-1201444.4906640742</v>
      </c>
      <c r="K15">
        <f t="shared" si="2"/>
        <v>10694982.509335926</v>
      </c>
      <c r="M15" s="64">
        <f t="shared" si="3"/>
        <v>0.43190938463033007</v>
      </c>
      <c r="O15" s="8">
        <v>0.104</v>
      </c>
      <c r="P15" s="8"/>
      <c r="Q15" s="64">
        <f t="shared" si="4"/>
        <v>4.4918576001554328E-2</v>
      </c>
    </row>
    <row r="16" spans="1:18" x14ac:dyDescent="0.25">
      <c r="A16">
        <v>4</v>
      </c>
      <c r="C16" t="s">
        <v>209</v>
      </c>
      <c r="E16">
        <v>100776</v>
      </c>
      <c r="G16" s="64">
        <f t="shared" si="0"/>
        <v>3.7665076233881077E-3</v>
      </c>
      <c r="K16">
        <f>E16+I16</f>
        <v>100776</v>
      </c>
      <c r="M16" s="64">
        <f t="shared" si="3"/>
        <v>4.0697682401547725E-3</v>
      </c>
      <c r="O16" s="8">
        <v>0.02</v>
      </c>
      <c r="P16" s="8"/>
      <c r="Q16" s="64">
        <f t="shared" si="4"/>
        <v>8.1395364803095449E-5</v>
      </c>
    </row>
    <row r="17" spans="1:17" x14ac:dyDescent="0.25">
      <c r="A17">
        <v>5</v>
      </c>
      <c r="C17" t="s">
        <v>210</v>
      </c>
      <c r="E17">
        <v>0</v>
      </c>
      <c r="G17" s="64">
        <f t="shared" si="0"/>
        <v>0</v>
      </c>
      <c r="K17">
        <f>E17+I17</f>
        <v>0</v>
      </c>
      <c r="M17" s="64">
        <f t="shared" si="3"/>
        <v>0</v>
      </c>
      <c r="O17" s="8">
        <v>0</v>
      </c>
      <c r="P17" s="8"/>
      <c r="Q17" s="64">
        <f t="shared" si="4"/>
        <v>0</v>
      </c>
    </row>
    <row r="18" spans="1:17" x14ac:dyDescent="0.25">
      <c r="A18">
        <v>6</v>
      </c>
      <c r="C18" t="s">
        <v>211</v>
      </c>
      <c r="E18" s="3">
        <v>2509667</v>
      </c>
      <c r="G18" s="68">
        <f t="shared" si="0"/>
        <v>9.3798919263173394E-2</v>
      </c>
      <c r="I18" s="29">
        <v>444769</v>
      </c>
      <c r="K18" s="3">
        <f>E18+I18</f>
        <v>2954436</v>
      </c>
      <c r="M18" s="68">
        <f t="shared" si="3"/>
        <v>0.11931283043948862</v>
      </c>
      <c r="O18" s="8">
        <v>0</v>
      </c>
      <c r="P18" s="8"/>
      <c r="Q18" s="68">
        <f t="shared" si="4"/>
        <v>0</v>
      </c>
    </row>
    <row r="20" spans="1:17" ht="16.5" thickBot="1" x14ac:dyDescent="0.3">
      <c r="A20">
        <v>7</v>
      </c>
      <c r="C20" t="s">
        <v>189</v>
      </c>
      <c r="E20">
        <f>SUM(E13:E19)</f>
        <v>26755820</v>
      </c>
      <c r="G20" s="8">
        <f>SUM(G13:G19)</f>
        <v>1</v>
      </c>
      <c r="K20">
        <f>LUS_wRB!I24+LUS_wwRB!I23</f>
        <v>24762097.999999996</v>
      </c>
      <c r="M20" s="8">
        <f>SUM(M13:M19)</f>
        <v>1</v>
      </c>
      <c r="Q20" s="71">
        <f>ROUND(SUM(Q13:Q19),4)</f>
        <v>7.3099999999999998E-2</v>
      </c>
    </row>
    <row r="21" spans="1:17" ht="16.5" thickTop="1" x14ac:dyDescent="0.25"/>
    <row r="22" spans="1:17" ht="18" x14ac:dyDescent="0.4">
      <c r="C22" s="4" t="s">
        <v>50</v>
      </c>
    </row>
    <row r="23" spans="1:17" x14ac:dyDescent="0.25">
      <c r="C23" t="s">
        <v>217</v>
      </c>
    </row>
    <row r="24" spans="1:17" x14ac:dyDescent="0.25">
      <c r="C24" t="s">
        <v>408</v>
      </c>
    </row>
    <row r="25" spans="1:17" x14ac:dyDescent="0.25">
      <c r="C25" t="s">
        <v>695</v>
      </c>
    </row>
    <row r="26" spans="1:17" x14ac:dyDescent="0.25">
      <c r="C26" t="s">
        <v>694</v>
      </c>
    </row>
  </sheetData>
  <pageMargins left="0.7" right="0.7" top="0.75" bottom="0.75" header="0.3" footer="0.3"/>
  <pageSetup scale="72" orientation="portrait" horizontalDpi="0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opLeftCell="A2" workbookViewId="0">
      <selection activeCell="I18" sqref="I18"/>
    </sheetView>
  </sheetViews>
  <sheetFormatPr defaultRowHeight="15.75" x14ac:dyDescent="0.25"/>
  <cols>
    <col min="1" max="1" width="4.625" customWidth="1"/>
    <col min="2" max="2" width="1.375" customWidth="1"/>
    <col min="3" max="3" width="42.75" customWidth="1"/>
    <col min="4" max="4" width="5.5" customWidth="1"/>
    <col min="5" max="5" width="14.125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5.75" customWidth="1"/>
  </cols>
  <sheetData>
    <row r="1" spans="1:10" x14ac:dyDescent="0.25">
      <c r="A1" t="str">
        <f>CL_wRR!A1</f>
        <v>Utilities, Inc. of Florida</v>
      </c>
      <c r="I1" s="37"/>
      <c r="J1" s="33" t="str">
        <f>ExhDR8_LUS_TOC!$E$1</f>
        <v>Docket No. 160101-WS</v>
      </c>
    </row>
    <row r="2" spans="1:10" x14ac:dyDescent="0.25">
      <c r="A2" t="s">
        <v>193</v>
      </c>
      <c r="I2" s="37"/>
      <c r="J2" s="33" t="str">
        <f>ExhDR8_LUS_TOC!$E$2</f>
        <v>Exhibit DMR-8</v>
      </c>
    </row>
    <row r="3" spans="1:10" x14ac:dyDescent="0.25">
      <c r="A3" t="str">
        <f>CL_wRR!A3</f>
        <v>Test Year Ended December 31, 2015</v>
      </c>
      <c r="I3" s="37"/>
      <c r="J3" s="33" t="str">
        <f>ExhDR8_LUS_TOC!$E$3</f>
        <v>Lake Utility Services Revenue Requirement</v>
      </c>
    </row>
    <row r="4" spans="1:10" x14ac:dyDescent="0.25">
      <c r="I4" s="38" t="s">
        <v>345</v>
      </c>
      <c r="J4" s="33" t="str">
        <f>ExhDR8_LUS_TOC!$E$4</f>
        <v>of 12</v>
      </c>
    </row>
    <row r="5" spans="1:10" x14ac:dyDescent="0.25">
      <c r="A5" s="27" t="s">
        <v>422</v>
      </c>
      <c r="B5" s="10"/>
      <c r="C5" s="10"/>
      <c r="D5" s="10"/>
      <c r="E5" s="10"/>
      <c r="F5" s="10"/>
      <c r="G5" s="10"/>
      <c r="H5" s="10"/>
      <c r="I5" s="10"/>
    </row>
    <row r="6" spans="1:10" x14ac:dyDescent="0.25">
      <c r="A6" t="s">
        <v>457</v>
      </c>
    </row>
    <row r="10" spans="1:10" x14ac:dyDescent="0.25">
      <c r="E10" s="1" t="s">
        <v>346</v>
      </c>
      <c r="F10" s="1"/>
      <c r="G10" s="1" t="s">
        <v>348</v>
      </c>
      <c r="H10" s="1"/>
      <c r="I10" s="1"/>
    </row>
    <row r="11" spans="1:10" x14ac:dyDescent="0.25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0" x14ac:dyDescent="0.25">
      <c r="E12" s="7" t="s">
        <v>212</v>
      </c>
      <c r="F12" s="1"/>
      <c r="G12" s="7" t="s">
        <v>213</v>
      </c>
      <c r="H12" s="1"/>
      <c r="I12" s="7" t="s">
        <v>214</v>
      </c>
    </row>
    <row r="13" spans="1:10" x14ac:dyDescent="0.25">
      <c r="C13" s="82" t="s">
        <v>419</v>
      </c>
      <c r="E13" s="7"/>
      <c r="F13" s="1"/>
      <c r="G13" s="7"/>
      <c r="H13" s="1"/>
      <c r="I13" s="7"/>
    </row>
    <row r="14" spans="1:10" ht="18" x14ac:dyDescent="0.4">
      <c r="C14" s="4" t="s">
        <v>350</v>
      </c>
    </row>
    <row r="15" spans="1:10" x14ac:dyDescent="0.25">
      <c r="A15">
        <v>1</v>
      </c>
      <c r="C15" t="s">
        <v>417</v>
      </c>
      <c r="E15">
        <v>423000</v>
      </c>
      <c r="G15">
        <f>458902*(423/(423+47))</f>
        <v>413011.8</v>
      </c>
      <c r="I15" s="79">
        <f>G15-E15</f>
        <v>-9988.2000000000116</v>
      </c>
    </row>
    <row r="17" spans="1:11" ht="18" x14ac:dyDescent="0.4">
      <c r="C17" s="4" t="s">
        <v>351</v>
      </c>
    </row>
    <row r="18" spans="1:11" x14ac:dyDescent="0.25">
      <c r="A18">
        <v>2</v>
      </c>
      <c r="C18" t="s">
        <v>352</v>
      </c>
      <c r="E18" s="3">
        <f>ROUND(E21/2,0)</f>
        <v>21150</v>
      </c>
      <c r="G18" s="3">
        <f>ROUND(G21/2,0)</f>
        <v>20651</v>
      </c>
      <c r="I18" s="79">
        <f>G18-E18</f>
        <v>-499</v>
      </c>
    </row>
    <row r="20" spans="1:11" ht="18" x14ac:dyDescent="0.4">
      <c r="C20" s="4" t="s">
        <v>353</v>
      </c>
    </row>
    <row r="21" spans="1:11" x14ac:dyDescent="0.25">
      <c r="A21">
        <v>3</v>
      </c>
      <c r="C21" t="s">
        <v>420</v>
      </c>
      <c r="E21">
        <f>ROUND(E15*(1/10),0)</f>
        <v>42300</v>
      </c>
      <c r="G21">
        <f>ROUND(G15*(1/10),0)</f>
        <v>41301</v>
      </c>
      <c r="I21" s="79">
        <f>G21-E21</f>
        <v>-999</v>
      </c>
      <c r="K21" s="46"/>
    </row>
    <row r="23" spans="1:11" x14ac:dyDescent="0.25">
      <c r="C23" s="82" t="s">
        <v>421</v>
      </c>
      <c r="E23" s="7"/>
      <c r="F23" s="1"/>
      <c r="G23" s="7"/>
      <c r="H23" s="1"/>
      <c r="I23" s="7"/>
    </row>
    <row r="24" spans="1:11" ht="18" x14ac:dyDescent="0.4">
      <c r="C24" s="4" t="s">
        <v>350</v>
      </c>
    </row>
    <row r="25" spans="1:11" x14ac:dyDescent="0.25">
      <c r="A25">
        <v>4</v>
      </c>
      <c r="C25" t="s">
        <v>417</v>
      </c>
      <c r="E25">
        <v>47000</v>
      </c>
      <c r="G25">
        <f>458902*(47/(423+47))</f>
        <v>45890.200000000004</v>
      </c>
      <c r="I25" s="79">
        <f>G25-E25</f>
        <v>-1109.7999999999956</v>
      </c>
    </row>
    <row r="27" spans="1:11" ht="18" x14ac:dyDescent="0.4">
      <c r="C27" s="4" t="s">
        <v>351</v>
      </c>
    </row>
    <row r="28" spans="1:11" x14ac:dyDescent="0.25">
      <c r="A28">
        <v>5</v>
      </c>
      <c r="C28" t="s">
        <v>352</v>
      </c>
      <c r="E28" s="3">
        <f>ROUND(E31/2,0)</f>
        <v>2350</v>
      </c>
      <c r="G28" s="3">
        <f>ROUND(G31/2,0)</f>
        <v>2295</v>
      </c>
      <c r="I28" s="79">
        <f>G28-E28</f>
        <v>-55</v>
      </c>
    </row>
    <row r="30" spans="1:11" ht="18" x14ac:dyDescent="0.4">
      <c r="C30" s="4" t="s">
        <v>353</v>
      </c>
    </row>
    <row r="31" spans="1:11" x14ac:dyDescent="0.25">
      <c r="A31">
        <v>6</v>
      </c>
      <c r="C31" t="s">
        <v>420</v>
      </c>
      <c r="E31">
        <f>ROUND(E25*(1/10),0)</f>
        <v>4700</v>
      </c>
      <c r="G31">
        <f>ROUND(G25*(1/10),0)</f>
        <v>4589</v>
      </c>
      <c r="I31" s="79">
        <f>G31-E31</f>
        <v>-111</v>
      </c>
    </row>
    <row r="34" spans="3:3" ht="18" x14ac:dyDescent="0.4">
      <c r="C34" s="4" t="s">
        <v>50</v>
      </c>
    </row>
    <row r="35" spans="3:3" x14ac:dyDescent="0.25">
      <c r="C35" t="s">
        <v>426</v>
      </c>
    </row>
    <row r="36" spans="3:3" x14ac:dyDescent="0.25">
      <c r="C36" t="s">
        <v>424</v>
      </c>
    </row>
    <row r="37" spans="3:3" x14ac:dyDescent="0.25">
      <c r="C37" t="s">
        <v>425</v>
      </c>
    </row>
    <row r="39" spans="3:3" x14ac:dyDescent="0.25">
      <c r="C39" t="s">
        <v>423</v>
      </c>
    </row>
  </sheetData>
  <pageMargins left="0.7" right="0.7" top="0.75" bottom="0.75" header="0.3" footer="0.3"/>
  <pageSetup scale="84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opLeftCell="A11" zoomScaleNormal="100" workbookViewId="0">
      <selection activeCell="H30" sqref="H30"/>
    </sheetView>
  </sheetViews>
  <sheetFormatPr defaultRowHeight="15.75" x14ac:dyDescent="0.25"/>
  <cols>
    <col min="1" max="1" width="4.375" customWidth="1"/>
    <col min="2" max="2" width="1.625" customWidth="1"/>
    <col min="3" max="3" width="42.875" customWidth="1"/>
    <col min="5" max="5" width="12.125" customWidth="1"/>
    <col min="6" max="6" width="9.625" bestFit="1" customWidth="1"/>
    <col min="7" max="7" width="1.75" customWidth="1"/>
    <col min="8" max="8" width="9.625" customWidth="1"/>
    <col min="9" max="9" width="1.375" customWidth="1"/>
    <col min="10" max="10" width="17.75" customWidth="1"/>
    <col min="11" max="11" width="4.875" customWidth="1"/>
  </cols>
  <sheetData>
    <row r="1" spans="1:13" x14ac:dyDescent="0.25">
      <c r="A1" t="str">
        <f>CL_wRR!A1</f>
        <v>Utilities, Inc. of Florida</v>
      </c>
      <c r="J1" s="33"/>
      <c r="K1" s="33" t="str">
        <f>ExhDR3_CL_TOC!$E$1</f>
        <v>Docket No. 160101-WS</v>
      </c>
    </row>
    <row r="2" spans="1:13" x14ac:dyDescent="0.25">
      <c r="A2" t="str">
        <f>CL_wRR!A2</f>
        <v xml:space="preserve">  -  Cypress Lakes</v>
      </c>
      <c r="J2" s="33"/>
      <c r="K2" s="33" t="str">
        <f>ExhDR3_CL_TOC!$E$2</f>
        <v>Exhibit DMR-3</v>
      </c>
    </row>
    <row r="3" spans="1:13" x14ac:dyDescent="0.25">
      <c r="A3" t="str">
        <f>CL_wRR!A3</f>
        <v>Test Year Ended December 31, 2015</v>
      </c>
      <c r="J3" s="33"/>
      <c r="K3" s="33" t="str">
        <f>ExhDR3_CL_TOC!$E$3</f>
        <v>Cypress Lakes Revenue Requirement</v>
      </c>
    </row>
    <row r="4" spans="1:13" x14ac:dyDescent="0.25">
      <c r="J4" s="33" t="s">
        <v>81</v>
      </c>
      <c r="K4" s="33" t="str">
        <f>ExhDR3_CL_TOC!$E$4</f>
        <v>of 8</v>
      </c>
    </row>
    <row r="5" spans="1:13" x14ac:dyDescent="0.25">
      <c r="A5" t="s">
        <v>45</v>
      </c>
    </row>
    <row r="8" spans="1:13" x14ac:dyDescent="0.25">
      <c r="A8" t="s">
        <v>0</v>
      </c>
      <c r="F8" s="1" t="s">
        <v>70</v>
      </c>
      <c r="G8" s="1"/>
      <c r="H8" s="1" t="s">
        <v>71</v>
      </c>
    </row>
    <row r="9" spans="1:13" ht="18" x14ac:dyDescent="0.4">
      <c r="A9" s="3" t="s">
        <v>1</v>
      </c>
      <c r="C9" s="4" t="s">
        <v>2</v>
      </c>
      <c r="F9" s="2" t="s">
        <v>5</v>
      </c>
      <c r="G9" s="34"/>
      <c r="H9" s="2" t="s">
        <v>5</v>
      </c>
      <c r="J9" s="4" t="s">
        <v>72</v>
      </c>
    </row>
    <row r="11" spans="1:13" ht="18" x14ac:dyDescent="0.4">
      <c r="C11" s="4" t="s">
        <v>73</v>
      </c>
    </row>
    <row r="12" spans="1:13" x14ac:dyDescent="0.25">
      <c r="A12">
        <v>1</v>
      </c>
    </row>
    <row r="13" spans="1:13" ht="16.5" thickBot="1" x14ac:dyDescent="0.3">
      <c r="A13">
        <v>2</v>
      </c>
      <c r="C13" t="s">
        <v>110</v>
      </c>
      <c r="F13" s="24">
        <f>SUM(F12:F12)</f>
        <v>0</v>
      </c>
      <c r="H13" s="24">
        <f>SUM(H12:H12)</f>
        <v>0</v>
      </c>
    </row>
    <row r="14" spans="1:13" ht="16.5" thickTop="1" x14ac:dyDescent="0.25">
      <c r="A14">
        <v>3</v>
      </c>
    </row>
    <row r="15" spans="1:13" ht="18" x14ac:dyDescent="0.4">
      <c r="A15">
        <v>4</v>
      </c>
      <c r="C15" s="4" t="s">
        <v>49</v>
      </c>
    </row>
    <row r="16" spans="1:13" x14ac:dyDescent="0.25">
      <c r="A16">
        <v>5</v>
      </c>
      <c r="C16" t="s">
        <v>371</v>
      </c>
      <c r="F16">
        <v>-15188</v>
      </c>
      <c r="H16">
        <f>-14419</f>
        <v>-14419</v>
      </c>
      <c r="J16" t="s">
        <v>373</v>
      </c>
      <c r="M16" t="s">
        <v>54</v>
      </c>
    </row>
    <row r="17" spans="1:10" x14ac:dyDescent="0.25">
      <c r="A17">
        <v>6</v>
      </c>
      <c r="C17" t="s">
        <v>375</v>
      </c>
      <c r="F17">
        <f>-31296/4</f>
        <v>-7824</v>
      </c>
      <c r="H17">
        <f>-29769/4</f>
        <v>-7442.25</v>
      </c>
      <c r="J17" t="s">
        <v>376</v>
      </c>
    </row>
    <row r="18" spans="1:10" x14ac:dyDescent="0.25">
      <c r="A18">
        <v>7</v>
      </c>
      <c r="C18" t="s">
        <v>592</v>
      </c>
      <c r="H18">
        <f>-800/10</f>
        <v>-80</v>
      </c>
      <c r="J18" s="6" t="s">
        <v>214</v>
      </c>
    </row>
    <row r="19" spans="1:10" x14ac:dyDescent="0.25">
      <c r="A19">
        <v>8</v>
      </c>
      <c r="C19" t="s">
        <v>293</v>
      </c>
      <c r="F19" s="26">
        <f>ROUND(208*0.5125,0)</f>
        <v>107</v>
      </c>
      <c r="G19" s="26"/>
      <c r="H19" s="26">
        <f>ROUND(208*0.4875,0)</f>
        <v>101</v>
      </c>
      <c r="J19" t="s">
        <v>198</v>
      </c>
    </row>
    <row r="20" spans="1:10" x14ac:dyDescent="0.25">
      <c r="A20">
        <v>9</v>
      </c>
      <c r="C20" t="s">
        <v>290</v>
      </c>
      <c r="F20" s="5">
        <f>ROUND('WSC-Ins'!$I$12*0.5125,0)</f>
        <v>-521</v>
      </c>
      <c r="G20" s="5"/>
      <c r="H20" s="5">
        <f>ROUND('WSC-Ins'!$I$12*0.4875,0)</f>
        <v>-495</v>
      </c>
      <c r="J20" t="str">
        <f>'WSC-Ins'!J2</f>
        <v>Exhibit DMR-19</v>
      </c>
    </row>
    <row r="21" spans="1:10" x14ac:dyDescent="0.25">
      <c r="A21">
        <v>10</v>
      </c>
      <c r="C21" t="s">
        <v>291</v>
      </c>
      <c r="F21" s="5">
        <f>ROUND(WSCs_Dep!$I$12*0.5125,0)</f>
        <v>-1691</v>
      </c>
      <c r="G21" s="5"/>
      <c r="H21" s="5">
        <f>ROUND(WSCs_Dep!$I$12*0.4875,0)</f>
        <v>-1609</v>
      </c>
      <c r="J21" t="str">
        <f>WSCs_Dep!J2</f>
        <v>Exhibit DMR-20</v>
      </c>
    </row>
    <row r="22" spans="1:10" ht="16.5" thickBot="1" x14ac:dyDescent="0.3">
      <c r="A22">
        <v>11</v>
      </c>
      <c r="C22" t="s">
        <v>110</v>
      </c>
      <c r="F22" s="24">
        <f>SUM(F16:F21)</f>
        <v>-25117</v>
      </c>
      <c r="G22" s="26"/>
      <c r="H22" s="24">
        <f>SUM(H16:H21)</f>
        <v>-23944.25</v>
      </c>
    </row>
    <row r="23" spans="1:10" ht="16.5" thickTop="1" x14ac:dyDescent="0.25">
      <c r="A23">
        <v>12</v>
      </c>
    </row>
    <row r="24" spans="1:10" ht="18" x14ac:dyDescent="0.4">
      <c r="A24">
        <v>13</v>
      </c>
      <c r="C24" s="4" t="s">
        <v>46</v>
      </c>
    </row>
    <row r="25" spans="1:10" x14ac:dyDescent="0.25">
      <c r="A25">
        <v>14</v>
      </c>
      <c r="C25" t="s">
        <v>630</v>
      </c>
      <c r="F25" s="3">
        <f>GIS_Proj!M10</f>
        <v>-1335</v>
      </c>
      <c r="G25" s="26"/>
      <c r="H25" s="3">
        <f>GIS_Proj!O10</f>
        <v>-1270</v>
      </c>
      <c r="J25" s="31" t="str">
        <f>GIS_Proj!O2</f>
        <v>Exhibit DMR-21</v>
      </c>
    </row>
    <row r="26" spans="1:10" ht="16.5" thickBot="1" x14ac:dyDescent="0.3">
      <c r="A26">
        <v>15</v>
      </c>
      <c r="C26" t="s">
        <v>110</v>
      </c>
      <c r="F26" s="24">
        <f>SUM(F25:F25)</f>
        <v>-1335</v>
      </c>
      <c r="G26" s="26"/>
      <c r="H26" s="24">
        <f>SUM(H25:H25)</f>
        <v>-1270</v>
      </c>
    </row>
    <row r="27" spans="1:10" ht="16.5" thickTop="1" x14ac:dyDescent="0.25">
      <c r="A27">
        <v>16</v>
      </c>
    </row>
    <row r="28" spans="1:10" x14ac:dyDescent="0.25">
      <c r="A28">
        <v>17</v>
      </c>
    </row>
    <row r="29" spans="1:10" ht="18" x14ac:dyDescent="0.4">
      <c r="A29">
        <v>18</v>
      </c>
      <c r="C29" s="4" t="s">
        <v>60</v>
      </c>
    </row>
    <row r="30" spans="1:10" x14ac:dyDescent="0.25">
      <c r="A30">
        <v>19</v>
      </c>
      <c r="C30" s="40" t="s">
        <v>631</v>
      </c>
      <c r="F30">
        <f>ROUND((CL_wRB!G12+CL_wRB!G16)*0.0151521,0)</f>
        <v>-111</v>
      </c>
      <c r="H30">
        <f>ROUND((CL_wwRB!G12+CL_wwRB!G16)*0.0151521,0)</f>
        <v>-106</v>
      </c>
    </row>
    <row r="31" spans="1:10" x14ac:dyDescent="0.25">
      <c r="A31">
        <v>20</v>
      </c>
      <c r="C31" s="40" t="s">
        <v>89</v>
      </c>
      <c r="F31">
        <f>ROUND(F13*0.045,0)</f>
        <v>0</v>
      </c>
      <c r="H31">
        <f>ROUND(H13*0.045,0)</f>
        <v>0</v>
      </c>
    </row>
    <row r="32" spans="1:10" ht="16.5" thickBot="1" x14ac:dyDescent="0.3">
      <c r="A32">
        <v>21</v>
      </c>
      <c r="C32" t="s">
        <v>110</v>
      </c>
      <c r="F32" s="24">
        <f>SUM(F30:F31)</f>
        <v>-111</v>
      </c>
      <c r="G32" s="26"/>
      <c r="H32" s="24">
        <f>SUM(H30:H31)</f>
        <v>-106</v>
      </c>
    </row>
    <row r="33" spans="1:8" ht="16.5" thickTop="1" x14ac:dyDescent="0.25">
      <c r="A33">
        <v>22</v>
      </c>
    </row>
    <row r="34" spans="1:8" ht="18" x14ac:dyDescent="0.4">
      <c r="A34">
        <v>23</v>
      </c>
      <c r="C34" s="4" t="s">
        <v>79</v>
      </c>
    </row>
    <row r="35" spans="1:8" x14ac:dyDescent="0.25">
      <c r="A35">
        <v>24</v>
      </c>
      <c r="C35" s="40" t="s">
        <v>359</v>
      </c>
      <c r="F35">
        <f>CL_wRB!G23*0.0301*-0.3763</f>
        <v>83.188434035</v>
      </c>
      <c r="H35">
        <f>CL_wwRB!G23*0.0301*-0.3763</f>
        <v>87.283010779999998</v>
      </c>
    </row>
    <row r="36" spans="1:8" x14ac:dyDescent="0.25">
      <c r="A36">
        <v>25</v>
      </c>
      <c r="C36" s="40" t="s">
        <v>90</v>
      </c>
      <c r="F36">
        <f>ROUND((F13-F22-F26-F32)*0.3763,0)</f>
        <v>9996</v>
      </c>
      <c r="H36">
        <f>ROUND((H13-H22-H26-H32)*0.3763,0)</f>
        <v>9528</v>
      </c>
    </row>
    <row r="37" spans="1:8" ht="16.5" thickBot="1" x14ac:dyDescent="0.3">
      <c r="A37">
        <v>26</v>
      </c>
      <c r="C37" t="s">
        <v>110</v>
      </c>
      <c r="F37" s="24">
        <f>SUM(F35:F36)</f>
        <v>10079.188434035001</v>
      </c>
      <c r="G37" s="26"/>
      <c r="H37" s="24">
        <f>SUM(H35:H36)</f>
        <v>9615.28301078</v>
      </c>
    </row>
    <row r="38" spans="1:8" ht="16.5" thickTop="1" x14ac:dyDescent="0.25"/>
    <row r="40" spans="1:8" x14ac:dyDescent="0.25">
      <c r="C40" s="76" t="s">
        <v>374</v>
      </c>
    </row>
    <row r="41" spans="1:8" x14ac:dyDescent="0.25">
      <c r="C41" s="6" t="s">
        <v>332</v>
      </c>
    </row>
    <row r="42" spans="1:8" x14ac:dyDescent="0.25">
      <c r="C42" t="s">
        <v>116</v>
      </c>
    </row>
    <row r="43" spans="1:8" x14ac:dyDescent="0.25">
      <c r="C43" s="6" t="s">
        <v>568</v>
      </c>
    </row>
  </sheetData>
  <phoneticPr fontId="0" type="noConversion"/>
  <pageMargins left="1.25" right="0.75" top="1" bottom="1" header="0.5" footer="0.5"/>
  <pageSetup scale="58" orientation="portrait" horizontalDpi="4294967292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I24" sqref="I24"/>
    </sheetView>
  </sheetViews>
  <sheetFormatPr defaultRowHeight="15.75" x14ac:dyDescent="0.25"/>
  <cols>
    <col min="1" max="1" width="4.625" customWidth="1"/>
    <col min="2" max="2" width="1.375" customWidth="1"/>
    <col min="3" max="3" width="42.75" customWidth="1"/>
    <col min="4" max="4" width="5.5" customWidth="1"/>
    <col min="5" max="5" width="14.125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6.125" customWidth="1"/>
  </cols>
  <sheetData>
    <row r="1" spans="1:10" x14ac:dyDescent="0.25">
      <c r="A1" t="str">
        <f>CL_wRR!A1</f>
        <v>Utilities, Inc. of Florida</v>
      </c>
      <c r="I1" s="37"/>
      <c r="J1" s="33" t="str">
        <f>ExhDR8_LUS_TOC!$E$1</f>
        <v>Docket No. 160101-WS</v>
      </c>
    </row>
    <row r="2" spans="1:10" x14ac:dyDescent="0.25">
      <c r="A2" t="s">
        <v>193</v>
      </c>
      <c r="I2" s="37"/>
      <c r="J2" s="33" t="str">
        <f>ExhDR8_LUS_TOC!$E$2</f>
        <v>Exhibit DMR-8</v>
      </c>
    </row>
    <row r="3" spans="1:10" x14ac:dyDescent="0.25">
      <c r="A3" t="str">
        <f>CL_wRR!A3</f>
        <v>Test Year Ended December 31, 2015</v>
      </c>
      <c r="I3" s="37"/>
      <c r="J3" s="33" t="str">
        <f>ExhDR8_LUS_TOC!$E$3</f>
        <v>Lake Utility Services Revenue Requirement</v>
      </c>
    </row>
    <row r="4" spans="1:10" x14ac:dyDescent="0.25">
      <c r="I4" s="38" t="s">
        <v>428</v>
      </c>
      <c r="J4" s="33" t="str">
        <f>ExhDR8_LUS_TOC!$E$4</f>
        <v>of 12</v>
      </c>
    </row>
    <row r="5" spans="1:10" x14ac:dyDescent="0.25">
      <c r="A5" s="27" t="s">
        <v>422</v>
      </c>
      <c r="B5" s="10"/>
      <c r="C5" s="10"/>
      <c r="D5" s="10"/>
      <c r="E5" s="10"/>
      <c r="F5" s="10"/>
      <c r="G5" s="10"/>
      <c r="H5" s="10"/>
      <c r="I5" s="10"/>
    </row>
    <row r="6" spans="1:10" x14ac:dyDescent="0.25">
      <c r="A6" t="s">
        <v>436</v>
      </c>
    </row>
    <row r="10" spans="1:10" x14ac:dyDescent="0.25">
      <c r="E10" s="1" t="s">
        <v>346</v>
      </c>
      <c r="F10" s="1"/>
      <c r="G10" s="1" t="s">
        <v>348</v>
      </c>
      <c r="H10" s="1"/>
      <c r="I10" s="1"/>
    </row>
    <row r="11" spans="1:10" x14ac:dyDescent="0.25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0" x14ac:dyDescent="0.25">
      <c r="E12" s="7" t="s">
        <v>212</v>
      </c>
      <c r="F12" s="1"/>
      <c r="G12" s="7" t="s">
        <v>213</v>
      </c>
      <c r="H12" s="1"/>
      <c r="I12" s="7" t="s">
        <v>214</v>
      </c>
    </row>
    <row r="13" spans="1:10" x14ac:dyDescent="0.25">
      <c r="C13" s="82" t="s">
        <v>429</v>
      </c>
      <c r="E13" s="7"/>
      <c r="F13" s="1"/>
      <c r="G13" s="7"/>
      <c r="H13" s="1"/>
      <c r="I13" s="7"/>
    </row>
    <row r="14" spans="1:10" ht="18" x14ac:dyDescent="0.4">
      <c r="C14" s="4" t="s">
        <v>350</v>
      </c>
    </row>
    <row r="15" spans="1:10" x14ac:dyDescent="0.25">
      <c r="A15">
        <v>1</v>
      </c>
      <c r="C15" t="s">
        <v>417</v>
      </c>
      <c r="E15">
        <v>84000</v>
      </c>
      <c r="G15">
        <v>78000</v>
      </c>
    </row>
    <row r="16" spans="1:10" x14ac:dyDescent="0.25">
      <c r="A16">
        <v>2</v>
      </c>
      <c r="C16" t="s">
        <v>349</v>
      </c>
      <c r="E16" s="3">
        <f>-E15*0.75</f>
        <v>-63000</v>
      </c>
      <c r="G16" s="3">
        <f>-G15*0.75</f>
        <v>-58500</v>
      </c>
    </row>
    <row r="18" spans="1:9" x14ac:dyDescent="0.25">
      <c r="A18">
        <v>3</v>
      </c>
      <c r="C18" t="s">
        <v>354</v>
      </c>
      <c r="E18">
        <f>SUM(E15:E16)</f>
        <v>21000</v>
      </c>
      <c r="G18">
        <f>SUM(G15:G16)</f>
        <v>19500</v>
      </c>
      <c r="I18" s="79">
        <f>G18-E18</f>
        <v>-1500</v>
      </c>
    </row>
    <row r="20" spans="1:9" ht="18" x14ac:dyDescent="0.4">
      <c r="C20" s="4" t="s">
        <v>351</v>
      </c>
    </row>
    <row r="21" spans="1:9" x14ac:dyDescent="0.25">
      <c r="A21">
        <v>4</v>
      </c>
      <c r="C21" t="s">
        <v>418</v>
      </c>
      <c r="E21">
        <f>E16</f>
        <v>-63000</v>
      </c>
      <c r="G21">
        <f>G16</f>
        <v>-58500</v>
      </c>
    </row>
    <row r="22" spans="1:9" x14ac:dyDescent="0.25">
      <c r="A22">
        <v>5</v>
      </c>
      <c r="C22" t="s">
        <v>352</v>
      </c>
      <c r="E22" s="3">
        <v>2333</v>
      </c>
      <c r="G22" s="3">
        <f>ROUND(G27/2,0)</f>
        <v>542</v>
      </c>
    </row>
    <row r="24" spans="1:9" x14ac:dyDescent="0.25">
      <c r="A24">
        <v>6</v>
      </c>
      <c r="C24" t="s">
        <v>356</v>
      </c>
      <c r="E24">
        <f>SUM(E21:E23)</f>
        <v>-60667</v>
      </c>
      <c r="G24">
        <f>SUM(G21:G23)</f>
        <v>-57958</v>
      </c>
      <c r="I24" s="79">
        <f>G24-E24</f>
        <v>2709</v>
      </c>
    </row>
    <row r="26" spans="1:9" ht="18" x14ac:dyDescent="0.4">
      <c r="C26" s="4" t="s">
        <v>353</v>
      </c>
    </row>
    <row r="27" spans="1:9" x14ac:dyDescent="0.25">
      <c r="A27">
        <v>7</v>
      </c>
      <c r="C27" t="s">
        <v>430</v>
      </c>
      <c r="E27">
        <f>ROUND(E18*(1/18),0)</f>
        <v>1167</v>
      </c>
      <c r="G27">
        <f>ROUND(G18*(1/18),0)</f>
        <v>1083</v>
      </c>
      <c r="I27" s="79">
        <f>G27-E27</f>
        <v>-84</v>
      </c>
    </row>
    <row r="30" spans="1:9" ht="18" x14ac:dyDescent="0.4">
      <c r="C30" s="4" t="s">
        <v>50</v>
      </c>
    </row>
    <row r="31" spans="1:9" x14ac:dyDescent="0.25">
      <c r="C31" t="s">
        <v>431</v>
      </c>
    </row>
    <row r="33" spans="3:3" x14ac:dyDescent="0.25">
      <c r="C33" t="s">
        <v>423</v>
      </c>
    </row>
  </sheetData>
  <pageMargins left="0.7" right="0.7" top="0.75" bottom="0.75" header="0.3" footer="0.3"/>
  <pageSetup scale="84" orientation="portrait" horizontalDpi="0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workbookViewId="0">
      <selection activeCell="I22" sqref="I22"/>
    </sheetView>
  </sheetViews>
  <sheetFormatPr defaultRowHeight="15.75" x14ac:dyDescent="0.25"/>
  <cols>
    <col min="1" max="1" width="4.625" customWidth="1"/>
    <col min="2" max="2" width="1.375" customWidth="1"/>
    <col min="3" max="3" width="42.75" customWidth="1"/>
    <col min="4" max="4" width="5.5" customWidth="1"/>
    <col min="5" max="5" width="14.125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6.125" customWidth="1"/>
    <col min="13" max="13" width="10.125" bestFit="1" customWidth="1"/>
    <col min="15" max="15" width="10.125" customWidth="1"/>
  </cols>
  <sheetData>
    <row r="1" spans="1:10" x14ac:dyDescent="0.25">
      <c r="A1" t="str">
        <f>CL_wRR!A1</f>
        <v>Utilities, Inc. of Florida</v>
      </c>
      <c r="I1" s="37"/>
      <c r="J1" s="33" t="str">
        <f>ExhDR8_LUS_TOC!$E$1</f>
        <v>Docket No. 160101-WS</v>
      </c>
    </row>
    <row r="2" spans="1:10" x14ac:dyDescent="0.25">
      <c r="A2" t="s">
        <v>193</v>
      </c>
      <c r="I2" s="37"/>
      <c r="J2" s="33" t="str">
        <f>ExhDR8_LUS_TOC!$E$2</f>
        <v>Exhibit DMR-8</v>
      </c>
    </row>
    <row r="3" spans="1:10" x14ac:dyDescent="0.25">
      <c r="A3" t="str">
        <f>CL_wRR!A3</f>
        <v>Test Year Ended December 31, 2015</v>
      </c>
      <c r="I3" s="37"/>
      <c r="J3" s="33" t="str">
        <f>ExhDR8_LUS_TOC!$E$3</f>
        <v>Lake Utility Services Revenue Requirement</v>
      </c>
    </row>
    <row r="4" spans="1:10" x14ac:dyDescent="0.25">
      <c r="I4" s="38" t="s">
        <v>437</v>
      </c>
      <c r="J4" s="33" t="str">
        <f>ExhDR8_LUS_TOC!$E$4</f>
        <v>of 12</v>
      </c>
    </row>
    <row r="5" spans="1:10" x14ac:dyDescent="0.25">
      <c r="A5" s="27" t="s">
        <v>422</v>
      </c>
      <c r="B5" s="10"/>
      <c r="C5" s="10"/>
      <c r="D5" s="10"/>
      <c r="E5" s="10"/>
      <c r="F5" s="10"/>
      <c r="G5" s="10"/>
      <c r="H5" s="10"/>
      <c r="I5" s="10"/>
    </row>
    <row r="6" spans="1:10" x14ac:dyDescent="0.25">
      <c r="A6" t="s">
        <v>438</v>
      </c>
    </row>
    <row r="10" spans="1:10" x14ac:dyDescent="0.25">
      <c r="E10" s="1" t="s">
        <v>346</v>
      </c>
      <c r="F10" s="1"/>
      <c r="G10" s="1" t="s">
        <v>348</v>
      </c>
      <c r="H10" s="1"/>
      <c r="I10" s="1"/>
    </row>
    <row r="11" spans="1:10" x14ac:dyDescent="0.25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0" x14ac:dyDescent="0.25">
      <c r="E12" s="7" t="s">
        <v>212</v>
      </c>
      <c r="F12" s="1"/>
      <c r="G12" s="7" t="s">
        <v>213</v>
      </c>
      <c r="H12" s="1"/>
      <c r="I12" s="7" t="s">
        <v>214</v>
      </c>
    </row>
    <row r="13" spans="1:10" x14ac:dyDescent="0.25">
      <c r="C13" s="82" t="s">
        <v>445</v>
      </c>
      <c r="E13" s="7"/>
      <c r="F13" s="1"/>
      <c r="G13" s="7"/>
      <c r="H13" s="1"/>
      <c r="I13" s="7"/>
    </row>
    <row r="14" spans="1:10" ht="18" x14ac:dyDescent="0.4">
      <c r="C14" s="4" t="s">
        <v>350</v>
      </c>
    </row>
    <row r="15" spans="1:10" x14ac:dyDescent="0.25">
      <c r="A15">
        <v>1</v>
      </c>
      <c r="C15" t="s">
        <v>417</v>
      </c>
      <c r="E15">
        <v>1140122</v>
      </c>
      <c r="G15">
        <v>1227777</v>
      </c>
    </row>
    <row r="16" spans="1:10" x14ac:dyDescent="0.25">
      <c r="A16">
        <v>2</v>
      </c>
      <c r="C16" t="s">
        <v>439</v>
      </c>
      <c r="E16" s="3">
        <v>-826269</v>
      </c>
      <c r="G16" s="3">
        <f>ROUND(-G15*(-E16/E15),0)</f>
        <v>-889794</v>
      </c>
    </row>
    <row r="17" spans="1:9" x14ac:dyDescent="0.25">
      <c r="A17">
        <v>3</v>
      </c>
      <c r="C17" t="s">
        <v>354</v>
      </c>
      <c r="E17">
        <f>SUM(E15:E16)</f>
        <v>313853</v>
      </c>
      <c r="G17">
        <f>SUM(G15:G16)</f>
        <v>337983</v>
      </c>
      <c r="I17" s="79">
        <f>G17-E17</f>
        <v>24130</v>
      </c>
    </row>
    <row r="19" spans="1:9" ht="18" x14ac:dyDescent="0.4">
      <c r="C19" s="4" t="s">
        <v>351</v>
      </c>
    </row>
    <row r="20" spans="1:9" x14ac:dyDescent="0.25">
      <c r="A20">
        <v>4</v>
      </c>
      <c r="C20" t="s">
        <v>418</v>
      </c>
      <c r="E20">
        <f>E16</f>
        <v>-826269</v>
      </c>
      <c r="G20">
        <f>G16</f>
        <v>-889794</v>
      </c>
    </row>
    <row r="21" spans="1:9" x14ac:dyDescent="0.25">
      <c r="A21">
        <v>5</v>
      </c>
      <c r="C21" t="s">
        <v>352</v>
      </c>
      <c r="E21" s="3">
        <v>13257</v>
      </c>
      <c r="G21" s="3">
        <f>ROUND(G25/2,0)</f>
        <v>3930</v>
      </c>
    </row>
    <row r="22" spans="1:9" x14ac:dyDescent="0.25">
      <c r="A22">
        <v>6</v>
      </c>
      <c r="C22" t="s">
        <v>356</v>
      </c>
      <c r="E22">
        <f>SUM(E20:E21)</f>
        <v>-813012</v>
      </c>
      <c r="G22">
        <f>SUM(G20:G21)</f>
        <v>-885864</v>
      </c>
      <c r="I22" s="79">
        <f>G22-E22</f>
        <v>-72852</v>
      </c>
    </row>
    <row r="24" spans="1:9" ht="18" x14ac:dyDescent="0.4">
      <c r="C24" s="4" t="s">
        <v>353</v>
      </c>
    </row>
    <row r="25" spans="1:9" x14ac:dyDescent="0.25">
      <c r="A25">
        <v>7</v>
      </c>
      <c r="C25" t="s">
        <v>403</v>
      </c>
      <c r="E25">
        <f>ROUND(E17*(1/43),0)</f>
        <v>7299</v>
      </c>
      <c r="G25">
        <f>ROUND(G17*(1/43),0)</f>
        <v>7860</v>
      </c>
      <c r="I25" s="79">
        <f>G25-E25</f>
        <v>561</v>
      </c>
    </row>
    <row r="27" spans="1:9" x14ac:dyDescent="0.25">
      <c r="C27" s="82" t="s">
        <v>444</v>
      </c>
      <c r="E27" s="7"/>
      <c r="F27" s="1"/>
      <c r="G27" s="7"/>
      <c r="H27" s="1"/>
      <c r="I27" s="7"/>
    </row>
    <row r="28" spans="1:9" ht="18" x14ac:dyDescent="0.4">
      <c r="C28" s="4" t="s">
        <v>350</v>
      </c>
    </row>
    <row r="29" spans="1:9" x14ac:dyDescent="0.25">
      <c r="A29">
        <v>8</v>
      </c>
      <c r="C29" t="s">
        <v>417</v>
      </c>
      <c r="E29">
        <v>523335</v>
      </c>
      <c r="G29">
        <v>241363</v>
      </c>
    </row>
    <row r="30" spans="1:9" x14ac:dyDescent="0.25">
      <c r="A30">
        <v>9</v>
      </c>
      <c r="C30" t="s">
        <v>439</v>
      </c>
      <c r="E30" s="3">
        <v>-379271</v>
      </c>
      <c r="G30" s="3">
        <f>ROUND(-G29*(-E30/E29),0)</f>
        <v>-174920</v>
      </c>
    </row>
    <row r="31" spans="1:9" x14ac:dyDescent="0.25">
      <c r="A31">
        <v>10</v>
      </c>
      <c r="C31" t="s">
        <v>354</v>
      </c>
      <c r="E31">
        <f>SUM(E29:E30)</f>
        <v>144064</v>
      </c>
      <c r="G31">
        <f>SUM(G29:G30)</f>
        <v>66443</v>
      </c>
      <c r="I31" s="79">
        <f>G31-E31</f>
        <v>-77621</v>
      </c>
    </row>
    <row r="33" spans="1:9" ht="18" x14ac:dyDescent="0.4">
      <c r="C33" s="4" t="s">
        <v>351</v>
      </c>
    </row>
    <row r="34" spans="1:9" x14ac:dyDescent="0.25">
      <c r="A34">
        <v>11</v>
      </c>
      <c r="C34" t="s">
        <v>418</v>
      </c>
      <c r="E34">
        <f>E30</f>
        <v>-379271</v>
      </c>
      <c r="G34">
        <f>G30</f>
        <v>-174920</v>
      </c>
    </row>
    <row r="35" spans="1:9" x14ac:dyDescent="0.25">
      <c r="A35">
        <v>12</v>
      </c>
      <c r="C35" t="s">
        <v>352</v>
      </c>
      <c r="E35" s="3">
        <v>5815</v>
      </c>
      <c r="G35" s="3">
        <f>ROUND(G39/2,0)</f>
        <v>739</v>
      </c>
    </row>
    <row r="36" spans="1:9" x14ac:dyDescent="0.25">
      <c r="A36">
        <v>13</v>
      </c>
      <c r="C36" t="s">
        <v>356</v>
      </c>
      <c r="E36">
        <f>SUM(E34:E35)</f>
        <v>-373456</v>
      </c>
      <c r="G36">
        <f>SUM(G34:G35)</f>
        <v>-174181</v>
      </c>
      <c r="I36" s="79">
        <f>G36-E36</f>
        <v>199275</v>
      </c>
    </row>
    <row r="38" spans="1:9" ht="18" x14ac:dyDescent="0.4">
      <c r="C38" s="4" t="s">
        <v>353</v>
      </c>
    </row>
    <row r="39" spans="1:9" x14ac:dyDescent="0.25">
      <c r="A39">
        <v>14</v>
      </c>
      <c r="C39" t="s">
        <v>440</v>
      </c>
      <c r="E39">
        <v>3202</v>
      </c>
      <c r="G39">
        <f>ROUND(G31*(1/45),0)</f>
        <v>1477</v>
      </c>
      <c r="I39" s="79">
        <f>G39-E39</f>
        <v>-1725</v>
      </c>
    </row>
    <row r="41" spans="1:9" x14ac:dyDescent="0.25">
      <c r="C41" s="82" t="s">
        <v>443</v>
      </c>
      <c r="E41" s="7"/>
      <c r="F41" s="1"/>
      <c r="G41" s="7"/>
      <c r="H41" s="1"/>
      <c r="I41" s="7"/>
    </row>
    <row r="42" spans="1:9" ht="18" x14ac:dyDescent="0.4">
      <c r="C42" s="4" t="s">
        <v>350</v>
      </c>
    </row>
    <row r="43" spans="1:9" x14ac:dyDescent="0.25">
      <c r="A43">
        <v>15</v>
      </c>
      <c r="C43" t="s">
        <v>417</v>
      </c>
      <c r="E43">
        <v>205596</v>
      </c>
      <c r="G43">
        <v>336860</v>
      </c>
    </row>
    <row r="44" spans="1:9" x14ac:dyDescent="0.25">
      <c r="A44">
        <v>16</v>
      </c>
      <c r="C44" t="s">
        <v>439</v>
      </c>
      <c r="E44" s="3">
        <v>-149000</v>
      </c>
      <c r="G44" s="3">
        <f>ROUND(-G43*(-E44/E43),0)</f>
        <v>-244130</v>
      </c>
    </row>
    <row r="45" spans="1:9" x14ac:dyDescent="0.25">
      <c r="A45">
        <v>17</v>
      </c>
      <c r="C45" t="s">
        <v>354</v>
      </c>
      <c r="E45">
        <f>SUM(E43:E44)</f>
        <v>56596</v>
      </c>
      <c r="G45">
        <f>SUM(G43:G44)</f>
        <v>92730</v>
      </c>
      <c r="I45" s="79">
        <f>G45-E45</f>
        <v>36134</v>
      </c>
    </row>
    <row r="47" spans="1:9" ht="18" x14ac:dyDescent="0.4">
      <c r="C47" s="4" t="s">
        <v>351</v>
      </c>
    </row>
    <row r="48" spans="1:9" x14ac:dyDescent="0.25">
      <c r="A48">
        <v>18</v>
      </c>
      <c r="C48" t="s">
        <v>418</v>
      </c>
      <c r="E48">
        <f>E44</f>
        <v>-149000</v>
      </c>
      <c r="G48">
        <f>G44</f>
        <v>-244130</v>
      </c>
    </row>
    <row r="49" spans="1:9" x14ac:dyDescent="0.25">
      <c r="A49">
        <v>19</v>
      </c>
      <c r="C49" t="s">
        <v>352</v>
      </c>
      <c r="E49" s="3">
        <v>2391</v>
      </c>
      <c r="G49" s="3">
        <f>ROUND(G53/2,0)</f>
        <v>1079</v>
      </c>
    </row>
    <row r="50" spans="1:9" x14ac:dyDescent="0.25">
      <c r="A50">
        <v>20</v>
      </c>
      <c r="C50" t="s">
        <v>356</v>
      </c>
      <c r="E50">
        <f>SUM(E48:E49)</f>
        <v>-146609</v>
      </c>
      <c r="G50">
        <f>SUM(G48:G49)</f>
        <v>-243051</v>
      </c>
      <c r="I50" s="79">
        <f>G50-E50</f>
        <v>-96442</v>
      </c>
    </row>
    <row r="52" spans="1:9" ht="18" x14ac:dyDescent="0.4">
      <c r="C52" s="4" t="s">
        <v>353</v>
      </c>
    </row>
    <row r="53" spans="1:9" x14ac:dyDescent="0.25">
      <c r="A53">
        <v>21</v>
      </c>
      <c r="C53" t="s">
        <v>403</v>
      </c>
      <c r="E53">
        <f>4781-3465</f>
        <v>1316</v>
      </c>
      <c r="G53">
        <f>ROUND(G45*(1/43),0)</f>
        <v>2157</v>
      </c>
      <c r="I53" s="79">
        <f>G53-E53</f>
        <v>841</v>
      </c>
    </row>
    <row r="56" spans="1:9" ht="18" x14ac:dyDescent="0.4">
      <c r="C56" s="4" t="s">
        <v>50</v>
      </c>
    </row>
    <row r="57" spans="1:9" x14ac:dyDescent="0.25">
      <c r="C57" t="s">
        <v>431</v>
      </c>
    </row>
    <row r="58" spans="1:9" x14ac:dyDescent="0.25">
      <c r="C58" s="6" t="s">
        <v>442</v>
      </c>
    </row>
    <row r="59" spans="1:9" x14ac:dyDescent="0.25">
      <c r="C59" t="s">
        <v>441</v>
      </c>
    </row>
    <row r="61" spans="1:9" x14ac:dyDescent="0.25">
      <c r="C61" t="s">
        <v>423</v>
      </c>
    </row>
  </sheetData>
  <pageMargins left="0.7" right="0.7" top="0.75" bottom="0.75" header="0.3" footer="0.3"/>
  <pageSetup scale="72" orientation="portrait" horizontalDpi="0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opLeftCell="A2" workbookViewId="0">
      <selection activeCell="C36" sqref="C36"/>
    </sheetView>
  </sheetViews>
  <sheetFormatPr defaultRowHeight="15.75" x14ac:dyDescent="0.25"/>
  <cols>
    <col min="1" max="1" width="4.5" customWidth="1"/>
    <col min="2" max="2" width="1.375" customWidth="1"/>
    <col min="3" max="3" width="44.625" customWidth="1"/>
    <col min="4" max="4" width="4.375" customWidth="1"/>
    <col min="5" max="5" width="11.625" customWidth="1"/>
    <col min="6" max="6" width="1.625" customWidth="1"/>
    <col min="7" max="7" width="11.125" customWidth="1"/>
    <col min="8" max="8" width="1.375" customWidth="1"/>
    <col min="9" max="9" width="9.25" bestFit="1" customWidth="1"/>
    <col min="10" max="10" width="6.5" customWidth="1"/>
  </cols>
  <sheetData>
    <row r="1" spans="1:10" x14ac:dyDescent="0.25">
      <c r="A1" t="str">
        <f>CL_wRR!A1</f>
        <v>Utilities, Inc. of Florida</v>
      </c>
      <c r="I1" s="37"/>
      <c r="J1" s="33" t="str">
        <f>ExhDR8_LUS_TOC!$E$1</f>
        <v>Docket No. 160101-WS</v>
      </c>
    </row>
    <row r="2" spans="1:10" x14ac:dyDescent="0.25">
      <c r="A2" t="s">
        <v>193</v>
      </c>
      <c r="I2" s="37"/>
      <c r="J2" s="33" t="str">
        <f>ExhDR8_LUS_TOC!$E$2</f>
        <v>Exhibit DMR-8</v>
      </c>
    </row>
    <row r="3" spans="1:10" x14ac:dyDescent="0.25">
      <c r="A3" t="str">
        <f>CL_wRR!A3</f>
        <v>Test Year Ended December 31, 2015</v>
      </c>
      <c r="I3" s="37"/>
      <c r="J3" s="33" t="str">
        <f>ExhDR8_LUS_TOC!$E$3</f>
        <v>Lake Utility Services Revenue Requirement</v>
      </c>
    </row>
    <row r="4" spans="1:10" x14ac:dyDescent="0.25">
      <c r="I4" s="38" t="s">
        <v>447</v>
      </c>
      <c r="J4" s="33" t="str">
        <f>ExhDR8_LUS_TOC!$E$4</f>
        <v>of 12</v>
      </c>
    </row>
    <row r="5" spans="1:10" x14ac:dyDescent="0.25">
      <c r="A5" t="s">
        <v>454</v>
      </c>
    </row>
    <row r="9" spans="1:10" x14ac:dyDescent="0.25">
      <c r="A9" t="s">
        <v>0</v>
      </c>
      <c r="E9" s="1"/>
      <c r="F9" s="1"/>
      <c r="G9" s="1" t="s">
        <v>240</v>
      </c>
      <c r="I9" t="s">
        <v>241</v>
      </c>
    </row>
    <row r="10" spans="1:10" x14ac:dyDescent="0.25">
      <c r="A10" s="3" t="s">
        <v>1</v>
      </c>
      <c r="C10" s="3" t="s">
        <v>237</v>
      </c>
      <c r="E10" s="2" t="s">
        <v>239</v>
      </c>
      <c r="F10" s="1"/>
      <c r="G10" s="2" t="s">
        <v>241</v>
      </c>
      <c r="I10" s="3" t="s">
        <v>242</v>
      </c>
    </row>
    <row r="11" spans="1:10" x14ac:dyDescent="0.25">
      <c r="A11" s="26"/>
      <c r="C11" s="26"/>
      <c r="E11" s="34"/>
      <c r="F11" s="1"/>
      <c r="G11" s="34"/>
      <c r="I11" s="26"/>
    </row>
    <row r="12" spans="1:10" ht="18" x14ac:dyDescent="0.4">
      <c r="C12" s="50" t="s">
        <v>312</v>
      </c>
    </row>
    <row r="13" spans="1:10" x14ac:dyDescent="0.25">
      <c r="A13">
        <v>1</v>
      </c>
      <c r="C13" s="83" t="s">
        <v>434</v>
      </c>
      <c r="E13">
        <v>19459</v>
      </c>
    </row>
    <row r="14" spans="1:10" x14ac:dyDescent="0.25">
      <c r="A14">
        <v>2</v>
      </c>
      <c r="C14" s="74" t="s">
        <v>306</v>
      </c>
      <c r="E14">
        <v>2962735</v>
      </c>
      <c r="G14">
        <f>-1144825</f>
        <v>-1144825</v>
      </c>
      <c r="I14">
        <v>92596</v>
      </c>
    </row>
    <row r="15" spans="1:10" x14ac:dyDescent="0.25">
      <c r="A15">
        <v>3</v>
      </c>
      <c r="C15" s="6" t="s">
        <v>307</v>
      </c>
      <c r="E15">
        <v>907</v>
      </c>
      <c r="G15">
        <v>-321</v>
      </c>
      <c r="I15">
        <v>45</v>
      </c>
    </row>
    <row r="16" spans="1:10" x14ac:dyDescent="0.25">
      <c r="A16">
        <v>4</v>
      </c>
      <c r="C16" s="6" t="s">
        <v>308</v>
      </c>
      <c r="E16">
        <v>4486057</v>
      </c>
      <c r="G16">
        <v>-788651</v>
      </c>
      <c r="I16">
        <v>257421</v>
      </c>
    </row>
    <row r="17" spans="1:9" x14ac:dyDescent="0.25">
      <c r="A17">
        <v>5</v>
      </c>
      <c r="C17" s="6" t="s">
        <v>322</v>
      </c>
    </row>
    <row r="18" spans="1:9" x14ac:dyDescent="0.25">
      <c r="A18">
        <v>6</v>
      </c>
      <c r="C18" t="s">
        <v>448</v>
      </c>
      <c r="E18">
        <f>LUS_RBadj!I15</f>
        <v>-1500</v>
      </c>
      <c r="G18">
        <f>LUS_RBadj!I30</f>
        <v>2709</v>
      </c>
      <c r="I18">
        <f>LUS_NOIadj!H31</f>
        <v>-84</v>
      </c>
    </row>
    <row r="19" spans="1:9" x14ac:dyDescent="0.25">
      <c r="A19">
        <v>7</v>
      </c>
      <c r="C19" t="s">
        <v>644</v>
      </c>
      <c r="E19">
        <f>LUS_RBadj!I13</f>
        <v>-5000</v>
      </c>
      <c r="G19">
        <f>LUS_RBadj!I28</f>
        <v>-139</v>
      </c>
      <c r="I19">
        <f>LUS_NOIadj!H29</f>
        <v>-278</v>
      </c>
    </row>
    <row r="20" spans="1:9" x14ac:dyDescent="0.25">
      <c r="A20">
        <v>8</v>
      </c>
      <c r="C20" s="6" t="s">
        <v>309</v>
      </c>
      <c r="E20">
        <v>71800</v>
      </c>
      <c r="G20">
        <v>8300</v>
      </c>
      <c r="I20">
        <v>2258</v>
      </c>
    </row>
    <row r="21" spans="1:9" x14ac:dyDescent="0.25">
      <c r="A21">
        <v>9</v>
      </c>
      <c r="C21" s="6" t="s">
        <v>310</v>
      </c>
      <c r="E21" s="3">
        <v>2049</v>
      </c>
      <c r="G21" s="3">
        <v>4547</v>
      </c>
      <c r="I21" s="3">
        <v>68</v>
      </c>
    </row>
    <row r="22" spans="1:9" x14ac:dyDescent="0.25">
      <c r="A22">
        <v>10</v>
      </c>
      <c r="C22" t="s">
        <v>324</v>
      </c>
      <c r="E22">
        <f>SUM(E13:E21)</f>
        <v>7536507</v>
      </c>
      <c r="G22">
        <f>SUM(G14:G21)</f>
        <v>-1918380</v>
      </c>
      <c r="I22">
        <f>SUM(I14:I21)</f>
        <v>352026</v>
      </c>
    </row>
    <row r="23" spans="1:9" x14ac:dyDescent="0.25">
      <c r="A23">
        <v>11</v>
      </c>
      <c r="C23" t="s">
        <v>449</v>
      </c>
      <c r="E23" s="68">
        <f>1-0.5355</f>
        <v>0.46450000000000002</v>
      </c>
      <c r="G23" s="68">
        <f>1-0.5355</f>
        <v>0.46450000000000002</v>
      </c>
      <c r="I23" s="68">
        <f>1-0.5355</f>
        <v>0.46450000000000002</v>
      </c>
    </row>
    <row r="24" spans="1:9" x14ac:dyDescent="0.25">
      <c r="A24">
        <v>12</v>
      </c>
      <c r="C24" t="s">
        <v>245</v>
      </c>
      <c r="E24" s="26">
        <f>ROUND(E22*E23,0)</f>
        <v>3500708</v>
      </c>
      <c r="F24" s="26"/>
      <c r="G24" s="26">
        <f>ROUND(G22*G23,0)</f>
        <v>-891088</v>
      </c>
      <c r="H24" s="26"/>
      <c r="I24" s="26">
        <f>ROUND(I22*I23,0)</f>
        <v>163516</v>
      </c>
    </row>
    <row r="25" spans="1:9" x14ac:dyDescent="0.25">
      <c r="A25">
        <v>13</v>
      </c>
      <c r="C25" t="s">
        <v>451</v>
      </c>
      <c r="E25" s="3">
        <v>3092632</v>
      </c>
      <c r="G25" s="3">
        <v>-787590</v>
      </c>
      <c r="I25" s="3">
        <v>144479</v>
      </c>
    </row>
    <row r="26" spans="1:9" x14ac:dyDescent="0.25">
      <c r="A26">
        <v>14</v>
      </c>
      <c r="C26" t="s">
        <v>450</v>
      </c>
      <c r="E26">
        <f>E24-E25</f>
        <v>408076</v>
      </c>
      <c r="G26">
        <f>G24-G25</f>
        <v>-103498</v>
      </c>
      <c r="I26">
        <f>I24-I25</f>
        <v>19037</v>
      </c>
    </row>
    <row r="28" spans="1:9" ht="16.5" thickBot="1" x14ac:dyDescent="0.3">
      <c r="A28">
        <v>15</v>
      </c>
      <c r="C28" t="s">
        <v>244</v>
      </c>
      <c r="G28" s="70">
        <f>-(E26+G26)</f>
        <v>-304578</v>
      </c>
    </row>
    <row r="29" spans="1:9" ht="16.5" thickTop="1" x14ac:dyDescent="0.25"/>
    <row r="30" spans="1:9" ht="16.5" thickBot="1" x14ac:dyDescent="0.3">
      <c r="A30">
        <v>16</v>
      </c>
      <c r="C30" t="s">
        <v>247</v>
      </c>
      <c r="I30" s="70">
        <f>-I26</f>
        <v>-19037</v>
      </c>
    </row>
    <row r="31" spans="1:9" ht="16.5" thickTop="1" x14ac:dyDescent="0.25"/>
    <row r="32" spans="1:9" ht="18" x14ac:dyDescent="0.4">
      <c r="C32" s="4" t="s">
        <v>50</v>
      </c>
    </row>
    <row r="33" spans="3:3" x14ac:dyDescent="0.25">
      <c r="C33" t="s">
        <v>645</v>
      </c>
    </row>
    <row r="34" spans="3:3" x14ac:dyDescent="0.25">
      <c r="C34" t="s">
        <v>646</v>
      </c>
    </row>
    <row r="35" spans="3:3" x14ac:dyDescent="0.25">
      <c r="C35" t="s">
        <v>647</v>
      </c>
    </row>
  </sheetData>
  <pageMargins left="0.7" right="0.7" top="0.75" bottom="0.75" header="0.3" footer="0.3"/>
  <pageSetup scale="89" orientation="portrait" horizontalDpi="0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E19"/>
  <sheetViews>
    <sheetView workbookViewId="0">
      <selection activeCell="A2" sqref="A2"/>
    </sheetView>
  </sheetViews>
  <sheetFormatPr defaultRowHeight="15.75" x14ac:dyDescent="0.25"/>
  <cols>
    <col min="1" max="1" width="8.125" customWidth="1"/>
    <col min="2" max="2" width="1.875" customWidth="1"/>
    <col min="3" max="3" width="45.625" customWidth="1"/>
    <col min="4" max="4" width="13.375" customWidth="1"/>
    <col min="5" max="5" width="4.875" customWidth="1"/>
  </cols>
  <sheetData>
    <row r="1" spans="1:5" x14ac:dyDescent="0.25">
      <c r="A1" t="s">
        <v>61</v>
      </c>
      <c r="E1" s="33" t="s">
        <v>64</v>
      </c>
    </row>
    <row r="2" spans="1:5" x14ac:dyDescent="0.25">
      <c r="A2" t="s">
        <v>678</v>
      </c>
      <c r="E2" s="33" t="s">
        <v>140</v>
      </c>
    </row>
    <row r="3" spans="1:5" x14ac:dyDescent="0.25">
      <c r="A3" t="s">
        <v>86</v>
      </c>
      <c r="E3" s="33" t="s">
        <v>139</v>
      </c>
    </row>
    <row r="4" spans="1:5" x14ac:dyDescent="0.25">
      <c r="D4" s="33" t="s">
        <v>67</v>
      </c>
      <c r="E4" s="33" t="s">
        <v>561</v>
      </c>
    </row>
    <row r="5" spans="1:5" x14ac:dyDescent="0.25">
      <c r="A5" t="s">
        <v>63</v>
      </c>
    </row>
    <row r="8" spans="1:5" x14ac:dyDescent="0.25">
      <c r="A8" s="3" t="s">
        <v>84</v>
      </c>
      <c r="B8" s="3"/>
      <c r="C8" s="3" t="s">
        <v>85</v>
      </c>
      <c r="D8" s="3"/>
      <c r="E8" s="3"/>
    </row>
    <row r="9" spans="1:5" x14ac:dyDescent="0.25">
      <c r="A9" s="26"/>
      <c r="B9" s="26"/>
      <c r="C9" s="26"/>
      <c r="D9" s="34"/>
      <c r="E9" s="26"/>
    </row>
    <row r="10" spans="1:5" x14ac:dyDescent="0.25">
      <c r="A10" s="58" t="str">
        <f>MC_wwRR!N4</f>
        <v>Page 2</v>
      </c>
      <c r="B10" s="26"/>
      <c r="C10" s="58" t="str">
        <f>MC_wwRR!A5</f>
        <v>Calculation of Revenue Requirement - Wastewater</v>
      </c>
      <c r="D10" s="34"/>
      <c r="E10" s="26"/>
    </row>
    <row r="11" spans="1:5" x14ac:dyDescent="0.25">
      <c r="A11" s="26" t="str">
        <f>MC_NOIadj!G4</f>
        <v>Page 3</v>
      </c>
      <c r="B11" s="26"/>
      <c r="C11" s="26" t="str">
        <f>MC_NOIadj!A5</f>
        <v>Schedule of Adjustments to Operating Income</v>
      </c>
      <c r="D11" s="34"/>
      <c r="E11" s="26"/>
    </row>
    <row r="12" spans="1:5" x14ac:dyDescent="0.25">
      <c r="A12" s="26" t="str">
        <f>MC_wwRB!I4</f>
        <v>Page 4</v>
      </c>
      <c r="B12" s="26"/>
      <c r="C12" s="26" t="str">
        <f>MC_wwRB!A5</f>
        <v>Rate Base - Wastewater</v>
      </c>
      <c r="D12" s="26"/>
      <c r="E12" s="26"/>
    </row>
    <row r="13" spans="1:5" x14ac:dyDescent="0.25">
      <c r="A13" s="26" t="str">
        <f>MC_RBadj!H4</f>
        <v>Page 5</v>
      </c>
      <c r="B13" s="26"/>
      <c r="C13" s="26" t="str">
        <f>MC_RBadj!A5</f>
        <v>Schedule of Adjustments to Rate Base</v>
      </c>
      <c r="D13" s="26"/>
      <c r="E13" s="26"/>
    </row>
    <row r="14" spans="1:5" x14ac:dyDescent="0.25">
      <c r="A14" t="str">
        <f>MC_ROR!Q4</f>
        <v>Page 6</v>
      </c>
      <c r="C14" t="str">
        <f>MC_ROR!A5</f>
        <v>Cost of Capital</v>
      </c>
    </row>
    <row r="15" spans="1:5" x14ac:dyDescent="0.25">
      <c r="A15" t="str">
        <f>MC_UandU!I4</f>
        <v>Page 7</v>
      </c>
      <c r="C15" t="str">
        <f>MC_UandU!A5</f>
        <v>Non-Used &amp; Useful Plant</v>
      </c>
    </row>
    <row r="16" spans="1:5" x14ac:dyDescent="0.25">
      <c r="A16" t="str">
        <f>MC_PlantA!I4</f>
        <v>Page 8</v>
      </c>
      <c r="C16" t="str">
        <f>MC_PlantA!A5</f>
        <v>Pro Forma Plant Additions Revisions</v>
      </c>
    </row>
    <row r="17" spans="1:3" x14ac:dyDescent="0.25">
      <c r="C17" t="str">
        <f>MC_PlantA!A6</f>
        <v xml:space="preserve">  -  Methanol Pumps and Nutrient Analyzer</v>
      </c>
    </row>
    <row r="18" spans="1:3" x14ac:dyDescent="0.25">
      <c r="A18" t="str">
        <f>MC_PlantB!I4</f>
        <v>Page 9</v>
      </c>
      <c r="C18" t="str">
        <f>MC_PlantB!A5</f>
        <v>Pro Forma Plant Additions Revisions</v>
      </c>
    </row>
    <row r="19" spans="1:3" x14ac:dyDescent="0.25">
      <c r="C19" t="str">
        <f>MC_PlantB!A6</f>
        <v xml:space="preserve">  -  US Highway 19 Relocation Project</v>
      </c>
    </row>
  </sheetData>
  <pageMargins left="0.7" right="0.7" top="0.75" bottom="0.75" header="0.3" footer="0.3"/>
  <pageSetup orientation="portrait" horizontalDpi="0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C34" sqref="C34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0.375" bestFit="1" customWidth="1"/>
    <col min="5" max="5" width="1.75" customWidth="1"/>
    <col min="6" max="6" width="10.875" customWidth="1"/>
    <col min="7" max="7" width="2.125" customWidth="1"/>
    <col min="8" max="8" width="10.375" bestFit="1" customWidth="1"/>
    <col min="9" max="9" width="1.375" customWidth="1"/>
    <col min="10" max="10" width="10.125" customWidth="1"/>
    <col min="11" max="11" width="1.125" customWidth="1"/>
    <col min="12" max="12" width="11.25" customWidth="1"/>
    <col min="13" max="13" width="1.75" customWidth="1"/>
    <col min="14" max="14" width="10" customWidth="1"/>
    <col min="15" max="15" width="5.125" customWidth="1"/>
  </cols>
  <sheetData>
    <row r="1" spans="1:15" x14ac:dyDescent="0.25">
      <c r="A1" t="s">
        <v>61</v>
      </c>
      <c r="O1" s="33" t="str">
        <f>ExhDR9_MC_TOC!$E$1</f>
        <v>Docket No. 160101-WS</v>
      </c>
    </row>
    <row r="2" spans="1:15" x14ac:dyDescent="0.25">
      <c r="A2" t="s">
        <v>678</v>
      </c>
      <c r="O2" s="33" t="str">
        <f>ExhDR9_MC_TOC!$E$2</f>
        <v>Exhibit DMR-9</v>
      </c>
    </row>
    <row r="3" spans="1:15" x14ac:dyDescent="0.25">
      <c r="A3" t="s">
        <v>63</v>
      </c>
      <c r="O3" s="33" t="str">
        <f>ExhDR9_MC_TOC!$E$3</f>
        <v>Mid County Revenue Requirement</v>
      </c>
    </row>
    <row r="4" spans="1:15" x14ac:dyDescent="0.25">
      <c r="N4" s="33" t="s">
        <v>77</v>
      </c>
      <c r="O4" s="33" t="str">
        <f>ExhDR9_MC_TOC!$E$4</f>
        <v>of 9</v>
      </c>
    </row>
    <row r="5" spans="1:15" x14ac:dyDescent="0.25">
      <c r="A5" t="s">
        <v>76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1790020</v>
      </c>
      <c r="F12" s="29">
        <f>MC_NOIadj!E13</f>
        <v>0</v>
      </c>
      <c r="G12" s="6"/>
      <c r="H12">
        <f>SUM(D12:F12)</f>
        <v>1790020</v>
      </c>
      <c r="J12">
        <f>((H23*L25)-H21)*1.67888</f>
        <v>117278.42075209822</v>
      </c>
      <c r="L12">
        <f>SUM(H12:J12)</f>
        <v>1907298.4207520983</v>
      </c>
      <c r="N12" t="str">
        <f>MC_NOIadj!G4</f>
        <v>Page 3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1170008</v>
      </c>
      <c r="F14" s="29">
        <f>MC_NOIadj!E24</f>
        <v>-53220</v>
      </c>
      <c r="H14">
        <f>SUM(D14:F14)</f>
        <v>1116788</v>
      </c>
      <c r="L14">
        <f>SUM(H14:J14)</f>
        <v>1116788</v>
      </c>
      <c r="N14" t="str">
        <f>N12</f>
        <v>Page 3</v>
      </c>
    </row>
    <row r="15" spans="1:15" x14ac:dyDescent="0.25">
      <c r="A15">
        <v>3</v>
      </c>
      <c r="C15" t="s">
        <v>17</v>
      </c>
      <c r="D15">
        <v>279517</v>
      </c>
      <c r="F15" s="29">
        <f>MC_NOIadj!E37</f>
        <v>-66682</v>
      </c>
      <c r="H15">
        <f>SUM(D15:F15)</f>
        <v>212835</v>
      </c>
      <c r="L15">
        <f>SUM(H15:J15)</f>
        <v>212835</v>
      </c>
      <c r="N15" t="str">
        <f>N12</f>
        <v>Page 3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147398</v>
      </c>
      <c r="F17" s="29">
        <f>MC_NOIadj!E43</f>
        <v>-27716.5</v>
      </c>
      <c r="H17">
        <f>SUM(D17:F17)</f>
        <v>119681.5</v>
      </c>
      <c r="J17">
        <f>J12*0.045</f>
        <v>5277.52893384442</v>
      </c>
      <c r="L17">
        <f>SUM(H17:J17)</f>
        <v>124959.02893384441</v>
      </c>
      <c r="N17" t="str">
        <f>N12</f>
        <v>Page 3</v>
      </c>
    </row>
    <row r="18" spans="1:14" x14ac:dyDescent="0.25">
      <c r="A18">
        <v>6</v>
      </c>
      <c r="C18" t="s">
        <v>19</v>
      </c>
      <c r="D18" s="3">
        <v>4519</v>
      </c>
      <c r="F18" s="29">
        <f>MC_NOIadj!E48</f>
        <v>75869.904433599993</v>
      </c>
      <c r="H18" s="3">
        <f>SUM(D18:F18)</f>
        <v>80388.904433599993</v>
      </c>
      <c r="J18">
        <f>(J12-J17)*0.3763</f>
        <v>42145.935591208901</v>
      </c>
      <c r="L18" s="9">
        <f>SUM(H18:J18)</f>
        <v>122534.84002480889</v>
      </c>
    </row>
    <row r="19" spans="1:14" x14ac:dyDescent="0.25">
      <c r="A19">
        <v>7</v>
      </c>
      <c r="C19" t="s">
        <v>20</v>
      </c>
      <c r="D19">
        <f>SUM(D14:D18)</f>
        <v>1601442</v>
      </c>
      <c r="F19" s="29"/>
      <c r="H19" s="5">
        <f>SUM(H14:H18)</f>
        <v>1529693.4044335999</v>
      </c>
      <c r="L19" s="5">
        <f>SUM(L14:L18)</f>
        <v>1577116.8689586534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188578</v>
      </c>
      <c r="F21" s="29"/>
      <c r="H21">
        <f>H12-H19</f>
        <v>260326.59556640009</v>
      </c>
      <c r="L21">
        <f>H23*L25</f>
        <v>330181.74945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MC_wwRB!E23</f>
        <v>5651325</v>
      </c>
      <c r="F23" s="29">
        <f>H23-D23</f>
        <v>-1687558.5</v>
      </c>
      <c r="H23">
        <f>MC_wwRB!I23</f>
        <v>3963766.5</v>
      </c>
      <c r="L23">
        <f>H23</f>
        <v>3963766.5</v>
      </c>
      <c r="N23" t="str">
        <f>MC_wwRB!I4</f>
        <v>Page 4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3.3368811738840008E-2</v>
      </c>
      <c r="F25" s="29"/>
      <c r="L25" s="8">
        <f>MC_ROR!Q20</f>
        <v>8.3299999999999999E-2</v>
      </c>
      <c r="N25" t="str">
        <f>MC_ROR!Q4</f>
        <v>Page 6</v>
      </c>
    </row>
    <row r="26" spans="1:14" x14ac:dyDescent="0.25">
      <c r="H26" s="59"/>
      <c r="L26" s="8"/>
    </row>
    <row r="27" spans="1:14" ht="18" x14ac:dyDescent="0.4">
      <c r="C27" s="4" t="s">
        <v>88</v>
      </c>
      <c r="J27" s="32"/>
      <c r="L27" s="8"/>
    </row>
    <row r="28" spans="1:14" x14ac:dyDescent="0.25">
      <c r="C28" t="s">
        <v>196</v>
      </c>
      <c r="J28" s="29"/>
    </row>
    <row r="29" spans="1:14" x14ac:dyDescent="0.25">
      <c r="L29" s="46"/>
    </row>
  </sheetData>
  <pageMargins left="0.7" right="0.7" top="0.75" bottom="0.75" header="0.3" footer="0.3"/>
  <pageSetup scale="75" orientation="portrait" horizontalDpi="0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opLeftCell="A21" workbookViewId="0">
      <selection activeCell="G49" sqref="G49"/>
    </sheetView>
  </sheetViews>
  <sheetFormatPr defaultRowHeight="15.75" x14ac:dyDescent="0.25"/>
  <cols>
    <col min="1" max="1" width="4.375" customWidth="1"/>
    <col min="2" max="2" width="1.625" customWidth="1"/>
    <col min="3" max="3" width="51.25" customWidth="1"/>
    <col min="4" max="4" width="7.5" customWidth="1"/>
    <col min="5" max="5" width="12.125" customWidth="1"/>
    <col min="6" max="6" width="1.375" customWidth="1"/>
    <col min="7" max="7" width="12.375" customWidth="1"/>
    <col min="8" max="8" width="5.25" customWidth="1"/>
  </cols>
  <sheetData>
    <row r="1" spans="1:8" x14ac:dyDescent="0.25">
      <c r="A1" t="str">
        <f>CL_wRR!A1</f>
        <v>Utilities, Inc. of Florida</v>
      </c>
      <c r="H1" s="33" t="str">
        <f>ExhDR9_MC_TOC!$E$1</f>
        <v>Docket No. 160101-WS</v>
      </c>
    </row>
    <row r="2" spans="1:8" x14ac:dyDescent="0.25">
      <c r="A2" t="s">
        <v>678</v>
      </c>
      <c r="H2" s="33" t="str">
        <f>ExhDR9_MC_TOC!$E$2</f>
        <v>Exhibit DMR-9</v>
      </c>
    </row>
    <row r="3" spans="1:8" x14ac:dyDescent="0.25">
      <c r="A3" t="str">
        <f>CL_wRR!A3</f>
        <v>Test Year Ended December 31, 2015</v>
      </c>
      <c r="H3" s="33" t="str">
        <f>ExhDR9_MC_TOC!$E$3</f>
        <v>Mid County Revenue Requirement</v>
      </c>
    </row>
    <row r="4" spans="1:8" x14ac:dyDescent="0.25">
      <c r="G4" s="33" t="s">
        <v>80</v>
      </c>
      <c r="H4" s="33" t="str">
        <f>ExhDR9_MC_TOC!$E$4</f>
        <v>of 9</v>
      </c>
    </row>
    <row r="5" spans="1:8" x14ac:dyDescent="0.25">
      <c r="A5" t="s">
        <v>45</v>
      </c>
    </row>
    <row r="8" spans="1:8" x14ac:dyDescent="0.25">
      <c r="A8" t="s">
        <v>0</v>
      </c>
      <c r="G8" s="1"/>
    </row>
    <row r="9" spans="1:8" ht="18" x14ac:dyDescent="0.4">
      <c r="A9" s="3" t="s">
        <v>1</v>
      </c>
      <c r="C9" s="4" t="s">
        <v>2</v>
      </c>
      <c r="E9" s="2" t="s">
        <v>5</v>
      </c>
      <c r="F9" s="34"/>
      <c r="G9" s="4" t="s">
        <v>23</v>
      </c>
    </row>
    <row r="11" spans="1:8" ht="18" x14ac:dyDescent="0.4">
      <c r="C11" s="4" t="s">
        <v>73</v>
      </c>
    </row>
    <row r="12" spans="1:8" x14ac:dyDescent="0.25">
      <c r="A12">
        <v>1</v>
      </c>
    </row>
    <row r="13" spans="1:8" ht="16.5" thickBot="1" x14ac:dyDescent="0.3">
      <c r="A13">
        <v>2</v>
      </c>
      <c r="C13" t="s">
        <v>111</v>
      </c>
      <c r="E13" s="24">
        <f>SUM(E12:E12)</f>
        <v>0</v>
      </c>
      <c r="F13" s="26"/>
    </row>
    <row r="14" spans="1:8" ht="16.5" thickTop="1" x14ac:dyDescent="0.25">
      <c r="A14">
        <v>3</v>
      </c>
    </row>
    <row r="15" spans="1:8" ht="18" x14ac:dyDescent="0.4">
      <c r="A15">
        <v>4</v>
      </c>
      <c r="C15" s="4" t="s">
        <v>49</v>
      </c>
    </row>
    <row r="16" spans="1:8" x14ac:dyDescent="0.25">
      <c r="A16">
        <v>5</v>
      </c>
      <c r="C16" t="s">
        <v>318</v>
      </c>
      <c r="E16">
        <f>-27000</f>
        <v>-27000</v>
      </c>
      <c r="G16" t="s">
        <v>198</v>
      </c>
    </row>
    <row r="17" spans="1:7" x14ac:dyDescent="0.25">
      <c r="A17">
        <v>6</v>
      </c>
      <c r="C17" t="s">
        <v>319</v>
      </c>
      <c r="E17">
        <v>-8100</v>
      </c>
      <c r="G17" t="s">
        <v>198</v>
      </c>
    </row>
    <row r="18" spans="1:7" x14ac:dyDescent="0.25">
      <c r="A18">
        <v>7</v>
      </c>
      <c r="C18" t="s">
        <v>321</v>
      </c>
      <c r="E18">
        <f>-4220</f>
        <v>-4220</v>
      </c>
      <c r="G18" t="s">
        <v>198</v>
      </c>
    </row>
    <row r="19" spans="1:7" x14ac:dyDescent="0.25">
      <c r="A19">
        <v>8</v>
      </c>
      <c r="C19" t="s">
        <v>327</v>
      </c>
      <c r="E19" s="25">
        <v>-5000</v>
      </c>
      <c r="F19" s="25"/>
      <c r="G19" t="s">
        <v>198</v>
      </c>
    </row>
    <row r="20" spans="1:7" x14ac:dyDescent="0.25">
      <c r="A20">
        <v>9</v>
      </c>
      <c r="C20" t="s">
        <v>480</v>
      </c>
      <c r="E20" s="25">
        <v>-3600</v>
      </c>
      <c r="F20" s="25"/>
      <c r="G20" t="s">
        <v>198</v>
      </c>
    </row>
    <row r="21" spans="1:7" x14ac:dyDescent="0.25">
      <c r="A21">
        <v>10</v>
      </c>
      <c r="C21" t="s">
        <v>293</v>
      </c>
      <c r="E21" s="26">
        <v>472</v>
      </c>
      <c r="F21" s="26"/>
      <c r="G21" t="s">
        <v>198</v>
      </c>
    </row>
    <row r="22" spans="1:7" x14ac:dyDescent="0.25">
      <c r="A22">
        <v>11</v>
      </c>
      <c r="C22" t="s">
        <v>290</v>
      </c>
      <c r="E22" s="5">
        <f>'WSC-Ins'!I18</f>
        <v>-1381</v>
      </c>
      <c r="F22" s="5"/>
      <c r="G22" t="str">
        <f>'WSC-Ins'!J2</f>
        <v>Exhibit DMR-19</v>
      </c>
    </row>
    <row r="23" spans="1:7" x14ac:dyDescent="0.25">
      <c r="A23">
        <v>12</v>
      </c>
      <c r="C23" t="s">
        <v>291</v>
      </c>
      <c r="E23" s="5">
        <f>WSCs_Dep!I18</f>
        <v>-4391</v>
      </c>
      <c r="F23" s="5"/>
      <c r="G23" t="str">
        <f>WSCs_Dep!J2</f>
        <v>Exhibit DMR-20</v>
      </c>
    </row>
    <row r="24" spans="1:7" ht="16.5" thickBot="1" x14ac:dyDescent="0.3">
      <c r="A24">
        <v>13</v>
      </c>
      <c r="C24" t="s">
        <v>111</v>
      </c>
      <c r="E24" s="24">
        <f>SUM(E16:E23)</f>
        <v>-53220</v>
      </c>
      <c r="F24" s="26"/>
    </row>
    <row r="25" spans="1:7" ht="16.5" thickTop="1" x14ac:dyDescent="0.25">
      <c r="A25">
        <v>14</v>
      </c>
    </row>
    <row r="26" spans="1:7" ht="18" x14ac:dyDescent="0.4">
      <c r="A26">
        <v>15</v>
      </c>
      <c r="C26" s="4" t="s">
        <v>46</v>
      </c>
    </row>
    <row r="27" spans="1:7" x14ac:dyDescent="0.25">
      <c r="A27">
        <v>16</v>
      </c>
      <c r="C27" t="s">
        <v>630</v>
      </c>
      <c r="E27">
        <f>GIS_Proj!O16</f>
        <v>-5929</v>
      </c>
      <c r="G27" t="str">
        <f>GIS_Proj!O2</f>
        <v>Exhibit DMR-21</v>
      </c>
    </row>
    <row r="28" spans="1:7" x14ac:dyDescent="0.25">
      <c r="A28">
        <v>17</v>
      </c>
      <c r="C28" s="40" t="s">
        <v>315</v>
      </c>
      <c r="E28">
        <v>-6667</v>
      </c>
      <c r="G28" t="s">
        <v>198</v>
      </c>
    </row>
    <row r="29" spans="1:7" x14ac:dyDescent="0.25">
      <c r="A29">
        <v>18</v>
      </c>
      <c r="C29" s="40" t="s">
        <v>314</v>
      </c>
      <c r="E29">
        <v>-11111</v>
      </c>
      <c r="G29" s="6" t="s">
        <v>213</v>
      </c>
    </row>
    <row r="30" spans="1:7" x14ac:dyDescent="0.25">
      <c r="A30">
        <v>19</v>
      </c>
      <c r="C30" s="40" t="s">
        <v>317</v>
      </c>
      <c r="E30">
        <f>MC_PlantA!I27</f>
        <v>-213</v>
      </c>
      <c r="G30" s="6" t="str">
        <f>MC_PlantA!I4</f>
        <v>Page 8</v>
      </c>
    </row>
    <row r="31" spans="1:7" x14ac:dyDescent="0.25">
      <c r="A31">
        <v>20</v>
      </c>
      <c r="C31" s="40" t="s">
        <v>581</v>
      </c>
      <c r="E31">
        <v>-17050</v>
      </c>
      <c r="G31" s="6" t="s">
        <v>213</v>
      </c>
    </row>
    <row r="32" spans="1:7" x14ac:dyDescent="0.25">
      <c r="A32">
        <v>21</v>
      </c>
      <c r="C32" s="40" t="s">
        <v>589</v>
      </c>
      <c r="E32">
        <f>MC_PlantB!I27</f>
        <v>-2089</v>
      </c>
      <c r="G32" t="str">
        <f>MC_PlantB!I4</f>
        <v>Page 9</v>
      </c>
    </row>
    <row r="33" spans="1:7" x14ac:dyDescent="0.25">
      <c r="A33">
        <v>22</v>
      </c>
      <c r="C33" s="40" t="s">
        <v>590</v>
      </c>
      <c r="E33">
        <f>MC_PlantB!I43</f>
        <v>366</v>
      </c>
      <c r="G33" t="str">
        <f>MC_PlantB!I4</f>
        <v>Page 9</v>
      </c>
    </row>
    <row r="34" spans="1:7" x14ac:dyDescent="0.25">
      <c r="A34">
        <v>23</v>
      </c>
      <c r="C34" s="40" t="s">
        <v>591</v>
      </c>
      <c r="E34">
        <v>-200</v>
      </c>
      <c r="G34" s="6" t="s">
        <v>214</v>
      </c>
    </row>
    <row r="35" spans="1:7" x14ac:dyDescent="0.25">
      <c r="A35">
        <v>24</v>
      </c>
      <c r="C35" s="40" t="s">
        <v>595</v>
      </c>
      <c r="E35">
        <v>-20639</v>
      </c>
    </row>
    <row r="36" spans="1:7" x14ac:dyDescent="0.25">
      <c r="A36">
        <v>25</v>
      </c>
      <c r="C36" s="40" t="s">
        <v>325</v>
      </c>
      <c r="E36" s="3">
        <f>MC_UandU!I30</f>
        <v>-3150</v>
      </c>
      <c r="F36" s="26"/>
      <c r="G36" t="str">
        <f>MC_UandU!I4</f>
        <v>Page 7</v>
      </c>
    </row>
    <row r="37" spans="1:7" ht="16.5" thickBot="1" x14ac:dyDescent="0.3">
      <c r="A37">
        <v>26</v>
      </c>
      <c r="C37" t="s">
        <v>111</v>
      </c>
      <c r="E37" s="24">
        <f>SUM(E27:E36)</f>
        <v>-66682</v>
      </c>
      <c r="F37" s="26"/>
    </row>
    <row r="38" spans="1:7" ht="16.5" thickTop="1" x14ac:dyDescent="0.25">
      <c r="A38">
        <v>27</v>
      </c>
    </row>
    <row r="39" spans="1:7" ht="18" x14ac:dyDescent="0.4">
      <c r="A39">
        <v>28</v>
      </c>
      <c r="C39" s="4" t="s">
        <v>60</v>
      </c>
    </row>
    <row r="40" spans="1:7" x14ac:dyDescent="0.25">
      <c r="A40">
        <v>29</v>
      </c>
      <c r="C40" s="40" t="s">
        <v>618</v>
      </c>
      <c r="E40">
        <f>ROUND((MC_wwRB!G12+MC_wwRB!G14+MC_wwRB!G16)*0.0152,0)</f>
        <v>-25651</v>
      </c>
      <c r="G40" s="6" t="s">
        <v>341</v>
      </c>
    </row>
    <row r="41" spans="1:7" x14ac:dyDescent="0.25">
      <c r="A41">
        <v>30</v>
      </c>
      <c r="C41" t="s">
        <v>320</v>
      </c>
      <c r="E41">
        <f>E16*0.0765</f>
        <v>-2065.5</v>
      </c>
      <c r="G41" t="s">
        <v>198</v>
      </c>
    </row>
    <row r="42" spans="1:7" x14ac:dyDescent="0.25">
      <c r="A42">
        <v>31</v>
      </c>
      <c r="C42" s="40" t="s">
        <v>89</v>
      </c>
      <c r="E42">
        <f>ROUND(E13*0.045,0)</f>
        <v>0</v>
      </c>
    </row>
    <row r="43" spans="1:7" ht="16.5" thickBot="1" x14ac:dyDescent="0.3">
      <c r="A43">
        <v>32</v>
      </c>
      <c r="C43" t="s">
        <v>111</v>
      </c>
      <c r="E43" s="24">
        <f>SUM(E40:E42)</f>
        <v>-27716.5</v>
      </c>
      <c r="F43" s="26"/>
    </row>
    <row r="44" spans="1:7" ht="16.5" thickTop="1" x14ac:dyDescent="0.25">
      <c r="A44">
        <v>33</v>
      </c>
    </row>
    <row r="45" spans="1:7" ht="18" x14ac:dyDescent="0.4">
      <c r="A45">
        <v>34</v>
      </c>
      <c r="C45" s="4" t="s">
        <v>79</v>
      </c>
    </row>
    <row r="46" spans="1:7" x14ac:dyDescent="0.25">
      <c r="A46">
        <v>35</v>
      </c>
      <c r="C46" s="40" t="s">
        <v>115</v>
      </c>
      <c r="E46">
        <f>MC_wwRB!G23*0.032*-0.3763</f>
        <v>20320.904433600001</v>
      </c>
    </row>
    <row r="47" spans="1:7" x14ac:dyDescent="0.25">
      <c r="A47">
        <v>36</v>
      </c>
      <c r="C47" s="40" t="s">
        <v>90</v>
      </c>
      <c r="E47">
        <f>ROUND((E13-E24-E37-E43)*0.3763,0)</f>
        <v>55549</v>
      </c>
    </row>
    <row r="48" spans="1:7" ht="16.5" thickBot="1" x14ac:dyDescent="0.3">
      <c r="A48">
        <v>37</v>
      </c>
      <c r="C48" t="s">
        <v>111</v>
      </c>
      <c r="E48" s="24">
        <f>SUM(E46:E47)</f>
        <v>75869.904433599993</v>
      </c>
      <c r="F48" s="26"/>
    </row>
    <row r="49" spans="3:3" ht="16.5" thickTop="1" x14ac:dyDescent="0.25"/>
    <row r="50" spans="3:3" x14ac:dyDescent="0.25">
      <c r="C50" s="6" t="s">
        <v>141</v>
      </c>
    </row>
    <row r="51" spans="3:3" x14ac:dyDescent="0.25">
      <c r="C51" t="s">
        <v>116</v>
      </c>
    </row>
    <row r="52" spans="3:3" x14ac:dyDescent="0.25">
      <c r="C52" s="6" t="s">
        <v>316</v>
      </c>
    </row>
    <row r="53" spans="3:3" x14ac:dyDescent="0.25">
      <c r="C53" s="6" t="s">
        <v>697</v>
      </c>
    </row>
    <row r="54" spans="3:3" x14ac:dyDescent="0.25">
      <c r="C54" t="s">
        <v>696</v>
      </c>
    </row>
  </sheetData>
  <pageMargins left="0.7" right="0.7" top="0.75" bottom="0.75" header="0.3" footer="0.3"/>
  <pageSetup scale="81" orientation="portrait" horizontalDpi="0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A2" sqref="A2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5.5" customWidth="1"/>
    <col min="5" max="5" width="14.125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4.875" customWidth="1"/>
  </cols>
  <sheetData>
    <row r="1" spans="1:10" x14ac:dyDescent="0.25">
      <c r="A1" t="str">
        <f>CL_wRR!A1</f>
        <v>Utilities, Inc. of Florida</v>
      </c>
      <c r="H1" s="10"/>
      <c r="J1" s="33" t="str">
        <f>ExhDR9_MC_TOC!$E$1</f>
        <v>Docket No. 160101-WS</v>
      </c>
    </row>
    <row r="2" spans="1:10" x14ac:dyDescent="0.25">
      <c r="A2" t="s">
        <v>678</v>
      </c>
      <c r="H2" s="10"/>
      <c r="I2" s="10"/>
      <c r="J2" s="33" t="str">
        <f>ExhDR9_MC_TOC!$E$2</f>
        <v>Exhibit DMR-9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ExhDR9_MC_TOC!$E$3</f>
        <v>Mid County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81</v>
      </c>
      <c r="J4" s="33" t="str">
        <f>ExhDR9_MC_TOC!$E$4</f>
        <v>of 9</v>
      </c>
    </row>
    <row r="5" spans="1:10" x14ac:dyDescent="0.25">
      <c r="A5" s="27" t="s">
        <v>78</v>
      </c>
      <c r="B5" s="10"/>
      <c r="C5" s="10"/>
      <c r="D5" s="10"/>
      <c r="E5" s="10"/>
      <c r="F5" s="10"/>
      <c r="G5" s="10"/>
      <c r="H5" s="10"/>
      <c r="I5" s="10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8" x14ac:dyDescent="0.4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25">
      <c r="A12" s="10">
        <v>1</v>
      </c>
      <c r="B12" s="10"/>
      <c r="C12" s="11" t="s">
        <v>33</v>
      </c>
      <c r="D12" s="10"/>
      <c r="E12" s="10">
        <v>9490103</v>
      </c>
      <c r="F12" s="10"/>
      <c r="G12" s="10">
        <f>MC_RBadj!F21</f>
        <v>-1109711.25</v>
      </c>
      <c r="H12" s="10"/>
      <c r="I12" s="10">
        <f>SUM(E12:G12)</f>
        <v>8380391.75</v>
      </c>
    </row>
    <row r="13" spans="1:10" x14ac:dyDescent="0.25">
      <c r="A13" s="10">
        <v>2</v>
      </c>
      <c r="B13" s="10"/>
      <c r="C13" s="11" t="s">
        <v>34</v>
      </c>
      <c r="D13" s="10"/>
      <c r="E13" s="10">
        <v>19567</v>
      </c>
      <c r="F13" s="10"/>
      <c r="G13" s="10"/>
      <c r="H13" s="10"/>
      <c r="I13" s="10">
        <f t="shared" ref="I13:I21" si="0">SUM(E13:G13)</f>
        <v>19567</v>
      </c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>
        <f>MC_RBadj!F25</f>
        <v>-18669</v>
      </c>
      <c r="H14" s="10"/>
      <c r="I14" s="10">
        <f t="shared" si="0"/>
        <v>-18669</v>
      </c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25">
      <c r="A16" s="10">
        <v>5</v>
      </c>
      <c r="B16" s="10"/>
      <c r="C16" s="11" t="s">
        <v>37</v>
      </c>
      <c r="D16" s="10"/>
      <c r="E16" s="27">
        <v>-3257580</v>
      </c>
      <c r="F16" s="10"/>
      <c r="G16" s="10">
        <f>-MC_RBadj!F37</f>
        <v>-559178.25</v>
      </c>
      <c r="H16" s="10"/>
      <c r="I16" s="10">
        <f t="shared" si="0"/>
        <v>-3816758.25</v>
      </c>
    </row>
    <row r="17" spans="1:9" x14ac:dyDescent="0.25">
      <c r="A17" s="10">
        <v>6</v>
      </c>
      <c r="B17" s="10"/>
      <c r="C17" s="11" t="s">
        <v>38</v>
      </c>
      <c r="D17" s="10"/>
      <c r="E17" s="10">
        <v>-3144687</v>
      </c>
      <c r="F17" s="10"/>
      <c r="G17" s="10"/>
      <c r="H17" s="10"/>
      <c r="I17" s="10">
        <f t="shared" si="0"/>
        <v>-3144687</v>
      </c>
    </row>
    <row r="18" spans="1:9" x14ac:dyDescent="0.25">
      <c r="A18" s="10">
        <v>7</v>
      </c>
      <c r="B18" s="10"/>
      <c r="C18" s="11" t="s">
        <v>39</v>
      </c>
      <c r="D18" s="10"/>
      <c r="E18" s="10">
        <v>2359047</v>
      </c>
      <c r="F18" s="10"/>
      <c r="G18" s="10"/>
      <c r="H18" s="10"/>
      <c r="I18" s="10">
        <f t="shared" si="0"/>
        <v>2359047</v>
      </c>
    </row>
    <row r="19" spans="1:9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25">
      <c r="A21" s="10">
        <v>10</v>
      </c>
      <c r="B21" s="10"/>
      <c r="C21" s="11" t="s">
        <v>40</v>
      </c>
      <c r="D21" s="10"/>
      <c r="E21" s="28">
        <v>184875</v>
      </c>
      <c r="F21" s="10"/>
      <c r="G21" s="17">
        <f>MC_RBadj!F41</f>
        <v>0</v>
      </c>
      <c r="H21" s="10"/>
      <c r="I21" s="17">
        <f t="shared" si="0"/>
        <v>184875</v>
      </c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5" thickBot="1" x14ac:dyDescent="0.3">
      <c r="A23" s="10">
        <v>11</v>
      </c>
      <c r="B23" s="10"/>
      <c r="C23" s="11" t="s">
        <v>41</v>
      </c>
      <c r="D23" s="10"/>
      <c r="E23" s="18">
        <f>SUM(E12:E21)</f>
        <v>5651325</v>
      </c>
      <c r="F23" s="10"/>
      <c r="G23" s="18">
        <f>SUM(G12:G21)</f>
        <v>-1687558.5</v>
      </c>
      <c r="H23" s="10"/>
      <c r="I23" s="18">
        <f>SUM(I12:I22)</f>
        <v>3963766.5</v>
      </c>
    </row>
    <row r="24" spans="1:9" ht="16.5" thickTop="1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8" x14ac:dyDescent="0.4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25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27" t="s">
        <v>112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4" orientation="portrait" horizontalDpi="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opLeftCell="A19" workbookViewId="0">
      <selection activeCell="A2" sqref="A2"/>
    </sheetView>
  </sheetViews>
  <sheetFormatPr defaultRowHeight="15.75" x14ac:dyDescent="0.25"/>
  <cols>
    <col min="1" max="1" width="4.25" customWidth="1"/>
    <col min="2" max="2" width="1.375" customWidth="1"/>
    <col min="3" max="3" width="42.875" customWidth="1"/>
    <col min="4" max="5" width="7" customWidth="1"/>
    <col min="6" max="6" width="12.375" customWidth="1"/>
    <col min="7" max="7" width="1.25" customWidth="1"/>
    <col min="8" max="8" width="20" customWidth="1"/>
    <col min="9" max="9" width="4.5" customWidth="1"/>
    <col min="10" max="10" width="11.125" customWidth="1"/>
  </cols>
  <sheetData>
    <row r="1" spans="1:9" x14ac:dyDescent="0.25">
      <c r="A1" t="str">
        <f>CL_wRR!A1</f>
        <v>Utilities, Inc. of Florida</v>
      </c>
      <c r="I1" s="33" t="str">
        <f>ExhDR9_MC_TOC!$E$1</f>
        <v>Docket No. 160101-WS</v>
      </c>
    </row>
    <row r="2" spans="1:9" x14ac:dyDescent="0.25">
      <c r="A2" t="s">
        <v>678</v>
      </c>
      <c r="I2" s="33" t="str">
        <f>ExhDR9_MC_TOC!$E$2</f>
        <v>Exhibit DMR-9</v>
      </c>
    </row>
    <row r="3" spans="1:9" x14ac:dyDescent="0.25">
      <c r="A3" t="str">
        <f>CL_wRR!A3</f>
        <v>Test Year Ended December 31, 2015</v>
      </c>
      <c r="I3" s="33" t="str">
        <f>ExhDR9_MC_TOC!$E$3</f>
        <v>Mid County Revenue Requirement</v>
      </c>
    </row>
    <row r="4" spans="1:9" x14ac:dyDescent="0.25">
      <c r="H4" s="33" t="s">
        <v>82</v>
      </c>
      <c r="I4" s="33" t="str">
        <f>ExhDR9_MC_TOC!$E$4</f>
        <v>of 9</v>
      </c>
    </row>
    <row r="5" spans="1:9" x14ac:dyDescent="0.25">
      <c r="A5" t="s">
        <v>42</v>
      </c>
    </row>
    <row r="7" spans="1:9" x14ac:dyDescent="0.25">
      <c r="H7" s="1"/>
    </row>
    <row r="8" spans="1:9" x14ac:dyDescent="0.25">
      <c r="A8" t="s">
        <v>0</v>
      </c>
      <c r="H8" s="1"/>
    </row>
    <row r="9" spans="1:9" ht="18" x14ac:dyDescent="0.4">
      <c r="A9" s="3" t="s">
        <v>1</v>
      </c>
      <c r="C9" s="9" t="s">
        <v>2</v>
      </c>
      <c r="F9" s="2" t="s">
        <v>5</v>
      </c>
      <c r="G9" s="34"/>
      <c r="H9" s="4" t="s">
        <v>23</v>
      </c>
    </row>
    <row r="11" spans="1:9" ht="18" x14ac:dyDescent="0.4">
      <c r="C11" s="4" t="s">
        <v>44</v>
      </c>
    </row>
    <row r="12" spans="1:9" x14ac:dyDescent="0.25">
      <c r="A12">
        <v>1</v>
      </c>
      <c r="C12" s="40" t="s">
        <v>315</v>
      </c>
      <c r="F12">
        <f>-100000</f>
        <v>-100000</v>
      </c>
      <c r="H12" t="s">
        <v>198</v>
      </c>
    </row>
    <row r="13" spans="1:9" x14ac:dyDescent="0.25">
      <c r="A13">
        <v>2</v>
      </c>
      <c r="C13" s="40" t="s">
        <v>314</v>
      </c>
      <c r="F13">
        <f>-500000</f>
        <v>-500000</v>
      </c>
      <c r="H13" s="6" t="s">
        <v>212</v>
      </c>
    </row>
    <row r="14" spans="1:9" x14ac:dyDescent="0.25">
      <c r="A14">
        <v>3</v>
      </c>
      <c r="C14" s="40" t="s">
        <v>317</v>
      </c>
      <c r="F14">
        <f>MC_PlantA!I18</f>
        <v>-1856</v>
      </c>
      <c r="H14" s="6" t="str">
        <f>MC_PlantA!I4</f>
        <v>Page 8</v>
      </c>
    </row>
    <row r="15" spans="1:9" x14ac:dyDescent="0.25">
      <c r="A15">
        <v>4</v>
      </c>
      <c r="C15" s="40" t="s">
        <v>581</v>
      </c>
      <c r="F15">
        <f>255750-341000</f>
        <v>-85250</v>
      </c>
      <c r="H15" s="6" t="s">
        <v>212</v>
      </c>
    </row>
    <row r="16" spans="1:9" x14ac:dyDescent="0.25">
      <c r="A16">
        <v>5</v>
      </c>
      <c r="C16" s="40" t="s">
        <v>589</v>
      </c>
      <c r="F16">
        <f>MC_PlantB!I18</f>
        <v>-11986.5</v>
      </c>
      <c r="H16" t="str">
        <f>MC_PlantB!I4</f>
        <v>Page 9</v>
      </c>
    </row>
    <row r="17" spans="1:8" x14ac:dyDescent="0.25">
      <c r="A17">
        <v>6</v>
      </c>
      <c r="B17" s="19"/>
      <c r="C17" s="40" t="s">
        <v>590</v>
      </c>
      <c r="F17">
        <f>MC_PlantB!I34</f>
        <v>-2543.75</v>
      </c>
      <c r="H17" t="str">
        <f>H16</f>
        <v>Page 9</v>
      </c>
    </row>
    <row r="18" spans="1:8" x14ac:dyDescent="0.25">
      <c r="A18">
        <v>7</v>
      </c>
      <c r="B18" s="19"/>
      <c r="C18" s="40" t="s">
        <v>591</v>
      </c>
      <c r="F18">
        <v>-1000</v>
      </c>
      <c r="H18" s="6" t="s">
        <v>213</v>
      </c>
    </row>
    <row r="19" spans="1:8" x14ac:dyDescent="0.25">
      <c r="A19">
        <v>8</v>
      </c>
      <c r="B19" s="19"/>
      <c r="C19" s="40" t="s">
        <v>595</v>
      </c>
      <c r="F19">
        <v>-371500</v>
      </c>
      <c r="H19" s="6" t="s">
        <v>212</v>
      </c>
    </row>
    <row r="20" spans="1:8" x14ac:dyDescent="0.25">
      <c r="A20">
        <v>9</v>
      </c>
      <c r="B20" s="19"/>
      <c r="C20" t="s">
        <v>630</v>
      </c>
      <c r="F20">
        <f>GIS_Proj!K16</f>
        <v>-35575</v>
      </c>
      <c r="H20" t="str">
        <f>GIS_Proj!O2</f>
        <v>Exhibit DMR-21</v>
      </c>
    </row>
    <row r="21" spans="1:8" ht="16.5" thickBot="1" x14ac:dyDescent="0.3">
      <c r="A21">
        <v>10</v>
      </c>
      <c r="B21" s="19"/>
      <c r="C21" t="s">
        <v>48</v>
      </c>
      <c r="F21" s="24">
        <f>SUM(F12:F20)</f>
        <v>-1109711.25</v>
      </c>
      <c r="G21" s="26"/>
    </row>
    <row r="22" spans="1:8" ht="16.5" thickTop="1" x14ac:dyDescent="0.25">
      <c r="A22">
        <v>11</v>
      </c>
      <c r="B22" s="19"/>
      <c r="C22" s="19"/>
      <c r="D22" s="19"/>
      <c r="E22" s="19"/>
      <c r="F22" s="19"/>
      <c r="G22" s="19"/>
    </row>
    <row r="23" spans="1:8" ht="18" x14ac:dyDescent="0.4">
      <c r="A23">
        <v>12</v>
      </c>
      <c r="B23" s="19"/>
      <c r="C23" s="21" t="s">
        <v>58</v>
      </c>
      <c r="D23" s="19"/>
      <c r="E23" s="19"/>
      <c r="F23" s="19"/>
      <c r="G23" s="19"/>
    </row>
    <row r="24" spans="1:8" x14ac:dyDescent="0.25">
      <c r="A24">
        <v>13</v>
      </c>
      <c r="B24" s="19"/>
      <c r="C24" t="s">
        <v>236</v>
      </c>
      <c r="D24" s="19"/>
      <c r="E24" s="19"/>
      <c r="F24" s="22">
        <f>MC_UandU!G28</f>
        <v>-18669</v>
      </c>
      <c r="G24" s="39"/>
      <c r="H24" t="str">
        <f>MC_UandU!I4</f>
        <v>Page 7</v>
      </c>
    </row>
    <row r="25" spans="1:8" ht="16.5" thickBot="1" x14ac:dyDescent="0.3">
      <c r="A25">
        <v>14</v>
      </c>
      <c r="B25" s="19"/>
      <c r="C25" t="s">
        <v>59</v>
      </c>
      <c r="D25" s="19"/>
      <c r="E25" s="19"/>
      <c r="F25" s="23">
        <f>SUM(F24:F24)</f>
        <v>-18669</v>
      </c>
      <c r="G25" s="39"/>
    </row>
    <row r="26" spans="1:8" ht="16.5" thickTop="1" x14ac:dyDescent="0.25">
      <c r="A26">
        <v>15</v>
      </c>
      <c r="B26" s="19"/>
      <c r="C26" s="19"/>
      <c r="D26" s="19"/>
      <c r="E26" s="19"/>
      <c r="F26" s="19"/>
      <c r="G26" s="19"/>
    </row>
    <row r="27" spans="1:8" ht="18" x14ac:dyDescent="0.4">
      <c r="A27">
        <v>16</v>
      </c>
      <c r="B27" s="19"/>
      <c r="C27" s="21" t="s">
        <v>43</v>
      </c>
      <c r="D27" s="19"/>
      <c r="E27" s="19"/>
      <c r="F27" s="19"/>
      <c r="G27" s="19"/>
    </row>
    <row r="28" spans="1:8" x14ac:dyDescent="0.25">
      <c r="A28">
        <v>17</v>
      </c>
      <c r="B28" s="19"/>
      <c r="C28" s="40" t="s">
        <v>315</v>
      </c>
      <c r="F28">
        <f>300000-13333</f>
        <v>286667</v>
      </c>
      <c r="H28" t="s">
        <v>198</v>
      </c>
    </row>
    <row r="29" spans="1:8" x14ac:dyDescent="0.25">
      <c r="A29">
        <v>18</v>
      </c>
      <c r="B29" s="19"/>
      <c r="C29" s="40" t="s">
        <v>314</v>
      </c>
      <c r="D29" s="19"/>
      <c r="E29" s="19"/>
      <c r="F29" s="19">
        <v>-5556</v>
      </c>
      <c r="G29" s="19"/>
      <c r="H29" s="6" t="s">
        <v>212</v>
      </c>
    </row>
    <row r="30" spans="1:8" x14ac:dyDescent="0.25">
      <c r="A30">
        <v>19</v>
      </c>
      <c r="B30" s="19"/>
      <c r="C30" s="40" t="s">
        <v>317</v>
      </c>
      <c r="D30" s="19"/>
      <c r="E30" s="19"/>
      <c r="F30" s="75">
        <f>MC_PlantA!I24</f>
        <v>3433</v>
      </c>
      <c r="G30" s="19"/>
      <c r="H30" s="6" t="str">
        <f>MC_PlantA!I4</f>
        <v>Page 8</v>
      </c>
    </row>
    <row r="31" spans="1:8" x14ac:dyDescent="0.25">
      <c r="A31">
        <v>20</v>
      </c>
      <c r="B31" s="19"/>
      <c r="C31" s="40" t="s">
        <v>581</v>
      </c>
      <c r="F31">
        <f>-8525+255750</f>
        <v>247225</v>
      </c>
      <c r="H31" s="6" t="s">
        <v>212</v>
      </c>
    </row>
    <row r="32" spans="1:8" x14ac:dyDescent="0.25">
      <c r="A32">
        <v>21</v>
      </c>
      <c r="B32" s="19"/>
      <c r="C32" s="40" t="s">
        <v>589</v>
      </c>
      <c r="F32">
        <f>MC_PlantB!I24</f>
        <v>33822.5</v>
      </c>
      <c r="H32" t="str">
        <f>H16</f>
        <v>Page 9</v>
      </c>
    </row>
    <row r="33" spans="1:8" x14ac:dyDescent="0.25">
      <c r="A33">
        <v>22</v>
      </c>
      <c r="C33" s="40" t="s">
        <v>590</v>
      </c>
      <c r="F33">
        <f>MC_PlantB!I40</f>
        <v>6970.25</v>
      </c>
      <c r="H33" t="str">
        <f>H16</f>
        <v>Page 9</v>
      </c>
    </row>
    <row r="34" spans="1:8" x14ac:dyDescent="0.25">
      <c r="A34">
        <v>23</v>
      </c>
      <c r="C34" s="40" t="s">
        <v>591</v>
      </c>
      <c r="F34">
        <f>F18/10</f>
        <v>-100</v>
      </c>
      <c r="H34" s="6" t="s">
        <v>213</v>
      </c>
    </row>
    <row r="35" spans="1:8" x14ac:dyDescent="0.25">
      <c r="A35">
        <v>24</v>
      </c>
      <c r="C35" s="40" t="s">
        <v>595</v>
      </c>
      <c r="F35">
        <v>-10319</v>
      </c>
      <c r="H35" s="6" t="s">
        <v>212</v>
      </c>
    </row>
    <row r="36" spans="1:8" x14ac:dyDescent="0.25">
      <c r="A36">
        <v>25</v>
      </c>
      <c r="C36" t="s">
        <v>630</v>
      </c>
      <c r="F36">
        <f>MC_NOIadj!E27*0.5</f>
        <v>-2964.5</v>
      </c>
    </row>
    <row r="37" spans="1:8" ht="16.5" thickBot="1" x14ac:dyDescent="0.3">
      <c r="A37">
        <v>26</v>
      </c>
      <c r="C37" s="20" t="s">
        <v>47</v>
      </c>
      <c r="D37" s="19"/>
      <c r="E37" s="19"/>
      <c r="F37" s="23">
        <f>SUM(F28:F36)</f>
        <v>559178.25</v>
      </c>
      <c r="G37" s="39"/>
    </row>
    <row r="38" spans="1:8" ht="16.5" thickTop="1" x14ac:dyDescent="0.25">
      <c r="A38">
        <v>27</v>
      </c>
      <c r="C38" s="20"/>
      <c r="D38" s="19"/>
      <c r="E38" s="19"/>
      <c r="F38" s="19"/>
      <c r="G38" s="19"/>
    </row>
    <row r="39" spans="1:8" ht="18" x14ac:dyDescent="0.4">
      <c r="A39">
        <v>28</v>
      </c>
      <c r="C39" s="21" t="s">
        <v>51</v>
      </c>
      <c r="D39" s="19"/>
      <c r="E39" s="19"/>
      <c r="F39" s="19"/>
      <c r="G39" s="19"/>
    </row>
    <row r="40" spans="1:8" x14ac:dyDescent="0.25">
      <c r="A40">
        <v>29</v>
      </c>
      <c r="C40" s="19"/>
      <c r="D40" s="19"/>
      <c r="E40" s="19"/>
      <c r="F40" s="22"/>
      <c r="G40" s="39"/>
    </row>
    <row r="41" spans="1:8" ht="16.5" thickBot="1" x14ac:dyDescent="0.3">
      <c r="A41">
        <v>30</v>
      </c>
      <c r="C41" s="20" t="s">
        <v>52</v>
      </c>
      <c r="D41" s="19"/>
      <c r="E41" s="19"/>
      <c r="F41" s="23">
        <f>SUM(F40:F40)</f>
        <v>0</v>
      </c>
      <c r="G41" s="39"/>
    </row>
    <row r="42" spans="1:8" ht="16.5" thickTop="1" x14ac:dyDescent="0.25">
      <c r="C42" s="19"/>
      <c r="D42" s="19"/>
      <c r="E42" s="19"/>
      <c r="F42" s="19"/>
      <c r="G42" s="19"/>
    </row>
    <row r="43" spans="1:8" x14ac:dyDescent="0.25">
      <c r="C43" s="6" t="s">
        <v>326</v>
      </c>
    </row>
    <row r="44" spans="1:8" x14ac:dyDescent="0.25">
      <c r="C44" s="76" t="s">
        <v>593</v>
      </c>
    </row>
    <row r="45" spans="1:8" x14ac:dyDescent="0.25">
      <c r="C45" s="76" t="s">
        <v>594</v>
      </c>
    </row>
  </sheetData>
  <pageMargins left="0.7" right="0.7" top="0.75" bottom="0.75" header="0.3" footer="0.3"/>
  <pageSetup scale="84" orientation="portrait" horizontalDpi="0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workbookViewId="0">
      <selection activeCell="A2" sqref="A2"/>
    </sheetView>
  </sheetViews>
  <sheetFormatPr defaultRowHeight="15.75" x14ac:dyDescent="0.25"/>
  <cols>
    <col min="1" max="1" width="4.25" customWidth="1"/>
    <col min="2" max="2" width="1.375" customWidth="1"/>
    <col min="3" max="3" width="20.5" customWidth="1"/>
    <col min="4" max="4" width="1.125" customWidth="1"/>
    <col min="5" max="5" width="10.875" customWidth="1"/>
    <col min="6" max="6" width="1.125" customWidth="1"/>
    <col min="7" max="7" width="9.625" customWidth="1"/>
    <col min="8" max="8" width="1.125" customWidth="1"/>
    <col min="9" max="9" width="10.625" customWidth="1"/>
    <col min="10" max="10" width="0.75" customWidth="1"/>
    <col min="11" max="11" width="11.125" customWidth="1"/>
    <col min="12" max="12" width="0.75" customWidth="1"/>
    <col min="13" max="13" width="9.625" customWidth="1"/>
    <col min="14" max="14" width="0.75" customWidth="1"/>
    <col min="15" max="15" width="9.75" customWidth="1"/>
    <col min="16" max="16" width="0.75" customWidth="1"/>
    <col min="17" max="17" width="10" customWidth="1"/>
    <col min="18" max="18" width="4.5" customWidth="1"/>
  </cols>
  <sheetData>
    <row r="1" spans="1:18" x14ac:dyDescent="0.25">
      <c r="A1" t="str">
        <f>CL_wRR!A1</f>
        <v>Utilities, Inc. of Florida</v>
      </c>
      <c r="R1" s="33" t="str">
        <f>ExhDR9_MC_TOC!$E$1</f>
        <v>Docket No. 160101-WS</v>
      </c>
    </row>
    <row r="2" spans="1:18" x14ac:dyDescent="0.25">
      <c r="A2" t="s">
        <v>678</v>
      </c>
      <c r="R2" s="33" t="str">
        <f>ExhDR9_MC_TOC!$E$2</f>
        <v>Exhibit DMR-9</v>
      </c>
    </row>
    <row r="3" spans="1:18" x14ac:dyDescent="0.25">
      <c r="A3" t="str">
        <f>CL_wRR!A3</f>
        <v>Test Year Ended December 31, 2015</v>
      </c>
      <c r="R3" s="33" t="str">
        <f>ExhDR9_MC_TOC!$E$3</f>
        <v>Mid County Revenue Requirement</v>
      </c>
    </row>
    <row r="4" spans="1:18" x14ac:dyDescent="0.25">
      <c r="Q4" s="33" t="s">
        <v>83</v>
      </c>
      <c r="R4" s="33" t="str">
        <f>ExhDR9_MC_TOC!$E$4</f>
        <v>of 9</v>
      </c>
    </row>
    <row r="5" spans="1:18" x14ac:dyDescent="0.25">
      <c r="A5" t="s">
        <v>199</v>
      </c>
    </row>
    <row r="8" spans="1:18" x14ac:dyDescent="0.25">
      <c r="Q8" s="1" t="s">
        <v>8</v>
      </c>
    </row>
    <row r="9" spans="1:18" x14ac:dyDescent="0.25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8" x14ac:dyDescent="0.4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25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25">
      <c r="A13">
        <v>1</v>
      </c>
      <c r="C13" t="s">
        <v>206</v>
      </c>
      <c r="E13">
        <v>2618259</v>
      </c>
      <c r="G13" s="64">
        <f>E13/$E$20</f>
        <v>0.46330002256108083</v>
      </c>
      <c r="I13">
        <f>K13-E13</f>
        <v>-781845.89112314372</v>
      </c>
      <c r="K13">
        <f>($K$20-$K$16-$K$17-$K$18)*(E13/SUM($E$13:$E$15))</f>
        <v>1836413.1088768563</v>
      </c>
      <c r="M13" s="64">
        <f>K13/$K$20</f>
        <v>0.46330002256108083</v>
      </c>
      <c r="O13" s="64">
        <v>6.7000000000000004E-2</v>
      </c>
      <c r="P13" s="8"/>
      <c r="Q13" s="64">
        <f>M13*O13</f>
        <v>3.1041101511592416E-2</v>
      </c>
    </row>
    <row r="14" spans="1:18" x14ac:dyDescent="0.25">
      <c r="A14">
        <v>2</v>
      </c>
      <c r="C14" t="s">
        <v>207</v>
      </c>
      <c r="E14">
        <v>248658</v>
      </c>
      <c r="G14" s="64">
        <f t="shared" ref="G14:G18" si="0">E14/$E$20</f>
        <v>4.3999946915103977E-2</v>
      </c>
      <c r="I14">
        <f t="shared" ref="I14:I15" si="1">K14-E14</f>
        <v>-74252.484416132502</v>
      </c>
      <c r="K14">
        <f t="shared" ref="K14:K15" si="2">($K$20-$K$16-$K$17-$K$18)*(E14/SUM($E$13:$E$15))</f>
        <v>174405.5155838675</v>
      </c>
      <c r="M14" s="64">
        <f t="shared" ref="M14:M18" si="3">K14/$K$20</f>
        <v>4.3999946915103977E-2</v>
      </c>
      <c r="O14" s="8">
        <v>2.3199999999999998E-2</v>
      </c>
      <c r="P14" s="8"/>
      <c r="Q14" s="64">
        <f t="shared" ref="Q14:Q18" si="4">M14*O14</f>
        <v>1.0207987684304122E-3</v>
      </c>
    </row>
    <row r="15" spans="1:18" x14ac:dyDescent="0.25">
      <c r="A15">
        <v>3</v>
      </c>
      <c r="C15" t="s">
        <v>208</v>
      </c>
      <c r="E15">
        <v>2784408</v>
      </c>
      <c r="G15" s="64">
        <f t="shared" si="0"/>
        <v>0.49270003052381522</v>
      </c>
      <c r="I15">
        <f t="shared" si="1"/>
        <v>-831460.12446072372</v>
      </c>
      <c r="K15">
        <f t="shared" si="2"/>
        <v>1952947.8755392763</v>
      </c>
      <c r="M15" s="64">
        <f t="shared" si="3"/>
        <v>0.49270003052381522</v>
      </c>
      <c r="O15" s="8">
        <v>0.104</v>
      </c>
      <c r="P15" s="8"/>
      <c r="Q15" s="64">
        <f t="shared" si="4"/>
        <v>5.1240803174476782E-2</v>
      </c>
    </row>
    <row r="16" spans="1:18" x14ac:dyDescent="0.25">
      <c r="A16">
        <v>4</v>
      </c>
      <c r="C16" t="s">
        <v>209</v>
      </c>
      <c r="E16">
        <v>0</v>
      </c>
      <c r="G16" s="64">
        <f t="shared" si="0"/>
        <v>0</v>
      </c>
      <c r="K16">
        <f>E16+I16</f>
        <v>0</v>
      </c>
      <c r="M16" s="64">
        <f t="shared" si="3"/>
        <v>0</v>
      </c>
      <c r="O16" s="8">
        <v>0.02</v>
      </c>
      <c r="P16" s="8"/>
      <c r="Q16" s="64">
        <f t="shared" si="4"/>
        <v>0</v>
      </c>
    </row>
    <row r="17" spans="1:17" x14ac:dyDescent="0.25">
      <c r="A17">
        <v>5</v>
      </c>
      <c r="C17" t="s">
        <v>210</v>
      </c>
      <c r="E17">
        <v>0</v>
      </c>
      <c r="G17" s="64">
        <f t="shared" si="0"/>
        <v>0</v>
      </c>
      <c r="K17">
        <f>E17+I17</f>
        <v>0</v>
      </c>
      <c r="M17" s="64">
        <f t="shared" si="3"/>
        <v>0</v>
      </c>
      <c r="O17" s="8">
        <v>0</v>
      </c>
      <c r="P17" s="8"/>
      <c r="Q17" s="64">
        <f t="shared" si="4"/>
        <v>0</v>
      </c>
    </row>
    <row r="18" spans="1:17" x14ac:dyDescent="0.25">
      <c r="A18">
        <v>6</v>
      </c>
      <c r="C18" t="s">
        <v>211</v>
      </c>
      <c r="E18" s="3">
        <v>0</v>
      </c>
      <c r="G18" s="68">
        <f t="shared" si="0"/>
        <v>0</v>
      </c>
      <c r="K18" s="3">
        <f>E18+I18</f>
        <v>0</v>
      </c>
      <c r="M18" s="68">
        <f t="shared" si="3"/>
        <v>0</v>
      </c>
      <c r="O18" s="8">
        <v>0</v>
      </c>
      <c r="P18" s="8"/>
      <c r="Q18" s="68">
        <f t="shared" si="4"/>
        <v>0</v>
      </c>
    </row>
    <row r="20" spans="1:17" ht="16.5" thickBot="1" x14ac:dyDescent="0.3">
      <c r="A20">
        <v>7</v>
      </c>
      <c r="C20" t="s">
        <v>189</v>
      </c>
      <c r="E20">
        <f>SUM(E13:E19)</f>
        <v>5651325</v>
      </c>
      <c r="G20" s="8">
        <f>SUM(G13:G19)</f>
        <v>1</v>
      </c>
      <c r="K20">
        <f>MC_wwRB!I23</f>
        <v>3963766.5</v>
      </c>
      <c r="M20" s="8">
        <f>SUM(M13:M19)</f>
        <v>1</v>
      </c>
      <c r="Q20" s="71">
        <f>ROUND(SUM(Q13:Q19),4)</f>
        <v>8.3299999999999999E-2</v>
      </c>
    </row>
    <row r="21" spans="1:17" ht="16.5" thickTop="1" x14ac:dyDescent="0.25"/>
    <row r="22" spans="1:17" ht="18" x14ac:dyDescent="0.4">
      <c r="C22" s="4" t="s">
        <v>50</v>
      </c>
    </row>
    <row r="23" spans="1:17" x14ac:dyDescent="0.25">
      <c r="C23" t="s">
        <v>217</v>
      </c>
    </row>
    <row r="24" spans="1:17" x14ac:dyDescent="0.25">
      <c r="C24" t="s">
        <v>220</v>
      </c>
    </row>
  </sheetData>
  <pageMargins left="0.7" right="0.7" top="0.75" bottom="0.75" header="0.3" footer="0.3"/>
  <pageSetup scale="78" orientation="portrait" horizontalDpi="0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opLeftCell="A2" workbookViewId="0">
      <selection activeCell="A2" sqref="A2"/>
    </sheetView>
  </sheetViews>
  <sheetFormatPr defaultRowHeight="15.75" x14ac:dyDescent="0.25"/>
  <cols>
    <col min="1" max="1" width="4.5" customWidth="1"/>
    <col min="2" max="2" width="1.375" customWidth="1"/>
    <col min="3" max="3" width="44.625" customWidth="1"/>
    <col min="4" max="4" width="4.375" customWidth="1"/>
    <col min="5" max="5" width="11.625" customWidth="1"/>
    <col min="6" max="6" width="1.625" customWidth="1"/>
    <col min="7" max="7" width="11.125" customWidth="1"/>
    <col min="8" max="8" width="1.375" customWidth="1"/>
    <col min="9" max="9" width="9.25" bestFit="1" customWidth="1"/>
    <col min="10" max="10" width="5" customWidth="1"/>
  </cols>
  <sheetData>
    <row r="1" spans="1:10" x14ac:dyDescent="0.25">
      <c r="A1" t="str">
        <f>CL_wRR!A1</f>
        <v>Utilities, Inc. of Florida</v>
      </c>
      <c r="J1" s="33" t="str">
        <f>ExhDR9_MC_TOC!$E$1</f>
        <v>Docket No. 160101-WS</v>
      </c>
    </row>
    <row r="2" spans="1:10" x14ac:dyDescent="0.25">
      <c r="A2" t="s">
        <v>678</v>
      </c>
      <c r="J2" s="33" t="str">
        <f>ExhDR9_MC_TOC!$E$2</f>
        <v>Exhibit DMR-9</v>
      </c>
    </row>
    <row r="3" spans="1:10" x14ac:dyDescent="0.25">
      <c r="A3" t="str">
        <f>CL_wRR!A3</f>
        <v>Test Year Ended December 31, 2015</v>
      </c>
      <c r="J3" s="33" t="str">
        <f>ExhDR9_MC_TOC!$E$3</f>
        <v>Mid County Revenue Requirement</v>
      </c>
    </row>
    <row r="4" spans="1:10" x14ac:dyDescent="0.25">
      <c r="I4" s="33" t="s">
        <v>87</v>
      </c>
      <c r="J4" s="33" t="str">
        <f>ExhDR9_MC_TOC!$E$4</f>
        <v>of 9</v>
      </c>
    </row>
    <row r="5" spans="1:10" x14ac:dyDescent="0.25">
      <c r="A5" t="s">
        <v>236</v>
      </c>
    </row>
    <row r="9" spans="1:10" x14ac:dyDescent="0.25">
      <c r="A9" t="s">
        <v>0</v>
      </c>
      <c r="E9" s="1"/>
      <c r="F9" s="1"/>
      <c r="G9" s="1" t="s">
        <v>240</v>
      </c>
      <c r="I9" t="s">
        <v>241</v>
      </c>
    </row>
    <row r="10" spans="1:10" x14ac:dyDescent="0.25">
      <c r="A10" s="3" t="s">
        <v>1</v>
      </c>
      <c r="C10" s="3" t="s">
        <v>237</v>
      </c>
      <c r="E10" s="2" t="s">
        <v>239</v>
      </c>
      <c r="F10" s="1"/>
      <c r="G10" s="2" t="s">
        <v>241</v>
      </c>
      <c r="I10" s="3" t="s">
        <v>242</v>
      </c>
    </row>
    <row r="11" spans="1:10" x14ac:dyDescent="0.25">
      <c r="A11" s="26"/>
      <c r="C11" s="26"/>
      <c r="E11" s="34"/>
      <c r="F11" s="1"/>
      <c r="G11" s="34"/>
      <c r="I11" s="26"/>
    </row>
    <row r="12" spans="1:10" ht="18" x14ac:dyDescent="0.4">
      <c r="C12" s="50" t="s">
        <v>312</v>
      </c>
    </row>
    <row r="13" spans="1:10" x14ac:dyDescent="0.25">
      <c r="A13">
        <v>1</v>
      </c>
      <c r="C13" s="83" t="s">
        <v>434</v>
      </c>
      <c r="E13">
        <v>18403</v>
      </c>
    </row>
    <row r="14" spans="1:10" x14ac:dyDescent="0.25">
      <c r="A14">
        <v>2</v>
      </c>
      <c r="C14" s="74" t="s">
        <v>306</v>
      </c>
      <c r="E14">
        <v>149985</v>
      </c>
      <c r="G14">
        <v>-4555</v>
      </c>
      <c r="I14">
        <v>4735</v>
      </c>
    </row>
    <row r="15" spans="1:10" x14ac:dyDescent="0.25">
      <c r="A15">
        <v>3</v>
      </c>
      <c r="C15" s="6" t="s">
        <v>307</v>
      </c>
      <c r="E15">
        <v>476</v>
      </c>
      <c r="G15">
        <v>-87</v>
      </c>
      <c r="I15">
        <v>24</v>
      </c>
    </row>
    <row r="16" spans="1:10" x14ac:dyDescent="0.25">
      <c r="A16">
        <v>4</v>
      </c>
      <c r="C16" s="6" t="s">
        <v>308</v>
      </c>
      <c r="E16">
        <v>1562887</v>
      </c>
      <c r="G16">
        <v>-460789</v>
      </c>
      <c r="I16">
        <v>87057</v>
      </c>
    </row>
    <row r="17" spans="1:9" x14ac:dyDescent="0.25">
      <c r="A17">
        <v>5</v>
      </c>
      <c r="C17" s="6" t="s">
        <v>322</v>
      </c>
    </row>
    <row r="18" spans="1:9" x14ac:dyDescent="0.25">
      <c r="A18">
        <v>6</v>
      </c>
      <c r="C18" t="s">
        <v>323</v>
      </c>
      <c r="E18">
        <f>MC_RBadj!F12</f>
        <v>-100000</v>
      </c>
      <c r="G18">
        <f>-MC_RBadj!F28</f>
        <v>-286667</v>
      </c>
      <c r="I18">
        <f>MC_NOIadj!E28</f>
        <v>-6667</v>
      </c>
    </row>
    <row r="19" spans="1:9" x14ac:dyDescent="0.25">
      <c r="A19">
        <v>7</v>
      </c>
      <c r="C19" s="40" t="s">
        <v>596</v>
      </c>
      <c r="E19">
        <f>MC_RBadj!F19</f>
        <v>-371500</v>
      </c>
      <c r="G19">
        <f>-MC_RBadj!F35</f>
        <v>10319</v>
      </c>
      <c r="I19">
        <f>MC_NOIadj!E35</f>
        <v>-20639</v>
      </c>
    </row>
    <row r="20" spans="1:9" x14ac:dyDescent="0.25">
      <c r="A20">
        <v>8</v>
      </c>
      <c r="C20" t="s">
        <v>597</v>
      </c>
      <c r="E20">
        <f>MC_RBadj!F15</f>
        <v>-85250</v>
      </c>
      <c r="G20">
        <f>-MC_RBadj!F31</f>
        <v>-247225</v>
      </c>
      <c r="I20">
        <f>MC_NOIadj!E31</f>
        <v>-17050</v>
      </c>
    </row>
    <row r="21" spans="1:9" x14ac:dyDescent="0.25">
      <c r="A21">
        <v>9</v>
      </c>
      <c r="C21" s="6" t="s">
        <v>309</v>
      </c>
      <c r="E21">
        <v>67280</v>
      </c>
      <c r="G21">
        <v>36176</v>
      </c>
      <c r="I21">
        <v>1950</v>
      </c>
    </row>
    <row r="22" spans="1:9" x14ac:dyDescent="0.25">
      <c r="A22">
        <v>10</v>
      </c>
      <c r="C22" s="6" t="s">
        <v>310</v>
      </c>
      <c r="E22">
        <v>222</v>
      </c>
      <c r="G22">
        <v>478</v>
      </c>
      <c r="I22">
        <v>7</v>
      </c>
    </row>
    <row r="23" spans="1:9" x14ac:dyDescent="0.25">
      <c r="A23">
        <v>11</v>
      </c>
      <c r="C23" s="6" t="s">
        <v>311</v>
      </c>
      <c r="E23" s="3">
        <v>6347</v>
      </c>
      <c r="G23" s="3">
        <v>-1563</v>
      </c>
      <c r="I23" s="3">
        <v>353</v>
      </c>
    </row>
    <row r="24" spans="1:9" x14ac:dyDescent="0.25">
      <c r="A24">
        <v>12</v>
      </c>
      <c r="C24" t="s">
        <v>324</v>
      </c>
      <c r="E24">
        <f>SUM(E13:E23)</f>
        <v>1248850</v>
      </c>
      <c r="G24">
        <f>SUM(G14:G23)</f>
        <v>-953913</v>
      </c>
      <c r="I24">
        <f>SUM(I14:I23)</f>
        <v>49770</v>
      </c>
    </row>
    <row r="25" spans="1:9" x14ac:dyDescent="0.25">
      <c r="A25">
        <v>13</v>
      </c>
      <c r="C25" t="s">
        <v>245</v>
      </c>
      <c r="E25" s="68">
        <f>1-0.9367</f>
        <v>6.3300000000000023E-2</v>
      </c>
      <c r="G25" s="68">
        <f>1-0.9367</f>
        <v>6.3300000000000023E-2</v>
      </c>
      <c r="I25" s="68">
        <f>1-0.9367</f>
        <v>6.3300000000000023E-2</v>
      </c>
    </row>
    <row r="26" spans="1:9" x14ac:dyDescent="0.25">
      <c r="A26">
        <v>14</v>
      </c>
      <c r="C26" t="s">
        <v>246</v>
      </c>
      <c r="E26" s="73">
        <f>ROUND(E24*E25,0)</f>
        <v>79052</v>
      </c>
      <c r="G26" s="73">
        <f>ROUND(G24*G25,0)</f>
        <v>-60383</v>
      </c>
      <c r="I26" s="73">
        <f>ROUND(I24*I25,0)</f>
        <v>3150</v>
      </c>
    </row>
    <row r="28" spans="1:9" ht="16.5" thickBot="1" x14ac:dyDescent="0.3">
      <c r="A28">
        <v>15</v>
      </c>
      <c r="C28" t="s">
        <v>244</v>
      </c>
      <c r="G28" s="70">
        <f>-(E26+G26)</f>
        <v>-18669</v>
      </c>
    </row>
    <row r="29" spans="1:9" ht="16.5" thickTop="1" x14ac:dyDescent="0.25"/>
    <row r="30" spans="1:9" ht="16.5" thickBot="1" x14ac:dyDescent="0.3">
      <c r="A30">
        <v>16</v>
      </c>
      <c r="C30" t="s">
        <v>247</v>
      </c>
      <c r="I30" s="70">
        <f>-I26</f>
        <v>-3150</v>
      </c>
    </row>
    <row r="31" spans="1:9" ht="16.5" thickTop="1" x14ac:dyDescent="0.25"/>
    <row r="33" spans="3:3" ht="18" x14ac:dyDescent="0.4">
      <c r="C33" s="4" t="s">
        <v>50</v>
      </c>
    </row>
    <row r="34" spans="3:3" x14ac:dyDescent="0.25">
      <c r="C34" t="s">
        <v>600</v>
      </c>
    </row>
    <row r="35" spans="3:3" x14ac:dyDescent="0.25">
      <c r="C35" t="s">
        <v>598</v>
      </c>
    </row>
    <row r="36" spans="3:3" x14ac:dyDescent="0.25">
      <c r="C36" t="s">
        <v>599</v>
      </c>
    </row>
  </sheetData>
  <pageMargins left="0.7" right="0.7" top="0.75" bottom="0.75" header="0.3" footer="0.3"/>
  <pageSetup scale="8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G33" sqref="G33"/>
    </sheetView>
  </sheetViews>
  <sheetFormatPr defaultColWidth="7" defaultRowHeight="15.75" x14ac:dyDescent="0.25"/>
  <cols>
    <col min="1" max="1" width="4.625" style="10" customWidth="1"/>
    <col min="2" max="2" width="1.375" style="10" customWidth="1"/>
    <col min="3" max="3" width="32" style="10" customWidth="1"/>
    <col min="4" max="4" width="7" style="10" customWidth="1"/>
    <col min="5" max="5" width="16" style="10" customWidth="1"/>
    <col min="6" max="6" width="1.75" style="10" customWidth="1"/>
    <col min="7" max="7" width="12.375" style="10" customWidth="1"/>
    <col min="8" max="8" width="2.5" style="10" customWidth="1"/>
    <col min="9" max="9" width="11.125" style="10" customWidth="1"/>
    <col min="10" max="10" width="4.625" style="10" customWidth="1"/>
    <col min="11" max="16384" width="7" style="10"/>
  </cols>
  <sheetData>
    <row r="1" spans="1:10" x14ac:dyDescent="0.25">
      <c r="A1" t="str">
        <f>CL_wRR!A1</f>
        <v>Utilities, Inc. of Florida</v>
      </c>
      <c r="B1"/>
      <c r="C1"/>
      <c r="D1"/>
      <c r="E1"/>
      <c r="F1"/>
      <c r="G1"/>
      <c r="J1" s="33" t="str">
        <f>ExhDR3_CL_TOC!$E$1</f>
        <v>Docket No. 160101-WS</v>
      </c>
    </row>
    <row r="2" spans="1:10" x14ac:dyDescent="0.25">
      <c r="A2" t="str">
        <f>CL_wRR!A2</f>
        <v xml:space="preserve">  -  Cypress Lakes</v>
      </c>
      <c r="B2"/>
      <c r="C2"/>
      <c r="D2"/>
      <c r="E2"/>
      <c r="F2"/>
      <c r="G2"/>
      <c r="J2" s="33" t="str">
        <f>ExhDR3_CL_TOC!$E$2</f>
        <v>Exhibit DMR-3</v>
      </c>
    </row>
    <row r="3" spans="1:10" x14ac:dyDescent="0.25">
      <c r="A3" t="str">
        <f>CL_wRR!A3</f>
        <v>Test Year Ended December 31, 2015</v>
      </c>
      <c r="B3"/>
      <c r="C3"/>
      <c r="D3"/>
      <c r="E3"/>
      <c r="F3"/>
      <c r="G3"/>
      <c r="J3" s="33" t="str">
        <f>ExhDR3_CL_TOC!$E$3</f>
        <v>Cypress Lakes Revenue Requirement</v>
      </c>
    </row>
    <row r="4" spans="1:10" x14ac:dyDescent="0.25">
      <c r="A4"/>
      <c r="G4" s="11"/>
      <c r="I4" s="36" t="s">
        <v>82</v>
      </c>
      <c r="J4" s="33" t="str">
        <f>ExhDR3_CL_TOC!$E$4</f>
        <v>of 8</v>
      </c>
    </row>
    <row r="5" spans="1:10" x14ac:dyDescent="0.25">
      <c r="A5" s="27" t="s">
        <v>74</v>
      </c>
      <c r="J5" s="35"/>
    </row>
    <row r="6" spans="1:10" x14ac:dyDescent="0.25">
      <c r="J6" s="35"/>
    </row>
    <row r="7" spans="1:10" x14ac:dyDescent="0.25">
      <c r="E7" s="14" t="s">
        <v>3</v>
      </c>
      <c r="F7" s="15"/>
      <c r="G7" s="15"/>
      <c r="H7" s="15"/>
      <c r="I7" s="15"/>
    </row>
    <row r="8" spans="1:10" x14ac:dyDescent="0.25">
      <c r="A8" s="11" t="s">
        <v>0</v>
      </c>
      <c r="E8" s="14" t="s">
        <v>4</v>
      </c>
      <c r="F8" s="15"/>
      <c r="G8" s="14" t="s">
        <v>6</v>
      </c>
      <c r="H8" s="15"/>
      <c r="I8" s="14" t="s">
        <v>4</v>
      </c>
    </row>
    <row r="9" spans="1:10" ht="18" x14ac:dyDescent="0.4">
      <c r="A9" s="12" t="s">
        <v>1</v>
      </c>
      <c r="C9" s="13" t="s">
        <v>2</v>
      </c>
      <c r="E9" s="44" t="s">
        <v>9</v>
      </c>
      <c r="F9" s="15"/>
      <c r="G9" s="16" t="s">
        <v>7</v>
      </c>
      <c r="H9" s="15"/>
      <c r="I9" s="16" t="s">
        <v>32</v>
      </c>
    </row>
    <row r="10" spans="1:10" x14ac:dyDescent="0.25">
      <c r="E10" s="43" t="s">
        <v>24</v>
      </c>
      <c r="G10" s="43" t="s">
        <v>25</v>
      </c>
      <c r="I10" s="43" t="s">
        <v>26</v>
      </c>
    </row>
    <row r="11" spans="1:10" x14ac:dyDescent="0.25">
      <c r="E11" s="43"/>
      <c r="G11" s="43"/>
      <c r="I11" s="43"/>
    </row>
    <row r="12" spans="1:10" x14ac:dyDescent="0.25">
      <c r="A12" s="10">
        <v>1</v>
      </c>
      <c r="C12" s="11" t="s">
        <v>33</v>
      </c>
      <c r="E12" s="10">
        <v>2021305</v>
      </c>
      <c r="G12" s="10">
        <f>CL_RBadj!G13</f>
        <v>-8012</v>
      </c>
      <c r="I12" s="10">
        <f>SUM(E12:G12)</f>
        <v>2013293</v>
      </c>
    </row>
    <row r="13" spans="1:10" x14ac:dyDescent="0.25">
      <c r="A13" s="10">
        <v>2</v>
      </c>
      <c r="C13" s="11" t="s">
        <v>34</v>
      </c>
      <c r="E13" s="10">
        <v>1356</v>
      </c>
      <c r="I13" s="10">
        <f t="shared" ref="I13:I21" si="0">SUM(E13:G13)</f>
        <v>1356</v>
      </c>
    </row>
    <row r="14" spans="1:10" x14ac:dyDescent="0.25">
      <c r="A14" s="10">
        <v>3</v>
      </c>
      <c r="C14" s="11" t="s">
        <v>35</v>
      </c>
      <c r="E14" s="27">
        <v>0</v>
      </c>
      <c r="I14" s="10">
        <f t="shared" si="0"/>
        <v>0</v>
      </c>
    </row>
    <row r="15" spans="1:10" x14ac:dyDescent="0.25">
      <c r="A15" s="10">
        <v>4</v>
      </c>
      <c r="C15" s="11" t="s">
        <v>36</v>
      </c>
      <c r="E15" s="10">
        <v>0</v>
      </c>
      <c r="I15" s="10">
        <f t="shared" si="0"/>
        <v>0</v>
      </c>
    </row>
    <row r="16" spans="1:10" x14ac:dyDescent="0.25">
      <c r="A16" s="10">
        <v>5</v>
      </c>
      <c r="C16" s="11" t="s">
        <v>37</v>
      </c>
      <c r="E16" s="27">
        <v>-1368096</v>
      </c>
      <c r="G16" s="10">
        <f>-CL_RBadj!G21</f>
        <v>667.5</v>
      </c>
      <c r="I16" s="10">
        <f t="shared" si="0"/>
        <v>-1367428.5</v>
      </c>
    </row>
    <row r="17" spans="1:9" x14ac:dyDescent="0.25">
      <c r="A17" s="10">
        <v>6</v>
      </c>
      <c r="C17" s="11" t="s">
        <v>38</v>
      </c>
      <c r="E17" s="10">
        <v>-579515</v>
      </c>
      <c r="I17" s="10">
        <f t="shared" si="0"/>
        <v>-579515</v>
      </c>
    </row>
    <row r="18" spans="1:9" x14ac:dyDescent="0.25">
      <c r="A18" s="10">
        <v>7</v>
      </c>
      <c r="C18" s="11" t="s">
        <v>39</v>
      </c>
      <c r="E18" s="10">
        <v>217870</v>
      </c>
      <c r="I18" s="10">
        <f t="shared" si="0"/>
        <v>217870</v>
      </c>
    </row>
    <row r="19" spans="1:9" x14ac:dyDescent="0.25">
      <c r="A19" s="10">
        <v>8</v>
      </c>
      <c r="C19" s="27" t="s">
        <v>55</v>
      </c>
      <c r="E19" s="27">
        <v>0</v>
      </c>
      <c r="I19" s="10">
        <f t="shared" si="0"/>
        <v>0</v>
      </c>
    </row>
    <row r="20" spans="1:9" x14ac:dyDescent="0.25">
      <c r="A20" s="10">
        <v>9</v>
      </c>
      <c r="C20" s="27" t="s">
        <v>56</v>
      </c>
      <c r="E20" s="27">
        <v>0</v>
      </c>
      <c r="I20" s="10">
        <f t="shared" si="0"/>
        <v>0</v>
      </c>
    </row>
    <row r="21" spans="1:9" x14ac:dyDescent="0.25">
      <c r="A21" s="10">
        <v>10</v>
      </c>
      <c r="C21" s="11" t="s">
        <v>40</v>
      </c>
      <c r="E21" s="28">
        <v>-17938</v>
      </c>
      <c r="G21" s="17">
        <f>CL_RBadj!G25</f>
        <v>0</v>
      </c>
      <c r="I21" s="17">
        <f t="shared" si="0"/>
        <v>-17938</v>
      </c>
    </row>
    <row r="23" spans="1:9" ht="16.5" thickBot="1" x14ac:dyDescent="0.3">
      <c r="A23" s="10">
        <v>11</v>
      </c>
      <c r="C23" s="11" t="s">
        <v>41</v>
      </c>
      <c r="E23" s="18">
        <f>SUM(E12:E21)</f>
        <v>274982</v>
      </c>
      <c r="G23" s="18">
        <f>SUM(G12:G21)</f>
        <v>-7344.5</v>
      </c>
      <c r="I23" s="18">
        <f>SUM(I12:I22)</f>
        <v>267637.5</v>
      </c>
    </row>
    <row r="24" spans="1:9" ht="16.5" thickTop="1" x14ac:dyDescent="0.25"/>
    <row r="25" spans="1:9" ht="18" x14ac:dyDescent="0.4">
      <c r="C25" s="12" t="s">
        <v>50</v>
      </c>
    </row>
    <row r="26" spans="1:9" x14ac:dyDescent="0.25">
      <c r="C26" s="45" t="s">
        <v>103</v>
      </c>
    </row>
    <row r="27" spans="1:9" x14ac:dyDescent="0.25">
      <c r="C27" s="27" t="s">
        <v>104</v>
      </c>
    </row>
    <row r="31" spans="1:9" x14ac:dyDescent="0.25">
      <c r="G31" s="27"/>
    </row>
  </sheetData>
  <phoneticPr fontId="0" type="noConversion"/>
  <pageMargins left="1.25" right="0.75" top="1" bottom="1" header="0.5" footer="0.5"/>
  <pageSetup scale="83" orientation="portrait" horizontalDpi="4294967292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C34" sqref="C34"/>
    </sheetView>
  </sheetViews>
  <sheetFormatPr defaultRowHeight="15.75" x14ac:dyDescent="0.25"/>
  <cols>
    <col min="1" max="1" width="4.625" customWidth="1"/>
    <col min="2" max="2" width="1.375" customWidth="1"/>
    <col min="3" max="3" width="42.75" customWidth="1"/>
    <col min="4" max="4" width="5.5" customWidth="1"/>
    <col min="5" max="5" width="14.125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4.875" customWidth="1"/>
  </cols>
  <sheetData>
    <row r="1" spans="1:10" x14ac:dyDescent="0.25">
      <c r="A1" t="str">
        <f>CL_wRR!A1</f>
        <v>Utilities, Inc. of Florida</v>
      </c>
      <c r="J1" s="33" t="str">
        <f>ExhDR9_MC_TOC!$E$1</f>
        <v>Docket No. 160101-WS</v>
      </c>
    </row>
    <row r="2" spans="1:10" x14ac:dyDescent="0.25">
      <c r="A2" t="s">
        <v>678</v>
      </c>
      <c r="J2" s="33" t="str">
        <f>ExhDR9_MC_TOC!$E$2</f>
        <v>Exhibit DMR-9</v>
      </c>
    </row>
    <row r="3" spans="1:10" x14ac:dyDescent="0.25">
      <c r="A3" t="str">
        <f>CL_wRR!A3</f>
        <v>Test Year Ended December 31, 2015</v>
      </c>
      <c r="J3" s="33" t="str">
        <f>ExhDR9_MC_TOC!$E$3</f>
        <v>Mid County Revenue Requirement</v>
      </c>
    </row>
    <row r="4" spans="1:10" x14ac:dyDescent="0.25">
      <c r="I4" s="33" t="s">
        <v>222</v>
      </c>
      <c r="J4" s="33" t="str">
        <f>ExhDR9_MC_TOC!$E$4</f>
        <v>of 9</v>
      </c>
    </row>
    <row r="5" spans="1:10" x14ac:dyDescent="0.25">
      <c r="A5" t="s">
        <v>582</v>
      </c>
    </row>
    <row r="6" spans="1:10" x14ac:dyDescent="0.25">
      <c r="A6" t="s">
        <v>583</v>
      </c>
    </row>
    <row r="10" spans="1:10" x14ac:dyDescent="0.25">
      <c r="E10" s="1" t="s">
        <v>346</v>
      </c>
      <c r="F10" s="1"/>
      <c r="G10" s="1" t="s">
        <v>348</v>
      </c>
      <c r="H10" s="1"/>
      <c r="I10" s="1"/>
    </row>
    <row r="11" spans="1:10" x14ac:dyDescent="0.25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0" x14ac:dyDescent="0.25">
      <c r="E12" s="7" t="s">
        <v>212</v>
      </c>
      <c r="F12" s="1"/>
      <c r="G12" s="7" t="s">
        <v>213</v>
      </c>
      <c r="H12" s="1"/>
      <c r="I12" s="7" t="s">
        <v>214</v>
      </c>
    </row>
    <row r="13" spans="1:10" x14ac:dyDescent="0.25">
      <c r="C13" s="82" t="s">
        <v>584</v>
      </c>
      <c r="E13" s="7"/>
      <c r="F13" s="1"/>
      <c r="G13" s="7"/>
      <c r="H13" s="1"/>
      <c r="I13" s="7"/>
    </row>
    <row r="14" spans="1:10" ht="18" x14ac:dyDescent="0.4">
      <c r="C14" s="4" t="s">
        <v>350</v>
      </c>
    </row>
    <row r="15" spans="1:10" x14ac:dyDescent="0.25">
      <c r="A15">
        <v>1</v>
      </c>
      <c r="C15" t="s">
        <v>417</v>
      </c>
      <c r="E15">
        <v>100000</v>
      </c>
      <c r="G15">
        <v>92576</v>
      </c>
    </row>
    <row r="16" spans="1:10" x14ac:dyDescent="0.25">
      <c r="A16">
        <v>2</v>
      </c>
      <c r="C16" t="s">
        <v>574</v>
      </c>
      <c r="E16" s="3">
        <f>-E15*0.75</f>
        <v>-75000</v>
      </c>
      <c r="G16" s="3">
        <f>-G15*0.75</f>
        <v>-69432</v>
      </c>
    </row>
    <row r="18" spans="1:9" x14ac:dyDescent="0.25">
      <c r="A18">
        <v>3</v>
      </c>
      <c r="C18" t="s">
        <v>354</v>
      </c>
      <c r="E18">
        <f>SUM(E15:E16)</f>
        <v>25000</v>
      </c>
      <c r="G18">
        <f>SUM(G15:G16)</f>
        <v>23144</v>
      </c>
      <c r="I18" s="79">
        <f>G18-E18</f>
        <v>-1856</v>
      </c>
    </row>
    <row r="20" spans="1:9" ht="18" x14ac:dyDescent="0.4">
      <c r="C20" s="4" t="s">
        <v>351</v>
      </c>
    </row>
    <row r="21" spans="1:9" x14ac:dyDescent="0.25">
      <c r="A21">
        <v>4</v>
      </c>
      <c r="C21" t="s">
        <v>418</v>
      </c>
      <c r="E21">
        <f>E16</f>
        <v>-75000</v>
      </c>
      <c r="G21">
        <f>G16</f>
        <v>-69432</v>
      </c>
    </row>
    <row r="22" spans="1:9" x14ac:dyDescent="0.25">
      <c r="A22">
        <v>5</v>
      </c>
      <c r="C22" t="s">
        <v>352</v>
      </c>
      <c r="E22" s="3">
        <v>2778</v>
      </c>
      <c r="G22" s="3">
        <f>ROUND(G27/2,0)</f>
        <v>643</v>
      </c>
    </row>
    <row r="24" spans="1:9" x14ac:dyDescent="0.25">
      <c r="A24">
        <v>6</v>
      </c>
      <c r="C24" t="s">
        <v>356</v>
      </c>
      <c r="E24">
        <f>SUM(E21:E23)</f>
        <v>-72222</v>
      </c>
      <c r="G24">
        <f>SUM(G21:G23)</f>
        <v>-68789</v>
      </c>
      <c r="I24" s="79">
        <f>G24-E24</f>
        <v>3433</v>
      </c>
    </row>
    <row r="26" spans="1:9" ht="18" x14ac:dyDescent="0.4">
      <c r="C26" s="4" t="s">
        <v>353</v>
      </c>
    </row>
    <row r="27" spans="1:9" x14ac:dyDescent="0.25">
      <c r="A27">
        <v>7</v>
      </c>
      <c r="C27" t="s">
        <v>430</v>
      </c>
      <c r="E27">
        <f>5666-4167</f>
        <v>1499</v>
      </c>
      <c r="G27">
        <f>ROUND(G18*(1/18),0)</f>
        <v>1286</v>
      </c>
      <c r="I27" s="79">
        <f>G27-E27</f>
        <v>-213</v>
      </c>
    </row>
    <row r="28" spans="1:9" x14ac:dyDescent="0.25">
      <c r="E28" s="46"/>
    </row>
    <row r="30" spans="1:9" ht="18" x14ac:dyDescent="0.4">
      <c r="C30" s="4" t="s">
        <v>50</v>
      </c>
    </row>
    <row r="31" spans="1:9" x14ac:dyDescent="0.25">
      <c r="C31" t="s">
        <v>431</v>
      </c>
    </row>
    <row r="32" spans="1:9" x14ac:dyDescent="0.25">
      <c r="C32" t="s">
        <v>679</v>
      </c>
    </row>
  </sheetData>
  <pageMargins left="0.7" right="0.7" top="0.75" bottom="0.75" header="0.3" footer="0.3"/>
  <pageSetup scale="84" orientation="portrait" horizontalDpi="0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opLeftCell="A36" workbookViewId="0">
      <selection activeCell="C50" sqref="C50"/>
    </sheetView>
  </sheetViews>
  <sheetFormatPr defaultRowHeight="15.75" x14ac:dyDescent="0.25"/>
  <cols>
    <col min="1" max="1" width="4.625" customWidth="1"/>
    <col min="2" max="2" width="1.375" customWidth="1"/>
    <col min="3" max="3" width="42.75" customWidth="1"/>
    <col min="4" max="4" width="5.5" customWidth="1"/>
    <col min="5" max="5" width="14.125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4.875" customWidth="1"/>
  </cols>
  <sheetData>
    <row r="1" spans="1:10" x14ac:dyDescent="0.25">
      <c r="A1" t="str">
        <f>CL_wRR!A1</f>
        <v>Utilities, Inc. of Florida</v>
      </c>
      <c r="J1" s="33" t="str">
        <f>ExhDR9_MC_TOC!$E$1</f>
        <v>Docket No. 160101-WS</v>
      </c>
    </row>
    <row r="2" spans="1:10" x14ac:dyDescent="0.25">
      <c r="A2" t="s">
        <v>678</v>
      </c>
      <c r="J2" s="33" t="str">
        <f>ExhDR9_MC_TOC!$E$2</f>
        <v>Exhibit DMR-9</v>
      </c>
    </row>
    <row r="3" spans="1:10" x14ac:dyDescent="0.25">
      <c r="A3" t="str">
        <f>CL_wRR!A3</f>
        <v>Test Year Ended December 31, 2015</v>
      </c>
      <c r="J3" s="33" t="str">
        <f>ExhDR9_MC_TOC!$E$3</f>
        <v>Mid County Revenue Requirement</v>
      </c>
    </row>
    <row r="4" spans="1:10" x14ac:dyDescent="0.25">
      <c r="I4" s="33" t="s">
        <v>345</v>
      </c>
      <c r="J4" s="33" t="str">
        <f>ExhDR9_MC_TOC!$E$4</f>
        <v>of 9</v>
      </c>
    </row>
    <row r="5" spans="1:10" x14ac:dyDescent="0.25">
      <c r="A5" t="s">
        <v>582</v>
      </c>
    </row>
    <row r="6" spans="1:10" x14ac:dyDescent="0.25">
      <c r="A6" t="s">
        <v>588</v>
      </c>
    </row>
    <row r="10" spans="1:10" x14ac:dyDescent="0.25">
      <c r="E10" s="1" t="s">
        <v>346</v>
      </c>
      <c r="F10" s="1"/>
      <c r="G10" s="1" t="s">
        <v>348</v>
      </c>
      <c r="H10" s="1"/>
      <c r="I10" s="1"/>
    </row>
    <row r="11" spans="1:10" x14ac:dyDescent="0.25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0" x14ac:dyDescent="0.25">
      <c r="E12" s="7" t="s">
        <v>212</v>
      </c>
      <c r="F12" s="1"/>
      <c r="G12" s="7" t="s">
        <v>213</v>
      </c>
      <c r="H12" s="1"/>
      <c r="I12" s="7" t="s">
        <v>214</v>
      </c>
    </row>
    <row r="13" spans="1:10" x14ac:dyDescent="0.25">
      <c r="C13" s="82" t="s">
        <v>585</v>
      </c>
      <c r="E13" s="7"/>
      <c r="F13" s="1"/>
      <c r="G13" s="7"/>
      <c r="H13" s="1"/>
      <c r="I13" s="7"/>
    </row>
    <row r="14" spans="1:10" ht="18" x14ac:dyDescent="0.4">
      <c r="C14" s="4" t="s">
        <v>350</v>
      </c>
    </row>
    <row r="15" spans="1:10" x14ac:dyDescent="0.25">
      <c r="A15">
        <v>1</v>
      </c>
      <c r="C15" t="s">
        <v>417</v>
      </c>
      <c r="E15">
        <v>155000</v>
      </c>
      <c r="G15" s="29">
        <v>107054</v>
      </c>
    </row>
    <row r="16" spans="1:10" x14ac:dyDescent="0.25">
      <c r="A16">
        <v>2</v>
      </c>
      <c r="C16" t="s">
        <v>576</v>
      </c>
      <c r="E16" s="3">
        <f>-E15*0.75</f>
        <v>-116250</v>
      </c>
      <c r="G16" s="3">
        <f>-G15*0.75</f>
        <v>-80290.5</v>
      </c>
    </row>
    <row r="18" spans="1:9" x14ac:dyDescent="0.25">
      <c r="A18">
        <v>3</v>
      </c>
      <c r="C18" t="s">
        <v>354</v>
      </c>
      <c r="E18">
        <f>SUM(E15:E16)</f>
        <v>38750</v>
      </c>
      <c r="G18">
        <f>SUM(G15:G16)</f>
        <v>26763.5</v>
      </c>
      <c r="I18" s="79">
        <f>G18-E18</f>
        <v>-11986.5</v>
      </c>
    </row>
    <row r="20" spans="1:9" ht="18" x14ac:dyDescent="0.4">
      <c r="C20" s="4" t="s">
        <v>351</v>
      </c>
    </row>
    <row r="21" spans="1:9" x14ac:dyDescent="0.25">
      <c r="A21">
        <v>4</v>
      </c>
      <c r="C21" t="s">
        <v>418</v>
      </c>
      <c r="E21">
        <f>E16</f>
        <v>-116250</v>
      </c>
      <c r="G21">
        <f>G16</f>
        <v>-80290.5</v>
      </c>
    </row>
    <row r="22" spans="1:9" x14ac:dyDescent="0.25">
      <c r="A22">
        <v>5</v>
      </c>
      <c r="C22" t="s">
        <v>352</v>
      </c>
      <c r="E22" s="3">
        <v>2583</v>
      </c>
      <c r="G22" s="3">
        <f>ROUND(G27/2,0)</f>
        <v>446</v>
      </c>
    </row>
    <row r="24" spans="1:9" x14ac:dyDescent="0.25">
      <c r="A24">
        <v>6</v>
      </c>
      <c r="C24" t="s">
        <v>356</v>
      </c>
      <c r="E24">
        <f>SUM(E21:E23)</f>
        <v>-113667</v>
      </c>
      <c r="G24">
        <f>SUM(G21:G23)</f>
        <v>-79844.5</v>
      </c>
      <c r="I24" s="79">
        <f>G24-E24</f>
        <v>33822.5</v>
      </c>
    </row>
    <row r="26" spans="1:9" ht="18" x14ac:dyDescent="0.4">
      <c r="C26" s="4" t="s">
        <v>353</v>
      </c>
    </row>
    <row r="27" spans="1:9" x14ac:dyDescent="0.25">
      <c r="A27">
        <v>7</v>
      </c>
      <c r="C27" t="s">
        <v>587</v>
      </c>
      <c r="E27">
        <f>5167+1689-3875</f>
        <v>2981</v>
      </c>
      <c r="G27">
        <f>ROUND(G18*(1/30),0)</f>
        <v>892</v>
      </c>
      <c r="I27" s="79">
        <f>G27-E27</f>
        <v>-2089</v>
      </c>
    </row>
    <row r="29" spans="1:9" x14ac:dyDescent="0.25">
      <c r="C29" s="82" t="s">
        <v>586</v>
      </c>
      <c r="E29" s="7"/>
      <c r="F29" s="1"/>
      <c r="G29" s="7"/>
      <c r="H29" s="1"/>
      <c r="I29" s="7"/>
    </row>
    <row r="30" spans="1:9" ht="18" x14ac:dyDescent="0.4">
      <c r="C30" s="4" t="s">
        <v>350</v>
      </c>
    </row>
    <row r="31" spans="1:9" x14ac:dyDescent="0.25">
      <c r="A31">
        <v>8</v>
      </c>
      <c r="C31" t="s">
        <v>417</v>
      </c>
      <c r="E31">
        <v>76000</v>
      </c>
      <c r="G31">
        <v>65825</v>
      </c>
    </row>
    <row r="32" spans="1:9" x14ac:dyDescent="0.25">
      <c r="A32">
        <v>9</v>
      </c>
      <c r="C32" t="s">
        <v>576</v>
      </c>
      <c r="E32" s="3">
        <f>-E31*0.75</f>
        <v>-57000</v>
      </c>
      <c r="G32" s="3">
        <f>-G31*0.75</f>
        <v>-49368.75</v>
      </c>
    </row>
    <row r="34" spans="1:9" x14ac:dyDescent="0.25">
      <c r="A34">
        <v>10</v>
      </c>
      <c r="C34" t="s">
        <v>354</v>
      </c>
      <c r="E34">
        <f>SUM(E31:E32)</f>
        <v>19000</v>
      </c>
      <c r="G34">
        <f>SUM(G31:G32)</f>
        <v>16456.25</v>
      </c>
      <c r="I34" s="79">
        <f>G34-E34</f>
        <v>-2543.75</v>
      </c>
    </row>
    <row r="36" spans="1:9" ht="18" x14ac:dyDescent="0.4">
      <c r="C36" s="4" t="s">
        <v>351</v>
      </c>
    </row>
    <row r="37" spans="1:9" x14ac:dyDescent="0.25">
      <c r="A37">
        <v>11</v>
      </c>
      <c r="C37" t="s">
        <v>418</v>
      </c>
      <c r="E37">
        <f>E32</f>
        <v>-57000</v>
      </c>
      <c r="G37">
        <f>G32</f>
        <v>-49368.75</v>
      </c>
    </row>
    <row r="38" spans="1:9" x14ac:dyDescent="0.25">
      <c r="A38">
        <v>12</v>
      </c>
      <c r="C38" t="s">
        <v>352</v>
      </c>
      <c r="E38" s="3">
        <v>844</v>
      </c>
      <c r="G38" s="3">
        <f>ROUND(G43/2,0)</f>
        <v>183</v>
      </c>
    </row>
    <row r="40" spans="1:9" x14ac:dyDescent="0.25">
      <c r="A40">
        <v>13</v>
      </c>
      <c r="C40" t="s">
        <v>356</v>
      </c>
      <c r="E40">
        <f>SUM(E37:E39)</f>
        <v>-56156</v>
      </c>
      <c r="G40">
        <f>SUM(G37:G39)</f>
        <v>-49185.75</v>
      </c>
      <c r="I40" s="79">
        <f>G40-E40</f>
        <v>6970.25</v>
      </c>
    </row>
    <row r="42" spans="1:9" ht="18" x14ac:dyDescent="0.4">
      <c r="C42" s="4" t="s">
        <v>353</v>
      </c>
    </row>
    <row r="43" spans="1:9" x14ac:dyDescent="0.25">
      <c r="A43">
        <v>14</v>
      </c>
      <c r="C43" t="s">
        <v>440</v>
      </c>
      <c r="E43">
        <v>0</v>
      </c>
      <c r="G43">
        <f>ROUND(G34*(1/45),0)</f>
        <v>366</v>
      </c>
      <c r="I43" s="79">
        <f>G43-E43</f>
        <v>366</v>
      </c>
    </row>
    <row r="47" spans="1:9" ht="18" x14ac:dyDescent="0.4">
      <c r="C47" s="4" t="s">
        <v>50</v>
      </c>
    </row>
    <row r="48" spans="1:9" x14ac:dyDescent="0.25">
      <c r="C48" t="s">
        <v>431</v>
      </c>
    </row>
    <row r="49" spans="3:3" x14ac:dyDescent="0.25">
      <c r="C49" t="s">
        <v>679</v>
      </c>
    </row>
  </sheetData>
  <pageMargins left="0.7" right="0.7" top="0.75" bottom="0.75" header="0.3" footer="0.3"/>
  <pageSetup scale="84" orientation="portrait" horizontalDpi="0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E16"/>
  <sheetViews>
    <sheetView workbookViewId="0">
      <selection activeCell="E5" sqref="E5"/>
    </sheetView>
  </sheetViews>
  <sheetFormatPr defaultRowHeight="15.75" x14ac:dyDescent="0.25"/>
  <cols>
    <col min="1" max="1" width="8.125" customWidth="1"/>
    <col min="2" max="2" width="1.875" customWidth="1"/>
    <col min="3" max="3" width="45.625" customWidth="1"/>
    <col min="4" max="4" width="13.375" customWidth="1"/>
    <col min="5" max="5" width="4.875" customWidth="1"/>
  </cols>
  <sheetData>
    <row r="1" spans="1:5" x14ac:dyDescent="0.25">
      <c r="A1" t="s">
        <v>61</v>
      </c>
      <c r="E1" s="33" t="s">
        <v>64</v>
      </c>
    </row>
    <row r="2" spans="1:5" x14ac:dyDescent="0.25">
      <c r="A2" t="s">
        <v>143</v>
      </c>
      <c r="E2" s="33" t="s">
        <v>142</v>
      </c>
    </row>
    <row r="3" spans="1:5" x14ac:dyDescent="0.25">
      <c r="A3" t="s">
        <v>86</v>
      </c>
      <c r="E3" s="33" t="s">
        <v>144</v>
      </c>
    </row>
    <row r="4" spans="1:5" x14ac:dyDescent="0.25">
      <c r="D4" s="33" t="s">
        <v>67</v>
      </c>
      <c r="E4" s="33" t="s">
        <v>559</v>
      </c>
    </row>
    <row r="5" spans="1:5" x14ac:dyDescent="0.25">
      <c r="A5" t="s">
        <v>63</v>
      </c>
    </row>
    <row r="8" spans="1:5" x14ac:dyDescent="0.25">
      <c r="A8" s="3" t="s">
        <v>84</v>
      </c>
      <c r="B8" s="3"/>
      <c r="C8" s="3" t="s">
        <v>85</v>
      </c>
      <c r="D8" s="3"/>
      <c r="E8" s="3"/>
    </row>
    <row r="10" spans="1:5" x14ac:dyDescent="0.25">
      <c r="A10" t="str">
        <f>PB_wRR!N4</f>
        <v>Page 2</v>
      </c>
      <c r="C10" t="str">
        <f>PB_wRR!A5</f>
        <v>Calculation of Revenue Requirement - Water</v>
      </c>
    </row>
    <row r="11" spans="1:5" x14ac:dyDescent="0.25">
      <c r="A11" t="str">
        <f>PB_wwRR!N4</f>
        <v>Page 3</v>
      </c>
      <c r="C11" t="str">
        <f>PB_wwRR!A5</f>
        <v>Calculation of Revenue Requirement - Wastewater</v>
      </c>
    </row>
    <row r="12" spans="1:5" x14ac:dyDescent="0.25">
      <c r="A12" t="str">
        <f>PB_NOIadj!J4</f>
        <v>Page 4</v>
      </c>
      <c r="C12" t="str">
        <f>PB_NOIadj!A5</f>
        <v>Schedule of Adjustments to Operating Income</v>
      </c>
    </row>
    <row r="13" spans="1:5" x14ac:dyDescent="0.25">
      <c r="A13" t="str">
        <f>PB_wRB!I4</f>
        <v>Page 5</v>
      </c>
      <c r="C13" t="str">
        <f>PB_wRB!A5</f>
        <v>Rate Base - Water</v>
      </c>
    </row>
    <row r="14" spans="1:5" x14ac:dyDescent="0.25">
      <c r="A14" t="str">
        <f>PB_wwRB!I4</f>
        <v>Page 6</v>
      </c>
      <c r="C14" t="str">
        <f>PB_wwRB!A5</f>
        <v>Rate Base - Wastewater</v>
      </c>
    </row>
    <row r="15" spans="1:5" x14ac:dyDescent="0.25">
      <c r="A15" t="str">
        <f>PB_RBadj!K4</f>
        <v>Page 7</v>
      </c>
      <c r="C15" t="str">
        <f>PB_RBadj!A5</f>
        <v>Schedule of Adjustments to Rate Base</v>
      </c>
    </row>
    <row r="16" spans="1:5" x14ac:dyDescent="0.25">
      <c r="A16" t="str">
        <f>PB_ROR!Q4</f>
        <v>Page 8</v>
      </c>
      <c r="C16" t="str">
        <f>PB_ROR!A5</f>
        <v>Cost of Capital</v>
      </c>
    </row>
  </sheetData>
  <pageMargins left="0.7" right="0.7" top="0.75" bottom="0.75" header="0.3" footer="0.3"/>
  <pageSetup orientation="portrait" horizontalDpi="0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workbookViewId="0">
      <selection activeCell="J30" sqref="J30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0.375" bestFit="1" customWidth="1"/>
    <col min="5" max="5" width="1.75" customWidth="1"/>
    <col min="6" max="6" width="10.875" customWidth="1"/>
    <col min="7" max="7" width="2.125" customWidth="1"/>
    <col min="8" max="8" width="10.375" bestFit="1" customWidth="1"/>
    <col min="9" max="9" width="1.375" customWidth="1"/>
    <col min="10" max="10" width="10.125" customWidth="1"/>
    <col min="11" max="11" width="1.125" customWidth="1"/>
    <col min="12" max="12" width="11.25" customWidth="1"/>
    <col min="13" max="13" width="1.75" customWidth="1"/>
    <col min="14" max="14" width="11" customWidth="1"/>
    <col min="15" max="15" width="5.125" customWidth="1"/>
  </cols>
  <sheetData>
    <row r="1" spans="1:15" x14ac:dyDescent="0.25">
      <c r="A1" t="s">
        <v>61</v>
      </c>
      <c r="O1" s="33" t="str">
        <f>ExhDR10_PB!$E$1</f>
        <v>Docket No. 160101-WS</v>
      </c>
    </row>
    <row r="2" spans="1:15" x14ac:dyDescent="0.25">
      <c r="A2" t="s">
        <v>143</v>
      </c>
      <c r="O2" s="33" t="str">
        <f>ExhDR10_PB!$E$2</f>
        <v>Exhibit DMR-10</v>
      </c>
    </row>
    <row r="3" spans="1:15" x14ac:dyDescent="0.25">
      <c r="A3" t="s">
        <v>63</v>
      </c>
      <c r="O3" s="33" t="str">
        <f>ExhDR10_PB!$E$3</f>
        <v>Pennbrooke Revenue Requirement</v>
      </c>
    </row>
    <row r="4" spans="1:15" x14ac:dyDescent="0.25">
      <c r="N4" s="33" t="s">
        <v>77</v>
      </c>
      <c r="O4" s="33" t="str">
        <f>ExhDR10_PB!$E$4</f>
        <v>of 8</v>
      </c>
    </row>
    <row r="5" spans="1:15" x14ac:dyDescent="0.25">
      <c r="A5" t="s">
        <v>69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382225</v>
      </c>
      <c r="F12" s="29">
        <f>PB_NOIadj!F13</f>
        <v>0</v>
      </c>
      <c r="G12" s="6"/>
      <c r="H12">
        <f>SUM(D12:F12)</f>
        <v>382225</v>
      </c>
      <c r="J12">
        <f>((H23*L25)-H21)*1.67888</f>
        <v>62522.994112591463</v>
      </c>
      <c r="L12">
        <f>SUM(H12:J12)</f>
        <v>444747.99411259149</v>
      </c>
      <c r="N12" t="str">
        <f>PB_NOIadj!J4</f>
        <v>Page 4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265951</v>
      </c>
      <c r="F14" s="29">
        <f>PB_NOIadj!F21</f>
        <v>-11013.75</v>
      </c>
      <c r="H14">
        <f>SUM(D14:F14)</f>
        <v>254937.25</v>
      </c>
      <c r="L14">
        <f>SUM(H14:J14)</f>
        <v>254937.25</v>
      </c>
      <c r="N14" t="str">
        <f>N12</f>
        <v>Page 4</v>
      </c>
    </row>
    <row r="15" spans="1:15" x14ac:dyDescent="0.25">
      <c r="A15">
        <v>3</v>
      </c>
      <c r="C15" t="s">
        <v>17</v>
      </c>
      <c r="D15">
        <v>101301</v>
      </c>
      <c r="F15" s="29">
        <f>PB_NOIadj!F26</f>
        <v>-19846</v>
      </c>
      <c r="H15">
        <f>SUM(D15:F15)</f>
        <v>81455</v>
      </c>
      <c r="L15">
        <f>SUM(H15:J15)</f>
        <v>81455</v>
      </c>
      <c r="N15" t="str">
        <f>N12</f>
        <v>Page 4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55206</v>
      </c>
      <c r="F17" s="29">
        <f>PB_NOIadj!F32</f>
        <v>-9353</v>
      </c>
      <c r="H17">
        <f>SUM(D17:F17)</f>
        <v>45853</v>
      </c>
      <c r="J17">
        <f>J12*0.045</f>
        <v>2813.5347350666157</v>
      </c>
      <c r="L17">
        <f>SUM(H17:J17)</f>
        <v>48666.534735066612</v>
      </c>
      <c r="N17" t="str">
        <f>N12</f>
        <v>Page 4</v>
      </c>
    </row>
    <row r="18" spans="1:14" x14ac:dyDescent="0.25">
      <c r="A18">
        <v>6</v>
      </c>
      <c r="C18" t="s">
        <v>19</v>
      </c>
      <c r="D18" s="3">
        <v>-27336</v>
      </c>
      <c r="F18" s="29">
        <f>PB_NOIadj!F37</f>
        <v>20741.81168762</v>
      </c>
      <c r="H18" s="3">
        <f>SUM(D18:F18)</f>
        <v>-6594.1883123799998</v>
      </c>
      <c r="J18">
        <f>(J12-J17)*0.3763</f>
        <v>22468.669563762604</v>
      </c>
      <c r="L18" s="9">
        <f>SUM(H18:J18)</f>
        <v>15874.481251382604</v>
      </c>
    </row>
    <row r="19" spans="1:14" x14ac:dyDescent="0.25">
      <c r="A19">
        <v>7</v>
      </c>
      <c r="C19" t="s">
        <v>20</v>
      </c>
      <c r="D19">
        <f>SUM(D14:D18)</f>
        <v>395122</v>
      </c>
      <c r="F19" s="29"/>
      <c r="H19" s="5">
        <f>SUM(H14:H18)</f>
        <v>375651.06168762001</v>
      </c>
      <c r="L19" s="5">
        <f>SUM(L14:L18)</f>
        <v>400933.2659864492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-12897</v>
      </c>
      <c r="F21" s="29"/>
      <c r="H21">
        <f>H12-H19</f>
        <v>6573.9383123799926</v>
      </c>
      <c r="L21">
        <f>H23*L25</f>
        <v>43814.833499999993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PB_wRB!E23</f>
        <v>1148265</v>
      </c>
      <c r="F23" s="29">
        <f>H23-D23</f>
        <v>-526778</v>
      </c>
      <c r="H23">
        <f>PB_wRB!I23</f>
        <v>621487</v>
      </c>
      <c r="L23">
        <f>H23</f>
        <v>621487</v>
      </c>
      <c r="N23" t="str">
        <f>PB_wRB!I4</f>
        <v>Page 5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-1.1231727867696046E-2</v>
      </c>
      <c r="F25" s="29"/>
      <c r="L25" s="8">
        <f>PB_ROR!Q20</f>
        <v>7.0499999999999993E-2</v>
      </c>
      <c r="N25" t="str">
        <f>PB_ROR!Q4</f>
        <v>Page 8</v>
      </c>
    </row>
    <row r="26" spans="1:14" x14ac:dyDescent="0.25">
      <c r="L26" s="8"/>
    </row>
    <row r="27" spans="1:14" ht="18" x14ac:dyDescent="0.4">
      <c r="C27" s="4" t="s">
        <v>88</v>
      </c>
      <c r="J27" s="32"/>
      <c r="L27" s="8"/>
    </row>
    <row r="28" spans="1:14" x14ac:dyDescent="0.25">
      <c r="C28" t="s">
        <v>195</v>
      </c>
      <c r="J28" s="29"/>
    </row>
  </sheetData>
  <pageMargins left="0.7" right="0.7" top="0.75" bottom="0.75" header="0.3" footer="0.3"/>
  <pageSetup scale="74" orientation="portrait" horizontalDpi="0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N26" sqref="N26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0.375" bestFit="1" customWidth="1"/>
    <col min="5" max="5" width="1.75" customWidth="1"/>
    <col min="6" max="6" width="10.875" customWidth="1"/>
    <col min="7" max="7" width="2.125" customWidth="1"/>
    <col min="8" max="8" width="10.375" bestFit="1" customWidth="1"/>
    <col min="9" max="9" width="1.375" customWidth="1"/>
    <col min="10" max="10" width="10.125" customWidth="1"/>
    <col min="11" max="11" width="1.125" customWidth="1"/>
    <col min="12" max="12" width="11.25" customWidth="1"/>
    <col min="13" max="13" width="1.75" customWidth="1"/>
    <col min="14" max="14" width="11" customWidth="1"/>
    <col min="15" max="15" width="5.125" customWidth="1"/>
  </cols>
  <sheetData>
    <row r="1" spans="1:15" x14ac:dyDescent="0.25">
      <c r="A1" t="s">
        <v>61</v>
      </c>
      <c r="O1" s="33" t="str">
        <f>ExhDR10_PB!$E$1</f>
        <v>Docket No. 160101-WS</v>
      </c>
    </row>
    <row r="2" spans="1:15" x14ac:dyDescent="0.25">
      <c r="A2" t="s">
        <v>143</v>
      </c>
      <c r="O2" s="33" t="str">
        <f>ExhDR10_PB!$E$2</f>
        <v>Exhibit DMR-10</v>
      </c>
    </row>
    <row r="3" spans="1:15" x14ac:dyDescent="0.25">
      <c r="A3" t="s">
        <v>63</v>
      </c>
      <c r="O3" s="33" t="str">
        <f>ExhDR10_PB!$E$3</f>
        <v>Pennbrooke Revenue Requirement</v>
      </c>
    </row>
    <row r="4" spans="1:15" x14ac:dyDescent="0.25">
      <c r="N4" s="33" t="s">
        <v>80</v>
      </c>
      <c r="O4" s="33" t="str">
        <f>ExhDR10_PB!$E$4</f>
        <v>of 8</v>
      </c>
    </row>
    <row r="5" spans="1:15" x14ac:dyDescent="0.25">
      <c r="A5" t="s">
        <v>76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518122</v>
      </c>
      <c r="F12" s="29">
        <f>PB_NOIadj!H13</f>
        <v>0</v>
      </c>
      <c r="G12" s="6"/>
      <c r="H12">
        <f>SUM(D12:F12)</f>
        <v>518122</v>
      </c>
      <c r="J12">
        <f>((H23*L25)-H21)*1.67888</f>
        <v>-53193.359951925253</v>
      </c>
      <c r="L12">
        <f>SUM(H12:J12)</f>
        <v>464928.64004807477</v>
      </c>
      <c r="N12" t="str">
        <f>PB_NOIadj!J4</f>
        <v>Page 4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277910</v>
      </c>
      <c r="F14" s="29">
        <f>PB_NOIadj!H21</f>
        <v>-9176.25</v>
      </c>
      <c r="H14">
        <f>SUM(D14:F14)</f>
        <v>268733.75</v>
      </c>
      <c r="L14">
        <f>SUM(H14:J14)</f>
        <v>268733.75</v>
      </c>
      <c r="N14" t="str">
        <f>N12</f>
        <v>Page 4</v>
      </c>
    </row>
    <row r="15" spans="1:15" x14ac:dyDescent="0.25">
      <c r="A15">
        <v>3</v>
      </c>
      <c r="C15" t="s">
        <v>17</v>
      </c>
      <c r="D15">
        <v>32856</v>
      </c>
      <c r="F15" s="29">
        <f>PB_NOIadj!H26</f>
        <v>-1713</v>
      </c>
      <c r="H15">
        <f>SUM(D15:F15)</f>
        <v>31143</v>
      </c>
      <c r="L15">
        <f>SUM(H15:J15)</f>
        <v>31143</v>
      </c>
      <c r="N15" t="str">
        <f>N12</f>
        <v>Page 4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41037</v>
      </c>
      <c r="F17" s="29">
        <f>PB_NOIadj!H32</f>
        <v>-921</v>
      </c>
      <c r="H17">
        <f>SUM(D17:F17)</f>
        <v>40116</v>
      </c>
      <c r="J17">
        <f>J12*0.045</f>
        <v>-2393.7011978366363</v>
      </c>
      <c r="L17">
        <f>SUM(H17:J17)</f>
        <v>37722.298802163365</v>
      </c>
      <c r="N17" t="str">
        <f>N12</f>
        <v>Page 4</v>
      </c>
    </row>
    <row r="18" spans="1:14" x14ac:dyDescent="0.25">
      <c r="A18">
        <v>6</v>
      </c>
      <c r="C18" t="s">
        <v>19</v>
      </c>
      <c r="D18" s="3">
        <v>48399</v>
      </c>
      <c r="F18" s="29">
        <f>PB_NOIadj!H37</f>
        <v>4544.3429350249999</v>
      </c>
      <c r="H18" s="3">
        <f>SUM(D18:F18)</f>
        <v>52943.342935025001</v>
      </c>
      <c r="J18">
        <f>(J12-J17)*0.3763</f>
        <v>-19115.911589163548</v>
      </c>
      <c r="L18" s="9">
        <f>SUM(H18:J18)</f>
        <v>33827.431345861449</v>
      </c>
    </row>
    <row r="19" spans="1:14" x14ac:dyDescent="0.25">
      <c r="A19">
        <v>7</v>
      </c>
      <c r="C19" t="s">
        <v>20</v>
      </c>
      <c r="D19">
        <f>SUM(D14:D18)</f>
        <v>400202</v>
      </c>
      <c r="F19" s="29"/>
      <c r="H19" s="5">
        <f>SUM(H14:H18)</f>
        <v>392936.09293502499</v>
      </c>
      <c r="L19" s="5">
        <f>SUM(L14:L18)</f>
        <v>371426.4801480248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117920</v>
      </c>
      <c r="F21" s="29"/>
      <c r="H21">
        <f>H12-H19</f>
        <v>125185.90706497501</v>
      </c>
      <c r="L21">
        <f>H23*L25</f>
        <v>93502.07024999999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PB_wwRB!E23</f>
        <v>1335693</v>
      </c>
      <c r="F23" s="29">
        <f>H23-D23</f>
        <v>-9422.5</v>
      </c>
      <c r="H23">
        <f>PB_wwRB!I23</f>
        <v>1326270.5</v>
      </c>
      <c r="L23">
        <f>H23</f>
        <v>1326270.5</v>
      </c>
      <c r="N23" t="str">
        <f>PB_wwRB!I4</f>
        <v>Page 6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8.8283759816065524E-2</v>
      </c>
      <c r="F25" s="29"/>
      <c r="L25" s="8">
        <f>PB_ROR!Q20</f>
        <v>7.0499999999999993E-2</v>
      </c>
      <c r="N25" t="str">
        <f>PB_ROR!Q4</f>
        <v>Page 8</v>
      </c>
    </row>
    <row r="28" spans="1:14" ht="18" x14ac:dyDescent="0.4">
      <c r="C28" s="4" t="s">
        <v>88</v>
      </c>
    </row>
    <row r="29" spans="1:14" x14ac:dyDescent="0.25">
      <c r="C29" t="s">
        <v>196</v>
      </c>
    </row>
  </sheetData>
  <pageMargins left="0.7" right="0.7" top="0.75" bottom="0.75" header="0.3" footer="0.3"/>
  <pageSetup scale="74" orientation="portrait" horizontalDpi="0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workbookViewId="0">
      <selection activeCell="H21" sqref="H21"/>
    </sheetView>
  </sheetViews>
  <sheetFormatPr defaultRowHeight="15.75" x14ac:dyDescent="0.25"/>
  <cols>
    <col min="1" max="1" width="4.375" customWidth="1"/>
    <col min="2" max="2" width="1.625" customWidth="1"/>
    <col min="3" max="3" width="42.875" customWidth="1"/>
    <col min="5" max="5" width="12.125" customWidth="1"/>
    <col min="6" max="6" width="9.625" bestFit="1" customWidth="1"/>
    <col min="7" max="7" width="1.75" customWidth="1"/>
    <col min="8" max="8" width="9.625" customWidth="1"/>
    <col min="9" max="9" width="1.375" customWidth="1"/>
    <col min="10" max="10" width="16.5" customWidth="1"/>
    <col min="11" max="11" width="5.625" customWidth="1"/>
  </cols>
  <sheetData>
    <row r="1" spans="1:11" x14ac:dyDescent="0.25">
      <c r="A1" t="str">
        <f>CL_wRR!A1</f>
        <v>Utilities, Inc. of Florida</v>
      </c>
      <c r="J1" s="33"/>
      <c r="K1" s="33" t="str">
        <f>ExhDR10_PB!$E$1</f>
        <v>Docket No. 160101-WS</v>
      </c>
    </row>
    <row r="2" spans="1:11" x14ac:dyDescent="0.25">
      <c r="A2" t="s">
        <v>143</v>
      </c>
      <c r="J2" s="33"/>
      <c r="K2" s="33" t="str">
        <f>ExhDR10_PB!$E$2</f>
        <v>Exhibit DMR-10</v>
      </c>
    </row>
    <row r="3" spans="1:11" x14ac:dyDescent="0.25">
      <c r="A3" t="str">
        <f>CL_wRR!A3</f>
        <v>Test Year Ended December 31, 2015</v>
      </c>
      <c r="J3" s="33"/>
      <c r="K3" s="33" t="str">
        <f>ExhDR10_PB!$E$3</f>
        <v>Pennbrooke Revenue Requirement</v>
      </c>
    </row>
    <row r="4" spans="1:11" x14ac:dyDescent="0.25">
      <c r="J4" s="33" t="s">
        <v>81</v>
      </c>
      <c r="K4" s="33" t="str">
        <f>ExhDR10_PB!$E$4</f>
        <v>of 8</v>
      </c>
    </row>
    <row r="5" spans="1:11" x14ac:dyDescent="0.25">
      <c r="A5" t="s">
        <v>45</v>
      </c>
    </row>
    <row r="8" spans="1:11" x14ac:dyDescent="0.25">
      <c r="A8" t="s">
        <v>0</v>
      </c>
      <c r="F8" s="1" t="s">
        <v>70</v>
      </c>
      <c r="G8" s="1"/>
      <c r="H8" s="1" t="s">
        <v>71</v>
      </c>
    </row>
    <row r="9" spans="1:11" ht="18" x14ac:dyDescent="0.4">
      <c r="A9" s="3" t="s">
        <v>1</v>
      </c>
      <c r="C9" s="4" t="s">
        <v>2</v>
      </c>
      <c r="F9" s="2" t="s">
        <v>5</v>
      </c>
      <c r="G9" s="34"/>
      <c r="H9" s="2" t="s">
        <v>5</v>
      </c>
      <c r="J9" s="4" t="s">
        <v>72</v>
      </c>
    </row>
    <row r="11" spans="1:11" ht="18" x14ac:dyDescent="0.4">
      <c r="C11" s="4" t="s">
        <v>73</v>
      </c>
    </row>
    <row r="12" spans="1:11" x14ac:dyDescent="0.25">
      <c r="A12">
        <v>1</v>
      </c>
    </row>
    <row r="13" spans="1:11" ht="16.5" thickBot="1" x14ac:dyDescent="0.3">
      <c r="A13">
        <v>2</v>
      </c>
      <c r="C13" t="s">
        <v>110</v>
      </c>
      <c r="F13" s="24">
        <f>SUM(F12:F12)</f>
        <v>0</v>
      </c>
      <c r="H13" s="24">
        <f>SUM(H12:H12)</f>
        <v>0</v>
      </c>
    </row>
    <row r="14" spans="1:11" ht="16.5" thickTop="1" x14ac:dyDescent="0.25">
      <c r="A14">
        <v>3</v>
      </c>
    </row>
    <row r="15" spans="1:11" ht="18" x14ac:dyDescent="0.4">
      <c r="A15">
        <v>4</v>
      </c>
      <c r="C15" s="4" t="s">
        <v>49</v>
      </c>
    </row>
    <row r="16" spans="1:11" x14ac:dyDescent="0.25">
      <c r="A16">
        <v>5</v>
      </c>
      <c r="C16" t="s">
        <v>371</v>
      </c>
      <c r="F16">
        <v>-6812</v>
      </c>
      <c r="H16">
        <v>-5676</v>
      </c>
      <c r="J16" t="s">
        <v>380</v>
      </c>
    </row>
    <row r="17" spans="1:10" x14ac:dyDescent="0.25">
      <c r="A17">
        <v>6</v>
      </c>
      <c r="C17" t="s">
        <v>378</v>
      </c>
      <c r="F17">
        <f>-6807/4</f>
        <v>-1701.75</v>
      </c>
      <c r="H17" s="6">
        <f>-5673/4</f>
        <v>-1418.25</v>
      </c>
      <c r="J17" t="s">
        <v>379</v>
      </c>
    </row>
    <row r="18" spans="1:10" x14ac:dyDescent="0.25">
      <c r="A18">
        <v>7</v>
      </c>
      <c r="C18" t="s">
        <v>293</v>
      </c>
      <c r="F18" s="26">
        <f>ROUND(229*0.5455,0)</f>
        <v>125</v>
      </c>
      <c r="G18" s="26"/>
      <c r="H18" s="26">
        <f>ROUND(229*0.4545,0)</f>
        <v>104</v>
      </c>
      <c r="J18" t="s">
        <v>198</v>
      </c>
    </row>
    <row r="19" spans="1:10" x14ac:dyDescent="0.25">
      <c r="A19">
        <v>8</v>
      </c>
      <c r="C19" t="s">
        <v>290</v>
      </c>
      <c r="F19" s="5">
        <f>ROUND('WSC-Ins'!$I$19*0.5455,0)</f>
        <v>-610</v>
      </c>
      <c r="G19" s="5"/>
      <c r="H19" s="5">
        <f>ROUND('WSC-Ins'!$I$19*0.4545,0)</f>
        <v>-508</v>
      </c>
      <c r="J19" t="str">
        <f>'WSC-Ins'!J2</f>
        <v>Exhibit DMR-19</v>
      </c>
    </row>
    <row r="20" spans="1:10" x14ac:dyDescent="0.25">
      <c r="A20">
        <v>9</v>
      </c>
      <c r="C20" t="s">
        <v>291</v>
      </c>
      <c r="F20" s="5">
        <f>ROUND(WSCs_Dep!$I$19*0.5455,0)</f>
        <v>-2015</v>
      </c>
      <c r="G20" s="5"/>
      <c r="H20" s="5">
        <f>ROUND(WSCs_Dep!$I$19*0.4545,0)</f>
        <v>-1678</v>
      </c>
      <c r="J20" t="str">
        <f>WSCs_Dep!J2</f>
        <v>Exhibit DMR-20</v>
      </c>
    </row>
    <row r="21" spans="1:10" ht="16.5" thickBot="1" x14ac:dyDescent="0.3">
      <c r="A21">
        <v>10</v>
      </c>
      <c r="C21" t="s">
        <v>110</v>
      </c>
      <c r="F21" s="24">
        <f>SUM(F16:F20)</f>
        <v>-11013.75</v>
      </c>
      <c r="G21" s="26"/>
      <c r="H21" s="24">
        <f>SUM(H16:H20)</f>
        <v>-9176.25</v>
      </c>
    </row>
    <row r="22" spans="1:10" ht="16.5" thickTop="1" x14ac:dyDescent="0.25">
      <c r="A22">
        <v>11</v>
      </c>
    </row>
    <row r="23" spans="1:10" ht="18" x14ac:dyDescent="0.4">
      <c r="A23">
        <v>12</v>
      </c>
      <c r="C23" s="4" t="s">
        <v>46</v>
      </c>
    </row>
    <row r="24" spans="1:10" x14ac:dyDescent="0.25">
      <c r="A24">
        <v>13</v>
      </c>
      <c r="C24" t="s">
        <v>630</v>
      </c>
      <c r="F24">
        <f>863-4459</f>
        <v>-3596</v>
      </c>
      <c r="H24">
        <f>719-2432</f>
        <v>-1713</v>
      </c>
      <c r="J24" t="str">
        <f>GIS_Proj!O2</f>
        <v>Exhibit DMR-21</v>
      </c>
    </row>
    <row r="25" spans="1:10" x14ac:dyDescent="0.25">
      <c r="A25">
        <v>14</v>
      </c>
      <c r="C25" t="s">
        <v>336</v>
      </c>
      <c r="F25" s="3">
        <f>9750-26000</f>
        <v>-16250</v>
      </c>
      <c r="G25" s="26"/>
      <c r="H25" s="3"/>
      <c r="J25" s="77" t="s">
        <v>337</v>
      </c>
    </row>
    <row r="26" spans="1:10" ht="16.5" thickBot="1" x14ac:dyDescent="0.3">
      <c r="A26">
        <v>15</v>
      </c>
      <c r="C26" t="s">
        <v>110</v>
      </c>
      <c r="F26" s="24">
        <f>SUM(F24:F25)</f>
        <v>-19846</v>
      </c>
      <c r="G26" s="26"/>
      <c r="H26" s="24">
        <f>SUM(H24:H25)</f>
        <v>-1713</v>
      </c>
      <c r="J26" s="64"/>
    </row>
    <row r="27" spans="1:10" ht="16.5" thickTop="1" x14ac:dyDescent="0.25">
      <c r="A27">
        <v>16</v>
      </c>
    </row>
    <row r="28" spans="1:10" ht="18" x14ac:dyDescent="0.4">
      <c r="A28">
        <v>17</v>
      </c>
      <c r="C28" s="4" t="s">
        <v>60</v>
      </c>
    </row>
    <row r="29" spans="1:10" x14ac:dyDescent="0.25">
      <c r="A29">
        <v>18</v>
      </c>
      <c r="C29" s="40" t="s">
        <v>340</v>
      </c>
      <c r="F29">
        <f>-ROUND(1695*0.5455,0)</f>
        <v>-925</v>
      </c>
      <c r="H29">
        <f>-1695-F29</f>
        <v>-770</v>
      </c>
      <c r="J29" t="s">
        <v>198</v>
      </c>
    </row>
    <row r="30" spans="1:10" x14ac:dyDescent="0.25">
      <c r="A30">
        <v>19</v>
      </c>
      <c r="C30" s="40" t="s">
        <v>618</v>
      </c>
      <c r="F30">
        <f>ROUND(PB_wRB!G23*0.016,0)</f>
        <v>-8428</v>
      </c>
      <c r="H30">
        <f>ROUND(PB_wwRB!G23*0.016,0)</f>
        <v>-151</v>
      </c>
      <c r="J30" s="6" t="s">
        <v>619</v>
      </c>
    </row>
    <row r="31" spans="1:10" x14ac:dyDescent="0.25">
      <c r="A31">
        <v>20</v>
      </c>
      <c r="C31" s="40" t="s">
        <v>89</v>
      </c>
      <c r="F31">
        <f>ROUND(F13*0.045,0)</f>
        <v>0</v>
      </c>
      <c r="H31">
        <f>ROUND(H13*0.045,0)</f>
        <v>0</v>
      </c>
    </row>
    <row r="32" spans="1:10" ht="16.5" thickBot="1" x14ac:dyDescent="0.3">
      <c r="A32">
        <v>21</v>
      </c>
      <c r="C32" t="s">
        <v>110</v>
      </c>
      <c r="F32" s="24">
        <f>SUM(F29:F31)</f>
        <v>-9353</v>
      </c>
      <c r="G32" s="26"/>
      <c r="H32" s="24">
        <f>SUM(H29:H31)</f>
        <v>-921</v>
      </c>
    </row>
    <row r="33" spans="1:8" ht="16.5" thickTop="1" x14ac:dyDescent="0.25">
      <c r="A33">
        <v>22</v>
      </c>
    </row>
    <row r="34" spans="1:8" ht="18" x14ac:dyDescent="0.4">
      <c r="A34">
        <v>23</v>
      </c>
      <c r="C34" s="4" t="s">
        <v>79</v>
      </c>
    </row>
    <row r="35" spans="1:8" x14ac:dyDescent="0.25">
      <c r="A35">
        <v>24</v>
      </c>
      <c r="C35" s="40" t="s">
        <v>115</v>
      </c>
      <c r="F35">
        <f>PB_wRB!G23*0.0283*-0.3763</f>
        <v>5609.8116876200002</v>
      </c>
      <c r="H35">
        <f>PB_wwRB!G23*0.0283*-0.3763</f>
        <v>100.342935025</v>
      </c>
    </row>
    <row r="36" spans="1:8" x14ac:dyDescent="0.25">
      <c r="A36">
        <v>25</v>
      </c>
      <c r="C36" s="40" t="s">
        <v>90</v>
      </c>
      <c r="F36">
        <f>ROUND((F13-F21-F26-F32)*0.3763,0)</f>
        <v>15132</v>
      </c>
      <c r="H36">
        <f>ROUND((H13-H21-H26-H32)*0.3763,0)</f>
        <v>4444</v>
      </c>
    </row>
    <row r="37" spans="1:8" ht="16.5" thickBot="1" x14ac:dyDescent="0.3">
      <c r="A37">
        <v>26</v>
      </c>
      <c r="C37" t="s">
        <v>110</v>
      </c>
      <c r="F37" s="24">
        <f>SUM(F35:F36)</f>
        <v>20741.81168762</v>
      </c>
      <c r="G37" s="26"/>
      <c r="H37" s="24">
        <f>SUM(H35:H36)</f>
        <v>4544.3429350249999</v>
      </c>
    </row>
    <row r="38" spans="1:8" ht="16.5" thickTop="1" x14ac:dyDescent="0.25"/>
    <row r="39" spans="1:8" x14ac:dyDescent="0.25">
      <c r="C39" s="6" t="s">
        <v>145</v>
      </c>
    </row>
    <row r="40" spans="1:8" x14ac:dyDescent="0.25">
      <c r="C40" t="s">
        <v>116</v>
      </c>
    </row>
    <row r="41" spans="1:8" x14ac:dyDescent="0.25">
      <c r="C41" s="6" t="s">
        <v>339</v>
      </c>
      <c r="F41" s="60"/>
    </row>
    <row r="42" spans="1:8" x14ac:dyDescent="0.25">
      <c r="C42" s="6" t="s">
        <v>382</v>
      </c>
    </row>
  </sheetData>
  <pageMargins left="0.7" right="0.7" top="0.75" bottom="0.75" header="0.3" footer="0.3"/>
  <pageSetup scale="70" orientation="portrait" horizontalDpi="0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G16" sqref="G16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7" customWidth="1"/>
    <col min="5" max="5" width="16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4.625" customWidth="1"/>
  </cols>
  <sheetData>
    <row r="1" spans="1:10" x14ac:dyDescent="0.25">
      <c r="A1" t="str">
        <f>CL_wRR!A1</f>
        <v>Utilities, Inc. of Florida</v>
      </c>
      <c r="H1" s="10"/>
      <c r="I1" s="10"/>
      <c r="J1" s="33" t="str">
        <f>ExhDR10_PB!$E$1</f>
        <v>Docket No. 160101-WS</v>
      </c>
    </row>
    <row r="2" spans="1:10" x14ac:dyDescent="0.25">
      <c r="A2" t="s">
        <v>143</v>
      </c>
      <c r="H2" s="10"/>
      <c r="I2" s="10"/>
      <c r="J2" s="33" t="str">
        <f>ExhDR10_PB!$E$2</f>
        <v>Exhibit DMR-10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ExhDR10_PB!$E$3</f>
        <v>Pennbrooke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82</v>
      </c>
      <c r="J4" s="33" t="str">
        <f>ExhDR10_PB!$E$4</f>
        <v>of 8</v>
      </c>
    </row>
    <row r="5" spans="1:10" x14ac:dyDescent="0.25">
      <c r="A5" s="27" t="s">
        <v>74</v>
      </c>
      <c r="B5" s="10"/>
      <c r="C5" s="10"/>
      <c r="D5" s="10"/>
      <c r="E5" s="10"/>
      <c r="F5" s="10"/>
      <c r="G5" s="10"/>
      <c r="H5" s="10"/>
      <c r="I5" s="10"/>
      <c r="J5" s="35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  <c r="J6" s="35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  <c r="J7" s="10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  <c r="J8" s="10"/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  <c r="J9" s="10"/>
    </row>
    <row r="10" spans="1:10" x14ac:dyDescent="0.25">
      <c r="A10" s="10"/>
      <c r="B10" s="10"/>
      <c r="C10" s="10"/>
      <c r="D10" s="10"/>
      <c r="E10" s="43" t="s">
        <v>24</v>
      </c>
      <c r="F10" s="10"/>
      <c r="G10" s="43" t="s">
        <v>25</v>
      </c>
      <c r="H10" s="10"/>
      <c r="I10" s="43" t="s">
        <v>26</v>
      </c>
      <c r="J10" s="10"/>
    </row>
    <row r="11" spans="1:10" x14ac:dyDescent="0.25">
      <c r="A11" s="10"/>
      <c r="B11" s="10"/>
      <c r="C11" s="10"/>
      <c r="D11" s="10"/>
      <c r="E11" s="43"/>
      <c r="F11" s="10"/>
      <c r="G11" s="43"/>
      <c r="H11" s="10"/>
      <c r="I11" s="43"/>
      <c r="J11" s="10"/>
    </row>
    <row r="12" spans="1:10" x14ac:dyDescent="0.25">
      <c r="A12" s="10">
        <v>1</v>
      </c>
      <c r="B12" s="10"/>
      <c r="C12" s="11" t="s">
        <v>33</v>
      </c>
      <c r="D12" s="10"/>
      <c r="E12" s="10">
        <v>2681155</v>
      </c>
      <c r="F12" s="10"/>
      <c r="G12" s="10">
        <f>PB_RBadj!G14</f>
        <v>-151576</v>
      </c>
      <c r="H12" s="10"/>
      <c r="I12" s="10">
        <f>SUM(E12:G12)</f>
        <v>2529579</v>
      </c>
      <c r="J12" s="10"/>
    </row>
    <row r="13" spans="1:10" x14ac:dyDescent="0.25">
      <c r="A13" s="10">
        <v>2</v>
      </c>
      <c r="B13" s="10"/>
      <c r="C13" s="11" t="s">
        <v>34</v>
      </c>
      <c r="D13" s="10"/>
      <c r="E13" s="10">
        <v>22058</v>
      </c>
      <c r="F13" s="10"/>
      <c r="G13" s="10"/>
      <c r="H13" s="10"/>
      <c r="I13" s="10">
        <f t="shared" ref="I13:I21" si="0">SUM(E13:G13)</f>
        <v>22058</v>
      </c>
      <c r="J13" s="10"/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  <c r="J14" s="10"/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  <c r="J15" s="10"/>
    </row>
    <row r="16" spans="1:10" x14ac:dyDescent="0.25">
      <c r="A16" s="10">
        <v>5</v>
      </c>
      <c r="B16" s="10"/>
      <c r="C16" s="11" t="s">
        <v>37</v>
      </c>
      <c r="D16" s="10"/>
      <c r="E16" s="27">
        <v>-1160955</v>
      </c>
      <c r="F16" s="10"/>
      <c r="G16" s="10">
        <f>-PB_RBadj!G23</f>
        <v>-375202</v>
      </c>
      <c r="H16" s="10"/>
      <c r="I16" s="10">
        <f t="shared" si="0"/>
        <v>-1536157</v>
      </c>
      <c r="J16" s="10"/>
    </row>
    <row r="17" spans="1:10" x14ac:dyDescent="0.25">
      <c r="A17" s="10">
        <v>6</v>
      </c>
      <c r="B17" s="10"/>
      <c r="C17" s="11" t="s">
        <v>38</v>
      </c>
      <c r="D17" s="10"/>
      <c r="E17" s="10">
        <v>-899522</v>
      </c>
      <c r="F17" s="10"/>
      <c r="G17" s="10"/>
      <c r="H17" s="10"/>
      <c r="I17" s="10">
        <f t="shared" si="0"/>
        <v>-899522</v>
      </c>
      <c r="J17" s="10"/>
    </row>
    <row r="18" spans="1:10" x14ac:dyDescent="0.25">
      <c r="A18" s="10">
        <v>7</v>
      </c>
      <c r="B18" s="10"/>
      <c r="C18" s="11" t="s">
        <v>39</v>
      </c>
      <c r="D18" s="10"/>
      <c r="E18" s="10">
        <v>481003</v>
      </c>
      <c r="F18" s="10"/>
      <c r="G18" s="10"/>
      <c r="H18" s="10"/>
      <c r="I18" s="10">
        <f t="shared" si="0"/>
        <v>481003</v>
      </c>
      <c r="J18" s="10"/>
    </row>
    <row r="19" spans="1:10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  <c r="J19" s="10"/>
    </row>
    <row r="20" spans="1:10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  <c r="J20" s="10"/>
    </row>
    <row r="21" spans="1:10" x14ac:dyDescent="0.25">
      <c r="A21" s="10">
        <v>10</v>
      </c>
      <c r="B21" s="10"/>
      <c r="C21" s="11" t="s">
        <v>40</v>
      </c>
      <c r="D21" s="10"/>
      <c r="E21" s="28">
        <v>24526</v>
      </c>
      <c r="F21" s="10"/>
      <c r="G21" s="17">
        <f>PB_RBadj!G27</f>
        <v>0</v>
      </c>
      <c r="H21" s="10"/>
      <c r="I21" s="17">
        <f t="shared" si="0"/>
        <v>24526</v>
      </c>
      <c r="J21" s="10"/>
    </row>
    <row r="22" spans="1:1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ht="16.5" thickBot="1" x14ac:dyDescent="0.3">
      <c r="A23" s="10">
        <v>11</v>
      </c>
      <c r="B23" s="10"/>
      <c r="C23" s="11" t="s">
        <v>41</v>
      </c>
      <c r="D23" s="10"/>
      <c r="E23" s="18">
        <f>SUM(E12:E21)</f>
        <v>1148265</v>
      </c>
      <c r="F23" s="10"/>
      <c r="G23" s="18">
        <f>SUM(G12:G21)</f>
        <v>-526778</v>
      </c>
      <c r="H23" s="10"/>
      <c r="I23" s="18">
        <f>SUM(I12:I22)</f>
        <v>621487</v>
      </c>
      <c r="J23" s="10"/>
    </row>
    <row r="24" spans="1:10" ht="16.5" thickTop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18" x14ac:dyDescent="0.4">
      <c r="A25" s="10"/>
      <c r="B25" s="10"/>
      <c r="C25" s="12" t="s">
        <v>50</v>
      </c>
      <c r="D25" s="10"/>
      <c r="E25" s="10"/>
      <c r="F25" s="10"/>
      <c r="G25" s="10"/>
      <c r="H25" s="10"/>
      <c r="I25" s="10"/>
      <c r="J25" s="10"/>
    </row>
    <row r="26" spans="1:10" x14ac:dyDescent="0.25">
      <c r="A26" s="10"/>
      <c r="B26" s="10"/>
      <c r="C26" s="45" t="s">
        <v>103</v>
      </c>
      <c r="D26" s="10"/>
      <c r="E26" s="10"/>
      <c r="F26" s="10"/>
      <c r="G26" s="10"/>
      <c r="H26" s="10"/>
      <c r="I26" s="10"/>
      <c r="J26" s="10"/>
    </row>
    <row r="27" spans="1:10" x14ac:dyDescent="0.25">
      <c r="A27" s="10"/>
      <c r="B27" s="10"/>
      <c r="C27" s="27" t="s">
        <v>104</v>
      </c>
      <c r="D27" s="10"/>
      <c r="E27" s="10"/>
      <c r="F27" s="10"/>
      <c r="G27" s="10"/>
      <c r="H27" s="10"/>
      <c r="I27" s="10"/>
      <c r="J27" s="10"/>
    </row>
    <row r="28" spans="1:10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0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</row>
    <row r="30" spans="1:10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</row>
    <row r="31" spans="1:10" x14ac:dyDescent="0.25">
      <c r="A31" s="10"/>
      <c r="B31" s="10"/>
      <c r="C31" s="10"/>
      <c r="D31" s="10"/>
      <c r="E31" s="10"/>
      <c r="F31" s="10"/>
      <c r="G31" s="27" t="s">
        <v>54</v>
      </c>
      <c r="H31" s="10"/>
      <c r="I31" s="10"/>
      <c r="J31" s="10"/>
    </row>
  </sheetData>
  <pageMargins left="0.7" right="0.7" top="0.75" bottom="0.75" header="0.3" footer="0.3"/>
  <pageSetup scale="91" orientation="portrait" horizontalDpi="0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G16" sqref="G16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7" customWidth="1"/>
    <col min="5" max="5" width="16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4.75" customWidth="1"/>
  </cols>
  <sheetData>
    <row r="1" spans="1:10" x14ac:dyDescent="0.25">
      <c r="A1" t="str">
        <f>CL_wRR!A1</f>
        <v>Utilities, Inc. of Florida</v>
      </c>
      <c r="H1" s="10"/>
      <c r="J1" s="33" t="str">
        <f>ExhDR10_PB!$E$1</f>
        <v>Docket No. 160101-WS</v>
      </c>
    </row>
    <row r="2" spans="1:10" x14ac:dyDescent="0.25">
      <c r="A2" t="s">
        <v>143</v>
      </c>
      <c r="H2" s="10"/>
      <c r="I2" s="10"/>
      <c r="J2" s="33" t="str">
        <f>ExhDR10_PB!$E$2</f>
        <v>Exhibit DMR-10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ExhDR10_PB!$E$3</f>
        <v>Pennbrooke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83</v>
      </c>
      <c r="J4" s="33" t="str">
        <f>ExhDR10_PB!$E$4</f>
        <v>of 8</v>
      </c>
    </row>
    <row r="5" spans="1:10" x14ac:dyDescent="0.25">
      <c r="A5" s="27" t="s">
        <v>78</v>
      </c>
      <c r="B5" s="10"/>
      <c r="C5" s="10"/>
      <c r="D5" s="10"/>
      <c r="E5" s="10"/>
      <c r="F5" s="10"/>
      <c r="G5" s="10"/>
      <c r="H5" s="10"/>
      <c r="I5" s="10"/>
      <c r="J5" s="33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8" x14ac:dyDescent="0.4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25">
      <c r="A12" s="10">
        <v>1</v>
      </c>
      <c r="B12" s="10"/>
      <c r="C12" s="11" t="s">
        <v>33</v>
      </c>
      <c r="D12" s="10"/>
      <c r="E12" s="10">
        <v>3119124</v>
      </c>
      <c r="F12" s="10"/>
      <c r="G12" s="10">
        <f>PB_RBadj!I14</f>
        <v>-10279</v>
      </c>
      <c r="H12" s="10"/>
      <c r="I12" s="10">
        <f>SUM(E12:G12)</f>
        <v>3108845</v>
      </c>
    </row>
    <row r="13" spans="1:10" x14ac:dyDescent="0.25">
      <c r="A13" s="10">
        <v>2</v>
      </c>
      <c r="B13" s="10"/>
      <c r="C13" s="11" t="s">
        <v>34</v>
      </c>
      <c r="D13" s="10"/>
      <c r="E13" s="10">
        <v>57035</v>
      </c>
      <c r="F13" s="10"/>
      <c r="G13" s="10"/>
      <c r="H13" s="10"/>
      <c r="I13" s="10">
        <f t="shared" ref="I13:I21" si="0">SUM(E13:G13)</f>
        <v>57035</v>
      </c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25">
      <c r="A16" s="10">
        <v>5</v>
      </c>
      <c r="B16" s="10"/>
      <c r="C16" s="11" t="s">
        <v>37</v>
      </c>
      <c r="D16" s="10"/>
      <c r="E16" s="27">
        <v>-1597086</v>
      </c>
      <c r="F16" s="10"/>
      <c r="G16" s="10">
        <f>-PB_RBadj!I23</f>
        <v>856.5</v>
      </c>
      <c r="H16" s="10"/>
      <c r="I16" s="10">
        <f t="shared" si="0"/>
        <v>-1596229.5</v>
      </c>
    </row>
    <row r="17" spans="1:9" x14ac:dyDescent="0.25">
      <c r="A17" s="10">
        <v>6</v>
      </c>
      <c r="B17" s="10"/>
      <c r="C17" s="11" t="s">
        <v>38</v>
      </c>
      <c r="D17" s="10"/>
      <c r="E17" s="10">
        <v>-1216759</v>
      </c>
      <c r="F17" s="10"/>
      <c r="G17" s="10"/>
      <c r="H17" s="10"/>
      <c r="I17" s="10">
        <f t="shared" si="0"/>
        <v>-1216759</v>
      </c>
    </row>
    <row r="18" spans="1:9" x14ac:dyDescent="0.25">
      <c r="A18" s="10">
        <v>7</v>
      </c>
      <c r="B18" s="10"/>
      <c r="C18" s="11" t="s">
        <v>39</v>
      </c>
      <c r="D18" s="10"/>
      <c r="E18" s="10">
        <v>934536</v>
      </c>
      <c r="F18" s="10"/>
      <c r="G18" s="10"/>
      <c r="H18" s="10"/>
      <c r="I18" s="10">
        <f t="shared" si="0"/>
        <v>934536</v>
      </c>
    </row>
    <row r="19" spans="1:9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25">
      <c r="A21" s="10">
        <v>10</v>
      </c>
      <c r="B21" s="10"/>
      <c r="C21" s="11" t="s">
        <v>40</v>
      </c>
      <c r="D21" s="10"/>
      <c r="E21" s="28">
        <v>38843</v>
      </c>
      <c r="F21" s="10"/>
      <c r="G21" s="17">
        <f>PB_RBadj!I27</f>
        <v>0</v>
      </c>
      <c r="H21" s="10"/>
      <c r="I21" s="17">
        <f t="shared" si="0"/>
        <v>38843</v>
      </c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5" thickBot="1" x14ac:dyDescent="0.3">
      <c r="A23" s="10">
        <v>11</v>
      </c>
      <c r="B23" s="10"/>
      <c r="C23" s="11" t="s">
        <v>41</v>
      </c>
      <c r="D23" s="10"/>
      <c r="E23" s="18">
        <f>SUM(E12:E21)</f>
        <v>1335693</v>
      </c>
      <c r="F23" s="10"/>
      <c r="G23" s="18">
        <f>SUM(G12:G21)</f>
        <v>-9422.5</v>
      </c>
      <c r="H23" s="10"/>
      <c r="I23" s="18">
        <f>SUM(I12:I22)</f>
        <v>1326270.5</v>
      </c>
    </row>
    <row r="24" spans="1:9" ht="16.5" thickTop="1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8" x14ac:dyDescent="0.4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25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27" t="s">
        <v>104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0" orientation="portrait" horizontalDpi="0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activeCell="I30" sqref="I30"/>
    </sheetView>
  </sheetViews>
  <sheetFormatPr defaultRowHeight="15.75" x14ac:dyDescent="0.25"/>
  <cols>
    <col min="1" max="1" width="4.25" customWidth="1"/>
    <col min="2" max="2" width="1.375" customWidth="1"/>
    <col min="3" max="3" width="39.75" customWidth="1"/>
    <col min="4" max="5" width="7" customWidth="1"/>
    <col min="6" max="6" width="5.125" customWidth="1"/>
    <col min="7" max="7" width="11.125" customWidth="1"/>
    <col min="8" max="8" width="1.875" customWidth="1"/>
    <col min="9" max="9" width="11.125" customWidth="1"/>
    <col min="10" max="10" width="2.25" customWidth="1"/>
    <col min="11" max="11" width="15.375" customWidth="1"/>
    <col min="12" max="12" width="4.375" customWidth="1"/>
  </cols>
  <sheetData>
    <row r="1" spans="1:12" x14ac:dyDescent="0.25">
      <c r="A1" t="str">
        <f>CL_wRR!A1</f>
        <v>Utilities, Inc. of Florida</v>
      </c>
      <c r="K1" s="37"/>
      <c r="L1" s="33" t="str">
        <f>ExhDR10_PB!$E$1</f>
        <v>Docket No. 160101-WS</v>
      </c>
    </row>
    <row r="2" spans="1:12" x14ac:dyDescent="0.25">
      <c r="A2" t="s">
        <v>143</v>
      </c>
      <c r="K2" s="37"/>
      <c r="L2" s="33" t="str">
        <f>ExhDR10_PB!$E$2</f>
        <v>Exhibit DMR-10</v>
      </c>
    </row>
    <row r="3" spans="1:12" x14ac:dyDescent="0.25">
      <c r="A3" t="str">
        <f>CL_wRR!A3</f>
        <v>Test Year Ended December 31, 2015</v>
      </c>
      <c r="K3" s="37"/>
      <c r="L3" s="33" t="str">
        <f>ExhDR10_PB!$E$3</f>
        <v>Pennbrooke Revenue Requirement</v>
      </c>
    </row>
    <row r="4" spans="1:12" x14ac:dyDescent="0.25">
      <c r="K4" s="38" t="s">
        <v>87</v>
      </c>
      <c r="L4" s="33" t="str">
        <f>ExhDR10_PB!$E$4</f>
        <v>of 8</v>
      </c>
    </row>
    <row r="5" spans="1:12" x14ac:dyDescent="0.25">
      <c r="A5" t="s">
        <v>42</v>
      </c>
      <c r="K5" s="37"/>
      <c r="L5" s="37"/>
    </row>
    <row r="6" spans="1:12" x14ac:dyDescent="0.25">
      <c r="K6" s="37"/>
      <c r="L6" s="37"/>
    </row>
    <row r="7" spans="1:12" x14ac:dyDescent="0.25">
      <c r="G7" s="1"/>
      <c r="H7" s="1"/>
      <c r="I7" s="1"/>
      <c r="K7" s="37"/>
      <c r="L7" s="37"/>
    </row>
    <row r="8" spans="1:12" x14ac:dyDescent="0.25">
      <c r="A8" t="s">
        <v>0</v>
      </c>
      <c r="G8" s="1" t="s">
        <v>70</v>
      </c>
      <c r="H8" s="1"/>
      <c r="I8" s="1" t="s">
        <v>71</v>
      </c>
      <c r="K8" s="19"/>
      <c r="L8" s="19"/>
    </row>
    <row r="9" spans="1:12" x14ac:dyDescent="0.25">
      <c r="A9" s="3" t="s">
        <v>1</v>
      </c>
      <c r="C9" s="9" t="s">
        <v>2</v>
      </c>
      <c r="G9" s="2" t="s">
        <v>5</v>
      </c>
      <c r="H9" s="34"/>
      <c r="I9" s="2" t="s">
        <v>5</v>
      </c>
      <c r="K9" s="20" t="s">
        <v>23</v>
      </c>
      <c r="L9" s="19"/>
    </row>
    <row r="10" spans="1:12" x14ac:dyDescent="0.25">
      <c r="K10" s="19"/>
      <c r="L10" s="19"/>
    </row>
    <row r="11" spans="1:12" ht="18" x14ac:dyDescent="0.4">
      <c r="C11" s="4" t="s">
        <v>44</v>
      </c>
      <c r="K11" s="19"/>
      <c r="L11" s="19"/>
    </row>
    <row r="12" spans="1:12" x14ac:dyDescent="0.25">
      <c r="A12">
        <v>1</v>
      </c>
      <c r="C12" t="s">
        <v>336</v>
      </c>
      <c r="G12">
        <f>390000-520000</f>
        <v>-130000</v>
      </c>
      <c r="K12" s="76" t="s">
        <v>338</v>
      </c>
      <c r="L12" s="19"/>
    </row>
    <row r="13" spans="1:12" x14ac:dyDescent="0.25">
      <c r="A13">
        <v>2</v>
      </c>
      <c r="C13" t="s">
        <v>630</v>
      </c>
      <c r="G13">
        <f>5179-26755</f>
        <v>-21576</v>
      </c>
      <c r="I13">
        <f>4315-14594</f>
        <v>-10279</v>
      </c>
      <c r="K13" s="19" t="str">
        <f>GIS_Proj!O2</f>
        <v>Exhibit DMR-21</v>
      </c>
      <c r="L13" s="19"/>
    </row>
    <row r="14" spans="1:12" ht="16.5" thickBot="1" x14ac:dyDescent="0.3">
      <c r="A14">
        <v>3</v>
      </c>
      <c r="C14" t="s">
        <v>48</v>
      </c>
      <c r="G14" s="24">
        <f>SUM(G12:G13)</f>
        <v>-151576</v>
      </c>
      <c r="H14" s="26"/>
      <c r="I14" s="24">
        <f>SUM(I12:I13)</f>
        <v>-10279</v>
      </c>
      <c r="K14" s="19"/>
      <c r="L14" s="19"/>
    </row>
    <row r="15" spans="1:12" ht="16.5" thickTop="1" x14ac:dyDescent="0.25">
      <c r="A15" s="19">
        <v>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 ht="18" x14ac:dyDescent="0.4">
      <c r="A16">
        <v>5</v>
      </c>
      <c r="B16" s="19"/>
      <c r="C16" s="21" t="s">
        <v>58</v>
      </c>
      <c r="D16" s="19"/>
      <c r="E16" s="19"/>
      <c r="F16" s="19"/>
      <c r="G16" s="19"/>
      <c r="H16" s="19"/>
      <c r="I16" s="19"/>
      <c r="J16" s="19"/>
      <c r="K16" s="19"/>
      <c r="L16" s="19"/>
    </row>
    <row r="17" spans="1:12" x14ac:dyDescent="0.25">
      <c r="A17">
        <v>6</v>
      </c>
      <c r="B17" s="19"/>
      <c r="D17" s="19"/>
      <c r="E17" s="19"/>
      <c r="F17" s="19"/>
      <c r="G17" s="22"/>
      <c r="H17" s="39"/>
      <c r="I17" s="22"/>
      <c r="J17" s="19"/>
      <c r="K17" s="31"/>
      <c r="L17" s="19"/>
    </row>
    <row r="18" spans="1:12" ht="16.5" thickBot="1" x14ac:dyDescent="0.3">
      <c r="A18">
        <v>7</v>
      </c>
      <c r="B18" s="19"/>
      <c r="C18" t="s">
        <v>59</v>
      </c>
      <c r="D18" s="19"/>
      <c r="E18" s="19"/>
      <c r="F18" s="19"/>
      <c r="G18" s="23">
        <f>SUM(G17:G17)</f>
        <v>0</v>
      </c>
      <c r="H18" s="39"/>
      <c r="I18" s="23">
        <f>SUM(I17:I17)</f>
        <v>0</v>
      </c>
      <c r="J18" s="19"/>
      <c r="K18" s="31"/>
      <c r="L18" s="19"/>
    </row>
    <row r="19" spans="1:12" ht="16.5" thickTop="1" x14ac:dyDescent="0.25">
      <c r="A19" s="19">
        <v>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18" x14ac:dyDescent="0.4">
      <c r="A20">
        <v>9</v>
      </c>
      <c r="B20" s="19"/>
      <c r="C20" s="21" t="s">
        <v>43</v>
      </c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25">
      <c r="A21">
        <v>10</v>
      </c>
      <c r="B21" s="19"/>
      <c r="C21" t="s">
        <v>336</v>
      </c>
      <c r="D21" s="19"/>
      <c r="E21" s="19"/>
      <c r="F21" s="19"/>
      <c r="G21" s="19">
        <f>390000-13000</f>
        <v>377000</v>
      </c>
      <c r="H21" s="19"/>
      <c r="I21" s="19"/>
      <c r="J21" s="19"/>
      <c r="K21" s="76" t="s">
        <v>338</v>
      </c>
      <c r="L21" s="19"/>
    </row>
    <row r="22" spans="1:12" x14ac:dyDescent="0.25">
      <c r="A22">
        <v>11</v>
      </c>
      <c r="B22" s="19"/>
      <c r="C22" t="s">
        <v>630</v>
      </c>
      <c r="D22" s="19"/>
      <c r="E22" s="19"/>
      <c r="F22" s="19"/>
      <c r="G22" s="19">
        <f>PB_NOIadj!F24*0.5</f>
        <v>-1798</v>
      </c>
      <c r="H22" s="19"/>
      <c r="I22" s="19">
        <f>PB_NOIadj!H24*0.5</f>
        <v>-856.5</v>
      </c>
      <c r="J22" s="19"/>
      <c r="K22" s="19"/>
      <c r="L22" s="19"/>
    </row>
    <row r="23" spans="1:12" ht="16.5" thickBot="1" x14ac:dyDescent="0.3">
      <c r="A23" s="19">
        <v>12</v>
      </c>
      <c r="B23" s="19"/>
      <c r="C23" s="20" t="s">
        <v>47</v>
      </c>
      <c r="D23" s="19"/>
      <c r="E23" s="19"/>
      <c r="F23" s="19"/>
      <c r="G23" s="23">
        <f>SUM(G21:G22)</f>
        <v>375202</v>
      </c>
      <c r="H23" s="39"/>
      <c r="I23" s="23">
        <f>SUM(I21:I22)</f>
        <v>-856.5</v>
      </c>
      <c r="J23" s="19"/>
      <c r="K23" s="19"/>
      <c r="L23" s="19"/>
    </row>
    <row r="24" spans="1:12" ht="16.5" thickTop="1" x14ac:dyDescent="0.25">
      <c r="A24">
        <v>13</v>
      </c>
      <c r="B24" s="19"/>
      <c r="C24" s="20"/>
      <c r="D24" s="19"/>
      <c r="E24" s="19"/>
      <c r="F24" s="19"/>
      <c r="G24" s="19"/>
      <c r="H24" s="19"/>
      <c r="I24" s="19"/>
      <c r="J24" s="19"/>
      <c r="K24" s="19"/>
      <c r="L24" s="19"/>
    </row>
    <row r="25" spans="1:12" ht="18" x14ac:dyDescent="0.4">
      <c r="A25">
        <v>14</v>
      </c>
      <c r="B25" s="19"/>
      <c r="C25" s="21" t="s">
        <v>51</v>
      </c>
      <c r="D25" s="19"/>
      <c r="E25" s="19"/>
      <c r="F25" s="19"/>
      <c r="G25" s="19"/>
      <c r="H25" s="19"/>
      <c r="I25" s="19"/>
      <c r="J25" s="19"/>
      <c r="K25" s="19"/>
      <c r="L25" s="19"/>
    </row>
    <row r="26" spans="1:12" x14ac:dyDescent="0.25">
      <c r="A26">
        <v>15</v>
      </c>
      <c r="B26" s="19"/>
      <c r="C26" s="19"/>
      <c r="D26" s="19"/>
      <c r="E26" s="19"/>
      <c r="F26" s="19"/>
      <c r="G26" s="22"/>
      <c r="H26" s="39"/>
      <c r="I26" s="22"/>
      <c r="J26" s="19"/>
      <c r="K26" s="19"/>
      <c r="L26" s="19"/>
    </row>
    <row r="27" spans="1:12" ht="16.5" thickBot="1" x14ac:dyDescent="0.3">
      <c r="A27" s="19">
        <v>16</v>
      </c>
      <c r="B27" s="19"/>
      <c r="C27" s="20" t="s">
        <v>52</v>
      </c>
      <c r="D27" s="19"/>
      <c r="E27" s="19"/>
      <c r="F27" s="19"/>
      <c r="G27" s="23">
        <f>SUM(G26:G26)</f>
        <v>0</v>
      </c>
      <c r="H27" s="39"/>
      <c r="I27" s="23">
        <f>SUM(I26:I26)</f>
        <v>0</v>
      </c>
      <c r="J27" s="19"/>
      <c r="K27" s="19"/>
      <c r="L27" s="19"/>
    </row>
    <row r="28" spans="1:12" ht="16.5" thickTop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30" spans="1:12" x14ac:dyDescent="0.25">
      <c r="C30" s="6" t="s">
        <v>326</v>
      </c>
    </row>
  </sheetData>
  <pageMargins left="0.7" right="0.7" top="0.75" bottom="0.75" header="0.3" footer="0.3"/>
  <pageSetup scale="76" orientation="portrait" horizontalDpi="0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workbookViewId="0">
      <selection activeCell="C28" sqref="C28"/>
    </sheetView>
  </sheetViews>
  <sheetFormatPr defaultRowHeight="15.75" x14ac:dyDescent="0.25"/>
  <cols>
    <col min="1" max="1" width="4.25" customWidth="1"/>
    <col min="2" max="2" width="1.375" customWidth="1"/>
    <col min="3" max="3" width="20.5" customWidth="1"/>
    <col min="4" max="4" width="1.125" customWidth="1"/>
    <col min="5" max="5" width="10.875" customWidth="1"/>
    <col min="6" max="6" width="1.125" customWidth="1"/>
    <col min="7" max="7" width="9.625" customWidth="1"/>
    <col min="8" max="8" width="1.125" customWidth="1"/>
    <col min="9" max="9" width="10.625" customWidth="1"/>
    <col min="10" max="10" width="0.75" customWidth="1"/>
    <col min="11" max="11" width="11.125" customWidth="1"/>
    <col min="12" max="12" width="0.75" customWidth="1"/>
    <col min="13" max="13" width="9.625" customWidth="1"/>
    <col min="14" max="14" width="0.75" customWidth="1"/>
    <col min="15" max="15" width="9.75" customWidth="1"/>
    <col min="16" max="16" width="0.75" customWidth="1"/>
    <col min="17" max="17" width="10" customWidth="1"/>
    <col min="18" max="18" width="4.875" customWidth="1"/>
  </cols>
  <sheetData>
    <row r="1" spans="1:18" x14ac:dyDescent="0.25">
      <c r="A1" t="str">
        <f>CL_wRR!A1</f>
        <v>Utilities, Inc. of Florida</v>
      </c>
      <c r="Q1" s="37"/>
      <c r="R1" s="33" t="str">
        <f>ExhDR10_PB!$E$1</f>
        <v>Docket No. 160101-WS</v>
      </c>
    </row>
    <row r="2" spans="1:18" x14ac:dyDescent="0.25">
      <c r="A2" t="s">
        <v>143</v>
      </c>
      <c r="Q2" s="37"/>
      <c r="R2" s="33" t="str">
        <f>ExhDR10_PB!$E$2</f>
        <v>Exhibit DMR-10</v>
      </c>
    </row>
    <row r="3" spans="1:18" x14ac:dyDescent="0.25">
      <c r="A3" t="str">
        <f>CL_wRR!A3</f>
        <v>Test Year Ended December 31, 2015</v>
      </c>
      <c r="Q3" s="37"/>
      <c r="R3" s="33" t="str">
        <f>ExhDR10_PB!$E$3</f>
        <v>Pennbrooke Revenue Requirement</v>
      </c>
    </row>
    <row r="4" spans="1:18" x14ac:dyDescent="0.25">
      <c r="Q4" s="38" t="s">
        <v>222</v>
      </c>
      <c r="R4" s="33" t="str">
        <f>ExhDR10_PB!$E$4</f>
        <v>of 8</v>
      </c>
    </row>
    <row r="5" spans="1:18" x14ac:dyDescent="0.25">
      <c r="A5" t="s">
        <v>199</v>
      </c>
    </row>
    <row r="8" spans="1:18" x14ac:dyDescent="0.25">
      <c r="Q8" s="1" t="s">
        <v>8</v>
      </c>
    </row>
    <row r="9" spans="1:18" x14ac:dyDescent="0.25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8" x14ac:dyDescent="0.4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25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25">
      <c r="A13">
        <v>1</v>
      </c>
      <c r="C13" t="s">
        <v>206</v>
      </c>
      <c r="E13">
        <v>1011631</v>
      </c>
      <c r="G13" s="64">
        <f>E13/$E$20</f>
        <v>0.40726607073555249</v>
      </c>
      <c r="I13">
        <f>K13-E13</f>
        <v>-248402.27260751266</v>
      </c>
      <c r="K13">
        <f>($K$20-$K$16-$K$17-$K$18)*(E13/SUM($E$13:$E$15))</f>
        <v>763228.72739248734</v>
      </c>
      <c r="M13" s="64">
        <f>K13/$K$20</f>
        <v>0.39184997485184236</v>
      </c>
      <c r="O13" s="64">
        <v>6.7000000000000004E-2</v>
      </c>
      <c r="P13" s="8"/>
      <c r="Q13" s="64">
        <f>M13*O13</f>
        <v>2.6253948315073439E-2</v>
      </c>
    </row>
    <row r="14" spans="1:18" x14ac:dyDescent="0.25">
      <c r="A14">
        <v>2</v>
      </c>
      <c r="C14" t="s">
        <v>207</v>
      </c>
      <c r="E14">
        <v>96075</v>
      </c>
      <c r="G14" s="64">
        <f t="shared" ref="G14:G18" si="0">E14/$E$20</f>
        <v>3.8678221353357307E-2</v>
      </c>
      <c r="I14">
        <f t="shared" ref="I14:I15" si="1">K14-E14</f>
        <v>-23590.863013061855</v>
      </c>
      <c r="K14">
        <f t="shared" ref="K14:K15" si="2">($K$20-$K$16-$K$17-$K$18)*(E14/SUM($E$13:$E$15))</f>
        <v>72484.136986938145</v>
      </c>
      <c r="M14" s="64">
        <f t="shared" ref="M14:M18" si="3">K14/$K$20</f>
        <v>3.7214148571851548E-2</v>
      </c>
      <c r="O14" s="8">
        <v>2.3199999999999998E-2</v>
      </c>
      <c r="P14" s="8"/>
      <c r="Q14" s="64">
        <f t="shared" ref="Q14:Q18" si="4">M14*O14</f>
        <v>8.633682468669558E-4</v>
      </c>
    </row>
    <row r="15" spans="1:18" x14ac:dyDescent="0.25">
      <c r="A15">
        <v>3</v>
      </c>
      <c r="C15" t="s">
        <v>208</v>
      </c>
      <c r="E15">
        <v>1075827</v>
      </c>
      <c r="G15" s="64">
        <f t="shared" si="0"/>
        <v>0.43311032884640471</v>
      </c>
      <c r="I15">
        <f t="shared" si="1"/>
        <v>-264165.36437942553</v>
      </c>
      <c r="K15">
        <f t="shared" si="2"/>
        <v>811661.63562057447</v>
      </c>
      <c r="M15" s="64">
        <f t="shared" si="3"/>
        <v>0.41671595956918378</v>
      </c>
      <c r="O15" s="8">
        <v>0.104</v>
      </c>
      <c r="P15" s="8"/>
      <c r="Q15" s="64">
        <f t="shared" si="4"/>
        <v>4.3338459795195114E-2</v>
      </c>
    </row>
    <row r="16" spans="1:18" x14ac:dyDescent="0.25">
      <c r="A16">
        <v>4</v>
      </c>
      <c r="C16" t="s">
        <v>209</v>
      </c>
      <c r="E16">
        <v>7179</v>
      </c>
      <c r="G16" s="64">
        <f t="shared" si="0"/>
        <v>2.8901478126021557E-3</v>
      </c>
      <c r="K16">
        <f>E16+I16</f>
        <v>7179</v>
      </c>
      <c r="M16" s="64">
        <f t="shared" si="3"/>
        <v>3.6857771052094526E-3</v>
      </c>
      <c r="O16" s="8">
        <v>0.02</v>
      </c>
      <c r="P16" s="8"/>
      <c r="Q16" s="64">
        <f t="shared" si="4"/>
        <v>7.3715542104189048E-5</v>
      </c>
    </row>
    <row r="17" spans="1:17" x14ac:dyDescent="0.25">
      <c r="A17">
        <v>5</v>
      </c>
      <c r="C17" t="s">
        <v>210</v>
      </c>
      <c r="E17">
        <v>0</v>
      </c>
      <c r="G17" s="64">
        <f t="shared" si="0"/>
        <v>0</v>
      </c>
      <c r="K17">
        <f>E17+I17</f>
        <v>0</v>
      </c>
      <c r="M17" s="64">
        <f t="shared" si="3"/>
        <v>0</v>
      </c>
      <c r="O17" s="8">
        <v>0</v>
      </c>
      <c r="P17" s="8"/>
      <c r="Q17" s="64">
        <f t="shared" si="4"/>
        <v>0</v>
      </c>
    </row>
    <row r="18" spans="1:17" x14ac:dyDescent="0.25">
      <c r="A18">
        <v>6</v>
      </c>
      <c r="C18" t="s">
        <v>211</v>
      </c>
      <c r="E18" s="3">
        <v>293244</v>
      </c>
      <c r="G18" s="68">
        <f t="shared" si="0"/>
        <v>0.11805523125208336</v>
      </c>
      <c r="I18">
        <v>-40</v>
      </c>
      <c r="K18" s="3">
        <f>E18+I18</f>
        <v>293204</v>
      </c>
      <c r="M18" s="68">
        <f t="shared" si="3"/>
        <v>0.15053413990191283</v>
      </c>
      <c r="O18" s="8">
        <v>0</v>
      </c>
      <c r="P18" s="8"/>
      <c r="Q18" s="68">
        <f t="shared" si="4"/>
        <v>0</v>
      </c>
    </row>
    <row r="20" spans="1:17" ht="16.5" thickBot="1" x14ac:dyDescent="0.3">
      <c r="A20">
        <v>7</v>
      </c>
      <c r="C20" t="s">
        <v>189</v>
      </c>
      <c r="E20">
        <f>SUM(E13:E19)</f>
        <v>2483956</v>
      </c>
      <c r="G20" s="8">
        <f>SUM(G13:G19)</f>
        <v>1</v>
      </c>
      <c r="K20">
        <f>PB_wRB!I23+PB_wwRB!I23</f>
        <v>1947757.5</v>
      </c>
      <c r="M20" s="8">
        <f>SUM(M13:M19)</f>
        <v>1</v>
      </c>
      <c r="Q20" s="71">
        <f>ROUND(SUM(Q13:Q19),4)</f>
        <v>7.0499999999999993E-2</v>
      </c>
    </row>
    <row r="21" spans="1:17" ht="16.5" thickTop="1" x14ac:dyDescent="0.25"/>
    <row r="22" spans="1:17" ht="18" x14ac:dyDescent="0.4">
      <c r="C22" s="4" t="s">
        <v>50</v>
      </c>
    </row>
    <row r="23" spans="1:17" x14ac:dyDescent="0.25">
      <c r="C23" t="s">
        <v>217</v>
      </c>
    </row>
    <row r="24" spans="1:17" x14ac:dyDescent="0.25">
      <c r="C24" t="s">
        <v>335</v>
      </c>
    </row>
    <row r="25" spans="1:17" x14ac:dyDescent="0.25">
      <c r="C25" t="s">
        <v>699</v>
      </c>
    </row>
    <row r="26" spans="1:17" x14ac:dyDescent="0.25">
      <c r="C26" t="s">
        <v>698</v>
      </c>
    </row>
  </sheetData>
  <pageMargins left="0.7" right="0.7" top="0.75" bottom="0.75" header="0.3" footer="0.3"/>
  <pageSetup scale="72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E4" sqref="E4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7" customWidth="1"/>
    <col min="5" max="5" width="16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4.75" customWidth="1"/>
  </cols>
  <sheetData>
    <row r="1" spans="1:10" x14ac:dyDescent="0.25">
      <c r="A1" t="str">
        <f>CL_wRR!A1</f>
        <v>Utilities, Inc. of Florida</v>
      </c>
      <c r="H1" s="10"/>
      <c r="J1" s="33" t="str">
        <f>ExhDR3_CL_TOC!$E$1</f>
        <v>Docket No. 160101-WS</v>
      </c>
    </row>
    <row r="2" spans="1:10" x14ac:dyDescent="0.25">
      <c r="A2" t="str">
        <f>CL_wRR!A2</f>
        <v xml:space="preserve">  -  Cypress Lakes</v>
      </c>
      <c r="H2" s="10"/>
      <c r="I2" s="10"/>
      <c r="J2" s="33" t="str">
        <f>ExhDR3_CL_TOC!$E$2</f>
        <v>Exhibit DMR-3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ExhDR3_CL_TOC!$E$3</f>
        <v>Cypress Lakes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83</v>
      </c>
      <c r="J4" s="33" t="str">
        <f>ExhDR3_CL_TOC!$E$4</f>
        <v>of 8</v>
      </c>
    </row>
    <row r="5" spans="1:10" x14ac:dyDescent="0.25">
      <c r="A5" s="27" t="s">
        <v>78</v>
      </c>
      <c r="B5" s="10"/>
      <c r="C5" s="10"/>
      <c r="D5" s="10"/>
      <c r="E5" s="10"/>
      <c r="F5" s="10"/>
      <c r="G5" s="10"/>
      <c r="H5" s="10"/>
      <c r="I5" s="10"/>
      <c r="J5" s="33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8" x14ac:dyDescent="0.4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25">
      <c r="A12" s="10">
        <v>1</v>
      </c>
      <c r="B12" s="10"/>
      <c r="C12" s="11" t="s">
        <v>33</v>
      </c>
      <c r="D12" s="10"/>
      <c r="E12" s="10">
        <v>4477793</v>
      </c>
      <c r="F12" s="10"/>
      <c r="G12" s="10">
        <f>CL_RBadj!I13</f>
        <v>-7621</v>
      </c>
      <c r="H12" s="10"/>
      <c r="I12" s="10">
        <f>SUM(E12:G12)</f>
        <v>4470172</v>
      </c>
    </row>
    <row r="13" spans="1:10" x14ac:dyDescent="0.25">
      <c r="A13" s="10">
        <v>2</v>
      </c>
      <c r="B13" s="10"/>
      <c r="C13" s="11" t="s">
        <v>34</v>
      </c>
      <c r="D13" s="10"/>
      <c r="E13" s="10">
        <v>2610</v>
      </c>
      <c r="F13" s="10"/>
      <c r="G13" s="10"/>
      <c r="H13" s="10"/>
      <c r="I13" s="10">
        <f t="shared" ref="I13:I21" si="0">SUM(E13:G13)</f>
        <v>2610</v>
      </c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25">
      <c r="A16" s="10">
        <v>5</v>
      </c>
      <c r="B16" s="10"/>
      <c r="C16" s="11" t="s">
        <v>37</v>
      </c>
      <c r="D16" s="10"/>
      <c r="E16" s="27">
        <v>-1458826</v>
      </c>
      <c r="F16" s="10"/>
      <c r="G16" s="10">
        <f>-CL_RBadj!I21</f>
        <v>635</v>
      </c>
      <c r="H16" s="10"/>
      <c r="I16" s="10">
        <f t="shared" si="0"/>
        <v>-1458191</v>
      </c>
    </row>
    <row r="17" spans="1:9" x14ac:dyDescent="0.25">
      <c r="A17" s="10">
        <v>6</v>
      </c>
      <c r="B17" s="10"/>
      <c r="C17" s="11" t="s">
        <v>38</v>
      </c>
      <c r="D17" s="10"/>
      <c r="E17" s="10">
        <v>-1321139</v>
      </c>
      <c r="F17" s="10"/>
      <c r="G17" s="10"/>
      <c r="H17" s="10"/>
      <c r="I17" s="10">
        <f t="shared" si="0"/>
        <v>-1321139</v>
      </c>
    </row>
    <row r="18" spans="1:9" x14ac:dyDescent="0.25">
      <c r="A18" s="10">
        <v>7</v>
      </c>
      <c r="B18" s="10"/>
      <c r="C18" s="11" t="s">
        <v>39</v>
      </c>
      <c r="D18" s="10"/>
      <c r="E18" s="10">
        <v>480175</v>
      </c>
      <c r="F18" s="10"/>
      <c r="G18" s="10"/>
      <c r="H18" s="10"/>
      <c r="I18" s="10">
        <f t="shared" si="0"/>
        <v>480175</v>
      </c>
    </row>
    <row r="19" spans="1:9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25">
      <c r="A21" s="10">
        <v>10</v>
      </c>
      <c r="B21" s="10"/>
      <c r="C21" s="11" t="s">
        <v>40</v>
      </c>
      <c r="D21" s="10"/>
      <c r="E21" s="28">
        <v>62870</v>
      </c>
      <c r="F21" s="10"/>
      <c r="G21" s="17">
        <f>CL_RBadj!I25</f>
        <v>-720</v>
      </c>
      <c r="H21" s="10"/>
      <c r="I21" s="17">
        <f t="shared" si="0"/>
        <v>62150</v>
      </c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5" thickBot="1" x14ac:dyDescent="0.3">
      <c r="A23" s="10">
        <v>11</v>
      </c>
      <c r="B23" s="10"/>
      <c r="C23" s="11" t="s">
        <v>41</v>
      </c>
      <c r="D23" s="10"/>
      <c r="E23" s="18">
        <f>SUM(E12:E21)</f>
        <v>2243483</v>
      </c>
      <c r="F23" s="10"/>
      <c r="G23" s="18">
        <f>SUM(G12:G21)</f>
        <v>-7706</v>
      </c>
      <c r="H23" s="10"/>
      <c r="I23" s="18">
        <f>SUM(I12:I22)</f>
        <v>2235777</v>
      </c>
    </row>
    <row r="24" spans="1:9" ht="16.5" thickTop="1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8" x14ac:dyDescent="0.4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25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27" t="s">
        <v>104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0" orientation="portrait" horizontalDpi="0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E17"/>
  <sheetViews>
    <sheetView workbookViewId="0">
      <selection activeCell="C21" sqref="C21"/>
    </sheetView>
  </sheetViews>
  <sheetFormatPr defaultRowHeight="15.75" x14ac:dyDescent="0.25"/>
  <cols>
    <col min="1" max="1" width="8.125" customWidth="1"/>
    <col min="2" max="2" width="1.875" customWidth="1"/>
    <col min="3" max="3" width="45.625" customWidth="1"/>
    <col min="4" max="4" width="13.375" customWidth="1"/>
    <col min="5" max="5" width="4.875" customWidth="1"/>
  </cols>
  <sheetData>
    <row r="1" spans="1:5" x14ac:dyDescent="0.25">
      <c r="A1" t="s">
        <v>61</v>
      </c>
      <c r="E1" s="33" t="s">
        <v>64</v>
      </c>
    </row>
    <row r="2" spans="1:5" x14ac:dyDescent="0.25">
      <c r="A2" t="s">
        <v>148</v>
      </c>
      <c r="E2" s="33" t="s">
        <v>149</v>
      </c>
    </row>
    <row r="3" spans="1:5" x14ac:dyDescent="0.25">
      <c r="A3" t="s">
        <v>86</v>
      </c>
      <c r="E3" s="33" t="s">
        <v>150</v>
      </c>
    </row>
    <row r="4" spans="1:5" x14ac:dyDescent="0.25">
      <c r="D4" s="33" t="s">
        <v>67</v>
      </c>
      <c r="E4" s="33" t="s">
        <v>561</v>
      </c>
    </row>
    <row r="5" spans="1:5" x14ac:dyDescent="0.25">
      <c r="A5" t="s">
        <v>63</v>
      </c>
    </row>
    <row r="8" spans="1:5" x14ac:dyDescent="0.25">
      <c r="A8" s="3" t="s">
        <v>84</v>
      </c>
      <c r="B8" s="3"/>
      <c r="C8" s="3" t="s">
        <v>85</v>
      </c>
      <c r="D8" s="3"/>
      <c r="E8" s="3"/>
    </row>
    <row r="9" spans="1:5" x14ac:dyDescent="0.25">
      <c r="A9" s="26"/>
      <c r="B9" s="26"/>
      <c r="C9" s="26"/>
      <c r="D9" s="34"/>
      <c r="E9" s="26"/>
    </row>
    <row r="10" spans="1:5" x14ac:dyDescent="0.25">
      <c r="A10" s="58" t="str">
        <f>SH_wwRR!N4</f>
        <v>Page 2</v>
      </c>
      <c r="B10" s="26"/>
      <c r="C10" s="58" t="str">
        <f>SH_wwRR!A5</f>
        <v>Calculation of Revenue Requirement - Wastewater</v>
      </c>
      <c r="D10" s="34"/>
      <c r="E10" s="26"/>
    </row>
    <row r="11" spans="1:5" x14ac:dyDescent="0.25">
      <c r="A11" s="26" t="str">
        <f>SH_NOIadj!G4</f>
        <v>Page 3</v>
      </c>
      <c r="B11" s="26"/>
      <c r="C11" s="26" t="str">
        <f>SH_NOIadj!A5</f>
        <v>Schedule of Adjustments to Operating Income</v>
      </c>
      <c r="D11" s="34"/>
      <c r="E11" s="26"/>
    </row>
    <row r="12" spans="1:5" x14ac:dyDescent="0.25">
      <c r="A12" s="26" t="str">
        <f>SH_wwRB!I4</f>
        <v>Page 4</v>
      </c>
      <c r="B12" s="26"/>
      <c r="C12" s="26" t="str">
        <f>SH_wwRB!A5</f>
        <v>Rate Base - Wastewater</v>
      </c>
      <c r="D12" s="26"/>
      <c r="E12" s="26"/>
    </row>
    <row r="13" spans="1:5" x14ac:dyDescent="0.25">
      <c r="A13" s="26" t="str">
        <f>SH_RBadj!H4</f>
        <v>Page 5</v>
      </c>
      <c r="B13" s="26"/>
      <c r="C13" s="26" t="str">
        <f>SH_RBadj!A5</f>
        <v>Schedule of Adjustments to Rate Base</v>
      </c>
      <c r="D13" s="26"/>
      <c r="E13" s="26"/>
    </row>
    <row r="14" spans="1:5" x14ac:dyDescent="0.25">
      <c r="A14" t="str">
        <f>SH_ROR!Q4</f>
        <v>Page 6</v>
      </c>
      <c r="C14" t="str">
        <f>SH_ROR!A5</f>
        <v>Cost of Capital</v>
      </c>
    </row>
    <row r="15" spans="1:5" x14ac:dyDescent="0.25">
      <c r="A15" t="str">
        <f>SH_IandI!G4</f>
        <v>Page 7</v>
      </c>
      <c r="C15" t="str">
        <f>SH_IandI!A5</f>
        <v>Excessive Inflow &amp; Infiltration Expense</v>
      </c>
    </row>
    <row r="16" spans="1:5" x14ac:dyDescent="0.25">
      <c r="A16" t="str">
        <f>SH_UandU!I4</f>
        <v>Page 8</v>
      </c>
      <c r="C16" t="str">
        <f>SH_UandU!A5</f>
        <v>Non-Used &amp; Useful Plant</v>
      </c>
    </row>
    <row r="17" spans="1:3" x14ac:dyDescent="0.25">
      <c r="A17" t="str">
        <f>SH_Plant!I4</f>
        <v>Page 9</v>
      </c>
      <c r="C17" t="str">
        <f>SH_Plant!A5</f>
        <v>Pro Forma Plant Addition Revisions</v>
      </c>
    </row>
  </sheetData>
  <pageMargins left="0.7" right="0.7" top="0.75" bottom="0.75" header="0.3" footer="0.3"/>
  <pageSetup orientation="portrait" horizontalDpi="0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C35" sqref="C35"/>
    </sheetView>
  </sheetViews>
  <sheetFormatPr defaultRowHeight="15.75" x14ac:dyDescent="0.25"/>
  <cols>
    <col min="1" max="1" width="4.125" customWidth="1"/>
    <col min="2" max="2" width="1.625" customWidth="1"/>
    <col min="3" max="3" width="29.25" customWidth="1"/>
    <col min="4" max="4" width="10.375" bestFit="1" customWidth="1"/>
    <col min="5" max="5" width="1.75" customWidth="1"/>
    <col min="6" max="6" width="10.875" customWidth="1"/>
    <col min="7" max="7" width="2.125" customWidth="1"/>
    <col min="8" max="8" width="10.375" bestFit="1" customWidth="1"/>
    <col min="9" max="9" width="1.375" customWidth="1"/>
    <col min="10" max="10" width="10.125" customWidth="1"/>
    <col min="11" max="11" width="1.125" customWidth="1"/>
    <col min="12" max="12" width="11.25" customWidth="1"/>
    <col min="13" max="13" width="1.375" customWidth="1"/>
    <col min="14" max="14" width="10" customWidth="1"/>
    <col min="15" max="15" width="4.5" customWidth="1"/>
  </cols>
  <sheetData>
    <row r="1" spans="1:15" x14ac:dyDescent="0.25">
      <c r="A1" t="s">
        <v>61</v>
      </c>
      <c r="O1" s="33" t="str">
        <f>ExhDR11_SH!$E$1</f>
        <v>Docket No. 160101-WS</v>
      </c>
    </row>
    <row r="2" spans="1:15" x14ac:dyDescent="0.25">
      <c r="A2" t="s">
        <v>148</v>
      </c>
      <c r="O2" s="33" t="str">
        <f>ExhDR11_SH!$E$2</f>
        <v>Exhibit DMR-11</v>
      </c>
    </row>
    <row r="3" spans="1:15" x14ac:dyDescent="0.25">
      <c r="A3" t="s">
        <v>63</v>
      </c>
      <c r="O3" s="33" t="str">
        <f>ExhDR11_SH!$E$3</f>
        <v>Sandalhaven Revenue Requirement</v>
      </c>
    </row>
    <row r="4" spans="1:15" x14ac:dyDescent="0.25">
      <c r="N4" s="33" t="s">
        <v>77</v>
      </c>
      <c r="O4" s="33" t="str">
        <f>ExhDR11_SH!$E$4</f>
        <v>of 9</v>
      </c>
    </row>
    <row r="5" spans="1:15" x14ac:dyDescent="0.25">
      <c r="A5" t="s">
        <v>76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1196788</v>
      </c>
      <c r="F12" s="29">
        <f>SH_NOIadj!E13</f>
        <v>0</v>
      </c>
      <c r="G12" s="6"/>
      <c r="H12">
        <f>SUM(D12:F12)</f>
        <v>1196788</v>
      </c>
      <c r="J12">
        <f>((H23*L25)-H21)*1.67888</f>
        <v>-524509.23454022594</v>
      </c>
      <c r="L12">
        <f>SUM(H12:J12)</f>
        <v>672278.76545977406</v>
      </c>
      <c r="N12" t="str">
        <f>SH_NOIadj!G4</f>
        <v>Page 3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747392</v>
      </c>
      <c r="F14" s="29">
        <f>SH_NOIadj!E28</f>
        <v>-212338.5</v>
      </c>
      <c r="H14">
        <f>SUM(D14:F14)</f>
        <v>535053.5</v>
      </c>
      <c r="L14">
        <f>SUM(H14:J14)</f>
        <v>535053.5</v>
      </c>
      <c r="N14" t="str">
        <f>N12</f>
        <v>Page 3</v>
      </c>
    </row>
    <row r="15" spans="1:15" x14ac:dyDescent="0.25">
      <c r="A15">
        <v>3</v>
      </c>
      <c r="C15" t="s">
        <v>17</v>
      </c>
      <c r="D15">
        <v>216389</v>
      </c>
      <c r="F15" s="29">
        <f>SH_NOIadj!E34</f>
        <v>-158976</v>
      </c>
      <c r="H15">
        <f>SUM(D15:F15)</f>
        <v>57413</v>
      </c>
      <c r="L15">
        <f>SUM(H15:J15)</f>
        <v>57413</v>
      </c>
      <c r="N15" t="str">
        <f>N12</f>
        <v>Page 3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150181</v>
      </c>
      <c r="F17" s="29">
        <f>SH_NOIadj!E40</f>
        <v>-55452</v>
      </c>
      <c r="H17">
        <f>SUM(D17:F17)</f>
        <v>94729</v>
      </c>
      <c r="J17">
        <f>J12*0.045</f>
        <v>-23602.915554310166</v>
      </c>
      <c r="L17">
        <f>SUM(H17:J17)</f>
        <v>71126.084445689834</v>
      </c>
      <c r="N17" t="str">
        <f>N12</f>
        <v>Page 3</v>
      </c>
    </row>
    <row r="18" spans="1:14" x14ac:dyDescent="0.25">
      <c r="A18">
        <v>6</v>
      </c>
      <c r="C18" t="s">
        <v>19</v>
      </c>
      <c r="D18" s="3">
        <v>-14158</v>
      </c>
      <c r="F18" s="29">
        <f>SH_NOIadj!E45</f>
        <v>202498.535010725</v>
      </c>
      <c r="H18" s="3">
        <f>SUM(D18:F18)</f>
        <v>188340.535010725</v>
      </c>
      <c r="J18">
        <f>(J12-J17)*0.3763</f>
        <v>-188491.04783440012</v>
      </c>
      <c r="L18" s="9">
        <f>SUM(H18:J18)</f>
        <v>-150.51282367511885</v>
      </c>
    </row>
    <row r="19" spans="1:14" x14ac:dyDescent="0.25">
      <c r="A19">
        <v>7</v>
      </c>
      <c r="C19" t="s">
        <v>20</v>
      </c>
      <c r="D19">
        <f>SUM(D14:D18)</f>
        <v>1099804</v>
      </c>
      <c r="F19" s="29"/>
      <c r="H19" s="5">
        <f>SUM(H14:H18)</f>
        <v>875536.03501072503</v>
      </c>
      <c r="L19" s="5">
        <f>SUM(L14:L18)</f>
        <v>663442.07162201474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96984</v>
      </c>
      <c r="F21" s="29"/>
      <c r="H21">
        <f>H12-H19</f>
        <v>321251.96498927497</v>
      </c>
      <c r="L21">
        <f>H23*L25</f>
        <v>8835.8098499999996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SH_wwRB!E23</f>
        <v>3944850</v>
      </c>
      <c r="F23" s="29">
        <f>H23-D23</f>
        <v>-3651301.5</v>
      </c>
      <c r="H23">
        <f>SH_wwRB!I23</f>
        <v>293548.5</v>
      </c>
      <c r="L23">
        <f>H23</f>
        <v>293548.5</v>
      </c>
      <c r="N23" t="str">
        <f>SH_wwRB!I4</f>
        <v>Page 4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2.4584965207802578E-2</v>
      </c>
      <c r="F25" s="29"/>
      <c r="L25" s="8">
        <f>SH_ROR!Q20</f>
        <v>3.0099999999999998E-2</v>
      </c>
      <c r="N25" t="s">
        <v>83</v>
      </c>
    </row>
    <row r="26" spans="1:14" x14ac:dyDescent="0.25">
      <c r="H26" s="59"/>
      <c r="L26" s="8"/>
    </row>
    <row r="27" spans="1:14" ht="18" x14ac:dyDescent="0.4">
      <c r="C27" s="4" t="s">
        <v>88</v>
      </c>
      <c r="J27" s="32"/>
      <c r="L27" s="8"/>
    </row>
    <row r="28" spans="1:14" x14ac:dyDescent="0.25">
      <c r="C28" t="s">
        <v>101</v>
      </c>
      <c r="J28" s="29"/>
    </row>
    <row r="29" spans="1:14" x14ac:dyDescent="0.25">
      <c r="L29" s="46"/>
    </row>
  </sheetData>
  <pageMargins left="0.7" right="0.7" top="0.75" bottom="0.75" header="0.3" footer="0.3"/>
  <pageSetup scale="77" orientation="portrait" horizontalDpi="0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opLeftCell="A14" workbookViewId="0">
      <selection activeCell="C37" sqref="C37"/>
    </sheetView>
  </sheetViews>
  <sheetFormatPr defaultRowHeight="15.75" x14ac:dyDescent="0.25"/>
  <cols>
    <col min="1" max="1" width="4.375" customWidth="1"/>
    <col min="2" max="2" width="1.625" customWidth="1"/>
    <col min="3" max="3" width="46.125" customWidth="1"/>
    <col min="4" max="4" width="11.125" customWidth="1"/>
    <col min="5" max="5" width="12.125" customWidth="1"/>
    <col min="6" max="6" width="1.375" customWidth="1"/>
    <col min="7" max="7" width="11.125" customWidth="1"/>
    <col min="8" max="8" width="5.25" customWidth="1"/>
    <col min="10" max="10" width="19" bestFit="1" customWidth="1"/>
  </cols>
  <sheetData>
    <row r="1" spans="1:8" x14ac:dyDescent="0.25">
      <c r="A1" t="str">
        <f>CL_wRR!A1</f>
        <v>Utilities, Inc. of Florida</v>
      </c>
      <c r="H1" s="33" t="str">
        <f>ExhDR11_SH!$E$1</f>
        <v>Docket No. 160101-WS</v>
      </c>
    </row>
    <row r="2" spans="1:8" x14ac:dyDescent="0.25">
      <c r="A2" t="s">
        <v>148</v>
      </c>
      <c r="H2" s="33" t="str">
        <f>ExhDR11_SH!$E$2</f>
        <v>Exhibit DMR-11</v>
      </c>
    </row>
    <row r="3" spans="1:8" x14ac:dyDescent="0.25">
      <c r="A3" t="str">
        <f>CL_wRR!A3</f>
        <v>Test Year Ended December 31, 2015</v>
      </c>
      <c r="H3" s="33" t="str">
        <f>ExhDR11_SH!$E$3</f>
        <v>Sandalhaven Revenue Requirement</v>
      </c>
    </row>
    <row r="4" spans="1:8" x14ac:dyDescent="0.25">
      <c r="G4" s="33" t="s">
        <v>80</v>
      </c>
      <c r="H4" s="33" t="str">
        <f>ExhDR11_SH!$E$4</f>
        <v>of 9</v>
      </c>
    </row>
    <row r="5" spans="1:8" x14ac:dyDescent="0.25">
      <c r="A5" t="s">
        <v>45</v>
      </c>
    </row>
    <row r="8" spans="1:8" x14ac:dyDescent="0.25">
      <c r="A8" t="s">
        <v>0</v>
      </c>
      <c r="G8" s="1"/>
    </row>
    <row r="9" spans="1:8" ht="18" x14ac:dyDescent="0.4">
      <c r="A9" s="3" t="s">
        <v>1</v>
      </c>
      <c r="C9" s="4" t="s">
        <v>2</v>
      </c>
      <c r="E9" s="2" t="s">
        <v>5</v>
      </c>
      <c r="F9" s="34"/>
      <c r="G9" t="s">
        <v>72</v>
      </c>
    </row>
    <row r="11" spans="1:8" ht="18" x14ac:dyDescent="0.4">
      <c r="C11" s="4" t="s">
        <v>73</v>
      </c>
    </row>
    <row r="12" spans="1:8" x14ac:dyDescent="0.25">
      <c r="A12">
        <v>1</v>
      </c>
    </row>
    <row r="13" spans="1:8" ht="16.5" thickBot="1" x14ac:dyDescent="0.3">
      <c r="A13">
        <v>2</v>
      </c>
      <c r="C13" t="s">
        <v>111</v>
      </c>
      <c r="E13" s="24">
        <f>SUM(E12:E12)</f>
        <v>0</v>
      </c>
      <c r="F13" s="26"/>
    </row>
    <row r="14" spans="1:8" ht="16.5" thickTop="1" x14ac:dyDescent="0.25">
      <c r="A14">
        <v>3</v>
      </c>
    </row>
    <row r="15" spans="1:8" ht="18" x14ac:dyDescent="0.4">
      <c r="A15">
        <v>4</v>
      </c>
      <c r="C15" s="4" t="s">
        <v>49</v>
      </c>
    </row>
    <row r="16" spans="1:8" x14ac:dyDescent="0.25">
      <c r="A16">
        <v>5</v>
      </c>
      <c r="C16" t="s">
        <v>223</v>
      </c>
    </row>
    <row r="17" spans="1:7" x14ac:dyDescent="0.25">
      <c r="A17">
        <v>6</v>
      </c>
      <c r="C17" t="s">
        <v>224</v>
      </c>
      <c r="E17">
        <f>ROUND(-45778*1.0375,0)</f>
        <v>-47495</v>
      </c>
      <c r="G17" t="s">
        <v>198</v>
      </c>
    </row>
    <row r="18" spans="1:7" x14ac:dyDescent="0.25">
      <c r="A18">
        <v>7</v>
      </c>
      <c r="C18" t="s">
        <v>225</v>
      </c>
      <c r="E18">
        <f>ROUND(-13284*1.0375,0)</f>
        <v>-13782</v>
      </c>
      <c r="G18" t="s">
        <v>198</v>
      </c>
    </row>
    <row r="19" spans="1:7" x14ac:dyDescent="0.25">
      <c r="A19">
        <v>8</v>
      </c>
      <c r="C19" t="s">
        <v>227</v>
      </c>
      <c r="E19" s="25">
        <v>-13455</v>
      </c>
      <c r="F19" s="25"/>
      <c r="G19" t="s">
        <v>198</v>
      </c>
    </row>
    <row r="20" spans="1:7" x14ac:dyDescent="0.25">
      <c r="A20">
        <v>9</v>
      </c>
      <c r="C20" t="s">
        <v>228</v>
      </c>
      <c r="E20">
        <v>-3145</v>
      </c>
      <c r="G20" t="s">
        <v>198</v>
      </c>
    </row>
    <row r="21" spans="1:7" x14ac:dyDescent="0.25">
      <c r="A21">
        <v>10</v>
      </c>
      <c r="C21" t="s">
        <v>256</v>
      </c>
      <c r="E21">
        <f>-13555-13570</f>
        <v>-27125</v>
      </c>
      <c r="G21" t="s">
        <v>198</v>
      </c>
    </row>
    <row r="22" spans="1:7" x14ac:dyDescent="0.25">
      <c r="A22">
        <v>11</v>
      </c>
      <c r="C22" t="s">
        <v>371</v>
      </c>
      <c r="E22">
        <v>-37384</v>
      </c>
      <c r="G22" t="s">
        <v>370</v>
      </c>
    </row>
    <row r="23" spans="1:7" x14ac:dyDescent="0.25">
      <c r="A23">
        <v>12</v>
      </c>
      <c r="C23" t="s">
        <v>378</v>
      </c>
      <c r="E23">
        <f>-(37383+120531)/4</f>
        <v>-39478.5</v>
      </c>
      <c r="G23" t="s">
        <v>379</v>
      </c>
    </row>
    <row r="24" spans="1:7" x14ac:dyDescent="0.25">
      <c r="A24">
        <v>13</v>
      </c>
      <c r="C24" t="s">
        <v>235</v>
      </c>
      <c r="E24" s="25">
        <f>SH_IandI!G17</f>
        <v>-28486</v>
      </c>
      <c r="F24" s="25"/>
      <c r="G24" t="str">
        <f>SH_IandI!G4</f>
        <v>Page 7</v>
      </c>
    </row>
    <row r="25" spans="1:7" x14ac:dyDescent="0.25">
      <c r="A25">
        <v>14</v>
      </c>
      <c r="C25" t="s">
        <v>293</v>
      </c>
      <c r="E25" s="25">
        <v>103</v>
      </c>
      <c r="F25" s="25"/>
      <c r="G25" t="s">
        <v>198</v>
      </c>
    </row>
    <row r="26" spans="1:7" x14ac:dyDescent="0.25">
      <c r="A26">
        <v>15</v>
      </c>
      <c r="C26" t="s">
        <v>290</v>
      </c>
      <c r="E26" s="25">
        <f>'WSC-Ins'!I20</f>
        <v>-502</v>
      </c>
      <c r="F26" s="25"/>
      <c r="G26" t="str">
        <f>'WSC-Ins'!J2</f>
        <v>Exhibit DMR-19</v>
      </c>
    </row>
    <row r="27" spans="1:7" x14ac:dyDescent="0.25">
      <c r="A27">
        <v>16</v>
      </c>
      <c r="C27" t="s">
        <v>291</v>
      </c>
      <c r="E27" s="5">
        <f>WSCs_Dep!I20</f>
        <v>-1589</v>
      </c>
      <c r="F27" s="5"/>
      <c r="G27" t="str">
        <f>WSCs_Dep!J2</f>
        <v>Exhibit DMR-20</v>
      </c>
    </row>
    <row r="28" spans="1:7" ht="16.5" thickBot="1" x14ac:dyDescent="0.3">
      <c r="A28">
        <v>17</v>
      </c>
      <c r="C28" t="s">
        <v>111</v>
      </c>
      <c r="E28" s="24">
        <f>SUM(E16:E27)</f>
        <v>-212338.5</v>
      </c>
      <c r="F28" s="26"/>
    </row>
    <row r="29" spans="1:7" ht="16.5" thickTop="1" x14ac:dyDescent="0.25">
      <c r="A29">
        <v>18</v>
      </c>
    </row>
    <row r="30" spans="1:7" ht="18" x14ac:dyDescent="0.4">
      <c r="A30">
        <v>19</v>
      </c>
      <c r="C30" s="4" t="s">
        <v>46</v>
      </c>
    </row>
    <row r="31" spans="1:7" x14ac:dyDescent="0.25">
      <c r="A31">
        <v>20</v>
      </c>
      <c r="C31" t="s">
        <v>630</v>
      </c>
      <c r="E31">
        <f>GIS_Proj!O18</f>
        <v>-1297</v>
      </c>
      <c r="G31" t="str">
        <f>GIS_Proj!O2</f>
        <v>Exhibit DMR-21</v>
      </c>
    </row>
    <row r="32" spans="1:7" x14ac:dyDescent="0.25">
      <c r="A32">
        <v>21</v>
      </c>
      <c r="C32" t="s">
        <v>608</v>
      </c>
      <c r="E32">
        <f>SH_Plant!I27</f>
        <v>-316</v>
      </c>
      <c r="G32" t="str">
        <f>SH_Plant!I4</f>
        <v>Page 9</v>
      </c>
    </row>
    <row r="33" spans="1:10" x14ac:dyDescent="0.25">
      <c r="A33">
        <v>22</v>
      </c>
      <c r="C33" t="s">
        <v>236</v>
      </c>
      <c r="E33">
        <f>SH_UandU!I38</f>
        <v>-157363</v>
      </c>
      <c r="G33" t="str">
        <f>SH_UandU!I4</f>
        <v>Page 8</v>
      </c>
    </row>
    <row r="34" spans="1:10" ht="16.5" thickBot="1" x14ac:dyDescent="0.3">
      <c r="A34">
        <v>23</v>
      </c>
      <c r="C34" t="s">
        <v>111</v>
      </c>
      <c r="E34" s="24">
        <f>SUM(E31:E33)</f>
        <v>-158976</v>
      </c>
      <c r="F34" s="26"/>
    </row>
    <row r="35" spans="1:10" ht="16.5" thickTop="1" x14ac:dyDescent="0.25">
      <c r="A35">
        <v>24</v>
      </c>
    </row>
    <row r="36" spans="1:10" ht="18" x14ac:dyDescent="0.4">
      <c r="A36">
        <v>25</v>
      </c>
      <c r="C36" s="4" t="s">
        <v>60</v>
      </c>
      <c r="J36" s="46"/>
    </row>
    <row r="37" spans="1:10" x14ac:dyDescent="0.25">
      <c r="A37">
        <v>26</v>
      </c>
      <c r="C37" s="40" t="s">
        <v>618</v>
      </c>
      <c r="E37">
        <f>ROUND((SH_wwRB!G12+SH_wwRB!G14+SH_wwRB!G16)*0.0161,0)</f>
        <v>-51819</v>
      </c>
      <c r="G37" s="6" t="s">
        <v>620</v>
      </c>
      <c r="J37" s="69"/>
    </row>
    <row r="38" spans="1:10" x14ac:dyDescent="0.25">
      <c r="A38">
        <v>27</v>
      </c>
      <c r="C38" s="40" t="s">
        <v>226</v>
      </c>
      <c r="E38">
        <f>ROUND(E17*0.0765,0)</f>
        <v>-3633</v>
      </c>
    </row>
    <row r="39" spans="1:10" x14ac:dyDescent="0.25">
      <c r="A39">
        <v>28</v>
      </c>
      <c r="C39" s="40" t="s">
        <v>89</v>
      </c>
      <c r="E39">
        <f>ROUND(E13*0.045,0)</f>
        <v>0</v>
      </c>
    </row>
    <row r="40" spans="1:10" ht="16.5" thickBot="1" x14ac:dyDescent="0.3">
      <c r="A40">
        <v>29</v>
      </c>
      <c r="C40" t="s">
        <v>111</v>
      </c>
      <c r="E40" s="24">
        <f>SUM(E37:E39)</f>
        <v>-55452</v>
      </c>
      <c r="F40" s="26"/>
    </row>
    <row r="41" spans="1:10" ht="16.5" thickTop="1" x14ac:dyDescent="0.25">
      <c r="A41">
        <v>30</v>
      </c>
    </row>
    <row r="42" spans="1:10" ht="18" x14ac:dyDescent="0.4">
      <c r="A42">
        <v>31</v>
      </c>
      <c r="C42" s="4" t="s">
        <v>79</v>
      </c>
    </row>
    <row r="43" spans="1:10" x14ac:dyDescent="0.25">
      <c r="A43">
        <v>32</v>
      </c>
      <c r="C43" s="40" t="s">
        <v>115</v>
      </c>
      <c r="E43">
        <f>SH_wwRB!G23*0.0305*-0.3763</f>
        <v>41906.535010725005</v>
      </c>
    </row>
    <row r="44" spans="1:10" x14ac:dyDescent="0.25">
      <c r="A44">
        <v>33</v>
      </c>
      <c r="C44" s="40" t="s">
        <v>90</v>
      </c>
      <c r="E44">
        <f>ROUND((E13-E28-E34-E40)*0.3763,0)</f>
        <v>160592</v>
      </c>
    </row>
    <row r="45" spans="1:10" ht="16.5" thickBot="1" x14ac:dyDescent="0.3">
      <c r="C45" t="s">
        <v>111</v>
      </c>
      <c r="E45" s="24">
        <f>SUM(E43:E44)</f>
        <v>202498.535010725</v>
      </c>
      <c r="F45" s="26"/>
    </row>
    <row r="46" spans="1:10" ht="16.5" thickTop="1" x14ac:dyDescent="0.25"/>
    <row r="47" spans="1:10" x14ac:dyDescent="0.25">
      <c r="C47" s="6" t="s">
        <v>152</v>
      </c>
    </row>
    <row r="48" spans="1:10" x14ac:dyDescent="0.25">
      <c r="C48" t="s">
        <v>116</v>
      </c>
    </row>
  </sheetData>
  <pageMargins left="0.7" right="0.7" top="0.75" bottom="0.75" header="0.3" footer="0.3"/>
  <pageSetup scale="83" orientation="portrait" horizontalDpi="0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G16" sqref="G16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5.5" customWidth="1"/>
    <col min="5" max="5" width="14.125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4.875" customWidth="1"/>
  </cols>
  <sheetData>
    <row r="1" spans="1:10" x14ac:dyDescent="0.25">
      <c r="A1" t="str">
        <f>CL_wRR!A1</f>
        <v>Utilities, Inc. of Florida</v>
      </c>
      <c r="H1" s="10"/>
      <c r="J1" s="33" t="str">
        <f>ExhDR11_SH!$E$1</f>
        <v>Docket No. 160101-WS</v>
      </c>
    </row>
    <row r="2" spans="1:10" x14ac:dyDescent="0.25">
      <c r="A2" t="s">
        <v>148</v>
      </c>
      <c r="H2" s="10"/>
      <c r="I2" s="10"/>
      <c r="J2" s="33" t="str">
        <f>ExhDR11_SH!$E$2</f>
        <v>Exhibit DMR-11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ExhDR11_SH!$E$3</f>
        <v>Sandalhaven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81</v>
      </c>
      <c r="J4" s="33" t="str">
        <f>ExhDR11_SH!$E$4</f>
        <v>of 9</v>
      </c>
    </row>
    <row r="5" spans="1:10" x14ac:dyDescent="0.25">
      <c r="A5" s="27" t="s">
        <v>78</v>
      </c>
      <c r="B5" s="10"/>
      <c r="C5" s="10"/>
      <c r="D5" s="10"/>
      <c r="E5" s="10"/>
      <c r="F5" s="10"/>
      <c r="G5" s="10"/>
      <c r="H5" s="10"/>
      <c r="I5" s="10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8" x14ac:dyDescent="0.4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25">
      <c r="A12" s="10">
        <v>1</v>
      </c>
      <c r="B12" s="10"/>
      <c r="C12" s="11" t="s">
        <v>33</v>
      </c>
      <c r="D12" s="10"/>
      <c r="E12" s="10">
        <v>7720449</v>
      </c>
      <c r="F12" s="10"/>
      <c r="G12" s="10">
        <f>SH_RBadj!F15</f>
        <v>-9730.5</v>
      </c>
      <c r="H12" s="10"/>
      <c r="I12" s="10">
        <f>SUM(E12:G12)</f>
        <v>7710718.5</v>
      </c>
    </row>
    <row r="13" spans="1:10" x14ac:dyDescent="0.25">
      <c r="A13" s="10">
        <v>2</v>
      </c>
      <c r="B13" s="10"/>
      <c r="C13" s="11" t="s">
        <v>34</v>
      </c>
      <c r="D13" s="10"/>
      <c r="E13" s="10">
        <v>167477</v>
      </c>
      <c r="F13" s="10"/>
      <c r="G13" s="10"/>
      <c r="H13" s="10"/>
      <c r="I13" s="10">
        <f t="shared" ref="I13:I21" si="0">SUM(E13:G13)</f>
        <v>167477</v>
      </c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>
        <f>SH_RBadj!F19</f>
        <v>-3013376</v>
      </c>
      <c r="H14" s="10"/>
      <c r="I14" s="10">
        <f t="shared" si="0"/>
        <v>-3013376</v>
      </c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25">
      <c r="A16" s="10">
        <v>5</v>
      </c>
      <c r="B16" s="10"/>
      <c r="C16" s="11" t="s">
        <v>37</v>
      </c>
      <c r="D16" s="10"/>
      <c r="E16" s="27">
        <v>-2825235</v>
      </c>
      <c r="F16" s="10"/>
      <c r="G16" s="10">
        <f>-SH_RBadj!F25</f>
        <v>-195495</v>
      </c>
      <c r="H16" s="10"/>
      <c r="I16" s="10">
        <f t="shared" si="0"/>
        <v>-3020730</v>
      </c>
    </row>
    <row r="17" spans="1:9" x14ac:dyDescent="0.25">
      <c r="A17" s="10">
        <v>6</v>
      </c>
      <c r="B17" s="10"/>
      <c r="C17" s="11" t="s">
        <v>38</v>
      </c>
      <c r="D17" s="10"/>
      <c r="E17" s="10">
        <v>-2230624</v>
      </c>
      <c r="F17" s="10"/>
      <c r="G17" s="10"/>
      <c r="H17" s="10"/>
      <c r="I17" s="10">
        <f t="shared" si="0"/>
        <v>-2230624</v>
      </c>
    </row>
    <row r="18" spans="1:9" x14ac:dyDescent="0.25">
      <c r="A18" s="10">
        <v>7</v>
      </c>
      <c r="B18" s="10"/>
      <c r="C18" s="11" t="s">
        <v>39</v>
      </c>
      <c r="D18" s="10"/>
      <c r="E18" s="10">
        <v>636102</v>
      </c>
      <c r="F18" s="10"/>
      <c r="G18" s="10"/>
      <c r="H18" s="10"/>
      <c r="I18" s="10">
        <f t="shared" si="0"/>
        <v>636102</v>
      </c>
    </row>
    <row r="19" spans="1:9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25">
      <c r="A21" s="10">
        <v>10</v>
      </c>
      <c r="B21" s="10"/>
      <c r="C21" s="11" t="s">
        <v>40</v>
      </c>
      <c r="D21" s="10"/>
      <c r="E21" s="28">
        <v>476681</v>
      </c>
      <c r="F21" s="10"/>
      <c r="G21" s="17">
        <f>SH_RBadj!F30</f>
        <v>-432700</v>
      </c>
      <c r="H21" s="10"/>
      <c r="I21" s="17">
        <f t="shared" si="0"/>
        <v>43981</v>
      </c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5" thickBot="1" x14ac:dyDescent="0.3">
      <c r="A23" s="10">
        <v>11</v>
      </c>
      <c r="B23" s="10"/>
      <c r="C23" s="11" t="s">
        <v>41</v>
      </c>
      <c r="D23" s="10"/>
      <c r="E23" s="18">
        <f>SUM(E12:E21)</f>
        <v>3944850</v>
      </c>
      <c r="F23" s="10"/>
      <c r="G23" s="18">
        <f>SUM(G12:G21)</f>
        <v>-3651301.5</v>
      </c>
      <c r="H23" s="10"/>
      <c r="I23" s="18">
        <f>SUM(I12:I22)</f>
        <v>293548.5</v>
      </c>
    </row>
    <row r="24" spans="1:9" ht="16.5" thickTop="1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8" x14ac:dyDescent="0.4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25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27" t="s">
        <v>112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4" orientation="portrait" horizontalDpi="0" verticalDpi="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opLeftCell="A2" workbookViewId="0">
      <selection activeCell="F23" sqref="F23"/>
    </sheetView>
  </sheetViews>
  <sheetFormatPr defaultRowHeight="15.75" x14ac:dyDescent="0.25"/>
  <cols>
    <col min="1" max="1" width="4.25" customWidth="1"/>
    <col min="2" max="2" width="1.375" customWidth="1"/>
    <col min="3" max="3" width="35.125" customWidth="1"/>
    <col min="4" max="4" width="7" customWidth="1"/>
    <col min="5" max="5" width="8.375" customWidth="1"/>
    <col min="6" max="6" width="14.625" customWidth="1"/>
    <col min="7" max="7" width="1.125" customWidth="1"/>
    <col min="8" max="8" width="16.25" customWidth="1"/>
    <col min="9" max="9" width="4.5" customWidth="1"/>
    <col min="12" max="13" width="9.25" bestFit="1" customWidth="1"/>
  </cols>
  <sheetData>
    <row r="1" spans="1:9" x14ac:dyDescent="0.25">
      <c r="A1" t="str">
        <f>CL_wRR!A1</f>
        <v>Utilities, Inc. of Florida</v>
      </c>
      <c r="I1" s="33" t="str">
        <f>ExhDR11_SH!$E$1</f>
        <v>Docket No. 160101-WS</v>
      </c>
    </row>
    <row r="2" spans="1:9" x14ac:dyDescent="0.25">
      <c r="A2" t="s">
        <v>148</v>
      </c>
      <c r="I2" s="33" t="str">
        <f>ExhDR11_SH!$E$2</f>
        <v>Exhibit DMR-11</v>
      </c>
    </row>
    <row r="3" spans="1:9" x14ac:dyDescent="0.25">
      <c r="A3" t="str">
        <f>CL_wRR!A3</f>
        <v>Test Year Ended December 31, 2015</v>
      </c>
      <c r="I3" s="33" t="str">
        <f>ExhDR11_SH!$E$3</f>
        <v>Sandalhaven Revenue Requirement</v>
      </c>
    </row>
    <row r="4" spans="1:9" x14ac:dyDescent="0.25">
      <c r="H4" s="33" t="s">
        <v>82</v>
      </c>
      <c r="I4" s="33" t="str">
        <f>ExhDR11_SH!$E$4</f>
        <v>of 9</v>
      </c>
    </row>
    <row r="5" spans="1:9" x14ac:dyDescent="0.25">
      <c r="A5" t="s">
        <v>42</v>
      </c>
    </row>
    <row r="7" spans="1:9" x14ac:dyDescent="0.25">
      <c r="H7" s="1"/>
    </row>
    <row r="8" spans="1:9" x14ac:dyDescent="0.25">
      <c r="A8" t="s">
        <v>0</v>
      </c>
      <c r="H8" s="1"/>
    </row>
    <row r="9" spans="1:9" x14ac:dyDescent="0.25">
      <c r="A9" s="3" t="s">
        <v>1</v>
      </c>
      <c r="C9" s="9" t="s">
        <v>2</v>
      </c>
      <c r="F9" s="2" t="s">
        <v>5</v>
      </c>
      <c r="G9" s="34"/>
      <c r="H9" s="40" t="s">
        <v>23</v>
      </c>
    </row>
    <row r="11" spans="1:9" ht="18" x14ac:dyDescent="0.4">
      <c r="C11" s="4" t="s">
        <v>44</v>
      </c>
    </row>
    <row r="12" spans="1:9" x14ac:dyDescent="0.25">
      <c r="A12">
        <v>1</v>
      </c>
      <c r="C12" t="s">
        <v>630</v>
      </c>
      <c r="F12">
        <f>GIS_Proj!K18</f>
        <v>-7779</v>
      </c>
      <c r="H12" t="str">
        <f>GIS_Proj!O2</f>
        <v>Exhibit DMR-21</v>
      </c>
    </row>
    <row r="13" spans="1:9" x14ac:dyDescent="0.25">
      <c r="A13">
        <v>2</v>
      </c>
      <c r="C13" t="s">
        <v>608</v>
      </c>
      <c r="F13">
        <f>SH_Plant!I18</f>
        <v>-9491.5</v>
      </c>
      <c r="H13" t="str">
        <f>SH_Plant!I4</f>
        <v>Page 9</v>
      </c>
    </row>
    <row r="14" spans="1:9" x14ac:dyDescent="0.25">
      <c r="A14" s="19">
        <v>3</v>
      </c>
      <c r="B14" s="19"/>
      <c r="C14" t="s">
        <v>605</v>
      </c>
      <c r="F14">
        <v>-239</v>
      </c>
      <c r="H14" t="s">
        <v>198</v>
      </c>
    </row>
    <row r="15" spans="1:9" ht="16.5" thickBot="1" x14ac:dyDescent="0.3">
      <c r="A15" s="19">
        <v>4</v>
      </c>
      <c r="B15" s="19"/>
      <c r="C15" t="s">
        <v>48</v>
      </c>
      <c r="F15" s="24">
        <f>SUM(F13:F14)</f>
        <v>-9730.5</v>
      </c>
      <c r="G15" s="26"/>
    </row>
    <row r="16" spans="1:9" ht="16.5" thickTop="1" x14ac:dyDescent="0.25">
      <c r="A16">
        <v>5</v>
      </c>
      <c r="B16" s="19"/>
      <c r="C16" s="19"/>
      <c r="D16" s="19"/>
      <c r="E16" s="19"/>
      <c r="F16" s="19"/>
      <c r="G16" s="19"/>
    </row>
    <row r="17" spans="1:8" ht="18" x14ac:dyDescent="0.4">
      <c r="A17">
        <v>6</v>
      </c>
      <c r="B17" s="19"/>
      <c r="C17" s="21" t="s">
        <v>58</v>
      </c>
      <c r="D17" s="19"/>
      <c r="E17" s="19"/>
      <c r="F17" s="19"/>
      <c r="G17" s="19"/>
    </row>
    <row r="18" spans="1:8" x14ac:dyDescent="0.25">
      <c r="A18" s="19">
        <v>7</v>
      </c>
      <c r="B18" s="19"/>
      <c r="C18" t="s">
        <v>313</v>
      </c>
      <c r="D18" s="19"/>
      <c r="E18" s="19"/>
      <c r="F18" s="19">
        <f>SH_UandU!G36</f>
        <v>-3013376</v>
      </c>
      <c r="G18" s="19"/>
      <c r="H18" t="str">
        <f>SH_UandU!I4</f>
        <v>Page 8</v>
      </c>
    </row>
    <row r="19" spans="1:8" ht="16.5" thickBot="1" x14ac:dyDescent="0.3">
      <c r="A19" s="19">
        <v>8</v>
      </c>
      <c r="B19" s="19"/>
      <c r="C19" t="s">
        <v>59</v>
      </c>
      <c r="D19" s="19"/>
      <c r="E19" s="19"/>
      <c r="F19" s="23">
        <f>SUM(F18:F18)</f>
        <v>-3013376</v>
      </c>
      <c r="G19" s="39"/>
    </row>
    <row r="20" spans="1:8" ht="16.5" thickTop="1" x14ac:dyDescent="0.25">
      <c r="A20">
        <v>9</v>
      </c>
      <c r="B20" s="19"/>
      <c r="C20" s="19"/>
      <c r="D20" s="19"/>
      <c r="E20" s="19"/>
      <c r="F20" s="19"/>
      <c r="G20" s="19"/>
    </row>
    <row r="21" spans="1:8" ht="18" x14ac:dyDescent="0.4">
      <c r="A21">
        <v>10</v>
      </c>
      <c r="B21" s="19"/>
      <c r="C21" s="21" t="s">
        <v>43</v>
      </c>
      <c r="D21" s="19"/>
      <c r="E21" s="19"/>
      <c r="F21" s="19"/>
      <c r="G21" s="19"/>
    </row>
    <row r="22" spans="1:8" x14ac:dyDescent="0.25">
      <c r="A22" s="19">
        <v>11</v>
      </c>
      <c r="B22" s="19"/>
      <c r="C22" t="s">
        <v>630</v>
      </c>
      <c r="F22">
        <f>SH_NOIadj!E31*0.5</f>
        <v>-648.5</v>
      </c>
    </row>
    <row r="23" spans="1:8" x14ac:dyDescent="0.25">
      <c r="A23" s="19">
        <v>12</v>
      </c>
      <c r="B23" s="19"/>
      <c r="C23" t="s">
        <v>608</v>
      </c>
      <c r="F23">
        <f>SH_Plant!I24</f>
        <v>26601.5</v>
      </c>
      <c r="H23" t="str">
        <f>SH_Plant!I4</f>
        <v>Page 9</v>
      </c>
    </row>
    <row r="24" spans="1:8" x14ac:dyDescent="0.25">
      <c r="A24">
        <v>13</v>
      </c>
      <c r="B24" s="19"/>
      <c r="C24" s="90" t="s">
        <v>604</v>
      </c>
      <c r="D24" s="19"/>
      <c r="E24" s="19"/>
      <c r="F24" s="19">
        <v>169542</v>
      </c>
      <c r="G24" s="19"/>
      <c r="H24" t="s">
        <v>198</v>
      </c>
    </row>
    <row r="25" spans="1:8" ht="16.5" thickBot="1" x14ac:dyDescent="0.3">
      <c r="A25">
        <v>14</v>
      </c>
      <c r="B25" s="19"/>
      <c r="C25" s="20" t="s">
        <v>47</v>
      </c>
      <c r="D25" s="19"/>
      <c r="E25" s="19"/>
      <c r="F25" s="23">
        <f>SUM(F22:F24)</f>
        <v>195495</v>
      </c>
      <c r="G25" s="39"/>
    </row>
    <row r="26" spans="1:8" ht="16.5" thickTop="1" x14ac:dyDescent="0.25">
      <c r="A26" s="19">
        <v>15</v>
      </c>
      <c r="B26" s="19"/>
      <c r="C26" s="20"/>
      <c r="D26" s="19"/>
      <c r="E26" s="19"/>
      <c r="F26" s="19"/>
      <c r="G26" s="19"/>
    </row>
    <row r="27" spans="1:8" ht="18" x14ac:dyDescent="0.4">
      <c r="A27">
        <v>16</v>
      </c>
      <c r="B27" s="19"/>
      <c r="C27" s="21" t="s">
        <v>51</v>
      </c>
      <c r="D27" s="19"/>
      <c r="E27" s="19"/>
      <c r="F27" s="19"/>
      <c r="G27" s="19"/>
    </row>
    <row r="28" spans="1:8" x14ac:dyDescent="0.25">
      <c r="A28" s="19">
        <v>17</v>
      </c>
      <c r="C28" s="31" t="s">
        <v>294</v>
      </c>
      <c r="D28" s="19"/>
      <c r="E28" s="19"/>
      <c r="F28" s="19">
        <f>-389275-43425</f>
        <v>-432700</v>
      </c>
      <c r="G28" s="19"/>
      <c r="H28" t="s">
        <v>198</v>
      </c>
    </row>
    <row r="29" spans="1:8" x14ac:dyDescent="0.25">
      <c r="A29" s="19">
        <v>18</v>
      </c>
      <c r="C29" s="19"/>
      <c r="D29" s="19"/>
      <c r="E29" s="19"/>
      <c r="F29" s="22"/>
      <c r="G29" s="39"/>
    </row>
    <row r="30" spans="1:8" ht="16.5" thickBot="1" x14ac:dyDescent="0.3">
      <c r="A30">
        <v>19</v>
      </c>
      <c r="C30" s="20" t="s">
        <v>52</v>
      </c>
      <c r="D30" s="19"/>
      <c r="E30" s="19"/>
      <c r="F30" s="23">
        <f>SUM(F28:F29)</f>
        <v>-432700</v>
      </c>
      <c r="G30" s="39"/>
    </row>
    <row r="31" spans="1:8" ht="16.5" thickTop="1" x14ac:dyDescent="0.25"/>
  </sheetData>
  <pageMargins left="0.7" right="0.7" top="0.75" bottom="0.75" header="0.3" footer="0.3"/>
  <pageSetup scale="91" orientation="portrait" horizontalDpi="0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workbookViewId="0">
      <selection activeCell="I19" sqref="I19"/>
    </sheetView>
  </sheetViews>
  <sheetFormatPr defaultRowHeight="15.75" x14ac:dyDescent="0.25"/>
  <cols>
    <col min="1" max="1" width="4.25" customWidth="1"/>
    <col min="2" max="2" width="1.375" customWidth="1"/>
    <col min="3" max="3" width="20.5" customWidth="1"/>
    <col min="4" max="4" width="1.125" customWidth="1"/>
    <col min="5" max="5" width="10.875" customWidth="1"/>
    <col min="6" max="6" width="1.125" customWidth="1"/>
    <col min="7" max="7" width="9.625" customWidth="1"/>
    <col min="8" max="8" width="1.125" customWidth="1"/>
    <col min="9" max="9" width="11.625" customWidth="1"/>
    <col min="10" max="10" width="0.75" customWidth="1"/>
    <col min="11" max="11" width="11.125" customWidth="1"/>
    <col min="12" max="12" width="0.75" customWidth="1"/>
    <col min="13" max="13" width="9.625" customWidth="1"/>
    <col min="14" max="14" width="0.75" customWidth="1"/>
    <col min="15" max="15" width="9.75" customWidth="1"/>
    <col min="16" max="16" width="0.75" customWidth="1"/>
    <col min="17" max="17" width="10" customWidth="1"/>
    <col min="18" max="18" width="4.5" customWidth="1"/>
  </cols>
  <sheetData>
    <row r="1" spans="1:18" x14ac:dyDescent="0.25">
      <c r="A1" t="str">
        <f>CL_wRR!A1</f>
        <v>Utilities, Inc. of Florida</v>
      </c>
      <c r="R1" s="33" t="str">
        <f>ExhDR11_SH!$E$1</f>
        <v>Docket No. 160101-WS</v>
      </c>
    </row>
    <row r="2" spans="1:18" x14ac:dyDescent="0.25">
      <c r="A2" t="s">
        <v>148</v>
      </c>
      <c r="R2" s="33" t="str">
        <f>ExhDR11_SH!$E$2</f>
        <v>Exhibit DMR-11</v>
      </c>
    </row>
    <row r="3" spans="1:18" x14ac:dyDescent="0.25">
      <c r="A3" t="str">
        <f>CL_wRR!A3</f>
        <v>Test Year Ended December 31, 2015</v>
      </c>
      <c r="R3" s="33" t="str">
        <f>ExhDR11_SH!$E$3</f>
        <v>Sandalhaven Revenue Requirement</v>
      </c>
    </row>
    <row r="4" spans="1:18" x14ac:dyDescent="0.25">
      <c r="Q4" s="33" t="s">
        <v>83</v>
      </c>
      <c r="R4" s="33" t="str">
        <f>ExhDR11_SH!$E$4</f>
        <v>of 9</v>
      </c>
    </row>
    <row r="5" spans="1:18" x14ac:dyDescent="0.25">
      <c r="A5" t="s">
        <v>199</v>
      </c>
    </row>
    <row r="8" spans="1:18" x14ac:dyDescent="0.25">
      <c r="Q8" s="1" t="s">
        <v>8</v>
      </c>
    </row>
    <row r="9" spans="1:18" x14ac:dyDescent="0.25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8" x14ac:dyDescent="0.4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25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25">
      <c r="A13">
        <v>1</v>
      </c>
      <c r="C13" t="s">
        <v>206</v>
      </c>
      <c r="E13">
        <v>1739914</v>
      </c>
      <c r="G13" s="64">
        <f>E13/$E$20</f>
        <v>0.44105960936410765</v>
      </c>
      <c r="I13">
        <f>K13-E13</f>
        <v>-1691377.9938141063</v>
      </c>
      <c r="K13">
        <f>($K$20-$K$16-$K$17-$K$18)*(E13/SUM($E$13:$E$15))</f>
        <v>48536.006185893682</v>
      </c>
      <c r="M13" s="64">
        <f>K13/$K$20</f>
        <v>0.16534237506202104</v>
      </c>
      <c r="O13" s="64">
        <v>6.7000000000000004E-2</v>
      </c>
      <c r="P13" s="8"/>
      <c r="Q13" s="64">
        <f>M13*O13</f>
        <v>1.1077939129155411E-2</v>
      </c>
    </row>
    <row r="14" spans="1:18" x14ac:dyDescent="0.25">
      <c r="A14">
        <v>2</v>
      </c>
      <c r="C14" t="s">
        <v>207</v>
      </c>
      <c r="E14">
        <v>165241</v>
      </c>
      <c r="G14" s="64">
        <f t="shared" ref="G14:G18" si="0">E14/$E$20</f>
        <v>4.1887777735528597E-2</v>
      </c>
      <c r="I14">
        <f t="shared" ref="I14:I15" si="1">K14-E14</f>
        <v>-160631.49734747622</v>
      </c>
      <c r="K14">
        <f t="shared" ref="K14:K15" si="2">($K$20-$K$16-$K$17-$K$18)*(E14/SUM($E$13:$E$15))</f>
        <v>4609.502652523779</v>
      </c>
      <c r="M14" s="64">
        <f t="shared" ref="M14:M18" si="3">K14/$K$20</f>
        <v>1.570269530426413E-2</v>
      </c>
      <c r="O14" s="8">
        <v>2.3199999999999998E-2</v>
      </c>
      <c r="P14" s="8"/>
      <c r="Q14" s="64">
        <f t="shared" ref="Q14:Q18" si="4">M14*O14</f>
        <v>3.6430253105892779E-4</v>
      </c>
    </row>
    <row r="15" spans="1:18" x14ac:dyDescent="0.25">
      <c r="A15">
        <v>3</v>
      </c>
      <c r="C15" t="s">
        <v>208</v>
      </c>
      <c r="E15">
        <v>1850325</v>
      </c>
      <c r="G15" s="64">
        <f t="shared" si="0"/>
        <v>0.46904825278527701</v>
      </c>
      <c r="I15">
        <f t="shared" si="1"/>
        <v>-1798709.0088384175</v>
      </c>
      <c r="K15">
        <f t="shared" si="2"/>
        <v>51615.99116158254</v>
      </c>
      <c r="M15" s="64">
        <f t="shared" si="3"/>
        <v>0.17583462753712772</v>
      </c>
      <c r="O15" s="8">
        <v>0.104</v>
      </c>
      <c r="P15" s="8"/>
      <c r="Q15" s="64">
        <f t="shared" si="4"/>
        <v>1.8286801263861282E-2</v>
      </c>
    </row>
    <row r="16" spans="1:18" x14ac:dyDescent="0.25">
      <c r="A16">
        <v>4</v>
      </c>
      <c r="C16" t="s">
        <v>209</v>
      </c>
      <c r="E16">
        <v>5426</v>
      </c>
      <c r="G16" s="64">
        <f t="shared" si="0"/>
        <v>1.375464212834455E-3</v>
      </c>
      <c r="K16">
        <f>E16+I16</f>
        <v>5426</v>
      </c>
      <c r="M16" s="64">
        <f t="shared" si="3"/>
        <v>1.8484168714880164E-2</v>
      </c>
      <c r="O16" s="8">
        <v>0.02</v>
      </c>
      <c r="P16" s="8"/>
      <c r="Q16" s="64">
        <f t="shared" si="4"/>
        <v>3.6968337429760332E-4</v>
      </c>
    </row>
    <row r="17" spans="1:17" x14ac:dyDescent="0.25">
      <c r="A17">
        <v>5</v>
      </c>
      <c r="C17" t="s">
        <v>210</v>
      </c>
      <c r="E17">
        <v>0</v>
      </c>
      <c r="G17" s="64">
        <f t="shared" si="0"/>
        <v>0</v>
      </c>
      <c r="K17">
        <f>E17+I17</f>
        <v>0</v>
      </c>
      <c r="M17" s="64">
        <f t="shared" si="3"/>
        <v>0</v>
      </c>
      <c r="O17" s="8">
        <v>0</v>
      </c>
      <c r="P17" s="8"/>
      <c r="Q17" s="64">
        <f t="shared" si="4"/>
        <v>0</v>
      </c>
    </row>
    <row r="18" spans="1:17" x14ac:dyDescent="0.25">
      <c r="A18">
        <v>6</v>
      </c>
      <c r="C18" t="s">
        <v>211</v>
      </c>
      <c r="E18" s="3">
        <v>183944</v>
      </c>
      <c r="G18" s="68">
        <f t="shared" si="0"/>
        <v>4.6628895902252304E-2</v>
      </c>
      <c r="I18">
        <v>-583</v>
      </c>
      <c r="K18" s="3">
        <f>E18+I18</f>
        <v>183361</v>
      </c>
      <c r="M18" s="68">
        <f t="shared" si="3"/>
        <v>0.62463613338170698</v>
      </c>
      <c r="O18" s="8">
        <v>0</v>
      </c>
      <c r="P18" s="8"/>
      <c r="Q18" s="68">
        <f t="shared" si="4"/>
        <v>0</v>
      </c>
    </row>
    <row r="20" spans="1:17" ht="16.5" thickBot="1" x14ac:dyDescent="0.3">
      <c r="A20">
        <v>7</v>
      </c>
      <c r="C20" t="s">
        <v>189</v>
      </c>
      <c r="E20">
        <f>SUM(E13:E19)</f>
        <v>3944850</v>
      </c>
      <c r="G20" s="8">
        <f>SUM(G13:G19)</f>
        <v>0.99999999999999989</v>
      </c>
      <c r="K20">
        <f>SH_wwRB!I23</f>
        <v>293548.5</v>
      </c>
      <c r="M20" s="8">
        <f>SUM(M13:M19)</f>
        <v>1</v>
      </c>
      <c r="Q20" s="71">
        <f>ROUND(SUM(Q13:Q19),4)</f>
        <v>3.0099999999999998E-2</v>
      </c>
    </row>
    <row r="21" spans="1:17" ht="16.5" thickTop="1" x14ac:dyDescent="0.25"/>
    <row r="22" spans="1:17" ht="18" x14ac:dyDescent="0.4">
      <c r="C22" s="4" t="s">
        <v>50</v>
      </c>
    </row>
    <row r="23" spans="1:17" x14ac:dyDescent="0.25">
      <c r="C23" t="s">
        <v>217</v>
      </c>
    </row>
    <row r="24" spans="1:17" x14ac:dyDescent="0.25">
      <c r="C24" t="s">
        <v>220</v>
      </c>
    </row>
    <row r="25" spans="1:17" x14ac:dyDescent="0.25">
      <c r="C25" t="s">
        <v>621</v>
      </c>
    </row>
  </sheetData>
  <pageMargins left="0.7" right="0.7" top="0.75" bottom="0.75" header="0.3" footer="0.3"/>
  <pageSetup scale="77" orientation="portrait" horizontalDpi="0" verticalDpi="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selection activeCell="C30" sqref="C30"/>
    </sheetView>
  </sheetViews>
  <sheetFormatPr defaultRowHeight="15.75" x14ac:dyDescent="0.25"/>
  <cols>
    <col min="1" max="1" width="4.25" customWidth="1"/>
    <col min="2" max="2" width="1.375" customWidth="1"/>
    <col min="3" max="3" width="36.875" customWidth="1"/>
    <col min="4" max="6" width="7" customWidth="1"/>
    <col min="7" max="7" width="11.125" customWidth="1"/>
    <col min="8" max="8" width="4.5" customWidth="1"/>
  </cols>
  <sheetData>
    <row r="1" spans="1:8" x14ac:dyDescent="0.25">
      <c r="A1" t="str">
        <f>CL_wRR!A1</f>
        <v>Utilities, Inc. of Florida</v>
      </c>
      <c r="H1" s="33" t="str">
        <f>ExhDR11_SH!$E$1</f>
        <v>Docket No. 160101-WS</v>
      </c>
    </row>
    <row r="2" spans="1:8" x14ac:dyDescent="0.25">
      <c r="A2" t="s">
        <v>148</v>
      </c>
      <c r="H2" s="33" t="str">
        <f>ExhDR11_SH!$E$2</f>
        <v>Exhibit DMR-11</v>
      </c>
    </row>
    <row r="3" spans="1:8" x14ac:dyDescent="0.25">
      <c r="A3" t="str">
        <f>CL_wRR!A3</f>
        <v>Test Year Ended December 31, 2015</v>
      </c>
      <c r="H3" s="33" t="str">
        <f>ExhDR11_SH!$E$3</f>
        <v>Sandalhaven Revenue Requirement</v>
      </c>
    </row>
    <row r="4" spans="1:8" x14ac:dyDescent="0.25">
      <c r="G4" s="33" t="s">
        <v>87</v>
      </c>
      <c r="H4" s="33" t="str">
        <f>ExhDR11_SH!$E$4</f>
        <v>of 9</v>
      </c>
    </row>
    <row r="5" spans="1:8" x14ac:dyDescent="0.25">
      <c r="A5" t="s">
        <v>197</v>
      </c>
    </row>
    <row r="7" spans="1:8" x14ac:dyDescent="0.25">
      <c r="G7" s="1"/>
    </row>
    <row r="8" spans="1:8" x14ac:dyDescent="0.25">
      <c r="A8" t="s">
        <v>0</v>
      </c>
      <c r="G8" s="1"/>
    </row>
    <row r="9" spans="1:8" x14ac:dyDescent="0.25">
      <c r="A9" s="3" t="s">
        <v>1</v>
      </c>
      <c r="C9" s="9" t="s">
        <v>2</v>
      </c>
      <c r="G9" s="2" t="s">
        <v>5</v>
      </c>
    </row>
    <row r="11" spans="1:8" x14ac:dyDescent="0.25">
      <c r="A11">
        <v>1</v>
      </c>
      <c r="C11" t="s">
        <v>229</v>
      </c>
      <c r="G11">
        <v>17939</v>
      </c>
    </row>
    <row r="12" spans="1:8" x14ac:dyDescent="0.25">
      <c r="A12">
        <v>2</v>
      </c>
      <c r="C12" t="s">
        <v>248</v>
      </c>
      <c r="G12" s="3">
        <f>G22</f>
        <v>322396</v>
      </c>
    </row>
    <row r="14" spans="1:8" x14ac:dyDescent="0.25">
      <c r="A14">
        <v>3</v>
      </c>
      <c r="C14" t="s">
        <v>110</v>
      </c>
      <c r="G14">
        <f>SUM(G11:G13)</f>
        <v>340335</v>
      </c>
    </row>
    <row r="15" spans="1:8" x14ac:dyDescent="0.25">
      <c r="A15">
        <v>4</v>
      </c>
      <c r="C15" t="s">
        <v>230</v>
      </c>
      <c r="G15" s="68">
        <v>8.3699999999999997E-2</v>
      </c>
    </row>
    <row r="17" spans="1:7" ht="16.5" thickBot="1" x14ac:dyDescent="0.3">
      <c r="A17">
        <v>5</v>
      </c>
      <c r="C17" t="s">
        <v>231</v>
      </c>
      <c r="G17" s="70">
        <f>-ROUND(G14*G15,0)</f>
        <v>-28486</v>
      </c>
    </row>
    <row r="18" spans="1:7" ht="16.5" thickTop="1" x14ac:dyDescent="0.25"/>
    <row r="19" spans="1:7" x14ac:dyDescent="0.25">
      <c r="C19" s="3" t="s">
        <v>252</v>
      </c>
      <c r="D19" s="3"/>
      <c r="E19" s="3"/>
    </row>
    <row r="20" spans="1:7" x14ac:dyDescent="0.25">
      <c r="A20" t="s">
        <v>249</v>
      </c>
      <c r="C20" s="5" t="s">
        <v>253</v>
      </c>
      <c r="G20">
        <v>349521</v>
      </c>
    </row>
    <row r="21" spans="1:7" x14ac:dyDescent="0.25">
      <c r="A21" t="s">
        <v>250</v>
      </c>
      <c r="C21" s="5" t="s">
        <v>254</v>
      </c>
      <c r="G21" s="3">
        <f>-13555-13570</f>
        <v>-27125</v>
      </c>
    </row>
    <row r="22" spans="1:7" ht="16.5" thickBot="1" x14ac:dyDescent="0.3">
      <c r="A22" t="s">
        <v>251</v>
      </c>
      <c r="C22" s="5" t="s">
        <v>255</v>
      </c>
      <c r="G22" s="24">
        <f>SUM(G20:G21)</f>
        <v>322396</v>
      </c>
    </row>
    <row r="23" spans="1:7" ht="16.5" thickTop="1" x14ac:dyDescent="0.25"/>
    <row r="26" spans="1:7" ht="18" x14ac:dyDescent="0.4">
      <c r="C26" s="4" t="s">
        <v>88</v>
      </c>
    </row>
    <row r="27" spans="1:7" x14ac:dyDescent="0.25">
      <c r="C27" t="s">
        <v>257</v>
      </c>
    </row>
    <row r="28" spans="1:7" x14ac:dyDescent="0.25">
      <c r="C28" t="s">
        <v>232</v>
      </c>
    </row>
    <row r="29" spans="1:7" x14ac:dyDescent="0.25">
      <c r="C29" t="s">
        <v>701</v>
      </c>
    </row>
    <row r="30" spans="1:7" x14ac:dyDescent="0.25">
      <c r="C30" t="s">
        <v>700</v>
      </c>
    </row>
  </sheetData>
  <pageMargins left="0.7" right="0.7" top="0.75" bottom="0.75" header="0.3" footer="0.3"/>
  <pageSetup scale="96" orientation="portrait" horizontalDpi="0" verticalDpi="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opLeftCell="A36" workbookViewId="0">
      <selection activeCell="C40" sqref="C40"/>
    </sheetView>
  </sheetViews>
  <sheetFormatPr defaultRowHeight="15.75" x14ac:dyDescent="0.25"/>
  <cols>
    <col min="1" max="1" width="4.5" customWidth="1"/>
    <col min="2" max="2" width="1.375" customWidth="1"/>
    <col min="3" max="3" width="44.625" customWidth="1"/>
    <col min="4" max="4" width="4.375" customWidth="1"/>
    <col min="5" max="5" width="12.375" customWidth="1"/>
    <col min="6" max="6" width="1.625" customWidth="1"/>
    <col min="7" max="7" width="12.25" customWidth="1"/>
    <col min="8" max="8" width="1.375" customWidth="1"/>
    <col min="9" max="9" width="11.625" customWidth="1"/>
    <col min="10" max="10" width="5.5" customWidth="1"/>
  </cols>
  <sheetData>
    <row r="1" spans="1:10" x14ac:dyDescent="0.25">
      <c r="A1" t="str">
        <f>CL_wRR!A1</f>
        <v>Utilities, Inc. of Florida</v>
      </c>
      <c r="J1" s="33" t="str">
        <f>ExhDR11_SH!$E$1</f>
        <v>Docket No. 160101-WS</v>
      </c>
    </row>
    <row r="2" spans="1:10" x14ac:dyDescent="0.25">
      <c r="A2" t="s">
        <v>148</v>
      </c>
      <c r="J2" s="33" t="str">
        <f>ExhDR11_SH!$E$2</f>
        <v>Exhibit DMR-11</v>
      </c>
    </row>
    <row r="3" spans="1:10" x14ac:dyDescent="0.25">
      <c r="A3" t="str">
        <f>CL_wRR!A3</f>
        <v>Test Year Ended December 31, 2015</v>
      </c>
      <c r="J3" s="33" t="str">
        <f>ExhDR11_SH!$E$3</f>
        <v>Sandalhaven Revenue Requirement</v>
      </c>
    </row>
    <row r="4" spans="1:10" x14ac:dyDescent="0.25">
      <c r="I4" s="33" t="s">
        <v>222</v>
      </c>
      <c r="J4" s="33" t="str">
        <f>ExhDR11_SH!$E$4</f>
        <v>of 9</v>
      </c>
    </row>
    <row r="5" spans="1:10" x14ac:dyDescent="0.25">
      <c r="A5" t="s">
        <v>236</v>
      </c>
    </row>
    <row r="9" spans="1:10" x14ac:dyDescent="0.25">
      <c r="A9" t="s">
        <v>0</v>
      </c>
      <c r="E9" s="1"/>
      <c r="F9" s="1"/>
      <c r="G9" s="1" t="s">
        <v>240</v>
      </c>
      <c r="I9" t="s">
        <v>241</v>
      </c>
    </row>
    <row r="10" spans="1:10" x14ac:dyDescent="0.25">
      <c r="A10" s="3" t="s">
        <v>1</v>
      </c>
      <c r="C10" s="3" t="s">
        <v>237</v>
      </c>
      <c r="E10" s="2" t="s">
        <v>239</v>
      </c>
      <c r="F10" s="1"/>
      <c r="G10" s="2" t="s">
        <v>241</v>
      </c>
      <c r="I10" s="3" t="s">
        <v>242</v>
      </c>
    </row>
    <row r="11" spans="1:10" x14ac:dyDescent="0.25">
      <c r="A11" s="26"/>
      <c r="C11" s="26"/>
      <c r="E11" s="34"/>
      <c r="F11" s="1"/>
      <c r="G11" s="34"/>
      <c r="I11" s="26"/>
    </row>
    <row r="12" spans="1:10" ht="18" x14ac:dyDescent="0.4">
      <c r="C12" s="50" t="s">
        <v>299</v>
      </c>
    </row>
    <row r="13" spans="1:10" x14ac:dyDescent="0.25">
      <c r="A13">
        <v>1</v>
      </c>
      <c r="C13" t="s">
        <v>238</v>
      </c>
      <c r="E13">
        <v>2227820</v>
      </c>
      <c r="G13">
        <v>-536304</v>
      </c>
      <c r="I13">
        <v>56453</v>
      </c>
    </row>
    <row r="14" spans="1:10" x14ac:dyDescent="0.25">
      <c r="A14">
        <v>2</v>
      </c>
      <c r="C14" t="s">
        <v>245</v>
      </c>
      <c r="E14" s="68">
        <f>1-0.4224</f>
        <v>0.5776</v>
      </c>
      <c r="G14" s="68">
        <f>1-0.4224</f>
        <v>0.5776</v>
      </c>
      <c r="I14" s="68">
        <f>1-0.4224</f>
        <v>0.5776</v>
      </c>
    </row>
    <row r="15" spans="1:10" x14ac:dyDescent="0.25">
      <c r="A15">
        <v>3</v>
      </c>
      <c r="C15" t="s">
        <v>246</v>
      </c>
      <c r="E15" s="73">
        <f>ROUND(E13*E14,0)</f>
        <v>1286789</v>
      </c>
      <c r="G15" s="73">
        <f>ROUND(G13*G14,0)</f>
        <v>-309769</v>
      </c>
      <c r="I15" s="73">
        <f>ROUND(I13*I14,0)</f>
        <v>32607</v>
      </c>
    </row>
    <row r="17" spans="1:9" ht="18" x14ac:dyDescent="0.4">
      <c r="C17" s="4" t="s">
        <v>300</v>
      </c>
    </row>
    <row r="18" spans="1:9" x14ac:dyDescent="0.25">
      <c r="A18">
        <v>4</v>
      </c>
      <c r="C18" s="6" t="s">
        <v>301</v>
      </c>
      <c r="E18">
        <v>600398</v>
      </c>
      <c r="G18">
        <v>-188165</v>
      </c>
      <c r="I18">
        <v>20013</v>
      </c>
    </row>
    <row r="19" spans="1:9" x14ac:dyDescent="0.25">
      <c r="A19">
        <v>5</v>
      </c>
      <c r="C19" t="s">
        <v>245</v>
      </c>
      <c r="E19" s="68">
        <f>1-0.1127</f>
        <v>0.88729999999999998</v>
      </c>
      <c r="G19" s="68">
        <f>1-0.1127</f>
        <v>0.88729999999999998</v>
      </c>
      <c r="I19" s="68">
        <f>1-0.1127</f>
        <v>0.88729999999999998</v>
      </c>
    </row>
    <row r="20" spans="1:9" x14ac:dyDescent="0.25">
      <c r="A20">
        <v>6</v>
      </c>
      <c r="C20" t="s">
        <v>246</v>
      </c>
      <c r="E20" s="73">
        <f>ROUND(E18*E19,0)</f>
        <v>532733</v>
      </c>
      <c r="G20" s="73">
        <f>ROUND(G18*G19,0)</f>
        <v>-166959</v>
      </c>
      <c r="I20" s="73">
        <f>ROUND(I18*I19,0)</f>
        <v>17758</v>
      </c>
    </row>
    <row r="22" spans="1:9" ht="18" x14ac:dyDescent="0.4">
      <c r="C22" s="4" t="s">
        <v>302</v>
      </c>
    </row>
    <row r="23" spans="1:9" x14ac:dyDescent="0.25">
      <c r="A23">
        <v>7</v>
      </c>
      <c r="C23" s="6" t="s">
        <v>303</v>
      </c>
      <c r="E23">
        <v>158348</v>
      </c>
      <c r="G23">
        <v>-99799</v>
      </c>
      <c r="I23">
        <v>10798</v>
      </c>
    </row>
    <row r="24" spans="1:9" x14ac:dyDescent="0.25">
      <c r="A24">
        <v>8</v>
      </c>
      <c r="C24" t="s">
        <v>245</v>
      </c>
      <c r="E24" s="68">
        <f>1-0.2725</f>
        <v>0.72750000000000004</v>
      </c>
      <c r="G24" s="68">
        <f>1-0.2725</f>
        <v>0.72750000000000004</v>
      </c>
      <c r="I24" s="68">
        <f>1-0.2725</f>
        <v>0.72750000000000004</v>
      </c>
    </row>
    <row r="25" spans="1:9" x14ac:dyDescent="0.25">
      <c r="A25">
        <v>9</v>
      </c>
      <c r="C25" t="s">
        <v>246</v>
      </c>
      <c r="E25" s="73">
        <f>ROUND(E23*E24,0)</f>
        <v>115198</v>
      </c>
      <c r="G25" s="73">
        <f>ROUND(G23*G24,0)</f>
        <v>-72604</v>
      </c>
      <c r="I25" s="73">
        <f>ROUND(I23*I24,0)</f>
        <v>7856</v>
      </c>
    </row>
    <row r="27" spans="1:9" ht="18" x14ac:dyDescent="0.4">
      <c r="C27" s="4" t="s">
        <v>304</v>
      </c>
    </row>
    <row r="28" spans="1:9" x14ac:dyDescent="0.25">
      <c r="A28">
        <v>10</v>
      </c>
      <c r="C28" t="s">
        <v>243</v>
      </c>
      <c r="E28" s="26">
        <v>2793922</v>
      </c>
      <c r="F28" s="26"/>
      <c r="G28" s="26">
        <v>-874673</v>
      </c>
      <c r="H28" s="26"/>
      <c r="I28" s="26">
        <v>114997</v>
      </c>
    </row>
    <row r="29" spans="1:9" x14ac:dyDescent="0.25">
      <c r="A29">
        <v>11</v>
      </c>
      <c r="C29" t="s">
        <v>609</v>
      </c>
      <c r="E29" s="3">
        <f>SH_Plant!I18</f>
        <v>-9491.5</v>
      </c>
      <c r="G29" s="3">
        <f>-SH_Plant!I24</f>
        <v>-26601.5</v>
      </c>
      <c r="I29" s="3">
        <f>SH_Plant!I27</f>
        <v>-316</v>
      </c>
    </row>
    <row r="30" spans="1:9" x14ac:dyDescent="0.25">
      <c r="A30">
        <v>12</v>
      </c>
      <c r="C30" t="s">
        <v>610</v>
      </c>
      <c r="E30">
        <f>SUM(E28:E29)</f>
        <v>2784430.5</v>
      </c>
      <c r="G30">
        <f>SUM(G28:G29)</f>
        <v>-901274.5</v>
      </c>
      <c r="I30">
        <f>SUM(I28:I29)</f>
        <v>114681</v>
      </c>
    </row>
    <row r="31" spans="1:9" x14ac:dyDescent="0.25">
      <c r="A31">
        <v>13</v>
      </c>
      <c r="C31" t="s">
        <v>245</v>
      </c>
      <c r="E31" s="68">
        <f>1-0.1355</f>
        <v>0.86450000000000005</v>
      </c>
      <c r="G31" s="68">
        <f>1-0.1355</f>
        <v>0.86450000000000005</v>
      </c>
      <c r="I31" s="68">
        <f>1-0.1355</f>
        <v>0.86450000000000005</v>
      </c>
    </row>
    <row r="32" spans="1:9" x14ac:dyDescent="0.25">
      <c r="A32">
        <v>14</v>
      </c>
      <c r="C32" t="s">
        <v>246</v>
      </c>
      <c r="E32" s="73">
        <f>ROUND(E30*E31,0)</f>
        <v>2407140</v>
      </c>
      <c r="G32" s="73">
        <f>ROUND(G30*G31,0)</f>
        <v>-779152</v>
      </c>
      <c r="I32" s="73">
        <f>ROUND(I30*I31,0)</f>
        <v>99142</v>
      </c>
    </row>
    <row r="34" spans="1:9" x14ac:dyDescent="0.25">
      <c r="A34">
        <v>15</v>
      </c>
      <c r="C34" t="s">
        <v>246</v>
      </c>
      <c r="E34">
        <f>E15+E20+E25+E32</f>
        <v>4341860</v>
      </c>
      <c r="G34">
        <f>G15+G20+G25+G32</f>
        <v>-1328484</v>
      </c>
      <c r="I34">
        <f>I15+I20+I25+I32</f>
        <v>157363</v>
      </c>
    </row>
    <row r="36" spans="1:9" ht="16.5" thickBot="1" x14ac:dyDescent="0.3">
      <c r="A36">
        <v>16</v>
      </c>
      <c r="C36" t="s">
        <v>244</v>
      </c>
      <c r="G36" s="70">
        <f>-E34-G34</f>
        <v>-3013376</v>
      </c>
    </row>
    <row r="37" spans="1:9" ht="16.5" thickTop="1" x14ac:dyDescent="0.25"/>
    <row r="38" spans="1:9" ht="16.5" thickBot="1" x14ac:dyDescent="0.3">
      <c r="A38">
        <v>17</v>
      </c>
      <c r="C38" t="s">
        <v>247</v>
      </c>
      <c r="I38" s="70">
        <f>-I34</f>
        <v>-157363</v>
      </c>
    </row>
    <row r="39" spans="1:9" ht="16.5" thickTop="1" x14ac:dyDescent="0.25"/>
    <row r="41" spans="1:9" ht="18" x14ac:dyDescent="0.4">
      <c r="C41" s="4" t="s">
        <v>50</v>
      </c>
    </row>
    <row r="42" spans="1:9" x14ac:dyDescent="0.25">
      <c r="C42" t="s">
        <v>305</v>
      </c>
    </row>
    <row r="43" spans="1:9" x14ac:dyDescent="0.25">
      <c r="C43" t="s">
        <v>611</v>
      </c>
    </row>
    <row r="44" spans="1:9" x14ac:dyDescent="0.25">
      <c r="C44" t="s">
        <v>612</v>
      </c>
    </row>
  </sheetData>
  <pageMargins left="0.7" right="0.7" top="0.75" bottom="0.75" header="0.3" footer="0.3"/>
  <pageSetup scale="89" orientation="portrait" horizontalDpi="0" verticalDpi="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I24" sqref="I24"/>
    </sheetView>
  </sheetViews>
  <sheetFormatPr defaultRowHeight="15.75" x14ac:dyDescent="0.25"/>
  <cols>
    <col min="1" max="1" width="4.625" customWidth="1"/>
    <col min="2" max="2" width="1.375" customWidth="1"/>
    <col min="3" max="3" width="42.75" customWidth="1"/>
    <col min="4" max="4" width="5.5" customWidth="1"/>
    <col min="5" max="5" width="14.125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4.5" customWidth="1"/>
  </cols>
  <sheetData>
    <row r="1" spans="1:10" x14ac:dyDescent="0.25">
      <c r="A1" t="str">
        <f>CL_wRR!A1</f>
        <v>Utilities, Inc. of Florida</v>
      </c>
      <c r="J1" s="33" t="str">
        <f>ExhDR11_SH!$E$1</f>
        <v>Docket No. 160101-WS</v>
      </c>
    </row>
    <row r="2" spans="1:10" x14ac:dyDescent="0.25">
      <c r="A2" t="s">
        <v>148</v>
      </c>
      <c r="J2" s="33" t="str">
        <f>ExhDR11_SH!$E$2</f>
        <v>Exhibit DMR-11</v>
      </c>
    </row>
    <row r="3" spans="1:10" x14ac:dyDescent="0.25">
      <c r="A3" t="str">
        <f>CL_wRR!A3</f>
        <v>Test Year Ended December 31, 2015</v>
      </c>
      <c r="J3" s="33" t="str">
        <f>ExhDR11_SH!$E$3</f>
        <v>Sandalhaven Revenue Requirement</v>
      </c>
    </row>
    <row r="4" spans="1:10" x14ac:dyDescent="0.25">
      <c r="I4" s="33" t="s">
        <v>345</v>
      </c>
      <c r="J4" s="33" t="str">
        <f>ExhDR11_SH!$E$4</f>
        <v>of 9</v>
      </c>
    </row>
    <row r="5" spans="1:10" x14ac:dyDescent="0.25">
      <c r="A5" t="s">
        <v>614</v>
      </c>
    </row>
    <row r="6" spans="1:10" x14ac:dyDescent="0.25">
      <c r="A6" t="s">
        <v>606</v>
      </c>
    </row>
    <row r="10" spans="1:10" x14ac:dyDescent="0.25">
      <c r="E10" s="1" t="s">
        <v>346</v>
      </c>
      <c r="F10" s="1"/>
      <c r="G10" s="1" t="s">
        <v>348</v>
      </c>
      <c r="H10" s="1"/>
      <c r="I10" s="1"/>
    </row>
    <row r="11" spans="1:10" x14ac:dyDescent="0.25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0" x14ac:dyDescent="0.25">
      <c r="E12" s="7" t="s">
        <v>212</v>
      </c>
      <c r="F12" s="1"/>
      <c r="G12" s="7" t="s">
        <v>213</v>
      </c>
      <c r="H12" s="1"/>
      <c r="I12" s="7" t="s">
        <v>214</v>
      </c>
    </row>
    <row r="13" spans="1:10" x14ac:dyDescent="0.25">
      <c r="C13" s="82" t="s">
        <v>607</v>
      </c>
      <c r="E13" s="7"/>
      <c r="F13" s="1"/>
      <c r="G13" s="7"/>
      <c r="H13" s="1"/>
      <c r="I13" s="7"/>
    </row>
    <row r="14" spans="1:10" ht="18" x14ac:dyDescent="0.4">
      <c r="C14" s="4" t="s">
        <v>350</v>
      </c>
    </row>
    <row r="15" spans="1:10" x14ac:dyDescent="0.25">
      <c r="A15">
        <v>1</v>
      </c>
      <c r="C15" t="s">
        <v>417</v>
      </c>
      <c r="E15">
        <v>255000</v>
      </c>
      <c r="G15">
        <v>217034</v>
      </c>
    </row>
    <row r="16" spans="1:10" x14ac:dyDescent="0.25">
      <c r="A16">
        <v>2</v>
      </c>
      <c r="C16" t="s">
        <v>574</v>
      </c>
      <c r="E16" s="3">
        <f>-E15*0.75</f>
        <v>-191250</v>
      </c>
      <c r="G16" s="3">
        <f>-G15*0.75</f>
        <v>-162775.5</v>
      </c>
    </row>
    <row r="18" spans="1:9" x14ac:dyDescent="0.25">
      <c r="A18">
        <v>3</v>
      </c>
      <c r="C18" t="s">
        <v>354</v>
      </c>
      <c r="E18">
        <f>SUM(E15:E16)</f>
        <v>63750</v>
      </c>
      <c r="G18">
        <f>SUM(G15:G16)</f>
        <v>54258.5</v>
      </c>
      <c r="I18" s="79">
        <f>G18-E18</f>
        <v>-9491.5</v>
      </c>
    </row>
    <row r="20" spans="1:9" ht="18" x14ac:dyDescent="0.4">
      <c r="C20" s="4" t="s">
        <v>351</v>
      </c>
    </row>
    <row r="21" spans="1:9" x14ac:dyDescent="0.25">
      <c r="A21">
        <v>4</v>
      </c>
      <c r="C21" t="s">
        <v>418</v>
      </c>
      <c r="E21">
        <f>E16</f>
        <v>-191250</v>
      </c>
      <c r="G21">
        <f>G16</f>
        <v>-162775.5</v>
      </c>
    </row>
    <row r="22" spans="1:9" x14ac:dyDescent="0.25">
      <c r="A22">
        <v>5</v>
      </c>
      <c r="C22" t="s">
        <v>352</v>
      </c>
      <c r="E22" s="3">
        <v>2778</v>
      </c>
      <c r="G22" s="3">
        <f>ROUND(G27/2,0)</f>
        <v>905</v>
      </c>
    </row>
    <row r="24" spans="1:9" x14ac:dyDescent="0.25">
      <c r="A24">
        <v>6</v>
      </c>
      <c r="C24" t="s">
        <v>356</v>
      </c>
      <c r="E24">
        <f>SUM(E21:E23)</f>
        <v>-188472</v>
      </c>
      <c r="G24">
        <f>SUM(G21:G23)</f>
        <v>-161870.5</v>
      </c>
      <c r="I24" s="79">
        <f>G24-E24</f>
        <v>26601.5</v>
      </c>
    </row>
    <row r="26" spans="1:9" ht="18" x14ac:dyDescent="0.4">
      <c r="C26" s="4" t="s">
        <v>353</v>
      </c>
    </row>
    <row r="27" spans="1:9" x14ac:dyDescent="0.25">
      <c r="A27">
        <v>7</v>
      </c>
      <c r="C27" t="s">
        <v>587</v>
      </c>
      <c r="E27">
        <f>ROUND(E18/30,0)</f>
        <v>2125</v>
      </c>
      <c r="G27">
        <f>ROUND(G18/30,0)</f>
        <v>1809</v>
      </c>
      <c r="I27" s="79">
        <f>G27-E27</f>
        <v>-316</v>
      </c>
    </row>
    <row r="28" spans="1:9" x14ac:dyDescent="0.25">
      <c r="E28" s="46"/>
    </row>
    <row r="30" spans="1:9" ht="18" x14ac:dyDescent="0.4">
      <c r="C30" s="4" t="s">
        <v>50</v>
      </c>
    </row>
    <row r="31" spans="1:9" x14ac:dyDescent="0.25">
      <c r="C31" t="s">
        <v>431</v>
      </c>
    </row>
    <row r="32" spans="1:9" x14ac:dyDescent="0.25">
      <c r="C32" t="s">
        <v>613</v>
      </c>
    </row>
  </sheetData>
  <pageMargins left="0.7" right="0.7" top="0.75" bottom="0.75" header="0.3" footer="0.3"/>
  <pageSetup scale="84" orientation="portrait" horizontalDpi="0" verticalDpi="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17"/>
  <sheetViews>
    <sheetView workbookViewId="0">
      <selection activeCell="E5" sqref="E5"/>
    </sheetView>
  </sheetViews>
  <sheetFormatPr defaultRowHeight="15.75" x14ac:dyDescent="0.25"/>
  <cols>
    <col min="1" max="1" width="8.125" customWidth="1"/>
    <col min="2" max="2" width="1.875" customWidth="1"/>
    <col min="3" max="3" width="45.625" customWidth="1"/>
    <col min="4" max="4" width="13.375" customWidth="1"/>
    <col min="5" max="5" width="4.875" customWidth="1"/>
  </cols>
  <sheetData>
    <row r="1" spans="1:5" x14ac:dyDescent="0.25">
      <c r="A1" t="s">
        <v>61</v>
      </c>
      <c r="E1" s="33" t="s">
        <v>64</v>
      </c>
    </row>
    <row r="2" spans="1:5" x14ac:dyDescent="0.25">
      <c r="A2" t="s">
        <v>155</v>
      </c>
      <c r="E2" s="33" t="s">
        <v>157</v>
      </c>
    </row>
    <row r="3" spans="1:5" x14ac:dyDescent="0.25">
      <c r="A3" t="s">
        <v>86</v>
      </c>
      <c r="E3" s="33" t="s">
        <v>156</v>
      </c>
    </row>
    <row r="4" spans="1:5" x14ac:dyDescent="0.25">
      <c r="D4" s="33" t="s">
        <v>67</v>
      </c>
      <c r="E4" s="33" t="s">
        <v>561</v>
      </c>
    </row>
    <row r="5" spans="1:5" x14ac:dyDescent="0.25">
      <c r="A5" t="s">
        <v>63</v>
      </c>
    </row>
    <row r="8" spans="1:5" x14ac:dyDescent="0.25">
      <c r="A8" s="3" t="s">
        <v>84</v>
      </c>
      <c r="B8" s="3"/>
      <c r="C8" s="3" t="s">
        <v>85</v>
      </c>
      <c r="D8" s="3"/>
      <c r="E8" s="3"/>
    </row>
    <row r="10" spans="1:5" x14ac:dyDescent="0.25">
      <c r="A10" t="str">
        <f>SL_wRR!N4</f>
        <v>Page 2</v>
      </c>
      <c r="C10" t="str">
        <f>SL_wRR!A5</f>
        <v>Calculation of Revenue Requirement - Water</v>
      </c>
    </row>
    <row r="11" spans="1:5" x14ac:dyDescent="0.25">
      <c r="A11" t="str">
        <f>SL_wwRR!N4</f>
        <v>Page 3</v>
      </c>
      <c r="C11" t="str">
        <f>SL_wwRR!A5</f>
        <v>Calculation of Revenue Requirement - Wastewater</v>
      </c>
    </row>
    <row r="12" spans="1:5" x14ac:dyDescent="0.25">
      <c r="A12" t="str">
        <f>SL_NOIadj!J4</f>
        <v>Page 4</v>
      </c>
      <c r="C12" t="str">
        <f>SL_NOIadj!A5</f>
        <v>Schedule of Adjustments to Operating Income</v>
      </c>
    </row>
    <row r="13" spans="1:5" x14ac:dyDescent="0.25">
      <c r="A13" t="str">
        <f>SL_wRB!I4</f>
        <v>Page 5</v>
      </c>
      <c r="C13" t="str">
        <f>SL_wRB!A5</f>
        <v>Rate Base - Water</v>
      </c>
    </row>
    <row r="14" spans="1:5" x14ac:dyDescent="0.25">
      <c r="A14" t="str">
        <f>SL_wwRB!I4</f>
        <v>Page 6</v>
      </c>
      <c r="C14" t="str">
        <f>SL_wwRB!A5</f>
        <v>Rate Base - Wastewater</v>
      </c>
    </row>
    <row r="15" spans="1:5" x14ac:dyDescent="0.25">
      <c r="A15" t="str">
        <f>SL_RBadj!K4</f>
        <v>Page 7</v>
      </c>
      <c r="C15" t="str">
        <f>SL_RBadj!A5</f>
        <v>Schedule of Adjustments to Rate Base</v>
      </c>
    </row>
    <row r="16" spans="1:5" x14ac:dyDescent="0.25">
      <c r="A16" t="str">
        <f>SL_ROR!Q4</f>
        <v>Page 8</v>
      </c>
      <c r="C16" t="str">
        <f>SL_ROR!A5</f>
        <v>Cost of Capital</v>
      </c>
    </row>
    <row r="17" spans="1:3" x14ac:dyDescent="0.25">
      <c r="A17" t="str">
        <f>SL_Plant!I4</f>
        <v>Page 9</v>
      </c>
      <c r="C17" t="str">
        <f>SL_Plant!A5</f>
        <v>Pro Forma Plant Addition Revisions</v>
      </c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G20" sqref="G20"/>
    </sheetView>
  </sheetViews>
  <sheetFormatPr defaultColWidth="7" defaultRowHeight="15.75" x14ac:dyDescent="0.25"/>
  <cols>
    <col min="1" max="1" width="4.25" style="19" customWidth="1"/>
    <col min="2" max="2" width="1.375" style="19" customWidth="1"/>
    <col min="3" max="3" width="35.125" style="19" customWidth="1"/>
    <col min="4" max="6" width="7" style="19" customWidth="1"/>
    <col min="7" max="7" width="11.125" style="19" customWidth="1"/>
    <col min="8" max="8" width="1.875" style="19" customWidth="1"/>
    <col min="9" max="9" width="11.125" style="19" customWidth="1"/>
    <col min="10" max="10" width="2.25" style="19" customWidth="1"/>
    <col min="11" max="11" width="15.375" style="19" customWidth="1"/>
    <col min="12" max="12" width="4.375" style="19" customWidth="1"/>
    <col min="13" max="16384" width="7" style="19"/>
  </cols>
  <sheetData>
    <row r="1" spans="1:12" x14ac:dyDescent="0.25">
      <c r="A1" t="str">
        <f>CL_wRR!A1</f>
        <v>Utilities, Inc. of Florida</v>
      </c>
      <c r="B1"/>
      <c r="C1"/>
      <c r="D1"/>
      <c r="E1"/>
      <c r="F1"/>
      <c r="G1"/>
      <c r="H1"/>
      <c r="I1"/>
      <c r="J1"/>
      <c r="K1" s="37"/>
      <c r="L1" s="33" t="str">
        <f>ExhDR3_CL_TOC!$E$1</f>
        <v>Docket No. 160101-WS</v>
      </c>
    </row>
    <row r="2" spans="1:12" x14ac:dyDescent="0.25">
      <c r="A2" t="str">
        <f>CL_wRR!A2</f>
        <v xml:space="preserve">  -  Cypress Lakes</v>
      </c>
      <c r="B2"/>
      <c r="C2"/>
      <c r="D2"/>
      <c r="E2"/>
      <c r="F2"/>
      <c r="G2"/>
      <c r="H2"/>
      <c r="I2"/>
      <c r="J2"/>
      <c r="K2" s="37"/>
      <c r="L2" s="33" t="str">
        <f>ExhDR3_CL_TOC!$E$2</f>
        <v>Exhibit DMR-3</v>
      </c>
    </row>
    <row r="3" spans="1:12" x14ac:dyDescent="0.25">
      <c r="A3" t="str">
        <f>CL_wRR!A3</f>
        <v>Test Year Ended December 31, 2015</v>
      </c>
      <c r="B3"/>
      <c r="C3"/>
      <c r="D3"/>
      <c r="E3"/>
      <c r="F3"/>
      <c r="G3"/>
      <c r="H3"/>
      <c r="I3"/>
      <c r="J3"/>
      <c r="K3" s="37"/>
      <c r="L3" s="33" t="str">
        <f>ExhDR3_CL_TOC!$E$3</f>
        <v>Cypress Lakes Revenue Requirement</v>
      </c>
    </row>
    <row r="4" spans="1:12" x14ac:dyDescent="0.25">
      <c r="A4"/>
      <c r="B4"/>
      <c r="C4"/>
      <c r="D4"/>
      <c r="E4"/>
      <c r="F4"/>
      <c r="G4"/>
      <c r="H4"/>
      <c r="I4"/>
      <c r="J4"/>
      <c r="K4" s="38" t="s">
        <v>87</v>
      </c>
      <c r="L4" s="33" t="str">
        <f>ExhDR3_CL_TOC!$E$4</f>
        <v>of 8</v>
      </c>
    </row>
    <row r="5" spans="1:12" x14ac:dyDescent="0.25">
      <c r="A5" t="s">
        <v>42</v>
      </c>
      <c r="B5"/>
      <c r="C5"/>
      <c r="D5"/>
      <c r="E5"/>
      <c r="F5"/>
      <c r="G5"/>
      <c r="H5"/>
      <c r="I5"/>
      <c r="J5"/>
      <c r="K5" s="37"/>
      <c r="L5" s="37"/>
    </row>
    <row r="6" spans="1:12" x14ac:dyDescent="0.25">
      <c r="A6"/>
      <c r="B6"/>
      <c r="C6"/>
      <c r="D6"/>
      <c r="E6"/>
      <c r="F6"/>
      <c r="G6"/>
      <c r="H6"/>
      <c r="I6"/>
      <c r="J6"/>
      <c r="K6" s="37"/>
      <c r="L6" s="37"/>
    </row>
    <row r="7" spans="1:12" x14ac:dyDescent="0.25">
      <c r="A7"/>
      <c r="B7"/>
      <c r="C7"/>
      <c r="D7"/>
      <c r="E7"/>
      <c r="F7"/>
      <c r="G7" s="1"/>
      <c r="H7" s="1"/>
      <c r="I7" s="1"/>
      <c r="J7"/>
      <c r="K7" s="37"/>
      <c r="L7" s="37"/>
    </row>
    <row r="8" spans="1:12" x14ac:dyDescent="0.25">
      <c r="A8" t="s">
        <v>0</v>
      </c>
      <c r="B8"/>
      <c r="C8"/>
      <c r="D8"/>
      <c r="E8"/>
      <c r="F8"/>
      <c r="G8" s="1" t="s">
        <v>70</v>
      </c>
      <c r="H8" s="1"/>
      <c r="I8" s="1" t="s">
        <v>71</v>
      </c>
      <c r="J8"/>
    </row>
    <row r="9" spans="1:12" ht="18" x14ac:dyDescent="0.4">
      <c r="A9" s="3" t="s">
        <v>1</v>
      </c>
      <c r="B9"/>
      <c r="C9" s="9" t="s">
        <v>2</v>
      </c>
      <c r="D9"/>
      <c r="E9"/>
      <c r="F9"/>
      <c r="G9" s="2" t="s">
        <v>5</v>
      </c>
      <c r="H9" s="34"/>
      <c r="I9" s="2" t="s">
        <v>5</v>
      </c>
      <c r="J9"/>
      <c r="K9" s="21" t="s">
        <v>23</v>
      </c>
    </row>
    <row r="10" spans="1:12" x14ac:dyDescent="0.25">
      <c r="A10"/>
      <c r="B10"/>
      <c r="C10"/>
      <c r="D10"/>
      <c r="E10"/>
      <c r="F10"/>
      <c r="G10"/>
      <c r="H10"/>
      <c r="I10"/>
      <c r="J10"/>
    </row>
    <row r="11" spans="1:12" ht="18" x14ac:dyDescent="0.4">
      <c r="A11"/>
      <c r="B11"/>
      <c r="C11" s="4" t="s">
        <v>44</v>
      </c>
      <c r="D11"/>
      <c r="E11"/>
      <c r="F11"/>
      <c r="G11"/>
      <c r="H11"/>
      <c r="I11"/>
      <c r="J11"/>
    </row>
    <row r="12" spans="1:12" x14ac:dyDescent="0.25">
      <c r="A12">
        <v>1</v>
      </c>
      <c r="B12"/>
      <c r="C12" t="s">
        <v>630</v>
      </c>
      <c r="D12"/>
      <c r="E12"/>
      <c r="F12"/>
      <c r="G12">
        <f>GIS_Proj!I10</f>
        <v>-8012</v>
      </c>
      <c r="H12"/>
      <c r="I12">
        <f>GIS_Proj!K10</f>
        <v>-7621</v>
      </c>
      <c r="J12"/>
      <c r="K12" s="19" t="str">
        <f>GIS_Proj!O2</f>
        <v>Exhibit DMR-21</v>
      </c>
    </row>
    <row r="13" spans="1:12" ht="16.5" thickBot="1" x14ac:dyDescent="0.3">
      <c r="A13">
        <v>2</v>
      </c>
      <c r="B13"/>
      <c r="C13" t="s">
        <v>48</v>
      </c>
      <c r="D13"/>
      <c r="E13"/>
      <c r="F13"/>
      <c r="G13" s="24">
        <f>SUM(G12:G12)</f>
        <v>-8012</v>
      </c>
      <c r="H13" s="26"/>
      <c r="I13" s="24">
        <f>SUM(I12:I12)</f>
        <v>-7621</v>
      </c>
      <c r="J13"/>
    </row>
    <row r="14" spans="1:12" ht="16.5" thickTop="1" x14ac:dyDescent="0.25">
      <c r="A14" s="19">
        <v>3</v>
      </c>
    </row>
    <row r="15" spans="1:12" ht="18" x14ac:dyDescent="0.4">
      <c r="A15" s="19">
        <v>4</v>
      </c>
      <c r="C15" s="21" t="s">
        <v>58</v>
      </c>
    </row>
    <row r="16" spans="1:12" x14ac:dyDescent="0.25">
      <c r="A16">
        <v>5</v>
      </c>
      <c r="C16"/>
      <c r="G16" s="22"/>
      <c r="H16" s="39"/>
      <c r="I16" s="22"/>
      <c r="K16" s="31"/>
    </row>
    <row r="17" spans="1:11" ht="16.5" thickBot="1" x14ac:dyDescent="0.3">
      <c r="A17">
        <v>6</v>
      </c>
      <c r="C17" t="s">
        <v>59</v>
      </c>
      <c r="G17" s="23">
        <f>SUM(G16:G16)</f>
        <v>0</v>
      </c>
      <c r="H17" s="39"/>
      <c r="I17" s="23">
        <f>SUM(I16:I16)</f>
        <v>0</v>
      </c>
      <c r="K17" s="31"/>
    </row>
    <row r="18" spans="1:11" ht="16.5" thickTop="1" x14ac:dyDescent="0.25">
      <c r="A18" s="19">
        <v>7</v>
      </c>
    </row>
    <row r="19" spans="1:11" ht="18" x14ac:dyDescent="0.4">
      <c r="A19" s="19">
        <v>8</v>
      </c>
      <c r="C19" s="21" t="s">
        <v>43</v>
      </c>
    </row>
    <row r="20" spans="1:11" x14ac:dyDescent="0.25">
      <c r="A20">
        <v>9</v>
      </c>
      <c r="C20" t="s">
        <v>630</v>
      </c>
      <c r="G20" s="19">
        <f>CL_NOIadj!F25*0.5</f>
        <v>-667.5</v>
      </c>
      <c r="I20" s="19">
        <f>CL_NOIadj!H25*0.5</f>
        <v>-635</v>
      </c>
    </row>
    <row r="21" spans="1:11" ht="16.5" thickBot="1" x14ac:dyDescent="0.3">
      <c r="A21">
        <v>10</v>
      </c>
      <c r="C21" s="20" t="s">
        <v>47</v>
      </c>
      <c r="G21" s="23">
        <f>SUM(G20:G20)</f>
        <v>-667.5</v>
      </c>
      <c r="H21" s="39"/>
      <c r="I21" s="23">
        <f>SUM(I20:I20)</f>
        <v>-635</v>
      </c>
    </row>
    <row r="22" spans="1:11" ht="16.5" thickTop="1" x14ac:dyDescent="0.25">
      <c r="A22" s="19">
        <v>11</v>
      </c>
      <c r="C22" s="20"/>
    </row>
    <row r="23" spans="1:11" ht="18" x14ac:dyDescent="0.4">
      <c r="A23" s="19">
        <v>12</v>
      </c>
      <c r="C23" s="21" t="s">
        <v>51</v>
      </c>
    </row>
    <row r="24" spans="1:11" x14ac:dyDescent="0.25">
      <c r="A24">
        <v>13</v>
      </c>
      <c r="C24" s="31" t="s">
        <v>565</v>
      </c>
      <c r="G24" s="22"/>
      <c r="H24" s="39"/>
      <c r="I24" s="22">
        <f>-800*9/10</f>
        <v>-720</v>
      </c>
      <c r="K24" s="76" t="s">
        <v>212</v>
      </c>
    </row>
    <row r="25" spans="1:11" ht="16.5" thickBot="1" x14ac:dyDescent="0.3">
      <c r="A25">
        <v>14</v>
      </c>
      <c r="C25" s="20" t="s">
        <v>52</v>
      </c>
      <c r="G25" s="23">
        <f>SUM(G24:G24)</f>
        <v>0</v>
      </c>
      <c r="H25" s="39"/>
      <c r="I25" s="23">
        <f>SUM(I24:I24)</f>
        <v>-720</v>
      </c>
    </row>
    <row r="26" spans="1:11" ht="16.5" thickTop="1" x14ac:dyDescent="0.25"/>
    <row r="27" spans="1:11" x14ac:dyDescent="0.25">
      <c r="C27" s="76" t="s">
        <v>566</v>
      </c>
    </row>
    <row r="28" spans="1:11" x14ac:dyDescent="0.25">
      <c r="C28" s="76" t="s">
        <v>567</v>
      </c>
    </row>
    <row r="29" spans="1:11" x14ac:dyDescent="0.25">
      <c r="C29" s="31"/>
    </row>
  </sheetData>
  <phoneticPr fontId="0" type="noConversion"/>
  <pageMargins left="1.25" right="0.75" top="1" bottom="1" header="0.5" footer="0.5"/>
  <pageSetup scale="72" orientation="portrait" horizontalDpi="4294967292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workbookViewId="0">
      <selection activeCell="C29" sqref="C29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1.75" customWidth="1"/>
    <col min="5" max="5" width="1.75" customWidth="1"/>
    <col min="6" max="6" width="10.875" customWidth="1"/>
    <col min="7" max="7" width="2.125" customWidth="1"/>
    <col min="8" max="8" width="12.625" customWidth="1"/>
    <col min="9" max="9" width="1.375" customWidth="1"/>
    <col min="10" max="10" width="10.125" customWidth="1"/>
    <col min="11" max="11" width="1.125" customWidth="1"/>
    <col min="12" max="12" width="12.125" customWidth="1"/>
    <col min="13" max="13" width="1.75" customWidth="1"/>
    <col min="14" max="14" width="11" customWidth="1"/>
    <col min="15" max="15" width="5.125" customWidth="1"/>
  </cols>
  <sheetData>
    <row r="1" spans="1:15" x14ac:dyDescent="0.25">
      <c r="A1" t="s">
        <v>61</v>
      </c>
      <c r="O1" s="33" t="str">
        <f>ExhDR_12_SL!$E$1</f>
        <v>Docket No. 160101-WS</v>
      </c>
    </row>
    <row r="2" spans="1:15" x14ac:dyDescent="0.25">
      <c r="A2" t="s">
        <v>155</v>
      </c>
      <c r="O2" s="33" t="str">
        <f>ExhDR_12_SL!$E$2</f>
        <v>Exhibit DMR-12</v>
      </c>
    </row>
    <row r="3" spans="1:15" x14ac:dyDescent="0.25">
      <c r="A3" t="s">
        <v>63</v>
      </c>
      <c r="O3" s="33" t="str">
        <f>ExhDR_12_SL!$E$3</f>
        <v>Sanlando Revenue Requirement</v>
      </c>
    </row>
    <row r="4" spans="1:15" x14ac:dyDescent="0.25">
      <c r="N4" s="33" t="s">
        <v>77</v>
      </c>
      <c r="O4" s="33" t="str">
        <f>ExhDR_12_SL!$E$4</f>
        <v>of 9</v>
      </c>
    </row>
    <row r="5" spans="1:15" x14ac:dyDescent="0.25">
      <c r="A5" t="s">
        <v>69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4632114</v>
      </c>
      <c r="F12" s="29">
        <f>SL_NOIadj!F13</f>
        <v>0</v>
      </c>
      <c r="G12" s="6"/>
      <c r="H12">
        <f>SUM(D12:F12)</f>
        <v>4632114</v>
      </c>
      <c r="J12">
        <f>((H23*L25)-H21)*1.67888</f>
        <v>-305067.18809391063</v>
      </c>
      <c r="L12">
        <f>SUM(H12:J12)</f>
        <v>4327046.8119060891</v>
      </c>
      <c r="N12" t="str">
        <f>SL_NOIadj!J4</f>
        <v>Page 4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2317201</v>
      </c>
      <c r="F14" s="29">
        <f>SL_NOIadj!F26</f>
        <v>-142565.5</v>
      </c>
      <c r="H14">
        <f>SUM(D14:F14)</f>
        <v>2174635.5</v>
      </c>
      <c r="L14">
        <f>SUM(H14:J14)</f>
        <v>2174635.5</v>
      </c>
      <c r="N14" t="str">
        <f>N12</f>
        <v>Page 4</v>
      </c>
    </row>
    <row r="15" spans="1:15" x14ac:dyDescent="0.25">
      <c r="A15">
        <v>3</v>
      </c>
      <c r="C15" t="s">
        <v>17</v>
      </c>
      <c r="D15">
        <v>739694</v>
      </c>
      <c r="F15" s="29">
        <f>SL_NOIadj!F37</f>
        <v>-21173</v>
      </c>
      <c r="H15">
        <f>SUM(D15:F15)</f>
        <v>718521</v>
      </c>
      <c r="L15">
        <f>SUM(H15:J15)</f>
        <v>718521</v>
      </c>
      <c r="N15" t="str">
        <f>N12</f>
        <v>Page 4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449354</v>
      </c>
      <c r="F17" s="29">
        <f>SL_NOIadj!F43</f>
        <v>-12530</v>
      </c>
      <c r="H17">
        <f>SUM(D17:F17)</f>
        <v>436824</v>
      </c>
      <c r="J17">
        <f>J12*0.045</f>
        <v>-13728.023464225978</v>
      </c>
      <c r="L17">
        <f>SUM(H17:J17)</f>
        <v>423095.97653577401</v>
      </c>
      <c r="N17" t="str">
        <f>N12</f>
        <v>Page 4</v>
      </c>
    </row>
    <row r="18" spans="1:14" x14ac:dyDescent="0.25">
      <c r="A18">
        <v>6</v>
      </c>
      <c r="C18" t="s">
        <v>19</v>
      </c>
      <c r="D18" s="3">
        <v>306612</v>
      </c>
      <c r="F18" s="29">
        <f>SL_NOIadj!F48</f>
        <v>74695.140871919997</v>
      </c>
      <c r="H18" s="3">
        <f>SUM(D18:F18)</f>
        <v>381307.14087191998</v>
      </c>
      <c r="J18">
        <f>(J12-J17)*0.3763</f>
        <v>-109630.92765015033</v>
      </c>
      <c r="L18" s="9">
        <f>SUM(H18:J18)</f>
        <v>271676.21322176966</v>
      </c>
    </row>
    <row r="19" spans="1:14" x14ac:dyDescent="0.25">
      <c r="A19">
        <v>7</v>
      </c>
      <c r="C19" t="s">
        <v>20</v>
      </c>
      <c r="D19">
        <f>SUM(D14:D18)</f>
        <v>3812861</v>
      </c>
      <c r="F19" s="29"/>
      <c r="H19" s="5">
        <f>SUM(H14:H18)</f>
        <v>3711287.6408719202</v>
      </c>
      <c r="L19" s="5">
        <f>SUM(L14:L18)</f>
        <v>3587928.6897575436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819253</v>
      </c>
      <c r="F21" s="29"/>
      <c r="H21">
        <f>H12-H19</f>
        <v>920826.35912807984</v>
      </c>
      <c r="L21">
        <f>H23*L25</f>
        <v>739117.60800000001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SL_wRB!E23</f>
        <v>10322572</v>
      </c>
      <c r="F23" s="29">
        <f>H23-D23</f>
        <v>-736092</v>
      </c>
      <c r="H23">
        <f>SL_wRB!I23</f>
        <v>9586480</v>
      </c>
      <c r="L23">
        <f>H23</f>
        <v>9586480</v>
      </c>
      <c r="N23" t="str">
        <f>SL_wRB!I4</f>
        <v>Page 5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7.9365200843355702E-2</v>
      </c>
      <c r="F25" s="29"/>
      <c r="L25" s="8">
        <f>SL_ROR!Q20</f>
        <v>7.7100000000000002E-2</v>
      </c>
      <c r="N25" t="str">
        <f>SL_ROR!Q4</f>
        <v>Page 8</v>
      </c>
    </row>
    <row r="26" spans="1:14" x14ac:dyDescent="0.25">
      <c r="L26" s="8"/>
    </row>
    <row r="27" spans="1:14" ht="18" x14ac:dyDescent="0.4">
      <c r="C27" s="4" t="s">
        <v>88</v>
      </c>
      <c r="J27" s="32"/>
      <c r="L27" s="8"/>
    </row>
    <row r="28" spans="1:14" x14ac:dyDescent="0.25">
      <c r="C28" t="s">
        <v>102</v>
      </c>
      <c r="J28" s="29"/>
    </row>
  </sheetData>
  <pageMargins left="0.7" right="0.7" top="0.75" bottom="0.75" header="0.3" footer="0.3"/>
  <pageSetup scale="72" orientation="portrait" horizontalDpi="0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C30" sqref="C30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1.75" customWidth="1"/>
    <col min="5" max="5" width="1.75" customWidth="1"/>
    <col min="6" max="6" width="11.25" customWidth="1"/>
    <col min="7" max="7" width="2.125" customWidth="1"/>
    <col min="8" max="8" width="12.5" customWidth="1"/>
    <col min="9" max="9" width="1.375" customWidth="1"/>
    <col min="10" max="10" width="10.125" customWidth="1"/>
    <col min="11" max="11" width="1.125" customWidth="1"/>
    <col min="12" max="12" width="12.125" customWidth="1"/>
    <col min="13" max="13" width="1.75" customWidth="1"/>
    <col min="14" max="14" width="11" customWidth="1"/>
    <col min="15" max="15" width="5.125" customWidth="1"/>
  </cols>
  <sheetData>
    <row r="1" spans="1:15" x14ac:dyDescent="0.25">
      <c r="A1" t="s">
        <v>61</v>
      </c>
      <c r="O1" s="33" t="str">
        <f>ExhDR_12_SL!$E$1</f>
        <v>Docket No. 160101-WS</v>
      </c>
    </row>
    <row r="2" spans="1:15" x14ac:dyDescent="0.25">
      <c r="A2" t="s">
        <v>155</v>
      </c>
      <c r="O2" s="33" t="str">
        <f>ExhDR_12_SL!$E$2</f>
        <v>Exhibit DMR-12</v>
      </c>
    </row>
    <row r="3" spans="1:15" x14ac:dyDescent="0.25">
      <c r="A3" t="s">
        <v>63</v>
      </c>
      <c r="O3" s="33" t="str">
        <f>ExhDR_12_SL!$E$3</f>
        <v>Sanlando Revenue Requirement</v>
      </c>
    </row>
    <row r="4" spans="1:15" x14ac:dyDescent="0.25">
      <c r="N4" s="33" t="s">
        <v>80</v>
      </c>
      <c r="O4" s="33" t="str">
        <f>ExhDR_12_SL!$E$4</f>
        <v>of 9</v>
      </c>
    </row>
    <row r="5" spans="1:15" x14ac:dyDescent="0.25">
      <c r="A5" t="s">
        <v>76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4075541</v>
      </c>
      <c r="F12" s="29">
        <f>SL_NOIadj!H13</f>
        <v>0</v>
      </c>
      <c r="G12" s="6"/>
      <c r="H12">
        <f>SUM(D12:F12)</f>
        <v>4075541</v>
      </c>
      <c r="J12">
        <f>((H23*L25)-H21)*1.67888</f>
        <v>1385148.819513615</v>
      </c>
      <c r="L12">
        <f>SUM(H12:J12)</f>
        <v>5460689.8195136152</v>
      </c>
      <c r="N12" t="str">
        <f>SL_NOIadj!J4</f>
        <v>Page 4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2209692</v>
      </c>
      <c r="F14" s="29">
        <f>SL_NOIadj!H26</f>
        <v>-127679.25</v>
      </c>
      <c r="H14">
        <f>SUM(D14:F14)</f>
        <v>2082012.75</v>
      </c>
      <c r="L14">
        <f>SUM(H14:J14)</f>
        <v>2082012.75</v>
      </c>
      <c r="N14" t="str">
        <f>N12</f>
        <v>Page 4</v>
      </c>
    </row>
    <row r="15" spans="1:15" x14ac:dyDescent="0.25">
      <c r="A15">
        <v>3</v>
      </c>
      <c r="C15" t="s">
        <v>17</v>
      </c>
      <c r="D15">
        <v>1017019</v>
      </c>
      <c r="F15" s="29">
        <f>SL_NOIadj!H37</f>
        <v>-174584</v>
      </c>
      <c r="H15">
        <f>SUM(D15:F15)</f>
        <v>842435</v>
      </c>
      <c r="L15">
        <f>SUM(H15:J15)</f>
        <v>842435</v>
      </c>
      <c r="N15" t="str">
        <f>N12</f>
        <v>Page 4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659029</v>
      </c>
      <c r="F17" s="29">
        <f>SL_NOIadj!H43</f>
        <v>-79388</v>
      </c>
      <c r="H17">
        <f>SUM(D17:F17)</f>
        <v>579641</v>
      </c>
      <c r="J17">
        <f>J12*0.045</f>
        <v>62331.696878112671</v>
      </c>
      <c r="L17">
        <f>SUM(H17:J17)</f>
        <v>641972.69687811262</v>
      </c>
      <c r="N17" t="str">
        <f>N12</f>
        <v>Page 4</v>
      </c>
    </row>
    <row r="18" spans="1:14" x14ac:dyDescent="0.25">
      <c r="A18">
        <v>6</v>
      </c>
      <c r="C18" t="s">
        <v>19</v>
      </c>
      <c r="D18" s="3">
        <v>-189806</v>
      </c>
      <c r="F18" s="29">
        <f>SL_NOIadj!H48</f>
        <v>201268.01041449001</v>
      </c>
      <c r="H18" s="3">
        <f>SUM(D18:F18)</f>
        <v>11462.010414490011</v>
      </c>
      <c r="J18">
        <f>(J12-J17)*0.3763</f>
        <v>497776.08324773959</v>
      </c>
      <c r="L18" s="9">
        <f>SUM(H18:J18)</f>
        <v>509238.0936622296</v>
      </c>
    </row>
    <row r="19" spans="1:14" x14ac:dyDescent="0.25">
      <c r="A19">
        <v>7</v>
      </c>
      <c r="C19" t="s">
        <v>20</v>
      </c>
      <c r="D19">
        <f>SUM(D14:D18)</f>
        <v>3695934</v>
      </c>
      <c r="F19" s="29"/>
      <c r="H19" s="5">
        <f>SUM(H14:H18)</f>
        <v>3515550.76041449</v>
      </c>
      <c r="L19" s="5">
        <f>SUM(L14:L18)</f>
        <v>4075658.5405403422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379607</v>
      </c>
      <c r="F21" s="29"/>
      <c r="H21">
        <f>H12-H19</f>
        <v>559990.23958550999</v>
      </c>
      <c r="L21">
        <f>H23*L25</f>
        <v>1385033.6134500001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SL_wwRB!E23</f>
        <v>23037306</v>
      </c>
      <c r="F23" s="29">
        <f>H23-D23</f>
        <v>-5073186.5</v>
      </c>
      <c r="H23">
        <f>SL_wwRB!I23</f>
        <v>17964119.5</v>
      </c>
      <c r="L23">
        <f>H23</f>
        <v>17964119.5</v>
      </c>
      <c r="N23" t="str">
        <f>SL_wwRB!I4</f>
        <v>Page 6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1.6477924979596138E-2</v>
      </c>
      <c r="F25" s="29"/>
      <c r="L25" s="8">
        <f>SL_ROR!Q20</f>
        <v>7.7100000000000002E-2</v>
      </c>
      <c r="N25" t="str">
        <f>SL_ROR!Q4</f>
        <v>Page 8</v>
      </c>
    </row>
    <row r="28" spans="1:14" ht="18" x14ac:dyDescent="0.4">
      <c r="C28" s="4" t="s">
        <v>88</v>
      </c>
    </row>
    <row r="29" spans="1:14" x14ac:dyDescent="0.25">
      <c r="C29" t="s">
        <v>101</v>
      </c>
    </row>
  </sheetData>
  <pageMargins left="0.7" right="0.7" top="0.75" bottom="0.75" header="0.3" footer="0.3"/>
  <pageSetup scale="71" orientation="portrait" horizontalDpi="0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workbookViewId="0">
      <selection activeCell="E25" sqref="E25"/>
    </sheetView>
  </sheetViews>
  <sheetFormatPr defaultRowHeight="15.75" x14ac:dyDescent="0.25"/>
  <cols>
    <col min="1" max="1" width="4.375" customWidth="1"/>
    <col min="2" max="2" width="1.625" customWidth="1"/>
    <col min="3" max="3" width="42.875" customWidth="1"/>
    <col min="5" max="5" width="7" customWidth="1"/>
    <col min="6" max="6" width="10.125" bestFit="1" customWidth="1"/>
    <col min="7" max="7" width="1.75" customWidth="1"/>
    <col min="8" max="8" width="9.625" customWidth="1"/>
    <col min="9" max="9" width="1.375" customWidth="1"/>
    <col min="10" max="10" width="19.75" customWidth="1"/>
    <col min="11" max="11" width="5.5" customWidth="1"/>
  </cols>
  <sheetData>
    <row r="1" spans="1:11" x14ac:dyDescent="0.25">
      <c r="A1" t="str">
        <f>CL_wRR!A1</f>
        <v>Utilities, Inc. of Florida</v>
      </c>
      <c r="J1" s="33"/>
      <c r="K1" s="33" t="str">
        <f>ExhDR_12_SL!$E$1</f>
        <v>Docket No. 160101-WS</v>
      </c>
    </row>
    <row r="2" spans="1:11" x14ac:dyDescent="0.25">
      <c r="A2" t="s">
        <v>155</v>
      </c>
      <c r="J2" s="33"/>
      <c r="K2" s="33" t="str">
        <f>ExhDR_12_SL!$E$2</f>
        <v>Exhibit DMR-12</v>
      </c>
    </row>
    <row r="3" spans="1:11" x14ac:dyDescent="0.25">
      <c r="A3" t="str">
        <f>CL_wRR!A3</f>
        <v>Test Year Ended December 31, 2015</v>
      </c>
      <c r="J3" s="33"/>
      <c r="K3" s="33" t="str">
        <f>ExhDR_12_SL!$E$3</f>
        <v>Sanlando Revenue Requirement</v>
      </c>
    </row>
    <row r="4" spans="1:11" x14ac:dyDescent="0.25">
      <c r="J4" s="33" t="s">
        <v>81</v>
      </c>
      <c r="K4" s="33" t="str">
        <f>ExhDR_12_SL!$E$4</f>
        <v>of 9</v>
      </c>
    </row>
    <row r="5" spans="1:11" x14ac:dyDescent="0.25">
      <c r="A5" t="s">
        <v>45</v>
      </c>
    </row>
    <row r="8" spans="1:11" x14ac:dyDescent="0.25">
      <c r="A8" t="s">
        <v>0</v>
      </c>
      <c r="F8" s="1" t="s">
        <v>70</v>
      </c>
      <c r="G8" s="1"/>
      <c r="H8" s="1" t="s">
        <v>71</v>
      </c>
    </row>
    <row r="9" spans="1:11" ht="18" x14ac:dyDescent="0.4">
      <c r="A9" s="3" t="s">
        <v>1</v>
      </c>
      <c r="C9" s="4" t="s">
        <v>2</v>
      </c>
      <c r="F9" s="2" t="s">
        <v>5</v>
      </c>
      <c r="G9" s="34"/>
      <c r="H9" s="2" t="s">
        <v>5</v>
      </c>
      <c r="J9" s="4" t="s">
        <v>72</v>
      </c>
    </row>
    <row r="11" spans="1:11" ht="18" x14ac:dyDescent="0.4">
      <c r="C11" s="4" t="s">
        <v>73</v>
      </c>
    </row>
    <row r="12" spans="1:11" x14ac:dyDescent="0.25">
      <c r="A12">
        <v>1</v>
      </c>
    </row>
    <row r="13" spans="1:11" ht="16.5" thickBot="1" x14ac:dyDescent="0.3">
      <c r="A13">
        <v>2</v>
      </c>
      <c r="C13" t="s">
        <v>110</v>
      </c>
      <c r="F13" s="24">
        <f>SUM(F12:F12)</f>
        <v>0</v>
      </c>
      <c r="H13" s="24">
        <f>SUM(H12:H12)</f>
        <v>0</v>
      </c>
    </row>
    <row r="14" spans="1:11" ht="16.5" thickTop="1" x14ac:dyDescent="0.25">
      <c r="A14">
        <v>3</v>
      </c>
    </row>
    <row r="15" spans="1:11" ht="18" x14ac:dyDescent="0.4">
      <c r="A15">
        <v>4</v>
      </c>
      <c r="C15" s="4" t="s">
        <v>49</v>
      </c>
    </row>
    <row r="16" spans="1:11" x14ac:dyDescent="0.25">
      <c r="A16">
        <v>5</v>
      </c>
      <c r="C16" t="s">
        <v>318</v>
      </c>
      <c r="F16">
        <f>ROUND(-27000*0.5542,0)</f>
        <v>-14963</v>
      </c>
      <c r="H16">
        <f>-27000-F16</f>
        <v>-12037</v>
      </c>
      <c r="J16" t="s">
        <v>198</v>
      </c>
    </row>
    <row r="17" spans="1:10" x14ac:dyDescent="0.25">
      <c r="A17">
        <v>6</v>
      </c>
      <c r="C17" t="s">
        <v>319</v>
      </c>
      <c r="F17">
        <f>ROUND(-8100*0.5542,0)</f>
        <v>-4489</v>
      </c>
      <c r="H17">
        <f>-8100-F17</f>
        <v>-3611</v>
      </c>
      <c r="J17" t="s">
        <v>198</v>
      </c>
    </row>
    <row r="18" spans="1:10" x14ac:dyDescent="0.25">
      <c r="A18">
        <v>7</v>
      </c>
      <c r="C18" t="s">
        <v>548</v>
      </c>
      <c r="F18">
        <v>-26653</v>
      </c>
      <c r="H18">
        <v>-21440</v>
      </c>
      <c r="J18" t="s">
        <v>198</v>
      </c>
    </row>
    <row r="19" spans="1:10" x14ac:dyDescent="0.25">
      <c r="A19">
        <v>8</v>
      </c>
      <c r="C19" t="s">
        <v>551</v>
      </c>
      <c r="F19">
        <f>-3100</f>
        <v>-3100</v>
      </c>
      <c r="H19">
        <v>-2493</v>
      </c>
      <c r="J19" t="s">
        <v>198</v>
      </c>
    </row>
    <row r="20" spans="1:10" x14ac:dyDescent="0.25">
      <c r="A20">
        <v>9</v>
      </c>
      <c r="C20" t="s">
        <v>552</v>
      </c>
      <c r="H20">
        <f>-10890-2109</f>
        <v>-12999</v>
      </c>
      <c r="J20" t="s">
        <v>198</v>
      </c>
    </row>
    <row r="21" spans="1:10" x14ac:dyDescent="0.25">
      <c r="A21">
        <v>10</v>
      </c>
      <c r="C21" t="s">
        <v>371</v>
      </c>
      <c r="F21" s="25">
        <f>-41083</f>
        <v>-41083</v>
      </c>
      <c r="G21" s="25"/>
      <c r="H21" s="25">
        <v>-33047</v>
      </c>
      <c r="J21" t="s">
        <v>372</v>
      </c>
    </row>
    <row r="22" spans="1:10" x14ac:dyDescent="0.25">
      <c r="A22">
        <v>11</v>
      </c>
      <c r="C22" t="s">
        <v>378</v>
      </c>
      <c r="F22" s="25">
        <f>-(42014+66505+21239)/4</f>
        <v>-32439.5</v>
      </c>
      <c r="G22" s="25"/>
      <c r="H22" s="25">
        <f>-(33797+53496+17084)/4</f>
        <v>-26094.25</v>
      </c>
      <c r="J22" t="s">
        <v>376</v>
      </c>
    </row>
    <row r="23" spans="1:10" x14ac:dyDescent="0.25">
      <c r="A23">
        <v>12</v>
      </c>
      <c r="C23" t="s">
        <v>293</v>
      </c>
      <c r="F23" s="26">
        <f>ROUND(2100*0.5542,0)</f>
        <v>1164</v>
      </c>
      <c r="G23" s="26"/>
      <c r="H23" s="26">
        <f>ROUND(2100*0.4458,0)</f>
        <v>936</v>
      </c>
      <c r="J23" t="s">
        <v>198</v>
      </c>
    </row>
    <row r="24" spans="1:10" x14ac:dyDescent="0.25">
      <c r="A24">
        <v>13</v>
      </c>
      <c r="C24" t="s">
        <v>290</v>
      </c>
      <c r="F24" s="5">
        <f>ROUND('WSC-Ins'!I$21*0.5542,0)</f>
        <v>-4921</v>
      </c>
      <c r="G24" s="5"/>
      <c r="H24" s="5">
        <f>ROUND('WSC-Ins'!I$21*0.4458,0)</f>
        <v>-3958</v>
      </c>
      <c r="J24" t="str">
        <f>'WSC-Ins'!J2</f>
        <v>Exhibit DMR-19</v>
      </c>
    </row>
    <row r="25" spans="1:10" x14ac:dyDescent="0.25">
      <c r="A25">
        <v>14</v>
      </c>
      <c r="C25" t="s">
        <v>291</v>
      </c>
      <c r="F25" s="5">
        <f>ROUND(WSCs_Dep!$I$21*0.5542,0)</f>
        <v>-16081</v>
      </c>
      <c r="G25" s="5"/>
      <c r="H25" s="5">
        <f>ROUND(WSCs_Dep!$I$21*0.4458,0)</f>
        <v>-12936</v>
      </c>
      <c r="J25" t="str">
        <f>WSCs_Dep!J2</f>
        <v>Exhibit DMR-20</v>
      </c>
    </row>
    <row r="26" spans="1:10" ht="16.5" thickBot="1" x14ac:dyDescent="0.3">
      <c r="A26">
        <v>15</v>
      </c>
      <c r="C26" t="s">
        <v>110</v>
      </c>
      <c r="F26" s="24">
        <f>SUM(F16:F25)</f>
        <v>-142565.5</v>
      </c>
      <c r="G26" s="26"/>
      <c r="H26" s="24">
        <f>SUM(H16:H25)</f>
        <v>-127679.25</v>
      </c>
    </row>
    <row r="27" spans="1:10" ht="16.5" thickTop="1" x14ac:dyDescent="0.25">
      <c r="A27">
        <v>16</v>
      </c>
    </row>
    <row r="28" spans="1:10" ht="18" x14ac:dyDescent="0.4">
      <c r="A28">
        <v>17</v>
      </c>
      <c r="C28" s="4" t="s">
        <v>46</v>
      </c>
    </row>
    <row r="29" spans="1:10" x14ac:dyDescent="0.25">
      <c r="A29">
        <v>18</v>
      </c>
      <c r="C29" t="s">
        <v>549</v>
      </c>
      <c r="F29">
        <v>-15322</v>
      </c>
      <c r="J29" t="s">
        <v>198</v>
      </c>
    </row>
    <row r="30" spans="1:10" x14ac:dyDescent="0.25">
      <c r="A30">
        <v>19</v>
      </c>
      <c r="C30" s="31" t="s">
        <v>553</v>
      </c>
      <c r="H30">
        <f>26042-34722</f>
        <v>-8680</v>
      </c>
      <c r="J30" s="6" t="s">
        <v>214</v>
      </c>
    </row>
    <row r="31" spans="1:10" x14ac:dyDescent="0.25">
      <c r="A31">
        <v>20</v>
      </c>
      <c r="C31" s="31" t="s">
        <v>557</v>
      </c>
      <c r="H31">
        <f>ROUND(SL_RBadj!I14/45,0)</f>
        <v>-2918</v>
      </c>
      <c r="J31" s="6" t="s">
        <v>558</v>
      </c>
    </row>
    <row r="32" spans="1:10" x14ac:dyDescent="0.25">
      <c r="A32">
        <v>21</v>
      </c>
      <c r="C32" s="31" t="s">
        <v>653</v>
      </c>
      <c r="H32">
        <f>-64514-8042-53012-18324-5556</f>
        <v>-149448</v>
      </c>
      <c r="J32" s="6" t="s">
        <v>214</v>
      </c>
    </row>
    <row r="33" spans="1:10" x14ac:dyDescent="0.25">
      <c r="A33">
        <v>22</v>
      </c>
      <c r="C33" s="31" t="s">
        <v>652</v>
      </c>
      <c r="H33">
        <v>-4495</v>
      </c>
      <c r="J33" s="6" t="s">
        <v>214</v>
      </c>
    </row>
    <row r="34" spans="1:10" x14ac:dyDescent="0.25">
      <c r="A34">
        <v>23</v>
      </c>
      <c r="C34" s="31" t="s">
        <v>657</v>
      </c>
      <c r="F34">
        <f>SL_Plant!I27</f>
        <v>-7</v>
      </c>
      <c r="J34" s="6" t="str">
        <f>SL_Plant!I4</f>
        <v>Page 9</v>
      </c>
    </row>
    <row r="35" spans="1:10" x14ac:dyDescent="0.25">
      <c r="A35">
        <v>24</v>
      </c>
      <c r="C35" s="31" t="s">
        <v>659</v>
      </c>
      <c r="H35">
        <f>ROUND(SL_RBadj!I18/18,0)</f>
        <v>-4342</v>
      </c>
      <c r="J35" s="6" t="s">
        <v>660</v>
      </c>
    </row>
    <row r="36" spans="1:10" x14ac:dyDescent="0.25">
      <c r="A36">
        <v>25</v>
      </c>
      <c r="C36" t="s">
        <v>630</v>
      </c>
      <c r="F36" s="3">
        <f>GIS_Proj!M19</f>
        <v>-5844</v>
      </c>
      <c r="G36" s="26"/>
      <c r="H36" s="3">
        <f>GIS_Proj!O19</f>
        <v>-4701</v>
      </c>
      <c r="J36" s="31" t="str">
        <f>GIS_Proj!O2</f>
        <v>Exhibit DMR-21</v>
      </c>
    </row>
    <row r="37" spans="1:10" ht="16.5" thickBot="1" x14ac:dyDescent="0.3">
      <c r="A37">
        <v>26</v>
      </c>
      <c r="C37" t="s">
        <v>110</v>
      </c>
      <c r="F37" s="24">
        <f>SUM(F29:F36)</f>
        <v>-21173</v>
      </c>
      <c r="G37" s="26"/>
      <c r="H37" s="24">
        <f>SUM(H29:H36)</f>
        <v>-174584</v>
      </c>
    </row>
    <row r="38" spans="1:10" ht="16.5" thickTop="1" x14ac:dyDescent="0.25">
      <c r="A38">
        <v>27</v>
      </c>
    </row>
    <row r="39" spans="1:10" ht="18" x14ac:dyDescent="0.4">
      <c r="A39">
        <v>28</v>
      </c>
      <c r="C39" s="4" t="s">
        <v>60</v>
      </c>
    </row>
    <row r="40" spans="1:10" x14ac:dyDescent="0.25">
      <c r="A40">
        <v>29</v>
      </c>
      <c r="C40" s="40" t="s">
        <v>661</v>
      </c>
      <c r="F40">
        <f>ROUND((SL_wRB!G12+SL_wRB!G16)*0.015467,0)</f>
        <v>-11385</v>
      </c>
      <c r="H40">
        <f>ROUND((SL_wwRB!G12+SL_wwRB!G16)*0.015467,0)</f>
        <v>-78467</v>
      </c>
    </row>
    <row r="41" spans="1:10" x14ac:dyDescent="0.25">
      <c r="A41">
        <v>30</v>
      </c>
      <c r="C41" t="s">
        <v>320</v>
      </c>
      <c r="F41">
        <f>ROUND(F16*0.0765,0)</f>
        <v>-1145</v>
      </c>
      <c r="H41">
        <f>ROUND(H16*0.0765,0)</f>
        <v>-921</v>
      </c>
    </row>
    <row r="42" spans="1:10" x14ac:dyDescent="0.25">
      <c r="A42">
        <v>31</v>
      </c>
      <c r="C42" s="40" t="s">
        <v>89</v>
      </c>
      <c r="F42">
        <f>ROUND(F13*0.045,0)</f>
        <v>0</v>
      </c>
      <c r="H42">
        <f>ROUND(H13*0.045,0)</f>
        <v>0</v>
      </c>
    </row>
    <row r="43" spans="1:10" ht="16.5" thickBot="1" x14ac:dyDescent="0.3">
      <c r="A43">
        <v>32</v>
      </c>
      <c r="C43" t="s">
        <v>110</v>
      </c>
      <c r="F43" s="24">
        <f>SUM(F40:F42)</f>
        <v>-12530</v>
      </c>
      <c r="G43" s="26"/>
      <c r="H43" s="24">
        <f>SUM(H40:H42)</f>
        <v>-79388</v>
      </c>
    </row>
    <row r="44" spans="1:10" ht="16.5" thickTop="1" x14ac:dyDescent="0.25">
      <c r="A44">
        <v>33</v>
      </c>
    </row>
    <row r="45" spans="1:10" ht="18" x14ac:dyDescent="0.4">
      <c r="A45">
        <v>34</v>
      </c>
      <c r="C45" s="4" t="s">
        <v>79</v>
      </c>
    </row>
    <row r="46" spans="1:10" x14ac:dyDescent="0.25">
      <c r="A46">
        <v>35</v>
      </c>
      <c r="C46" s="40" t="s">
        <v>115</v>
      </c>
      <c r="F46">
        <f>SL_wRB!G23*0.0302*-0.3763</f>
        <v>8365.1408719200008</v>
      </c>
      <c r="H46">
        <f>SL_wwRB!G23*0.0302*-0.3763</f>
        <v>57653.010414490003</v>
      </c>
    </row>
    <row r="47" spans="1:10" x14ac:dyDescent="0.25">
      <c r="A47">
        <v>36</v>
      </c>
      <c r="C47" s="40" t="s">
        <v>90</v>
      </c>
      <c r="F47">
        <f>ROUND((F13-F26-F37-F43)*0.3763,0)</f>
        <v>66330</v>
      </c>
      <c r="H47">
        <f>ROUND((H13-H26-H37-H43)*0.3763,0)</f>
        <v>143615</v>
      </c>
    </row>
    <row r="48" spans="1:10" ht="16.5" thickBot="1" x14ac:dyDescent="0.3">
      <c r="A48">
        <v>37</v>
      </c>
      <c r="C48" t="s">
        <v>110</v>
      </c>
      <c r="F48" s="24">
        <f>SUM(F46:F47)</f>
        <v>74695.140871919997</v>
      </c>
      <c r="G48" s="26"/>
      <c r="H48" s="24">
        <f>SUM(H46:H47)</f>
        <v>201268.01041449001</v>
      </c>
    </row>
    <row r="49" spans="3:3" ht="16.5" thickTop="1" x14ac:dyDescent="0.25"/>
    <row r="51" spans="3:3" x14ac:dyDescent="0.25">
      <c r="C51" s="6" t="s">
        <v>703</v>
      </c>
    </row>
    <row r="52" spans="3:3" x14ac:dyDescent="0.25">
      <c r="C52" t="s">
        <v>702</v>
      </c>
    </row>
    <row r="53" spans="3:3" x14ac:dyDescent="0.25">
      <c r="C53" s="76" t="s">
        <v>377</v>
      </c>
    </row>
    <row r="54" spans="3:3" x14ac:dyDescent="0.25">
      <c r="C54" s="6" t="s">
        <v>554</v>
      </c>
    </row>
  </sheetData>
  <pageMargins left="0.7" right="0.7" top="0.75" bottom="0.75" header="0.3" footer="0.3"/>
  <pageSetup scale="70" orientation="portrait" horizontalDpi="0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G16" sqref="G16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7" customWidth="1"/>
    <col min="5" max="5" width="16" customWidth="1"/>
    <col min="6" max="6" width="1.75" customWidth="1"/>
    <col min="7" max="7" width="12.375" customWidth="1"/>
    <col min="8" max="8" width="2.5" customWidth="1"/>
    <col min="9" max="9" width="13.375" customWidth="1"/>
    <col min="10" max="10" width="5.125" customWidth="1"/>
  </cols>
  <sheetData>
    <row r="1" spans="1:10" x14ac:dyDescent="0.25">
      <c r="A1" t="str">
        <f>CL_wRR!A1</f>
        <v>Utilities, Inc. of Florida</v>
      </c>
      <c r="H1" s="10"/>
      <c r="I1" s="10"/>
      <c r="J1" s="33" t="str">
        <f>ExhDR_12_SL!$E$1</f>
        <v>Docket No. 160101-WS</v>
      </c>
    </row>
    <row r="2" spans="1:10" x14ac:dyDescent="0.25">
      <c r="A2" t="s">
        <v>155</v>
      </c>
      <c r="H2" s="10"/>
      <c r="I2" s="10"/>
      <c r="J2" s="33" t="str">
        <f>ExhDR_12_SL!$E$2</f>
        <v>Exhibit DMR-12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ExhDR_12_SL!$E$3</f>
        <v>Sanlando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82</v>
      </c>
      <c r="J4" s="33" t="str">
        <f>ExhDR_12_SL!$E$4</f>
        <v>of 9</v>
      </c>
    </row>
    <row r="5" spans="1:10" x14ac:dyDescent="0.25">
      <c r="A5" s="27" t="s">
        <v>74</v>
      </c>
      <c r="B5" s="10"/>
      <c r="C5" s="10"/>
      <c r="D5" s="10"/>
      <c r="E5" s="10"/>
      <c r="F5" s="10"/>
      <c r="G5" s="10"/>
      <c r="H5" s="10"/>
      <c r="I5" s="10"/>
      <c r="J5" s="35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  <c r="J6" s="35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  <c r="J7" s="10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  <c r="J8" s="10"/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  <c r="J9" s="10"/>
    </row>
    <row r="10" spans="1:10" x14ac:dyDescent="0.25">
      <c r="A10" s="10"/>
      <c r="B10" s="10"/>
      <c r="C10" s="10"/>
      <c r="D10" s="10"/>
      <c r="E10" s="43" t="s">
        <v>24</v>
      </c>
      <c r="F10" s="10"/>
      <c r="G10" s="43" t="s">
        <v>25</v>
      </c>
      <c r="H10" s="10"/>
      <c r="I10" s="43" t="s">
        <v>26</v>
      </c>
      <c r="J10" s="10"/>
    </row>
    <row r="11" spans="1:10" x14ac:dyDescent="0.25">
      <c r="A11" s="10"/>
      <c r="B11" s="10"/>
      <c r="C11" s="10"/>
      <c r="D11" s="10"/>
      <c r="E11" s="43"/>
      <c r="F11" s="10"/>
      <c r="G11" s="43"/>
      <c r="H11" s="10"/>
      <c r="I11" s="43"/>
      <c r="J11" s="10"/>
    </row>
    <row r="12" spans="1:10" x14ac:dyDescent="0.25">
      <c r="A12" s="10">
        <v>1</v>
      </c>
      <c r="B12" s="10"/>
      <c r="C12" s="11" t="s">
        <v>33</v>
      </c>
      <c r="D12" s="10"/>
      <c r="E12" s="10">
        <v>26515213</v>
      </c>
      <c r="F12" s="10"/>
      <c r="G12" s="10">
        <f>SL_RBadj!G20</f>
        <v>-746777.5</v>
      </c>
      <c r="H12" s="10"/>
      <c r="I12" s="10">
        <f>SUM(E12:G12)</f>
        <v>25768435.5</v>
      </c>
      <c r="J12" s="10"/>
    </row>
    <row r="13" spans="1:10" x14ac:dyDescent="0.25">
      <c r="A13" s="10">
        <v>2</v>
      </c>
      <c r="B13" s="10"/>
      <c r="C13" s="11" t="s">
        <v>34</v>
      </c>
      <c r="D13" s="10"/>
      <c r="E13" s="10">
        <v>97683</v>
      </c>
      <c r="F13" s="10"/>
      <c r="G13" s="10"/>
      <c r="H13" s="10"/>
      <c r="I13" s="10">
        <f t="shared" ref="I13:I21" si="0">SUM(E13:G13)</f>
        <v>97683</v>
      </c>
      <c r="J13" s="10"/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  <c r="J14" s="10"/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  <c r="J15" s="10"/>
    </row>
    <row r="16" spans="1:10" x14ac:dyDescent="0.25">
      <c r="A16" s="10">
        <v>5</v>
      </c>
      <c r="B16" s="10"/>
      <c r="C16" s="11" t="s">
        <v>37</v>
      </c>
      <c r="D16" s="10"/>
      <c r="E16" s="27">
        <v>-15016733</v>
      </c>
      <c r="F16" s="10"/>
      <c r="G16" s="10">
        <f>-SL_RBadj!G36</f>
        <v>10685.5</v>
      </c>
      <c r="H16" s="10"/>
      <c r="I16" s="10">
        <f t="shared" si="0"/>
        <v>-15006047.5</v>
      </c>
      <c r="J16" s="10"/>
    </row>
    <row r="17" spans="1:10" x14ac:dyDescent="0.25">
      <c r="A17" s="10">
        <v>6</v>
      </c>
      <c r="B17" s="10"/>
      <c r="C17" s="11" t="s">
        <v>38</v>
      </c>
      <c r="D17" s="10"/>
      <c r="E17" s="10">
        <v>-9899701</v>
      </c>
      <c r="F17" s="10"/>
      <c r="G17" s="10"/>
      <c r="H17" s="10"/>
      <c r="I17" s="10">
        <f t="shared" si="0"/>
        <v>-9899701</v>
      </c>
      <c r="J17" s="10"/>
    </row>
    <row r="18" spans="1:10" x14ac:dyDescent="0.25">
      <c r="A18" s="10">
        <v>7</v>
      </c>
      <c r="B18" s="10"/>
      <c r="C18" s="11" t="s">
        <v>39</v>
      </c>
      <c r="D18" s="10"/>
      <c r="E18" s="10">
        <v>8454499</v>
      </c>
      <c r="F18" s="10"/>
      <c r="G18" s="10"/>
      <c r="H18" s="10"/>
      <c r="I18" s="10">
        <f t="shared" si="0"/>
        <v>8454499</v>
      </c>
      <c r="J18" s="10"/>
    </row>
    <row r="19" spans="1:10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  <c r="J19" s="10"/>
    </row>
    <row r="20" spans="1:10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  <c r="J20" s="10"/>
    </row>
    <row r="21" spans="1:10" x14ac:dyDescent="0.25">
      <c r="A21" s="10">
        <v>10</v>
      </c>
      <c r="B21" s="10"/>
      <c r="C21" s="11" t="s">
        <v>40</v>
      </c>
      <c r="D21" s="10"/>
      <c r="E21" s="28">
        <v>171611</v>
      </c>
      <c r="F21" s="10"/>
      <c r="G21" s="17">
        <f>SL_RBadj!G40</f>
        <v>0</v>
      </c>
      <c r="H21" s="10"/>
      <c r="I21" s="17">
        <f t="shared" si="0"/>
        <v>171611</v>
      </c>
      <c r="J21" s="10"/>
    </row>
    <row r="22" spans="1:1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ht="16.5" thickBot="1" x14ac:dyDescent="0.3">
      <c r="A23" s="10">
        <v>11</v>
      </c>
      <c r="B23" s="10"/>
      <c r="C23" s="11" t="s">
        <v>41</v>
      </c>
      <c r="D23" s="10"/>
      <c r="E23" s="18">
        <f>SUM(E12:E21)</f>
        <v>10322572</v>
      </c>
      <c r="F23" s="10"/>
      <c r="G23" s="18">
        <f>SUM(G12:G21)</f>
        <v>-736092</v>
      </c>
      <c r="H23" s="10"/>
      <c r="I23" s="18">
        <f>SUM(I12:I22)</f>
        <v>9586480</v>
      </c>
      <c r="J23" s="10"/>
    </row>
    <row r="24" spans="1:10" ht="16.5" thickTop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18" x14ac:dyDescent="0.4">
      <c r="A25" s="10"/>
      <c r="B25" s="10"/>
      <c r="C25" s="12" t="s">
        <v>50</v>
      </c>
      <c r="D25" s="10"/>
      <c r="E25" s="10"/>
      <c r="F25" s="10"/>
      <c r="G25" s="10"/>
      <c r="H25" s="10"/>
      <c r="I25" s="10"/>
      <c r="J25" s="10"/>
    </row>
    <row r="26" spans="1:10" x14ac:dyDescent="0.25">
      <c r="A26" s="10"/>
      <c r="B26" s="10"/>
      <c r="C26" s="45" t="s">
        <v>103</v>
      </c>
      <c r="D26" s="10"/>
      <c r="E26" s="10"/>
      <c r="F26" s="10"/>
      <c r="G26" s="10"/>
      <c r="H26" s="10"/>
      <c r="I26" s="10"/>
      <c r="J26" s="10"/>
    </row>
    <row r="27" spans="1:10" x14ac:dyDescent="0.25">
      <c r="A27" s="10"/>
      <c r="B27" s="10"/>
      <c r="C27" s="27" t="s">
        <v>104</v>
      </c>
      <c r="D27" s="10"/>
      <c r="E27" s="10"/>
      <c r="F27" s="10"/>
      <c r="G27" s="10"/>
      <c r="H27" s="10"/>
      <c r="I27" s="10"/>
      <c r="J27" s="10"/>
    </row>
  </sheetData>
  <pageMargins left="0.7" right="0.7" top="0.75" bottom="0.75" header="0.3" footer="0.3"/>
  <pageSetup scale="88" orientation="portrait" horizontalDpi="0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G16" sqref="G16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7" customWidth="1"/>
    <col min="5" max="5" width="16" customWidth="1"/>
    <col min="6" max="6" width="1.75" customWidth="1"/>
    <col min="7" max="7" width="12.375" customWidth="1"/>
    <col min="8" max="8" width="2.5" customWidth="1"/>
    <col min="9" max="9" width="12.25" customWidth="1"/>
    <col min="10" max="10" width="5.375" customWidth="1"/>
  </cols>
  <sheetData>
    <row r="1" spans="1:10" x14ac:dyDescent="0.25">
      <c r="A1" t="str">
        <f>CL_wRR!A1</f>
        <v>Utilities, Inc. of Florida</v>
      </c>
      <c r="H1" s="10"/>
      <c r="J1" s="33" t="str">
        <f>ExhDR_12_SL!$E$1</f>
        <v>Docket No. 160101-WS</v>
      </c>
    </row>
    <row r="2" spans="1:10" x14ac:dyDescent="0.25">
      <c r="A2" t="s">
        <v>155</v>
      </c>
      <c r="H2" s="10"/>
      <c r="I2" s="10"/>
      <c r="J2" s="33" t="str">
        <f>ExhDR_12_SL!$E$2</f>
        <v>Exhibit DMR-12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ExhDR_12_SL!$E$3</f>
        <v>Sanlando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83</v>
      </c>
      <c r="J4" s="33" t="str">
        <f>ExhDR_12_SL!$E$4</f>
        <v>of 9</v>
      </c>
    </row>
    <row r="5" spans="1:10" x14ac:dyDescent="0.25">
      <c r="A5" s="27" t="s">
        <v>78</v>
      </c>
      <c r="B5" s="10"/>
      <c r="C5" s="10"/>
      <c r="D5" s="10"/>
      <c r="E5" s="10"/>
      <c r="F5" s="10"/>
      <c r="G5" s="10"/>
      <c r="H5" s="10"/>
      <c r="I5" s="10"/>
      <c r="J5" s="33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8" x14ac:dyDescent="0.4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25">
      <c r="A12" s="10">
        <v>1</v>
      </c>
      <c r="B12" s="10"/>
      <c r="C12" s="11" t="s">
        <v>33</v>
      </c>
      <c r="D12" s="10"/>
      <c r="E12" s="10">
        <v>41028484</v>
      </c>
      <c r="F12" s="10"/>
      <c r="G12" s="10">
        <f>SL_RBadj!I20</f>
        <v>-3287541</v>
      </c>
      <c r="H12" s="10"/>
      <c r="I12" s="10">
        <f>SUM(E12:G12)</f>
        <v>37740943</v>
      </c>
    </row>
    <row r="13" spans="1:10" x14ac:dyDescent="0.25">
      <c r="A13" s="10">
        <v>2</v>
      </c>
      <c r="B13" s="10"/>
      <c r="C13" s="11" t="s">
        <v>34</v>
      </c>
      <c r="D13" s="10"/>
      <c r="E13" s="10">
        <v>186410</v>
      </c>
      <c r="F13" s="10"/>
      <c r="G13" s="10"/>
      <c r="H13" s="10"/>
      <c r="I13" s="10">
        <f t="shared" ref="I13:I21" si="0">SUM(E13:G13)</f>
        <v>186410</v>
      </c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25">
      <c r="A16" s="10">
        <v>5</v>
      </c>
      <c r="B16" s="10"/>
      <c r="C16" s="11" t="s">
        <v>37</v>
      </c>
      <c r="D16" s="10"/>
      <c r="E16" s="27">
        <v>-16089913</v>
      </c>
      <c r="F16" s="10"/>
      <c r="G16" s="10">
        <f>-SL_RBadj!I36</f>
        <v>-1785645.5</v>
      </c>
      <c r="H16" s="10"/>
      <c r="I16" s="10">
        <f t="shared" si="0"/>
        <v>-17875558.5</v>
      </c>
    </row>
    <row r="17" spans="1:9" x14ac:dyDescent="0.25">
      <c r="A17" s="10">
        <v>6</v>
      </c>
      <c r="B17" s="10"/>
      <c r="C17" s="11" t="s">
        <v>38</v>
      </c>
      <c r="D17" s="10"/>
      <c r="E17" s="10">
        <v>-13071926</v>
      </c>
      <c r="F17" s="10"/>
      <c r="G17" s="10"/>
      <c r="H17" s="10"/>
      <c r="I17" s="10">
        <f t="shared" si="0"/>
        <v>-13071926</v>
      </c>
    </row>
    <row r="18" spans="1:9" x14ac:dyDescent="0.25">
      <c r="A18" s="10">
        <v>7</v>
      </c>
      <c r="B18" s="10"/>
      <c r="C18" s="11" t="s">
        <v>39</v>
      </c>
      <c r="D18" s="10"/>
      <c r="E18" s="10">
        <v>10782188</v>
      </c>
      <c r="F18" s="10"/>
      <c r="G18" s="10"/>
      <c r="H18" s="10"/>
      <c r="I18" s="10">
        <f t="shared" si="0"/>
        <v>10782188</v>
      </c>
    </row>
    <row r="19" spans="1:9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25">
      <c r="A21" s="10">
        <v>10</v>
      </c>
      <c r="B21" s="10"/>
      <c r="C21" s="11" t="s">
        <v>40</v>
      </c>
      <c r="D21" s="10"/>
      <c r="E21" s="28">
        <v>202063</v>
      </c>
      <c r="F21" s="10"/>
      <c r="G21" s="17">
        <f>SL_RBadj!I40</f>
        <v>0</v>
      </c>
      <c r="H21" s="10"/>
      <c r="I21" s="17">
        <f t="shared" si="0"/>
        <v>202063</v>
      </c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5" thickBot="1" x14ac:dyDescent="0.3">
      <c r="A23" s="10">
        <v>11</v>
      </c>
      <c r="B23" s="10"/>
      <c r="C23" s="11" t="s">
        <v>41</v>
      </c>
      <c r="D23" s="10"/>
      <c r="E23" s="18">
        <f>SUM(E12:E21)</f>
        <v>23037306</v>
      </c>
      <c r="F23" s="10"/>
      <c r="G23" s="18">
        <f>SUM(G12:G21)</f>
        <v>-5073186.5</v>
      </c>
      <c r="H23" s="10"/>
      <c r="I23" s="18">
        <f>SUM(I12:I22)</f>
        <v>17964119.5</v>
      </c>
    </row>
    <row r="24" spans="1:9" ht="16.5" thickTop="1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8" x14ac:dyDescent="0.4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25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27" t="s">
        <v>104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89" orientation="portrait" horizontalDpi="0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opLeftCell="A36" workbookViewId="0">
      <selection activeCell="C44" sqref="C44"/>
    </sheetView>
  </sheetViews>
  <sheetFormatPr defaultRowHeight="15.75" x14ac:dyDescent="0.25"/>
  <cols>
    <col min="1" max="1" width="4.25" customWidth="1"/>
    <col min="2" max="2" width="1.375" customWidth="1"/>
    <col min="3" max="3" width="35.125" customWidth="1"/>
    <col min="4" max="6" width="7" customWidth="1"/>
    <col min="7" max="7" width="11.125" customWidth="1"/>
    <col min="8" max="8" width="1.875" customWidth="1"/>
    <col min="9" max="9" width="11.125" customWidth="1"/>
    <col min="10" max="10" width="2.25" customWidth="1"/>
    <col min="11" max="11" width="15.375" customWidth="1"/>
    <col min="12" max="12" width="5.125" customWidth="1"/>
  </cols>
  <sheetData>
    <row r="1" spans="1:12" x14ac:dyDescent="0.25">
      <c r="A1" t="str">
        <f>CL_wRR!A1</f>
        <v>Utilities, Inc. of Florida</v>
      </c>
      <c r="K1" s="37"/>
      <c r="L1" s="33" t="str">
        <f>ExhDR_12_SL!$E$1</f>
        <v>Docket No. 160101-WS</v>
      </c>
    </row>
    <row r="2" spans="1:12" x14ac:dyDescent="0.25">
      <c r="A2" t="s">
        <v>155</v>
      </c>
      <c r="K2" s="37"/>
      <c r="L2" s="33" t="str">
        <f>ExhDR_12_SL!$E$2</f>
        <v>Exhibit DMR-12</v>
      </c>
    </row>
    <row r="3" spans="1:12" x14ac:dyDescent="0.25">
      <c r="A3" t="str">
        <f>CL_wRR!A3</f>
        <v>Test Year Ended December 31, 2015</v>
      </c>
      <c r="K3" s="37"/>
      <c r="L3" s="33" t="str">
        <f>ExhDR_12_SL!$E$3</f>
        <v>Sanlando Revenue Requirement</v>
      </c>
    </row>
    <row r="4" spans="1:12" x14ac:dyDescent="0.25">
      <c r="K4" s="38" t="s">
        <v>87</v>
      </c>
      <c r="L4" s="33" t="str">
        <f>ExhDR_12_SL!$E$4</f>
        <v>of 9</v>
      </c>
    </row>
    <row r="5" spans="1:12" x14ac:dyDescent="0.25">
      <c r="A5" t="s">
        <v>42</v>
      </c>
      <c r="K5" s="37"/>
      <c r="L5" s="37"/>
    </row>
    <row r="6" spans="1:12" x14ac:dyDescent="0.25">
      <c r="K6" s="37"/>
      <c r="L6" s="37"/>
    </row>
    <row r="7" spans="1:12" x14ac:dyDescent="0.25">
      <c r="G7" s="1"/>
      <c r="H7" s="1"/>
      <c r="I7" s="1"/>
      <c r="K7" s="37"/>
      <c r="L7" s="37"/>
    </row>
    <row r="8" spans="1:12" x14ac:dyDescent="0.25">
      <c r="A8" t="s">
        <v>0</v>
      </c>
      <c r="G8" s="1" t="s">
        <v>70</v>
      </c>
      <c r="H8" s="1"/>
      <c r="I8" s="1" t="s">
        <v>71</v>
      </c>
      <c r="K8" s="19"/>
      <c r="L8" s="19"/>
    </row>
    <row r="9" spans="1:12" x14ac:dyDescent="0.25">
      <c r="A9" s="3" t="s">
        <v>1</v>
      </c>
      <c r="C9" s="9" t="s">
        <v>2</v>
      </c>
      <c r="G9" s="2" t="s">
        <v>5</v>
      </c>
      <c r="H9" s="34"/>
      <c r="I9" s="2" t="s">
        <v>5</v>
      </c>
      <c r="K9" s="20" t="s">
        <v>23</v>
      </c>
      <c r="L9" s="19"/>
    </row>
    <row r="10" spans="1:12" x14ac:dyDescent="0.25">
      <c r="K10" s="19"/>
      <c r="L10" s="19"/>
    </row>
    <row r="11" spans="1:12" ht="18" x14ac:dyDescent="0.4">
      <c r="C11" s="4" t="s">
        <v>44</v>
      </c>
      <c r="K11" s="19"/>
      <c r="L11" s="19"/>
    </row>
    <row r="12" spans="1:12" x14ac:dyDescent="0.25">
      <c r="A12">
        <v>1</v>
      </c>
      <c r="C12" t="s">
        <v>550</v>
      </c>
      <c r="G12">
        <f>-658854</f>
        <v>-658854</v>
      </c>
      <c r="K12" s="31" t="s">
        <v>198</v>
      </c>
      <c r="L12" s="19"/>
    </row>
    <row r="13" spans="1:12" x14ac:dyDescent="0.25">
      <c r="A13">
        <v>2</v>
      </c>
      <c r="C13" s="31" t="s">
        <v>553</v>
      </c>
      <c r="G13" s="19"/>
      <c r="H13" s="19"/>
      <c r="I13" s="19">
        <f>-625000+468750</f>
        <v>-156250</v>
      </c>
      <c r="J13" s="19"/>
      <c r="K13" s="76" t="s">
        <v>212</v>
      </c>
      <c r="L13" s="19"/>
    </row>
    <row r="14" spans="1:12" x14ac:dyDescent="0.25">
      <c r="A14">
        <v>3</v>
      </c>
      <c r="C14" s="31" t="s">
        <v>555</v>
      </c>
      <c r="G14" s="19"/>
      <c r="H14" s="19"/>
      <c r="I14" s="19">
        <f>1573884-1705183</f>
        <v>-131299</v>
      </c>
      <c r="J14" s="19"/>
      <c r="K14" s="31" t="s">
        <v>212</v>
      </c>
      <c r="L14" s="19"/>
    </row>
    <row r="15" spans="1:12" x14ac:dyDescent="0.25">
      <c r="A15">
        <v>4</v>
      </c>
      <c r="C15" s="31" t="s">
        <v>653</v>
      </c>
      <c r="G15" s="19"/>
      <c r="H15" s="19"/>
      <c r="I15" s="19">
        <f>-1935443-257364-1590373-329820-100000+1451582</f>
        <v>-2761418</v>
      </c>
      <c r="J15" s="19"/>
      <c r="K15" s="76" t="s">
        <v>212</v>
      </c>
      <c r="L15" s="19"/>
    </row>
    <row r="16" spans="1:12" x14ac:dyDescent="0.25">
      <c r="A16">
        <v>5</v>
      </c>
      <c r="C16" s="31" t="s">
        <v>652</v>
      </c>
      <c r="G16" s="19"/>
      <c r="H16" s="19"/>
      <c r="I16" s="19">
        <f>-89900</f>
        <v>-89900</v>
      </c>
      <c r="J16" s="19"/>
      <c r="K16" s="76" t="s">
        <v>212</v>
      </c>
      <c r="L16" s="19"/>
    </row>
    <row r="17" spans="1:12" x14ac:dyDescent="0.25">
      <c r="A17">
        <v>6</v>
      </c>
      <c r="B17" s="19"/>
      <c r="C17" s="31" t="s">
        <v>657</v>
      </c>
      <c r="G17" s="19">
        <f>SL_Plant!I18</f>
        <v>-257.5</v>
      </c>
      <c r="H17" s="19"/>
      <c r="I17" s="19"/>
      <c r="J17" s="19"/>
      <c r="K17" s="76" t="str">
        <f>SL_Plant!I4</f>
        <v>Page 9</v>
      </c>
      <c r="L17" s="19"/>
    </row>
    <row r="18" spans="1:12" x14ac:dyDescent="0.25">
      <c r="A18">
        <v>7</v>
      </c>
      <c r="B18" s="19"/>
      <c r="C18" s="31" t="s">
        <v>658</v>
      </c>
      <c r="G18" s="19"/>
      <c r="H18" s="19"/>
      <c r="I18" s="19">
        <f>1729034-1807189</f>
        <v>-78155</v>
      </c>
      <c r="J18" s="19"/>
      <c r="K18" s="76" t="s">
        <v>212</v>
      </c>
      <c r="L18" s="19"/>
    </row>
    <row r="19" spans="1:12" x14ac:dyDescent="0.25">
      <c r="A19">
        <v>8</v>
      </c>
      <c r="B19" s="19"/>
      <c r="C19" t="s">
        <v>630</v>
      </c>
      <c r="G19">
        <f>GIS_Proj!I19</f>
        <v>-87666</v>
      </c>
      <c r="I19">
        <f>GIS_Proj!K19</f>
        <v>-70519</v>
      </c>
      <c r="K19" t="str">
        <f>GIS_Proj!O2</f>
        <v>Exhibit DMR-21</v>
      </c>
      <c r="L19" s="19"/>
    </row>
    <row r="20" spans="1:12" ht="16.5" thickBot="1" x14ac:dyDescent="0.3">
      <c r="A20">
        <v>9</v>
      </c>
      <c r="B20" s="19"/>
      <c r="C20" t="s">
        <v>48</v>
      </c>
      <c r="G20" s="24">
        <f>SUM(G12:G19)</f>
        <v>-746777.5</v>
      </c>
      <c r="H20" s="26"/>
      <c r="I20" s="24">
        <f>SUM(I12:I19)</f>
        <v>-3287541</v>
      </c>
      <c r="K20" s="19"/>
      <c r="L20" s="19"/>
    </row>
    <row r="21" spans="1:12" ht="16.5" thickTop="1" x14ac:dyDescent="0.25">
      <c r="A21">
        <v>10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18" x14ac:dyDescent="0.4">
      <c r="A22">
        <v>11</v>
      </c>
      <c r="B22" s="19"/>
      <c r="C22" s="21" t="s">
        <v>58</v>
      </c>
      <c r="D22" s="19"/>
      <c r="E22" s="19"/>
      <c r="F22" s="19"/>
      <c r="G22" s="19"/>
      <c r="H22" s="19"/>
      <c r="I22" s="19"/>
      <c r="J22" s="19"/>
      <c r="K22" s="19"/>
      <c r="L22" s="19"/>
    </row>
    <row r="23" spans="1:12" x14ac:dyDescent="0.25">
      <c r="A23">
        <v>12</v>
      </c>
      <c r="B23" s="19"/>
      <c r="C23" s="20"/>
      <c r="D23" s="19"/>
      <c r="E23" s="19"/>
      <c r="F23" s="19"/>
      <c r="G23" s="19"/>
      <c r="H23" s="19"/>
      <c r="I23" s="19"/>
      <c r="J23" s="19"/>
      <c r="K23" s="19"/>
      <c r="L23" s="19"/>
    </row>
    <row r="24" spans="1:12" x14ac:dyDescent="0.25">
      <c r="A24">
        <v>13</v>
      </c>
      <c r="B24" s="19"/>
      <c r="D24" s="19"/>
      <c r="E24" s="19"/>
      <c r="F24" s="19"/>
      <c r="G24" s="22"/>
      <c r="H24" s="39"/>
      <c r="I24" s="22"/>
      <c r="J24" s="19"/>
      <c r="K24" s="31"/>
      <c r="L24" s="19"/>
    </row>
    <row r="25" spans="1:12" ht="16.5" thickBot="1" x14ac:dyDescent="0.3">
      <c r="A25">
        <v>14</v>
      </c>
      <c r="B25" s="19"/>
      <c r="C25" t="s">
        <v>59</v>
      </c>
      <c r="D25" s="19"/>
      <c r="E25" s="19"/>
      <c r="F25" s="19"/>
      <c r="G25" s="23">
        <f>SUM(G23:G24)</f>
        <v>0</v>
      </c>
      <c r="H25" s="39"/>
      <c r="I25" s="23">
        <f>SUM(I23:I24)</f>
        <v>0</v>
      </c>
      <c r="J25" s="19"/>
      <c r="K25" s="31"/>
      <c r="L25" s="19"/>
    </row>
    <row r="26" spans="1:12" ht="16.5" thickTop="1" x14ac:dyDescent="0.25">
      <c r="A26">
        <v>15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ht="18" x14ac:dyDescent="0.4">
      <c r="A27">
        <v>16</v>
      </c>
      <c r="B27" s="19"/>
      <c r="C27" s="21" t="s">
        <v>43</v>
      </c>
      <c r="D27" s="19"/>
      <c r="E27" s="19"/>
      <c r="F27" s="19"/>
      <c r="G27" s="19"/>
      <c r="H27" s="19"/>
      <c r="I27" s="19"/>
      <c r="J27" s="19"/>
      <c r="K27" s="19"/>
      <c r="L27" s="19"/>
    </row>
    <row r="28" spans="1:12" x14ac:dyDescent="0.25">
      <c r="A28">
        <v>17</v>
      </c>
      <c r="B28" s="19"/>
      <c r="C28" t="s">
        <v>550</v>
      </c>
      <c r="D28" s="19"/>
      <c r="E28" s="19"/>
      <c r="F28" s="19"/>
      <c r="G28" s="19">
        <v>-7661</v>
      </c>
      <c r="H28" s="19"/>
      <c r="I28" s="19"/>
      <c r="J28" s="19"/>
      <c r="K28" s="31" t="s">
        <v>198</v>
      </c>
      <c r="L28" s="19"/>
    </row>
    <row r="29" spans="1:12" x14ac:dyDescent="0.25">
      <c r="A29">
        <v>18</v>
      </c>
      <c r="B29" s="19"/>
      <c r="C29" s="31" t="s">
        <v>553</v>
      </c>
      <c r="D29" s="19"/>
      <c r="E29" s="19"/>
      <c r="F29" s="19"/>
      <c r="G29" s="19"/>
      <c r="H29" s="19"/>
      <c r="I29" s="19">
        <f>468750-17361</f>
        <v>451389</v>
      </c>
      <c r="J29" s="19"/>
      <c r="K29" s="76" t="s">
        <v>212</v>
      </c>
      <c r="L29" s="19"/>
    </row>
    <row r="30" spans="1:12" x14ac:dyDescent="0.25">
      <c r="A30">
        <v>19</v>
      </c>
      <c r="B30" s="19"/>
      <c r="C30" s="31" t="s">
        <v>556</v>
      </c>
      <c r="D30" s="19"/>
      <c r="E30" s="19"/>
      <c r="F30" s="19"/>
      <c r="G30" s="19"/>
      <c r="H30" s="19"/>
      <c r="I30" s="19">
        <f>ROUND(-18946*(I14/1705183),0)</f>
        <v>1459</v>
      </c>
      <c r="J30" s="19"/>
      <c r="K30" s="31" t="s">
        <v>212</v>
      </c>
      <c r="L30" s="19"/>
    </row>
    <row r="31" spans="1:12" x14ac:dyDescent="0.25">
      <c r="A31">
        <v>20</v>
      </c>
      <c r="B31" s="19"/>
      <c r="C31" s="31" t="s">
        <v>651</v>
      </c>
      <c r="D31" s="19"/>
      <c r="E31" s="19"/>
      <c r="F31" s="19"/>
      <c r="G31" s="19"/>
      <c r="H31" s="19"/>
      <c r="I31" s="19">
        <f>-32257-4021-26506-9162-2778+1451582</f>
        <v>1376858</v>
      </c>
      <c r="J31" s="19"/>
      <c r="K31" s="31" t="s">
        <v>212</v>
      </c>
      <c r="L31" s="19"/>
    </row>
    <row r="32" spans="1:12" x14ac:dyDescent="0.25">
      <c r="A32">
        <v>21</v>
      </c>
      <c r="B32" s="19"/>
      <c r="C32" s="31" t="s">
        <v>652</v>
      </c>
      <c r="D32" s="19"/>
      <c r="E32" s="19"/>
      <c r="F32" s="19"/>
      <c r="G32" s="19"/>
      <c r="H32" s="19"/>
      <c r="I32" s="19">
        <v>-39539</v>
      </c>
      <c r="J32" s="19"/>
      <c r="K32" s="31" t="s">
        <v>212</v>
      </c>
      <c r="L32" s="19"/>
    </row>
    <row r="33" spans="1:12" x14ac:dyDescent="0.25">
      <c r="A33">
        <v>22</v>
      </c>
      <c r="B33" s="19"/>
      <c r="C33" s="31" t="s">
        <v>657</v>
      </c>
      <c r="D33" s="19"/>
      <c r="E33" s="19"/>
      <c r="F33" s="19"/>
      <c r="G33" s="19">
        <f>SL_Plant!I24</f>
        <v>-102.5</v>
      </c>
      <c r="H33" s="19"/>
      <c r="I33" s="19"/>
      <c r="J33" s="19"/>
      <c r="K33" s="31" t="str">
        <f>SL_Plant!I4</f>
        <v>Page 9</v>
      </c>
      <c r="L33" s="19"/>
    </row>
    <row r="34" spans="1:12" x14ac:dyDescent="0.25">
      <c r="A34">
        <v>23</v>
      </c>
      <c r="C34" s="31" t="s">
        <v>658</v>
      </c>
      <c r="D34" s="19"/>
      <c r="E34" s="19"/>
      <c r="F34" s="19"/>
      <c r="G34" s="19"/>
      <c r="H34" s="19"/>
      <c r="I34" s="19">
        <f>SL_NOIadj!H35*0.5</f>
        <v>-2171</v>
      </c>
      <c r="J34" s="19"/>
      <c r="K34" s="31"/>
      <c r="L34" s="19"/>
    </row>
    <row r="35" spans="1:12" x14ac:dyDescent="0.25">
      <c r="A35">
        <v>24</v>
      </c>
      <c r="C35" t="s">
        <v>630</v>
      </c>
      <c r="D35" s="19"/>
      <c r="E35" s="19"/>
      <c r="F35" s="19"/>
      <c r="G35" s="19">
        <f>SL_NOIadj!F36*0.5</f>
        <v>-2922</v>
      </c>
      <c r="H35" s="19"/>
      <c r="I35" s="19">
        <f>SL_NOIadj!H36*0.5</f>
        <v>-2350.5</v>
      </c>
      <c r="J35" s="19"/>
      <c r="K35" s="19"/>
      <c r="L35" s="19"/>
    </row>
    <row r="36" spans="1:12" ht="16.5" thickBot="1" x14ac:dyDescent="0.3">
      <c r="A36">
        <v>25</v>
      </c>
      <c r="C36" s="20" t="s">
        <v>47</v>
      </c>
      <c r="D36" s="19"/>
      <c r="E36" s="19"/>
      <c r="F36" s="19"/>
      <c r="G36" s="23">
        <f>SUM(G28:G35)</f>
        <v>-10685.5</v>
      </c>
      <c r="H36" s="39"/>
      <c r="I36" s="23">
        <f>SUM(I28:I35)</f>
        <v>1785645.5</v>
      </c>
      <c r="J36" s="19"/>
      <c r="K36" s="19"/>
    </row>
    <row r="37" spans="1:12" ht="16.5" thickTop="1" x14ac:dyDescent="0.25">
      <c r="A37">
        <v>26</v>
      </c>
      <c r="C37" s="20"/>
      <c r="D37" s="19"/>
      <c r="E37" s="19"/>
      <c r="F37" s="19"/>
      <c r="G37" s="19"/>
      <c r="H37" s="19"/>
      <c r="I37" s="19"/>
      <c r="J37" s="19"/>
      <c r="K37" s="19"/>
    </row>
    <row r="38" spans="1:12" ht="18" x14ac:dyDescent="0.4">
      <c r="A38">
        <v>27</v>
      </c>
      <c r="C38" s="21" t="s">
        <v>51</v>
      </c>
      <c r="D38" s="19"/>
      <c r="E38" s="19"/>
      <c r="F38" s="19"/>
      <c r="G38" s="19"/>
      <c r="H38" s="19"/>
      <c r="I38" s="19"/>
      <c r="J38" s="19"/>
      <c r="K38" s="19"/>
    </row>
    <row r="39" spans="1:12" x14ac:dyDescent="0.25">
      <c r="C39" s="19"/>
      <c r="D39" s="19"/>
      <c r="E39" s="19"/>
      <c r="F39" s="19"/>
      <c r="G39" s="22"/>
      <c r="H39" s="39"/>
      <c r="I39" s="22"/>
      <c r="J39" s="19"/>
      <c r="K39" s="19"/>
    </row>
    <row r="40" spans="1:12" ht="16.5" thickBot="1" x14ac:dyDescent="0.3">
      <c r="C40" s="20" t="s">
        <v>52</v>
      </c>
      <c r="D40" s="19"/>
      <c r="E40" s="19"/>
      <c r="F40" s="19"/>
      <c r="G40" s="23">
        <f>SUM(G39:G39)</f>
        <v>0</v>
      </c>
      <c r="H40" s="39"/>
      <c r="I40" s="23">
        <f>SUM(I39:I39)</f>
        <v>0</v>
      </c>
      <c r="J40" s="19"/>
      <c r="K40" s="19"/>
    </row>
    <row r="41" spans="1:12" ht="16.5" thickTop="1" x14ac:dyDescent="0.25">
      <c r="C41" s="19"/>
      <c r="D41" s="19"/>
      <c r="E41" s="19"/>
      <c r="F41" s="19"/>
      <c r="G41" s="19"/>
      <c r="H41" s="19"/>
      <c r="I41" s="19"/>
      <c r="J41" s="19"/>
      <c r="K41" s="19"/>
    </row>
    <row r="43" spans="1:12" x14ac:dyDescent="0.25">
      <c r="C43" s="6" t="s">
        <v>705</v>
      </c>
    </row>
    <row r="44" spans="1:12" x14ac:dyDescent="0.25">
      <c r="C44" t="s">
        <v>704</v>
      </c>
    </row>
  </sheetData>
  <pageMargins left="0.7" right="0.7" top="0.75" bottom="0.75" header="0.3" footer="0.3"/>
  <pageSetup scale="78" orientation="portrait" horizontalDpi="0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workbookViewId="0">
      <selection activeCell="C27" sqref="C27"/>
    </sheetView>
  </sheetViews>
  <sheetFormatPr defaultRowHeight="15.75" x14ac:dyDescent="0.25"/>
  <cols>
    <col min="1" max="1" width="4.25" customWidth="1"/>
    <col min="2" max="2" width="1.375" customWidth="1"/>
    <col min="3" max="3" width="20.5" customWidth="1"/>
    <col min="4" max="4" width="1.125" customWidth="1"/>
    <col min="5" max="5" width="12.75" customWidth="1"/>
    <col min="6" max="6" width="1.125" customWidth="1"/>
    <col min="7" max="7" width="9.625" customWidth="1"/>
    <col min="8" max="8" width="1.125" customWidth="1"/>
    <col min="9" max="9" width="12.875" customWidth="1"/>
    <col min="10" max="10" width="0.75" customWidth="1"/>
    <col min="11" max="11" width="12.125" customWidth="1"/>
    <col min="12" max="12" width="0.75" customWidth="1"/>
    <col min="13" max="13" width="9.625" customWidth="1"/>
    <col min="14" max="14" width="0.75" customWidth="1"/>
    <col min="15" max="15" width="9.75" customWidth="1"/>
    <col min="16" max="16" width="0.75" customWidth="1"/>
    <col min="17" max="17" width="10" customWidth="1"/>
    <col min="18" max="18" width="5.375" customWidth="1"/>
  </cols>
  <sheetData>
    <row r="1" spans="1:18" x14ac:dyDescent="0.25">
      <c r="A1" t="str">
        <f>CL_wRR!A1</f>
        <v>Utilities, Inc. of Florida</v>
      </c>
      <c r="Q1" s="37"/>
      <c r="R1" s="33" t="str">
        <f>ExhDR_12_SL!$E$1</f>
        <v>Docket No. 160101-WS</v>
      </c>
    </row>
    <row r="2" spans="1:18" x14ac:dyDescent="0.25">
      <c r="A2" t="s">
        <v>155</v>
      </c>
      <c r="Q2" s="37"/>
      <c r="R2" s="33" t="str">
        <f>ExhDR_12_SL!$E$2</f>
        <v>Exhibit DMR-12</v>
      </c>
    </row>
    <row r="3" spans="1:18" x14ac:dyDescent="0.25">
      <c r="A3" t="str">
        <f>CL_wRR!A3</f>
        <v>Test Year Ended December 31, 2015</v>
      </c>
      <c r="Q3" s="37"/>
      <c r="R3" s="33" t="str">
        <f>ExhDR_12_SL!$E$3</f>
        <v>Sanlando Revenue Requirement</v>
      </c>
    </row>
    <row r="4" spans="1:18" x14ac:dyDescent="0.25">
      <c r="Q4" s="38" t="s">
        <v>222</v>
      </c>
      <c r="R4" s="33" t="str">
        <f>ExhDR_12_SL!$E$4</f>
        <v>of 9</v>
      </c>
    </row>
    <row r="5" spans="1:18" x14ac:dyDescent="0.25">
      <c r="A5" t="s">
        <v>199</v>
      </c>
    </row>
    <row r="8" spans="1:18" x14ac:dyDescent="0.25">
      <c r="Q8" s="1" t="s">
        <v>8</v>
      </c>
    </row>
    <row r="9" spans="1:18" x14ac:dyDescent="0.25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8" x14ac:dyDescent="0.4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25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25">
      <c r="A13">
        <v>1</v>
      </c>
      <c r="C13" t="s">
        <v>206</v>
      </c>
      <c r="E13">
        <v>14523626</v>
      </c>
      <c r="G13" s="64">
        <f>E13/$E$20</f>
        <v>0.43536208375822</v>
      </c>
      <c r="I13">
        <f>K13-E13</f>
        <v>-2714446.6411377359</v>
      </c>
      <c r="K13">
        <f>($K$20-$K$16-$K$17-$K$18)*(E13/SUM($E$13:$E$15))</f>
        <v>11809179.358862264</v>
      </c>
      <c r="M13" s="64">
        <f>K13/$K$20</f>
        <v>0.42863602147250057</v>
      </c>
      <c r="O13" s="64">
        <v>6.7000000000000004E-2</v>
      </c>
      <c r="P13" s="8"/>
      <c r="Q13" s="64">
        <f>M13*O13</f>
        <v>2.8718613438657541E-2</v>
      </c>
    </row>
    <row r="14" spans="1:18" x14ac:dyDescent="0.25">
      <c r="A14">
        <v>2</v>
      </c>
      <c r="C14" t="s">
        <v>207</v>
      </c>
      <c r="E14">
        <v>1379321</v>
      </c>
      <c r="G14" s="64">
        <f t="shared" ref="G14:G18" si="0">E14/$E$20</f>
        <v>4.1346703965763905E-2</v>
      </c>
      <c r="I14">
        <f t="shared" ref="I14:I15" si="1">K14-E14</f>
        <v>-257793.28492077277</v>
      </c>
      <c r="K14">
        <f t="shared" ref="K14:K15" si="2">($K$20-$K$16-$K$17-$K$18)*(E14/SUM($E$13:$E$15))</f>
        <v>1121527.7150792272</v>
      </c>
      <c r="M14" s="64">
        <f t="shared" ref="M14:M18" si="3">K14/$K$20</f>
        <v>4.0707924162565946E-2</v>
      </c>
      <c r="O14" s="8">
        <v>2.3199999999999998E-2</v>
      </c>
      <c r="P14" s="8"/>
      <c r="Q14" s="64">
        <f t="shared" ref="Q14:Q18" si="4">M14*O14</f>
        <v>9.4442384057152992E-4</v>
      </c>
    </row>
    <row r="15" spans="1:18" x14ac:dyDescent="0.25">
      <c r="A15">
        <v>3</v>
      </c>
      <c r="C15" t="s">
        <v>208</v>
      </c>
      <c r="E15">
        <v>15445264</v>
      </c>
      <c r="G15" s="64">
        <f t="shared" si="0"/>
        <v>0.46298922316202717</v>
      </c>
      <c r="I15">
        <f t="shared" si="1"/>
        <v>-2886699.5739414915</v>
      </c>
      <c r="K15">
        <f t="shared" si="2"/>
        <v>12558564.426058508</v>
      </c>
      <c r="M15" s="64">
        <f t="shared" si="3"/>
        <v>0.4558363394618149</v>
      </c>
      <c r="O15" s="8">
        <v>0.104</v>
      </c>
      <c r="P15" s="8"/>
      <c r="Q15" s="64">
        <f t="shared" si="4"/>
        <v>4.7406979304028748E-2</v>
      </c>
    </row>
    <row r="16" spans="1:18" x14ac:dyDescent="0.25">
      <c r="A16">
        <v>4</v>
      </c>
      <c r="C16" t="s">
        <v>209</v>
      </c>
      <c r="E16">
        <v>37114</v>
      </c>
      <c r="G16" s="64">
        <f t="shared" si="0"/>
        <v>1.1125340446388923E-3</v>
      </c>
      <c r="K16">
        <f>E16+I16</f>
        <v>37114</v>
      </c>
      <c r="M16" s="64">
        <f t="shared" si="3"/>
        <v>1.3471213212619929E-3</v>
      </c>
      <c r="O16" s="8">
        <v>0.02</v>
      </c>
      <c r="P16" s="8"/>
      <c r="Q16" s="64">
        <f t="shared" si="4"/>
        <v>2.694242642523986E-5</v>
      </c>
    </row>
    <row r="17" spans="1:17" x14ac:dyDescent="0.25">
      <c r="A17">
        <v>5</v>
      </c>
      <c r="C17" t="s">
        <v>210</v>
      </c>
      <c r="E17">
        <v>0</v>
      </c>
      <c r="G17" s="64">
        <f t="shared" si="0"/>
        <v>0</v>
      </c>
      <c r="K17">
        <f>E17+I17</f>
        <v>0</v>
      </c>
      <c r="M17" s="64">
        <f t="shared" si="3"/>
        <v>0</v>
      </c>
      <c r="O17" s="8">
        <v>0</v>
      </c>
      <c r="P17" s="8"/>
      <c r="Q17" s="64">
        <f t="shared" si="4"/>
        <v>0</v>
      </c>
    </row>
    <row r="18" spans="1:17" x14ac:dyDescent="0.25">
      <c r="A18">
        <v>6</v>
      </c>
      <c r="C18" t="s">
        <v>211</v>
      </c>
      <c r="E18" s="3">
        <v>1974553</v>
      </c>
      <c r="G18" s="68">
        <f t="shared" si="0"/>
        <v>5.9189455069350076E-2</v>
      </c>
      <c r="I18">
        <v>49661</v>
      </c>
      <c r="K18" s="3">
        <f>E18+I18</f>
        <v>2024214</v>
      </c>
      <c r="M18" s="68">
        <f t="shared" si="3"/>
        <v>7.3472593581856538E-2</v>
      </c>
      <c r="O18" s="8">
        <v>0</v>
      </c>
      <c r="P18" s="8"/>
      <c r="Q18" s="68">
        <f t="shared" si="4"/>
        <v>0</v>
      </c>
    </row>
    <row r="20" spans="1:17" ht="16.5" thickBot="1" x14ac:dyDescent="0.3">
      <c r="A20">
        <v>7</v>
      </c>
      <c r="C20" t="s">
        <v>189</v>
      </c>
      <c r="E20">
        <f>SUM(E13:E19)</f>
        <v>33359878</v>
      </c>
      <c r="G20" s="8">
        <f>SUM(G13:G19)</f>
        <v>1</v>
      </c>
      <c r="K20">
        <f>SL_wRB!I23+SL_wwRB!I23</f>
        <v>27550599.5</v>
      </c>
      <c r="M20" s="8">
        <f>SUM(M13:M19)</f>
        <v>1</v>
      </c>
      <c r="Q20" s="71">
        <f>ROUND(SUM(Q13:Q19),4)</f>
        <v>7.7100000000000002E-2</v>
      </c>
    </row>
    <row r="21" spans="1:17" ht="16.5" thickTop="1" x14ac:dyDescent="0.25"/>
    <row r="22" spans="1:17" ht="18" x14ac:dyDescent="0.4">
      <c r="C22" s="4" t="s">
        <v>50</v>
      </c>
    </row>
    <row r="23" spans="1:17" x14ac:dyDescent="0.25">
      <c r="C23" t="s">
        <v>217</v>
      </c>
    </row>
    <row r="24" spans="1:17" x14ac:dyDescent="0.25">
      <c r="C24" t="s">
        <v>408</v>
      </c>
    </row>
    <row r="25" spans="1:17" x14ac:dyDescent="0.25">
      <c r="C25" t="s">
        <v>706</v>
      </c>
    </row>
    <row r="26" spans="1:17" x14ac:dyDescent="0.25">
      <c r="C26" t="s">
        <v>707</v>
      </c>
    </row>
  </sheetData>
  <pageMargins left="0.7" right="0.7" top="0.75" bottom="0.75" header="0.3" footer="0.3"/>
  <pageSetup scale="72" orientation="portrait" horizontalDpi="0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I24" sqref="I24"/>
    </sheetView>
  </sheetViews>
  <sheetFormatPr defaultRowHeight="15.75" x14ac:dyDescent="0.25"/>
  <cols>
    <col min="1" max="1" width="4.625" customWidth="1"/>
    <col min="2" max="2" width="1.375" customWidth="1"/>
    <col min="3" max="3" width="41.125" customWidth="1"/>
    <col min="4" max="4" width="5.5" customWidth="1"/>
    <col min="5" max="5" width="14.125" customWidth="1"/>
    <col min="6" max="6" width="1.75" customWidth="1"/>
    <col min="7" max="7" width="12.375" customWidth="1"/>
    <col min="8" max="8" width="2.5" customWidth="1"/>
    <col min="9" max="9" width="9.875" customWidth="1"/>
    <col min="10" max="10" width="4.625" customWidth="1"/>
    <col min="13" max="13" width="10.125" bestFit="1" customWidth="1"/>
  </cols>
  <sheetData>
    <row r="1" spans="1:10" x14ac:dyDescent="0.25">
      <c r="A1" t="str">
        <f>CL_wRR!A1</f>
        <v>Utilities, Inc. of Florida</v>
      </c>
      <c r="I1" s="37"/>
      <c r="J1" s="33" t="str">
        <f>ExhDR_12_SL!$E$1</f>
        <v>Docket No. 160101-WS</v>
      </c>
    </row>
    <row r="2" spans="1:10" x14ac:dyDescent="0.25">
      <c r="A2" t="s">
        <v>155</v>
      </c>
      <c r="I2" s="37"/>
      <c r="J2" s="33" t="str">
        <f>ExhDR_12_SL!$E$2</f>
        <v>Exhibit DMR-12</v>
      </c>
    </row>
    <row r="3" spans="1:10" x14ac:dyDescent="0.25">
      <c r="A3" t="str">
        <f>CL_wRR!A3</f>
        <v>Test Year Ended December 31, 2015</v>
      </c>
      <c r="I3" s="37"/>
      <c r="J3" s="33" t="str">
        <f>ExhDR_12_SL!$E$3</f>
        <v>Sanlando Revenue Requirement</v>
      </c>
    </row>
    <row r="4" spans="1:10" x14ac:dyDescent="0.25">
      <c r="I4" s="38" t="s">
        <v>345</v>
      </c>
      <c r="J4" s="33" t="str">
        <f>ExhDR_12_SL!$E$4</f>
        <v>of 9</v>
      </c>
    </row>
    <row r="5" spans="1:10" x14ac:dyDescent="0.25">
      <c r="A5" t="s">
        <v>614</v>
      </c>
    </row>
    <row r="6" spans="1:10" x14ac:dyDescent="0.25">
      <c r="A6" t="s">
        <v>656</v>
      </c>
    </row>
    <row r="10" spans="1:10" x14ac:dyDescent="0.25">
      <c r="E10" s="1" t="s">
        <v>346</v>
      </c>
      <c r="F10" s="1"/>
      <c r="G10" s="1" t="s">
        <v>348</v>
      </c>
      <c r="H10" s="1"/>
      <c r="I10" s="1"/>
    </row>
    <row r="11" spans="1:10" x14ac:dyDescent="0.25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0" x14ac:dyDescent="0.25">
      <c r="E12" s="7" t="s">
        <v>212</v>
      </c>
      <c r="F12" s="1"/>
      <c r="G12" s="7" t="s">
        <v>213</v>
      </c>
      <c r="H12" s="1"/>
      <c r="I12" s="7" t="s">
        <v>214</v>
      </c>
    </row>
    <row r="13" spans="1:10" x14ac:dyDescent="0.25">
      <c r="C13" s="82" t="s">
        <v>654</v>
      </c>
      <c r="E13" s="7"/>
      <c r="F13" s="1"/>
      <c r="G13" s="7"/>
      <c r="H13" s="1"/>
      <c r="I13" s="7"/>
    </row>
    <row r="14" spans="1:10" ht="18" x14ac:dyDescent="0.4">
      <c r="C14" s="4" t="s">
        <v>350</v>
      </c>
    </row>
    <row r="15" spans="1:10" x14ac:dyDescent="0.25">
      <c r="A15">
        <v>1</v>
      </c>
      <c r="C15" t="s">
        <v>417</v>
      </c>
      <c r="E15">
        <v>100000</v>
      </c>
      <c r="G15">
        <v>98970</v>
      </c>
    </row>
    <row r="16" spans="1:10" x14ac:dyDescent="0.25">
      <c r="A16">
        <v>2</v>
      </c>
      <c r="C16" t="s">
        <v>574</v>
      </c>
      <c r="E16" s="3">
        <f>-E15*0.75</f>
        <v>-75000</v>
      </c>
      <c r="G16" s="3">
        <f>-G15*0.75</f>
        <v>-74227.5</v>
      </c>
    </row>
    <row r="18" spans="1:9" x14ac:dyDescent="0.25">
      <c r="A18">
        <v>3</v>
      </c>
      <c r="C18" t="s">
        <v>354</v>
      </c>
      <c r="E18">
        <f>SUM(E15:E16)</f>
        <v>25000</v>
      </c>
      <c r="G18">
        <f>SUM(G15:G16)</f>
        <v>24742.5</v>
      </c>
      <c r="I18" s="79">
        <f>G18-E18</f>
        <v>-257.5</v>
      </c>
    </row>
    <row r="20" spans="1:9" ht="18" x14ac:dyDescent="0.4">
      <c r="C20" s="4" t="s">
        <v>351</v>
      </c>
    </row>
    <row r="21" spans="1:9" x14ac:dyDescent="0.25">
      <c r="A21">
        <v>4</v>
      </c>
      <c r="C21" t="s">
        <v>418</v>
      </c>
      <c r="E21">
        <f>E16</f>
        <v>-75000</v>
      </c>
      <c r="G21">
        <f>G16</f>
        <v>-74227.5</v>
      </c>
    </row>
    <row r="22" spans="1:9" x14ac:dyDescent="0.25">
      <c r="A22">
        <v>5</v>
      </c>
      <c r="C22" t="s">
        <v>352</v>
      </c>
      <c r="E22" s="3">
        <v>1163</v>
      </c>
      <c r="G22" s="3">
        <f>ROUND(G27/2,0)</f>
        <v>288</v>
      </c>
    </row>
    <row r="24" spans="1:9" x14ac:dyDescent="0.25">
      <c r="A24">
        <v>6</v>
      </c>
      <c r="C24" t="s">
        <v>356</v>
      </c>
      <c r="E24">
        <f>SUM(E21:E23)</f>
        <v>-73837</v>
      </c>
      <c r="G24">
        <f>SUM(G21:G23)</f>
        <v>-73939.5</v>
      </c>
      <c r="I24" s="79">
        <f>G24-E24</f>
        <v>-102.5</v>
      </c>
    </row>
    <row r="26" spans="1:9" ht="18" x14ac:dyDescent="0.4">
      <c r="C26" s="4" t="s">
        <v>353</v>
      </c>
    </row>
    <row r="27" spans="1:9" x14ac:dyDescent="0.25">
      <c r="A27">
        <v>7</v>
      </c>
      <c r="C27" t="s">
        <v>403</v>
      </c>
      <c r="E27">
        <f>2326-1744</f>
        <v>582</v>
      </c>
      <c r="G27">
        <f>ROUND(G18/43,0)</f>
        <v>575</v>
      </c>
      <c r="I27" s="79">
        <f>G27-E27</f>
        <v>-7</v>
      </c>
    </row>
    <row r="28" spans="1:9" x14ac:dyDescent="0.25">
      <c r="E28" s="46"/>
    </row>
    <row r="30" spans="1:9" ht="18" x14ac:dyDescent="0.4">
      <c r="C30" s="4" t="s">
        <v>50</v>
      </c>
    </row>
    <row r="31" spans="1:9" x14ac:dyDescent="0.25">
      <c r="C31" t="s">
        <v>431</v>
      </c>
    </row>
    <row r="32" spans="1:9" x14ac:dyDescent="0.25">
      <c r="C32" t="s">
        <v>655</v>
      </c>
    </row>
  </sheetData>
  <pageMargins left="0.7" right="0.7" top="0.75" bottom="0.75" header="0.3" footer="0.3"/>
  <pageSetup scale="86" orientation="portrait" horizontalDpi="0" verticalDpi="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E14"/>
  <sheetViews>
    <sheetView workbookViewId="0">
      <selection activeCell="E5" sqref="E5"/>
    </sheetView>
  </sheetViews>
  <sheetFormatPr defaultRowHeight="15.75" x14ac:dyDescent="0.25"/>
  <cols>
    <col min="1" max="1" width="8.125" customWidth="1"/>
    <col min="2" max="2" width="1.875" customWidth="1"/>
    <col min="3" max="3" width="45.625" customWidth="1"/>
    <col min="4" max="4" width="13.375" customWidth="1"/>
    <col min="5" max="5" width="4.875" customWidth="1"/>
  </cols>
  <sheetData>
    <row r="1" spans="1:5" x14ac:dyDescent="0.25">
      <c r="A1" t="s">
        <v>61</v>
      </c>
      <c r="E1" s="33" t="s">
        <v>64</v>
      </c>
    </row>
    <row r="2" spans="1:5" x14ac:dyDescent="0.25">
      <c r="A2" t="s">
        <v>159</v>
      </c>
      <c r="E2" s="33" t="s">
        <v>160</v>
      </c>
    </row>
    <row r="3" spans="1:5" x14ac:dyDescent="0.25">
      <c r="A3" t="s">
        <v>86</v>
      </c>
      <c r="E3" s="33" t="s">
        <v>161</v>
      </c>
    </row>
    <row r="4" spans="1:5" x14ac:dyDescent="0.25">
      <c r="D4" s="33" t="s">
        <v>67</v>
      </c>
      <c r="E4" s="33" t="s">
        <v>560</v>
      </c>
    </row>
    <row r="5" spans="1:5" x14ac:dyDescent="0.25">
      <c r="A5" t="s">
        <v>63</v>
      </c>
    </row>
    <row r="8" spans="1:5" x14ac:dyDescent="0.25">
      <c r="A8" s="3" t="s">
        <v>84</v>
      </c>
      <c r="B8" s="3"/>
      <c r="C8" s="3" t="s">
        <v>85</v>
      </c>
      <c r="D8" s="3"/>
      <c r="E8" s="3"/>
    </row>
    <row r="9" spans="1:5" x14ac:dyDescent="0.25">
      <c r="A9" s="26"/>
      <c r="B9" s="26"/>
      <c r="C9" s="26"/>
      <c r="D9" s="34"/>
      <c r="E9" s="26"/>
    </row>
    <row r="10" spans="1:5" x14ac:dyDescent="0.25">
      <c r="A10" s="58" t="str">
        <f>TV_wwRR!N4</f>
        <v>Page 2</v>
      </c>
      <c r="B10" s="26"/>
      <c r="C10" s="58" t="str">
        <f>TV_wwRR!A5</f>
        <v>Calculation of Revenue Requirement - Wastewater</v>
      </c>
      <c r="D10" s="34"/>
      <c r="E10" s="26"/>
    </row>
    <row r="11" spans="1:5" x14ac:dyDescent="0.25">
      <c r="A11" s="26" t="str">
        <f>TV_NOIadj!G4</f>
        <v>Page 3</v>
      </c>
      <c r="B11" s="26"/>
      <c r="C11" s="26" t="str">
        <f>TV_NOIadj!A5</f>
        <v>Schedule of Adjustments to Operating Income</v>
      </c>
      <c r="D11" s="34"/>
      <c r="E11" s="26"/>
    </row>
    <row r="12" spans="1:5" x14ac:dyDescent="0.25">
      <c r="A12" s="26" t="str">
        <f>TV_wwRB!I4</f>
        <v>Page 4</v>
      </c>
      <c r="B12" s="26"/>
      <c r="C12" s="26" t="str">
        <f>TV_wwRB!A5</f>
        <v>Rate Base - Wastewater</v>
      </c>
      <c r="D12" s="26"/>
      <c r="E12" s="26"/>
    </row>
    <row r="13" spans="1:5" x14ac:dyDescent="0.25">
      <c r="A13" s="26" t="str">
        <f>TV_RBadj!H4</f>
        <v>Page 5</v>
      </c>
      <c r="B13" s="26"/>
      <c r="C13" s="26" t="str">
        <f>TV_RBadj!A5</f>
        <v>Schedule of Adjustments to Rate Base</v>
      </c>
      <c r="D13" s="26"/>
      <c r="E13" s="26"/>
    </row>
    <row r="14" spans="1:5" x14ac:dyDescent="0.25">
      <c r="A14" t="str">
        <f>TV_ROR!Q4</f>
        <v>Page 6</v>
      </c>
      <c r="C14" t="str">
        <f>TV_ROR!A5</f>
        <v>Cost of Capital</v>
      </c>
    </row>
  </sheetData>
  <pageMargins left="0.7" right="0.7" top="0.75" bottom="0.75" header="0.3" footer="0.3"/>
  <pageSetup orientation="portrait" horizontalDpi="0" verticalDpi="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C29" sqref="C29:C30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0.375" bestFit="1" customWidth="1"/>
    <col min="5" max="5" width="1.75" customWidth="1"/>
    <col min="6" max="6" width="10.875" customWidth="1"/>
    <col min="7" max="7" width="2.125" customWidth="1"/>
    <col min="8" max="8" width="10.375" bestFit="1" customWidth="1"/>
    <col min="9" max="9" width="1.375" customWidth="1"/>
    <col min="10" max="10" width="10.125" customWidth="1"/>
    <col min="11" max="11" width="1.125" customWidth="1"/>
    <col min="12" max="12" width="11.25" customWidth="1"/>
    <col min="13" max="13" width="1.75" customWidth="1"/>
    <col min="14" max="14" width="10" customWidth="1"/>
    <col min="15" max="15" width="4.5" customWidth="1"/>
  </cols>
  <sheetData>
    <row r="1" spans="1:15" x14ac:dyDescent="0.25">
      <c r="A1" t="s">
        <v>61</v>
      </c>
      <c r="O1" s="33" t="str">
        <f>ExhDR_13_TV!$E$1</f>
        <v>Docket No. 160101-WS</v>
      </c>
    </row>
    <row r="2" spans="1:15" x14ac:dyDescent="0.25">
      <c r="A2" t="s">
        <v>159</v>
      </c>
      <c r="O2" s="33" t="str">
        <f>ExhDR_13_TV!$E$2</f>
        <v>Exhibit DMR-13</v>
      </c>
    </row>
    <row r="3" spans="1:15" x14ac:dyDescent="0.25">
      <c r="A3" t="s">
        <v>63</v>
      </c>
      <c r="O3" s="33" t="str">
        <f>ExhDR_13_TV!$E$3</f>
        <v>Tierra Verde Revenue Requirement</v>
      </c>
    </row>
    <row r="4" spans="1:15" x14ac:dyDescent="0.25">
      <c r="N4" s="33" t="s">
        <v>77</v>
      </c>
      <c r="O4" s="33" t="str">
        <f>ExhDR_13_TV!$E$4</f>
        <v>of 6</v>
      </c>
    </row>
    <row r="5" spans="1:15" x14ac:dyDescent="0.25">
      <c r="A5" t="s">
        <v>76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996212</v>
      </c>
      <c r="F12" s="29">
        <f>TV_NOIadj!E13</f>
        <v>0</v>
      </c>
      <c r="G12" s="6"/>
      <c r="H12">
        <f>SUM(D12:F12)</f>
        <v>996212</v>
      </c>
      <c r="J12">
        <f>((H23*L25)-H21)*1.67888</f>
        <v>94440.434739737088</v>
      </c>
      <c r="L12">
        <f>SUM(H12:J12)</f>
        <v>1090652.4347397371</v>
      </c>
      <c r="N12" t="str">
        <f>TV_NOIadj!G4</f>
        <v>Page 3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808585</v>
      </c>
      <c r="F14" s="29">
        <f>TV_NOIadj!E20</f>
        <v>-9331</v>
      </c>
      <c r="H14">
        <f>SUM(D14:F14)</f>
        <v>799254</v>
      </c>
      <c r="L14">
        <f>SUM(H14:J14)</f>
        <v>799254</v>
      </c>
      <c r="N14" t="str">
        <f>N12</f>
        <v>Page 3</v>
      </c>
    </row>
    <row r="15" spans="1:15" x14ac:dyDescent="0.25">
      <c r="A15">
        <v>3</v>
      </c>
      <c r="C15" t="s">
        <v>17</v>
      </c>
      <c r="D15">
        <v>121180</v>
      </c>
      <c r="F15" s="29">
        <f>TV_NOIadj!E24</f>
        <v>-2210</v>
      </c>
      <c r="H15">
        <f>SUM(D15:F15)</f>
        <v>118970</v>
      </c>
      <c r="L15">
        <f>SUM(H15:J15)</f>
        <v>118970</v>
      </c>
      <c r="N15" t="str">
        <f>N12</f>
        <v>Page 3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58565</v>
      </c>
      <c r="F17" s="29">
        <f>TV_NOIadj!E28</f>
        <v>0</v>
      </c>
      <c r="H17">
        <f>SUM(D17:F17)</f>
        <v>58565</v>
      </c>
      <c r="J17">
        <f>J12*0.045</f>
        <v>4249.8195632881689</v>
      </c>
      <c r="L17">
        <f>SUM(H17:J17)</f>
        <v>62814.819563288169</v>
      </c>
      <c r="N17" t="str">
        <f>N12</f>
        <v>Page 3</v>
      </c>
    </row>
    <row r="18" spans="1:14" x14ac:dyDescent="0.25">
      <c r="A18">
        <v>6</v>
      </c>
      <c r="C18" t="s">
        <v>19</v>
      </c>
      <c r="D18" s="3">
        <v>-8743</v>
      </c>
      <c r="F18" s="29">
        <f>TV_NOIadj!E33</f>
        <v>4472.8674518400003</v>
      </c>
      <c r="H18" s="3">
        <f>SUM(D18:F18)</f>
        <v>-4270.1325481599997</v>
      </c>
      <c r="J18">
        <f>(J12-J17)*0.3763</f>
        <v>33938.728490897731</v>
      </c>
      <c r="L18" s="9">
        <f>SUM(H18:J18)</f>
        <v>29668.595942737731</v>
      </c>
    </row>
    <row r="19" spans="1:14" x14ac:dyDescent="0.25">
      <c r="A19">
        <v>7</v>
      </c>
      <c r="C19" t="s">
        <v>20</v>
      </c>
      <c r="D19">
        <f>SUM(D14:D18)</f>
        <v>979587</v>
      </c>
      <c r="F19" s="29"/>
      <c r="H19" s="5">
        <f>SUM(H14:H18)</f>
        <v>972518.86745183996</v>
      </c>
      <c r="L19" s="5">
        <f>SUM(L14:L18)</f>
        <v>1010707.4155060259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16625</v>
      </c>
      <c r="F21" s="29"/>
      <c r="H21">
        <f>H12-H19</f>
        <v>23693.132548160036</v>
      </c>
      <c r="L21">
        <f>H23*L25</f>
        <v>79945.178400000004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TV_wwRB!E23</f>
        <v>1095420</v>
      </c>
      <c r="F23" s="29">
        <f>H23-D23</f>
        <v>-12152</v>
      </c>
      <c r="H23">
        <f>TV_wwRB!I23</f>
        <v>1083268</v>
      </c>
      <c r="L23">
        <f>H23</f>
        <v>1083268</v>
      </c>
      <c r="N23" t="str">
        <f>TV_wwRB!I4</f>
        <v>Page 4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1.5176827153055449E-2</v>
      </c>
      <c r="F25" s="29"/>
      <c r="L25" s="8">
        <f>TV_ROR!Q20</f>
        <v>7.3800000000000004E-2</v>
      </c>
      <c r="N25" t="str">
        <f>TV_ROR!Q4</f>
        <v>Page 6</v>
      </c>
    </row>
    <row r="26" spans="1:14" x14ac:dyDescent="0.25">
      <c r="H26" s="59"/>
      <c r="L26" s="8"/>
    </row>
    <row r="27" spans="1:14" ht="18" x14ac:dyDescent="0.4">
      <c r="C27" s="4" t="s">
        <v>88</v>
      </c>
      <c r="J27" s="32"/>
    </row>
    <row r="28" spans="1:14" x14ac:dyDescent="0.25">
      <c r="C28" t="s">
        <v>101</v>
      </c>
      <c r="J28" s="29"/>
    </row>
    <row r="29" spans="1:14" x14ac:dyDescent="0.25">
      <c r="L29" s="46"/>
    </row>
  </sheetData>
  <pageMargins left="0.7" right="0.7" top="0.75" bottom="0.75" header="0.3" footer="0.3"/>
  <pageSetup scale="7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workbookViewId="0">
      <selection activeCell="E31" sqref="E31"/>
    </sheetView>
  </sheetViews>
  <sheetFormatPr defaultRowHeight="15.75" x14ac:dyDescent="0.25"/>
  <cols>
    <col min="1" max="1" width="4.25" customWidth="1"/>
    <col min="2" max="2" width="1.375" customWidth="1"/>
    <col min="3" max="3" width="20.5" customWidth="1"/>
    <col min="4" max="4" width="1.125" customWidth="1"/>
    <col min="5" max="5" width="10.875" customWidth="1"/>
    <col min="6" max="6" width="1.125" customWidth="1"/>
    <col min="7" max="7" width="9.625" customWidth="1"/>
    <col min="8" max="8" width="1.125" customWidth="1"/>
    <col min="9" max="9" width="10.625" customWidth="1"/>
    <col min="10" max="10" width="0.75" customWidth="1"/>
    <col min="11" max="11" width="11.125" customWidth="1"/>
    <col min="12" max="12" width="0.75" customWidth="1"/>
    <col min="13" max="13" width="9.625" customWidth="1"/>
    <col min="14" max="14" width="0.75" customWidth="1"/>
    <col min="15" max="15" width="9.75" customWidth="1"/>
    <col min="16" max="16" width="0.75" customWidth="1"/>
    <col min="17" max="17" width="10" customWidth="1"/>
    <col min="18" max="18" width="4.5" customWidth="1"/>
  </cols>
  <sheetData>
    <row r="1" spans="1:18" x14ac:dyDescent="0.25">
      <c r="A1" t="str">
        <f>CL_wRR!A1</f>
        <v>Utilities, Inc. of Florida</v>
      </c>
      <c r="Q1" s="37"/>
      <c r="R1" s="33" t="str">
        <f>ExhDR3_CL_TOC!$E$1</f>
        <v>Docket No. 160101-WS</v>
      </c>
    </row>
    <row r="2" spans="1:18" x14ac:dyDescent="0.25">
      <c r="A2" t="str">
        <f>CL_wRR!A2</f>
        <v xml:space="preserve">  -  Cypress Lakes</v>
      </c>
      <c r="Q2" s="37"/>
      <c r="R2" s="33" t="str">
        <f>ExhDR3_CL_TOC!$E$2</f>
        <v>Exhibit DMR-3</v>
      </c>
    </row>
    <row r="3" spans="1:18" x14ac:dyDescent="0.25">
      <c r="A3" t="str">
        <f>CL_wRR!A3</f>
        <v>Test Year Ended December 31, 2015</v>
      </c>
      <c r="Q3" s="37"/>
      <c r="R3" s="33" t="str">
        <f>ExhDR3_CL_TOC!$E$3</f>
        <v>Cypress Lakes Revenue Requirement</v>
      </c>
    </row>
    <row r="4" spans="1:18" x14ac:dyDescent="0.25">
      <c r="Q4" s="38" t="s">
        <v>222</v>
      </c>
      <c r="R4" s="33" t="str">
        <f>ExhDR3_CL_TOC!$E$4</f>
        <v>of 8</v>
      </c>
    </row>
    <row r="5" spans="1:18" x14ac:dyDescent="0.25">
      <c r="A5" t="s">
        <v>199</v>
      </c>
    </row>
    <row r="8" spans="1:18" x14ac:dyDescent="0.25">
      <c r="Q8" s="1" t="s">
        <v>8</v>
      </c>
    </row>
    <row r="9" spans="1:18" x14ac:dyDescent="0.25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8" x14ac:dyDescent="0.4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25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25">
      <c r="A13">
        <v>1</v>
      </c>
      <c r="C13" t="s">
        <v>206</v>
      </c>
      <c r="E13">
        <v>1088999</v>
      </c>
      <c r="G13" s="64">
        <f>E13/$E$20</f>
        <v>0.43240585038902662</v>
      </c>
      <c r="I13">
        <f>K13-E13</f>
        <v>-8191.8412383014802</v>
      </c>
      <c r="K13">
        <f>($K$20-$K$16-$K$17-$K$18)*(E13/SUM($E$13:$E$15))</f>
        <v>1080807.1587616985</v>
      </c>
      <c r="M13" s="64">
        <f>K13/$K$20</f>
        <v>0.4317332022969822</v>
      </c>
      <c r="O13" s="64">
        <v>6.7000000000000004E-2</v>
      </c>
      <c r="P13" s="8"/>
      <c r="Q13" s="64">
        <f>M13*O13</f>
        <v>2.8926124553897811E-2</v>
      </c>
    </row>
    <row r="14" spans="1:18" x14ac:dyDescent="0.25">
      <c r="A14">
        <v>2</v>
      </c>
      <c r="C14" t="s">
        <v>207</v>
      </c>
      <c r="E14">
        <v>103423</v>
      </c>
      <c r="G14" s="64">
        <f t="shared" ref="G14:G18" si="0">E14/$E$20</f>
        <v>4.1065887355988664E-2</v>
      </c>
      <c r="I14">
        <f t="shared" ref="I14:I15" si="1">K14-E14</f>
        <v>-777.98491678033315</v>
      </c>
      <c r="K14">
        <f t="shared" ref="K14:K15" si="2">($K$20-$K$16-$K$17-$K$18)*(E14/SUM($E$13:$E$15))</f>
        <v>102645.01508321967</v>
      </c>
      <c r="M14" s="64">
        <f t="shared" ref="M14:M18" si="3">K14/$K$20</f>
        <v>4.100200549418391E-2</v>
      </c>
      <c r="O14" s="8">
        <v>2.3199999999999998E-2</v>
      </c>
      <c r="P14" s="8"/>
      <c r="Q14" s="64">
        <f t="shared" ref="Q14:Q18" si="4">M14*O14</f>
        <v>9.5124652746506663E-4</v>
      </c>
    </row>
    <row r="15" spans="1:18" x14ac:dyDescent="0.25">
      <c r="A15">
        <v>3</v>
      </c>
      <c r="C15" t="s">
        <v>208</v>
      </c>
      <c r="E15">
        <v>1158104</v>
      </c>
      <c r="G15" s="64">
        <f t="shared" si="0"/>
        <v>0.4598451834748547</v>
      </c>
      <c r="I15">
        <f t="shared" si="1"/>
        <v>-8711.673844918143</v>
      </c>
      <c r="K15">
        <f t="shared" si="2"/>
        <v>1149392.3261550819</v>
      </c>
      <c r="M15" s="64">
        <f t="shared" si="3"/>
        <v>0.45912985091165759</v>
      </c>
      <c r="O15" s="8">
        <v>0.104</v>
      </c>
      <c r="P15" s="8"/>
      <c r="Q15" s="64">
        <f t="shared" si="4"/>
        <v>4.7749504494812384E-2</v>
      </c>
    </row>
    <row r="16" spans="1:18" x14ac:dyDescent="0.25">
      <c r="A16">
        <v>4</v>
      </c>
      <c r="C16" t="s">
        <v>209</v>
      </c>
      <c r="E16">
        <v>11019</v>
      </c>
      <c r="G16" s="64">
        <f t="shared" si="0"/>
        <v>4.3752841512588025E-3</v>
      </c>
      <c r="K16">
        <f>E16+I16</f>
        <v>11019</v>
      </c>
      <c r="M16" s="64">
        <f t="shared" si="3"/>
        <v>4.4015883106852663E-3</v>
      </c>
      <c r="O16" s="8">
        <v>0.02</v>
      </c>
      <c r="P16" s="8"/>
      <c r="Q16" s="64">
        <f t="shared" si="4"/>
        <v>8.8031766213705328E-5</v>
      </c>
    </row>
    <row r="17" spans="1:17" x14ac:dyDescent="0.25">
      <c r="A17">
        <v>5</v>
      </c>
      <c r="C17" t="s">
        <v>210</v>
      </c>
      <c r="E17">
        <v>0</v>
      </c>
      <c r="G17" s="64">
        <f t="shared" si="0"/>
        <v>0</v>
      </c>
      <c r="K17">
        <f>E17+I17</f>
        <v>0</v>
      </c>
      <c r="M17" s="64">
        <f t="shared" si="3"/>
        <v>0</v>
      </c>
      <c r="O17" s="8">
        <v>0</v>
      </c>
      <c r="P17" s="8"/>
      <c r="Q17" s="64">
        <f t="shared" si="4"/>
        <v>0</v>
      </c>
    </row>
    <row r="18" spans="1:17" x14ac:dyDescent="0.25">
      <c r="A18">
        <v>6</v>
      </c>
      <c r="C18" t="s">
        <v>211</v>
      </c>
      <c r="E18" s="3">
        <v>156920</v>
      </c>
      <c r="G18" s="68">
        <f t="shared" si="0"/>
        <v>6.2307794628871156E-2</v>
      </c>
      <c r="I18">
        <v>2631</v>
      </c>
      <c r="K18" s="3">
        <f>E18+I18</f>
        <v>159551</v>
      </c>
      <c r="M18" s="68">
        <f t="shared" si="3"/>
        <v>6.3733352986491049E-2</v>
      </c>
      <c r="O18" s="8">
        <v>0</v>
      </c>
      <c r="P18" s="8"/>
      <c r="Q18" s="68">
        <f t="shared" si="4"/>
        <v>0</v>
      </c>
    </row>
    <row r="20" spans="1:17" ht="16.5" thickBot="1" x14ac:dyDescent="0.3">
      <c r="A20">
        <v>7</v>
      </c>
      <c r="C20" t="s">
        <v>189</v>
      </c>
      <c r="E20">
        <f>SUM(E13:E19)</f>
        <v>2518465</v>
      </c>
      <c r="G20" s="8">
        <f>SUM(G13:G19)</f>
        <v>0.99999999999999989</v>
      </c>
      <c r="K20">
        <f>CL_wRB!I23+CL_wwRB!I23</f>
        <v>2503414.5</v>
      </c>
      <c r="M20" s="8">
        <f>SUM(M13:M19)</f>
        <v>1</v>
      </c>
      <c r="Q20" s="71">
        <f>ROUND(SUM(Q13:Q19),4)</f>
        <v>7.7700000000000005E-2</v>
      </c>
    </row>
    <row r="21" spans="1:17" ht="16.5" thickTop="1" x14ac:dyDescent="0.25"/>
    <row r="22" spans="1:17" ht="18" x14ac:dyDescent="0.4">
      <c r="C22" s="4" t="s">
        <v>50</v>
      </c>
    </row>
    <row r="23" spans="1:17" x14ac:dyDescent="0.25">
      <c r="C23" t="s">
        <v>217</v>
      </c>
    </row>
    <row r="24" spans="1:17" x14ac:dyDescent="0.25">
      <c r="C24" t="s">
        <v>335</v>
      </c>
    </row>
    <row r="25" spans="1:17" x14ac:dyDescent="0.25">
      <c r="C25" s="95" t="s">
        <v>680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</row>
    <row r="26" spans="1:17" x14ac:dyDescent="0.25"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</sheetData>
  <mergeCells count="1">
    <mergeCell ref="C25:Q26"/>
  </mergeCells>
  <pageMargins left="0.7" right="0.7" top="0.75" bottom="0.75" header="0.3" footer="0.3"/>
  <pageSetup scale="72" orientation="portrait" horizontalDpi="0" verticalDpi="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opLeftCell="A4" workbookViewId="0">
      <selection activeCell="H32" sqref="H32"/>
    </sheetView>
  </sheetViews>
  <sheetFormatPr defaultRowHeight="15.75" x14ac:dyDescent="0.25"/>
  <cols>
    <col min="1" max="1" width="4.375" customWidth="1"/>
    <col min="2" max="2" width="1.625" customWidth="1"/>
    <col min="3" max="3" width="52.75" customWidth="1"/>
    <col min="4" max="4" width="7.5" customWidth="1"/>
    <col min="5" max="5" width="12.125" customWidth="1"/>
    <col min="6" max="6" width="1.125" customWidth="1"/>
    <col min="7" max="7" width="11.125" customWidth="1"/>
    <col min="8" max="8" width="5.25" customWidth="1"/>
  </cols>
  <sheetData>
    <row r="1" spans="1:8" x14ac:dyDescent="0.25">
      <c r="A1" t="str">
        <f>CL_wRR!A1</f>
        <v>Utilities, Inc. of Florida</v>
      </c>
      <c r="H1" s="33" t="str">
        <f>ExhDR_13_TV!$E$1</f>
        <v>Docket No. 160101-WS</v>
      </c>
    </row>
    <row r="2" spans="1:8" x14ac:dyDescent="0.25">
      <c r="A2" t="s">
        <v>159</v>
      </c>
      <c r="H2" s="33" t="str">
        <f>ExhDR_13_TV!$E$2</f>
        <v>Exhibit DMR-13</v>
      </c>
    </row>
    <row r="3" spans="1:8" x14ac:dyDescent="0.25">
      <c r="A3" t="str">
        <f>CL_wRR!A3</f>
        <v>Test Year Ended December 31, 2015</v>
      </c>
      <c r="H3" s="33" t="str">
        <f>ExhDR_13_TV!$E$3</f>
        <v>Tierra Verde Revenue Requirement</v>
      </c>
    </row>
    <row r="4" spans="1:8" x14ac:dyDescent="0.25">
      <c r="G4" s="33" t="s">
        <v>80</v>
      </c>
      <c r="H4" s="33" t="str">
        <f>ExhDR_13_TV!$E$4</f>
        <v>of 6</v>
      </c>
    </row>
    <row r="5" spans="1:8" x14ac:dyDescent="0.25">
      <c r="A5" t="s">
        <v>45</v>
      </c>
    </row>
    <row r="8" spans="1:8" x14ac:dyDescent="0.25">
      <c r="A8" t="s">
        <v>0</v>
      </c>
      <c r="G8" s="1"/>
    </row>
    <row r="9" spans="1:8" ht="18" x14ac:dyDescent="0.4">
      <c r="A9" s="3" t="s">
        <v>1</v>
      </c>
      <c r="C9" s="4" t="s">
        <v>2</v>
      </c>
      <c r="E9" s="2" t="s">
        <v>5</v>
      </c>
      <c r="F9" s="34"/>
      <c r="G9" s="4" t="s">
        <v>23</v>
      </c>
    </row>
    <row r="11" spans="1:8" ht="18" x14ac:dyDescent="0.4">
      <c r="C11" s="4" t="s">
        <v>73</v>
      </c>
    </row>
    <row r="12" spans="1:8" x14ac:dyDescent="0.25">
      <c r="A12">
        <v>1</v>
      </c>
    </row>
    <row r="13" spans="1:8" ht="16.5" thickBot="1" x14ac:dyDescent="0.3">
      <c r="A13">
        <v>2</v>
      </c>
      <c r="C13" t="s">
        <v>111</v>
      </c>
      <c r="E13" s="24">
        <f>SUM(E12:E12)</f>
        <v>0</v>
      </c>
      <c r="F13" s="26"/>
    </row>
    <row r="14" spans="1:8" ht="16.5" thickTop="1" x14ac:dyDescent="0.25">
      <c r="A14">
        <v>3</v>
      </c>
    </row>
    <row r="15" spans="1:8" ht="18" x14ac:dyDescent="0.4">
      <c r="A15">
        <v>4</v>
      </c>
      <c r="C15" s="4" t="s">
        <v>49</v>
      </c>
    </row>
    <row r="16" spans="1:8" x14ac:dyDescent="0.25">
      <c r="A16">
        <v>5</v>
      </c>
      <c r="E16" s="25"/>
      <c r="F16" s="25"/>
    </row>
    <row r="17" spans="1:7" x14ac:dyDescent="0.25">
      <c r="A17">
        <v>6</v>
      </c>
      <c r="C17" t="s">
        <v>293</v>
      </c>
      <c r="E17" s="26">
        <v>-5723</v>
      </c>
      <c r="F17" s="26"/>
      <c r="G17" t="s">
        <v>198</v>
      </c>
    </row>
    <row r="18" spans="1:7" x14ac:dyDescent="0.25">
      <c r="A18">
        <v>7</v>
      </c>
      <c r="C18" t="s">
        <v>290</v>
      </c>
      <c r="E18" s="5">
        <f>'WSC-Ins'!I22</f>
        <v>-867</v>
      </c>
      <c r="F18" s="5"/>
      <c r="G18" t="str">
        <f>'WSC-Ins'!J2</f>
        <v>Exhibit DMR-19</v>
      </c>
    </row>
    <row r="19" spans="1:7" x14ac:dyDescent="0.25">
      <c r="A19">
        <v>8</v>
      </c>
      <c r="C19" t="s">
        <v>291</v>
      </c>
      <c r="E19" s="5">
        <f>WSCs_Dep!I22</f>
        <v>-2741</v>
      </c>
      <c r="F19" s="5"/>
      <c r="G19" t="str">
        <f>WSCs_Dep!J2</f>
        <v>Exhibit DMR-20</v>
      </c>
    </row>
    <row r="20" spans="1:7" ht="16.5" thickBot="1" x14ac:dyDescent="0.3">
      <c r="A20">
        <v>9</v>
      </c>
      <c r="C20" t="s">
        <v>111</v>
      </c>
      <c r="E20" s="24">
        <f>SUM(E16:E19)</f>
        <v>-9331</v>
      </c>
      <c r="F20" s="26"/>
    </row>
    <row r="21" spans="1:7" ht="16.5" thickTop="1" x14ac:dyDescent="0.25">
      <c r="A21">
        <v>10</v>
      </c>
    </row>
    <row r="22" spans="1:7" ht="18" x14ac:dyDescent="0.4">
      <c r="A22">
        <v>11</v>
      </c>
      <c r="C22" s="4" t="s">
        <v>46</v>
      </c>
    </row>
    <row r="23" spans="1:7" x14ac:dyDescent="0.25">
      <c r="A23">
        <v>12</v>
      </c>
      <c r="C23" t="s">
        <v>630</v>
      </c>
      <c r="E23" s="3">
        <f>GIS_Proj!O20</f>
        <v>-2210</v>
      </c>
      <c r="F23" s="26"/>
      <c r="G23" t="str">
        <f>GIS_Proj!O2</f>
        <v>Exhibit DMR-21</v>
      </c>
    </row>
    <row r="24" spans="1:7" ht="16.5" thickBot="1" x14ac:dyDescent="0.3">
      <c r="A24">
        <v>13</v>
      </c>
      <c r="C24" t="s">
        <v>111</v>
      </c>
      <c r="E24" s="24">
        <f>SUM(E23:E23)</f>
        <v>-2210</v>
      </c>
      <c r="F24" s="26"/>
    </row>
    <row r="25" spans="1:7" ht="16.5" thickTop="1" x14ac:dyDescent="0.25">
      <c r="A25">
        <v>14</v>
      </c>
    </row>
    <row r="26" spans="1:7" ht="18" x14ac:dyDescent="0.4">
      <c r="A26">
        <v>15</v>
      </c>
      <c r="C26" s="4" t="s">
        <v>60</v>
      </c>
    </row>
    <row r="27" spans="1:7" x14ac:dyDescent="0.25">
      <c r="A27">
        <v>16</v>
      </c>
      <c r="C27" s="40" t="s">
        <v>89</v>
      </c>
      <c r="E27">
        <f>ROUND(E13*0.045,0)</f>
        <v>0</v>
      </c>
    </row>
    <row r="28" spans="1:7" ht="16.5" thickBot="1" x14ac:dyDescent="0.3">
      <c r="A28">
        <v>17</v>
      </c>
      <c r="C28" t="s">
        <v>111</v>
      </c>
      <c r="E28" s="24">
        <f>SUM(E27:E27)</f>
        <v>0</v>
      </c>
      <c r="F28" s="26"/>
    </row>
    <row r="29" spans="1:7" ht="16.5" thickTop="1" x14ac:dyDescent="0.25">
      <c r="A29">
        <v>18</v>
      </c>
    </row>
    <row r="30" spans="1:7" ht="18" x14ac:dyDescent="0.4">
      <c r="A30">
        <v>19</v>
      </c>
      <c r="C30" s="4" t="s">
        <v>79</v>
      </c>
    </row>
    <row r="31" spans="1:7" x14ac:dyDescent="0.25">
      <c r="A31">
        <v>20</v>
      </c>
      <c r="C31" s="40" t="s">
        <v>115</v>
      </c>
      <c r="E31">
        <f>TV_wwRB!G23*0.0284*-0.3763</f>
        <v>129.86745184</v>
      </c>
    </row>
    <row r="32" spans="1:7" x14ac:dyDescent="0.25">
      <c r="A32">
        <v>21</v>
      </c>
      <c r="C32" s="40" t="s">
        <v>90</v>
      </c>
      <c r="E32">
        <f>ROUND((E13-E20-E24-E28)*0.3763,0)</f>
        <v>4343</v>
      </c>
    </row>
    <row r="33" spans="1:6" ht="16.5" thickBot="1" x14ac:dyDescent="0.3">
      <c r="A33">
        <v>22</v>
      </c>
      <c r="C33" t="s">
        <v>111</v>
      </c>
      <c r="E33" s="24">
        <f>SUM(E31:E32)</f>
        <v>4472.8674518400003</v>
      </c>
      <c r="F33" s="26"/>
    </row>
    <row r="34" spans="1:6" ht="16.5" thickTop="1" x14ac:dyDescent="0.25"/>
    <row r="35" spans="1:6" x14ac:dyDescent="0.25">
      <c r="C35" s="6" t="s">
        <v>162</v>
      </c>
    </row>
    <row r="36" spans="1:6" x14ac:dyDescent="0.25">
      <c r="C36" t="s">
        <v>116</v>
      </c>
    </row>
  </sheetData>
  <pageMargins left="0.7" right="0.7" top="0.75" bottom="0.75" header="0.3" footer="0.3"/>
  <pageSetup scale="88" orientation="portrait" horizontalDpi="0" verticalDpi="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G17" sqref="G17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5.5" customWidth="1"/>
    <col min="5" max="5" width="14.125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4.875" customWidth="1"/>
  </cols>
  <sheetData>
    <row r="1" spans="1:10" x14ac:dyDescent="0.25">
      <c r="A1" t="str">
        <f>CL_wRR!A1</f>
        <v>Utilities, Inc. of Florida</v>
      </c>
      <c r="H1" s="10"/>
      <c r="J1" s="33" t="str">
        <f>ExhDR_13_TV!$E$1</f>
        <v>Docket No. 160101-WS</v>
      </c>
    </row>
    <row r="2" spans="1:10" x14ac:dyDescent="0.25">
      <c r="A2" t="s">
        <v>159</v>
      </c>
      <c r="H2" s="10"/>
      <c r="I2" s="10"/>
      <c r="J2" s="33" t="str">
        <f>ExhDR_13_TV!$E$2</f>
        <v>Exhibit DMR-13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ExhDR_13_TV!$E$3</f>
        <v>Tierra Verde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81</v>
      </c>
      <c r="J4" s="33" t="str">
        <f>ExhDR_13_TV!$E$4</f>
        <v>of 6</v>
      </c>
    </row>
    <row r="5" spans="1:10" x14ac:dyDescent="0.25">
      <c r="A5" s="27" t="s">
        <v>78</v>
      </c>
      <c r="B5" s="10"/>
      <c r="C5" s="10"/>
      <c r="D5" s="10"/>
      <c r="E5" s="10"/>
      <c r="F5" s="10"/>
      <c r="G5" s="10"/>
      <c r="H5" s="10"/>
      <c r="I5" s="10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8" x14ac:dyDescent="0.4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25">
      <c r="A12" s="10">
        <v>1</v>
      </c>
      <c r="B12" s="10"/>
      <c r="C12" s="11" t="s">
        <v>33</v>
      </c>
      <c r="D12" s="10"/>
      <c r="E12" s="10">
        <v>4638107</v>
      </c>
      <c r="F12" s="10"/>
      <c r="G12" s="10">
        <f>TV_RBadj!F13</f>
        <v>-13257</v>
      </c>
      <c r="H12" s="10"/>
      <c r="I12" s="10">
        <f>SUM(E12:G12)</f>
        <v>4624850</v>
      </c>
    </row>
    <row r="13" spans="1:10" x14ac:dyDescent="0.25">
      <c r="A13" s="10">
        <v>2</v>
      </c>
      <c r="B13" s="10"/>
      <c r="C13" s="11" t="s">
        <v>34</v>
      </c>
      <c r="D13" s="10"/>
      <c r="E13" s="10">
        <v>727</v>
      </c>
      <c r="F13" s="10"/>
      <c r="G13" s="10"/>
      <c r="H13" s="10"/>
      <c r="I13" s="10">
        <f t="shared" ref="I13:I21" si="0">SUM(E13:G13)</f>
        <v>727</v>
      </c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25">
      <c r="A16" s="10">
        <v>5</v>
      </c>
      <c r="B16" s="10"/>
      <c r="C16" s="11" t="s">
        <v>37</v>
      </c>
      <c r="D16" s="10"/>
      <c r="E16" s="27">
        <v>-3258447</v>
      </c>
      <c r="F16" s="10"/>
      <c r="G16" s="10">
        <f>-TV_RBadj!F21</f>
        <v>1105</v>
      </c>
      <c r="H16" s="10"/>
      <c r="I16" s="10">
        <f t="shared" si="0"/>
        <v>-3257342</v>
      </c>
    </row>
    <row r="17" spans="1:9" x14ac:dyDescent="0.25">
      <c r="A17" s="10">
        <v>6</v>
      </c>
      <c r="B17" s="10"/>
      <c r="C17" s="11" t="s">
        <v>38</v>
      </c>
      <c r="D17" s="10"/>
      <c r="E17" s="10">
        <v>-1821202</v>
      </c>
      <c r="F17" s="10"/>
      <c r="G17" s="10"/>
      <c r="H17" s="10"/>
      <c r="I17" s="10">
        <f t="shared" si="0"/>
        <v>-1821202</v>
      </c>
    </row>
    <row r="18" spans="1:9" x14ac:dyDescent="0.25">
      <c r="A18" s="10">
        <v>7</v>
      </c>
      <c r="B18" s="10"/>
      <c r="C18" s="11" t="s">
        <v>39</v>
      </c>
      <c r="D18" s="10"/>
      <c r="E18" s="10">
        <v>1566010</v>
      </c>
      <c r="F18" s="10"/>
      <c r="G18" s="10"/>
      <c r="H18" s="10"/>
      <c r="I18" s="10">
        <f t="shared" si="0"/>
        <v>1566010</v>
      </c>
    </row>
    <row r="19" spans="1:9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25">
      <c r="A21" s="10">
        <v>10</v>
      </c>
      <c r="B21" s="10"/>
      <c r="C21" s="11" t="s">
        <v>40</v>
      </c>
      <c r="D21" s="10"/>
      <c r="E21" s="28">
        <v>-29775</v>
      </c>
      <c r="F21" s="10"/>
      <c r="G21" s="17">
        <f>TV_RBadj!F25</f>
        <v>0</v>
      </c>
      <c r="H21" s="10"/>
      <c r="I21" s="17">
        <f t="shared" si="0"/>
        <v>-29775</v>
      </c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5" thickBot="1" x14ac:dyDescent="0.3">
      <c r="A23" s="10">
        <v>11</v>
      </c>
      <c r="B23" s="10"/>
      <c r="C23" s="11" t="s">
        <v>41</v>
      </c>
      <c r="D23" s="10"/>
      <c r="E23" s="18">
        <f>SUM(E12:E21)</f>
        <v>1095420</v>
      </c>
      <c r="F23" s="10"/>
      <c r="G23" s="18">
        <f>SUM(G12:G21)</f>
        <v>-12152</v>
      </c>
      <c r="H23" s="10"/>
      <c r="I23" s="18">
        <f>SUM(I12:I22)</f>
        <v>1083268</v>
      </c>
    </row>
    <row r="24" spans="1:9" ht="16.5" thickTop="1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8" x14ac:dyDescent="0.4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25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27" t="s">
        <v>112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4" orientation="portrait" horizontalDpi="0" verticalDpi="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C12" sqref="C12"/>
    </sheetView>
  </sheetViews>
  <sheetFormatPr defaultRowHeight="15.75" x14ac:dyDescent="0.25"/>
  <cols>
    <col min="1" max="1" width="4.25" customWidth="1"/>
    <col min="2" max="2" width="1.375" customWidth="1"/>
    <col min="3" max="3" width="47.875" customWidth="1"/>
    <col min="4" max="5" width="7" customWidth="1"/>
    <col min="6" max="6" width="11.5" customWidth="1"/>
    <col min="7" max="7" width="1" customWidth="1"/>
    <col min="8" max="8" width="11.125" customWidth="1"/>
    <col min="9" max="9" width="4.5" customWidth="1"/>
  </cols>
  <sheetData>
    <row r="1" spans="1:9" x14ac:dyDescent="0.25">
      <c r="A1" t="str">
        <f>CL_wRR!A1</f>
        <v>Utilities, Inc. of Florida</v>
      </c>
      <c r="I1" s="33" t="str">
        <f>ExhDR_13_TV!$E$1</f>
        <v>Docket No. 160101-WS</v>
      </c>
    </row>
    <row r="2" spans="1:9" x14ac:dyDescent="0.25">
      <c r="A2" t="s">
        <v>159</v>
      </c>
      <c r="I2" s="33" t="str">
        <f>ExhDR_13_TV!$E$2</f>
        <v>Exhibit DMR-13</v>
      </c>
    </row>
    <row r="3" spans="1:9" x14ac:dyDescent="0.25">
      <c r="A3" t="str">
        <f>CL_wRR!A3</f>
        <v>Test Year Ended December 31, 2015</v>
      </c>
      <c r="I3" s="33" t="str">
        <f>ExhDR_13_TV!$E$3</f>
        <v>Tierra Verde Revenue Requirement</v>
      </c>
    </row>
    <row r="4" spans="1:9" x14ac:dyDescent="0.25">
      <c r="H4" s="33" t="s">
        <v>82</v>
      </c>
      <c r="I4" s="33" t="str">
        <f>ExhDR_13_TV!$E$4</f>
        <v>of 6</v>
      </c>
    </row>
    <row r="5" spans="1:9" x14ac:dyDescent="0.25">
      <c r="A5" t="s">
        <v>42</v>
      </c>
    </row>
    <row r="7" spans="1:9" x14ac:dyDescent="0.25">
      <c r="H7" s="1"/>
    </row>
    <row r="8" spans="1:9" x14ac:dyDescent="0.25">
      <c r="A8" t="s">
        <v>0</v>
      </c>
    </row>
    <row r="9" spans="1:9" ht="18" x14ac:dyDescent="0.4">
      <c r="A9" s="3" t="s">
        <v>1</v>
      </c>
      <c r="C9" s="9" t="s">
        <v>2</v>
      </c>
      <c r="F9" s="2" t="s">
        <v>5</v>
      </c>
      <c r="G9" s="34"/>
      <c r="H9" s="65" t="s">
        <v>23</v>
      </c>
    </row>
    <row r="11" spans="1:9" ht="18" x14ac:dyDescent="0.4">
      <c r="C11" s="4" t="s">
        <v>44</v>
      </c>
    </row>
    <row r="12" spans="1:9" x14ac:dyDescent="0.25">
      <c r="A12">
        <v>1</v>
      </c>
      <c r="C12" t="s">
        <v>630</v>
      </c>
      <c r="F12">
        <f>GIS_Proj!K20</f>
        <v>-13257</v>
      </c>
      <c r="H12" t="str">
        <f>GIS_Proj!O2</f>
        <v>Exhibit DMR-21</v>
      </c>
    </row>
    <row r="13" spans="1:9" ht="16.5" thickBot="1" x14ac:dyDescent="0.3">
      <c r="A13">
        <v>2</v>
      </c>
      <c r="C13" t="s">
        <v>48</v>
      </c>
      <c r="F13" s="24">
        <f>SUM(F12:F12)</f>
        <v>-13257</v>
      </c>
      <c r="G13" s="26"/>
    </row>
    <row r="14" spans="1:9" ht="16.5" thickTop="1" x14ac:dyDescent="0.25">
      <c r="A14" s="19">
        <v>3</v>
      </c>
      <c r="B14" s="19"/>
      <c r="C14" s="19"/>
      <c r="D14" s="19"/>
      <c r="E14" s="19"/>
      <c r="F14" s="19"/>
      <c r="G14" s="19"/>
    </row>
    <row r="15" spans="1:9" ht="18" x14ac:dyDescent="0.4">
      <c r="A15" s="19">
        <v>4</v>
      </c>
      <c r="B15" s="19"/>
      <c r="C15" s="21" t="s">
        <v>58</v>
      </c>
      <c r="D15" s="19"/>
      <c r="E15" s="19"/>
      <c r="F15" s="19"/>
      <c r="G15" s="19"/>
    </row>
    <row r="16" spans="1:9" x14ac:dyDescent="0.25">
      <c r="A16" s="19">
        <v>5</v>
      </c>
      <c r="B16" s="19"/>
      <c r="D16" s="19"/>
      <c r="E16" s="19"/>
      <c r="F16" s="22"/>
      <c r="G16" s="39"/>
    </row>
    <row r="17" spans="1:7" ht="16.5" thickBot="1" x14ac:dyDescent="0.3">
      <c r="A17">
        <v>6</v>
      </c>
      <c r="B17" s="19"/>
      <c r="C17" t="s">
        <v>59</v>
      </c>
      <c r="D17" s="19"/>
      <c r="E17" s="19"/>
      <c r="F17" s="23">
        <f>SUM(F16:F16)</f>
        <v>0</v>
      </c>
      <c r="G17" s="39"/>
    </row>
    <row r="18" spans="1:7" ht="16.5" thickTop="1" x14ac:dyDescent="0.25">
      <c r="A18">
        <v>7</v>
      </c>
      <c r="B18" s="19"/>
      <c r="C18" s="19"/>
      <c r="D18" s="19"/>
      <c r="E18" s="19"/>
      <c r="F18" s="19"/>
      <c r="G18" s="19"/>
    </row>
    <row r="19" spans="1:7" ht="18" x14ac:dyDescent="0.4">
      <c r="A19" s="19">
        <v>8</v>
      </c>
      <c r="B19" s="19"/>
      <c r="C19" s="21" t="s">
        <v>43</v>
      </c>
      <c r="D19" s="19"/>
      <c r="E19" s="19"/>
      <c r="F19" s="19"/>
      <c r="G19" s="19"/>
    </row>
    <row r="20" spans="1:7" x14ac:dyDescent="0.25">
      <c r="A20" s="19">
        <v>9</v>
      </c>
      <c r="B20" s="19"/>
      <c r="C20" t="s">
        <v>630</v>
      </c>
      <c r="D20" s="19"/>
      <c r="E20" s="19"/>
      <c r="F20" s="19">
        <f>TV_NOIadj!E23*0.5</f>
        <v>-1105</v>
      </c>
      <c r="G20" s="19"/>
    </row>
    <row r="21" spans="1:7" ht="16.5" thickBot="1" x14ac:dyDescent="0.3">
      <c r="A21" s="19">
        <v>10</v>
      </c>
      <c r="B21" s="19"/>
      <c r="C21" s="20" t="s">
        <v>47</v>
      </c>
      <c r="D21" s="19"/>
      <c r="E21" s="19"/>
      <c r="F21" s="23">
        <f>SUM(F20:F20)</f>
        <v>-1105</v>
      </c>
      <c r="G21" s="39"/>
    </row>
    <row r="22" spans="1:7" ht="16.5" thickTop="1" x14ac:dyDescent="0.25">
      <c r="A22">
        <v>11</v>
      </c>
      <c r="B22" s="19"/>
      <c r="C22" s="20"/>
      <c r="D22" s="19"/>
      <c r="E22" s="19"/>
      <c r="F22" s="19"/>
      <c r="G22" s="19"/>
    </row>
    <row r="23" spans="1:7" ht="18" x14ac:dyDescent="0.4">
      <c r="A23">
        <v>12</v>
      </c>
      <c r="B23" s="19"/>
      <c r="C23" s="21" t="s">
        <v>51</v>
      </c>
      <c r="D23" s="19"/>
      <c r="E23" s="19"/>
      <c r="F23" s="19"/>
      <c r="G23" s="19"/>
    </row>
    <row r="24" spans="1:7" x14ac:dyDescent="0.25">
      <c r="A24" s="19">
        <v>13</v>
      </c>
      <c r="B24" s="19"/>
      <c r="C24" s="19"/>
      <c r="D24" s="19"/>
      <c r="E24" s="19"/>
      <c r="F24" s="22"/>
      <c r="G24" s="39"/>
    </row>
    <row r="25" spans="1:7" ht="16.5" thickBot="1" x14ac:dyDescent="0.3">
      <c r="A25" s="19">
        <v>14</v>
      </c>
      <c r="B25" s="19"/>
      <c r="C25" s="20" t="s">
        <v>52</v>
      </c>
      <c r="D25" s="19"/>
      <c r="E25" s="19"/>
      <c r="F25" s="23">
        <f>SUM(F24:F24)</f>
        <v>0</v>
      </c>
      <c r="G25" s="39"/>
    </row>
    <row r="26" spans="1:7" ht="16.5" thickTop="1" x14ac:dyDescent="0.25">
      <c r="A26" s="19"/>
      <c r="B26" s="19"/>
      <c r="C26" s="19"/>
      <c r="D26" s="19"/>
      <c r="E26" s="19"/>
      <c r="F26" s="19"/>
      <c r="G26" s="19"/>
    </row>
  </sheetData>
  <pageMargins left="0.7" right="0.7" top="0.75" bottom="0.75" header="0.3" footer="0.3"/>
  <pageSetup scale="88" orientation="portrait" horizontalDpi="0" verticalDpi="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opLeftCell="A4" workbookViewId="0">
      <selection activeCell="C26" sqref="C26"/>
    </sheetView>
  </sheetViews>
  <sheetFormatPr defaultRowHeight="15.75" x14ac:dyDescent="0.25"/>
  <cols>
    <col min="1" max="1" width="4.25" customWidth="1"/>
    <col min="2" max="2" width="1.375" customWidth="1"/>
    <col min="3" max="3" width="20.5" customWidth="1"/>
    <col min="4" max="4" width="1.125" customWidth="1"/>
    <col min="5" max="5" width="10.875" customWidth="1"/>
    <col min="6" max="6" width="1.125" customWidth="1"/>
    <col min="7" max="7" width="9.625" customWidth="1"/>
    <col min="8" max="8" width="1.125" customWidth="1"/>
    <col min="9" max="9" width="10.625" customWidth="1"/>
    <col min="10" max="10" width="0.75" customWidth="1"/>
    <col min="11" max="11" width="11.125" customWidth="1"/>
    <col min="12" max="12" width="0.75" customWidth="1"/>
    <col min="13" max="13" width="9.625" customWidth="1"/>
    <col min="14" max="14" width="0.75" customWidth="1"/>
    <col min="15" max="15" width="9.75" customWidth="1"/>
    <col min="16" max="16" width="0.75" customWidth="1"/>
    <col min="17" max="17" width="10" customWidth="1"/>
    <col min="18" max="18" width="4.5" customWidth="1"/>
  </cols>
  <sheetData>
    <row r="1" spans="1:18" x14ac:dyDescent="0.25">
      <c r="A1" t="str">
        <f>CL_wRR!A1</f>
        <v>Utilities, Inc. of Florida</v>
      </c>
      <c r="H1" s="10"/>
      <c r="R1" s="33" t="str">
        <f>ExhDR_13_TV!$E$1</f>
        <v>Docket No. 160101-WS</v>
      </c>
    </row>
    <row r="2" spans="1:18" x14ac:dyDescent="0.25">
      <c r="A2" t="s">
        <v>159</v>
      </c>
      <c r="H2" s="10"/>
      <c r="Q2" s="10"/>
      <c r="R2" s="33" t="str">
        <f>ExhDR_13_TV!$E$2</f>
        <v>Exhibit DMR-13</v>
      </c>
    </row>
    <row r="3" spans="1:18" x14ac:dyDescent="0.25">
      <c r="A3" t="str">
        <f>CL_wRR!A3</f>
        <v>Test Year Ended December 31, 2015</v>
      </c>
      <c r="H3" s="10"/>
      <c r="Q3" s="10"/>
      <c r="R3" s="33" t="str">
        <f>ExhDR_13_TV!$E$3</f>
        <v>Tierra Verde Revenue Requirement</v>
      </c>
    </row>
    <row r="4" spans="1:18" x14ac:dyDescent="0.25">
      <c r="B4" s="10"/>
      <c r="C4" s="10"/>
      <c r="D4" s="10"/>
      <c r="E4" s="10"/>
      <c r="F4" s="10"/>
      <c r="G4" s="11"/>
      <c r="H4" s="10"/>
      <c r="Q4" s="36" t="s">
        <v>83</v>
      </c>
      <c r="R4" s="33" t="str">
        <f>ExhDR_13_TV!$E$4</f>
        <v>of 6</v>
      </c>
    </row>
    <row r="5" spans="1:18" x14ac:dyDescent="0.25">
      <c r="A5" t="s">
        <v>199</v>
      </c>
    </row>
    <row r="8" spans="1:18" x14ac:dyDescent="0.25">
      <c r="Q8" s="1" t="s">
        <v>8</v>
      </c>
    </row>
    <row r="9" spans="1:18" x14ac:dyDescent="0.25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8" x14ac:dyDescent="0.4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25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25">
      <c r="A13">
        <v>1</v>
      </c>
      <c r="C13" t="s">
        <v>206</v>
      </c>
      <c r="E13">
        <v>449905</v>
      </c>
      <c r="G13" s="64">
        <f>E13/$E$20</f>
        <v>0.41071461174709245</v>
      </c>
      <c r="I13">
        <f>K13-E13</f>
        <v>-5244.5605800510384</v>
      </c>
      <c r="K13">
        <f>($K$20-$K$16-$K$17-$K$18)*(E13/SUM($E$13:$E$15))</f>
        <v>444660.43941994896</v>
      </c>
      <c r="M13" s="64">
        <f>K13/$K$20</f>
        <v>0.41048054536822742</v>
      </c>
      <c r="O13" s="64">
        <v>6.7000000000000004E-2</v>
      </c>
      <c r="P13" s="8"/>
      <c r="Q13" s="64">
        <f>M13*O13</f>
        <v>2.7502196539671238E-2</v>
      </c>
    </row>
    <row r="14" spans="1:18" x14ac:dyDescent="0.25">
      <c r="A14">
        <v>2</v>
      </c>
      <c r="C14" t="s">
        <v>207</v>
      </c>
      <c r="E14">
        <v>42728</v>
      </c>
      <c r="G14" s="64">
        <f t="shared" ref="G14:G18" si="0">E14/$E$20</f>
        <v>3.9006043344105457E-2</v>
      </c>
      <c r="I14">
        <f t="shared" ref="I14:I15" si="1">K14-E14</f>
        <v>-498.0820050108814</v>
      </c>
      <c r="K14">
        <f t="shared" ref="K14:K15" si="2">($K$20-$K$16-$K$17-$K$18)*(E14/SUM($E$13:$E$15))</f>
        <v>42229.917994989119</v>
      </c>
      <c r="M14" s="64">
        <f t="shared" ref="M14:M18" si="3">K14/$K$20</f>
        <v>3.8983813788452275E-2</v>
      </c>
      <c r="O14" s="8">
        <v>2.3199999999999998E-2</v>
      </c>
      <c r="P14" s="8"/>
      <c r="Q14" s="64">
        <f t="shared" ref="Q14:Q18" si="4">M14*O14</f>
        <v>9.0442447989209267E-4</v>
      </c>
    </row>
    <row r="15" spans="1:18" x14ac:dyDescent="0.25">
      <c r="A15">
        <v>3</v>
      </c>
      <c r="C15" t="s">
        <v>208</v>
      </c>
      <c r="E15">
        <v>478454</v>
      </c>
      <c r="G15" s="64">
        <f t="shared" si="0"/>
        <v>0.43677676142484162</v>
      </c>
      <c r="I15">
        <f t="shared" si="1"/>
        <v>-5577.357414938102</v>
      </c>
      <c r="K15">
        <f t="shared" si="2"/>
        <v>472876.6425850619</v>
      </c>
      <c r="M15" s="64">
        <f t="shared" si="3"/>
        <v>0.43652784221915714</v>
      </c>
      <c r="O15" s="8">
        <v>0.104</v>
      </c>
      <c r="P15" s="8"/>
      <c r="Q15" s="64">
        <f t="shared" si="4"/>
        <v>4.539889559079234E-2</v>
      </c>
    </row>
    <row r="16" spans="1:18" x14ac:dyDescent="0.25">
      <c r="A16">
        <v>4</v>
      </c>
      <c r="C16" t="s">
        <v>209</v>
      </c>
      <c r="E16">
        <v>0</v>
      </c>
      <c r="G16" s="64">
        <f t="shared" si="0"/>
        <v>0</v>
      </c>
      <c r="K16">
        <f>E16+I16</f>
        <v>0</v>
      </c>
      <c r="M16" s="64">
        <f t="shared" si="3"/>
        <v>0</v>
      </c>
      <c r="O16" s="8">
        <v>0.02</v>
      </c>
      <c r="P16" s="8"/>
      <c r="Q16" s="64">
        <f t="shared" si="4"/>
        <v>0</v>
      </c>
    </row>
    <row r="17" spans="1:17" x14ac:dyDescent="0.25">
      <c r="A17">
        <v>5</v>
      </c>
      <c r="C17" t="s">
        <v>210</v>
      </c>
      <c r="E17">
        <v>0</v>
      </c>
      <c r="G17" s="64">
        <f t="shared" si="0"/>
        <v>0</v>
      </c>
      <c r="K17">
        <f>E17+I17</f>
        <v>0</v>
      </c>
      <c r="M17" s="64">
        <f t="shared" si="3"/>
        <v>0</v>
      </c>
      <c r="O17" s="8">
        <v>0</v>
      </c>
      <c r="P17" s="8"/>
      <c r="Q17" s="64">
        <f t="shared" si="4"/>
        <v>0</v>
      </c>
    </row>
    <row r="18" spans="1:17" x14ac:dyDescent="0.25">
      <c r="A18">
        <v>6</v>
      </c>
      <c r="C18" t="s">
        <v>211</v>
      </c>
      <c r="E18" s="3">
        <v>124333</v>
      </c>
      <c r="G18" s="68">
        <f t="shared" si="0"/>
        <v>0.11350258348396049</v>
      </c>
      <c r="I18">
        <v>-832</v>
      </c>
      <c r="K18" s="3">
        <f>E18+I18</f>
        <v>123501</v>
      </c>
      <c r="M18" s="68">
        <f t="shared" si="3"/>
        <v>0.11400779862416319</v>
      </c>
      <c r="O18" s="8">
        <v>0</v>
      </c>
      <c r="P18" s="8"/>
      <c r="Q18" s="68">
        <f t="shared" si="4"/>
        <v>0</v>
      </c>
    </row>
    <row r="20" spans="1:17" ht="16.5" thickBot="1" x14ac:dyDescent="0.3">
      <c r="A20">
        <v>7</v>
      </c>
      <c r="C20" t="s">
        <v>189</v>
      </c>
      <c r="E20">
        <f>SUM(E13:E19)</f>
        <v>1095420</v>
      </c>
      <c r="G20" s="8">
        <f>SUM(G13:G19)</f>
        <v>1</v>
      </c>
      <c r="K20">
        <f>TV_wwRB!I23</f>
        <v>1083268</v>
      </c>
      <c r="M20" s="8">
        <f>SUM(M13:M19)</f>
        <v>1</v>
      </c>
      <c r="Q20" s="71">
        <f>ROUND(SUM(Q13:Q19),4)</f>
        <v>7.3800000000000004E-2</v>
      </c>
    </row>
    <row r="21" spans="1:17" ht="16.5" thickTop="1" x14ac:dyDescent="0.25"/>
    <row r="22" spans="1:17" ht="18" x14ac:dyDescent="0.4">
      <c r="C22" s="4" t="s">
        <v>50</v>
      </c>
    </row>
    <row r="23" spans="1:17" x14ac:dyDescent="0.25">
      <c r="C23" t="s">
        <v>217</v>
      </c>
    </row>
    <row r="24" spans="1:17" x14ac:dyDescent="0.25">
      <c r="C24" t="s">
        <v>220</v>
      </c>
    </row>
    <row r="25" spans="1:17" x14ac:dyDescent="0.25">
      <c r="C25" t="s">
        <v>709</v>
      </c>
    </row>
    <row r="26" spans="1:17" x14ac:dyDescent="0.25">
      <c r="C26" t="s">
        <v>708</v>
      </c>
    </row>
  </sheetData>
  <pageMargins left="0.7" right="0.7" top="0.75" bottom="0.75" header="0.3" footer="0.3"/>
  <pageSetup scale="78" orientation="portrait" horizontalDpi="0" verticalDpi="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E19"/>
  <sheetViews>
    <sheetView workbookViewId="0">
      <selection activeCell="D34" sqref="D34"/>
    </sheetView>
  </sheetViews>
  <sheetFormatPr defaultRowHeight="15.75" x14ac:dyDescent="0.25"/>
  <cols>
    <col min="1" max="1" width="8.125" customWidth="1"/>
    <col min="2" max="2" width="1.875" customWidth="1"/>
    <col min="3" max="3" width="45.625" customWidth="1"/>
    <col min="4" max="4" width="13.375" customWidth="1"/>
    <col min="5" max="5" width="5.625" customWidth="1"/>
  </cols>
  <sheetData>
    <row r="1" spans="1:5" x14ac:dyDescent="0.25">
      <c r="A1" t="s">
        <v>61</v>
      </c>
      <c r="E1" s="33" t="s">
        <v>64</v>
      </c>
    </row>
    <row r="2" spans="1:5" x14ac:dyDescent="0.25">
      <c r="A2" t="s">
        <v>165</v>
      </c>
      <c r="E2" s="33" t="s">
        <v>166</v>
      </c>
    </row>
    <row r="3" spans="1:5" x14ac:dyDescent="0.25">
      <c r="A3" t="s">
        <v>86</v>
      </c>
      <c r="E3" s="33" t="s">
        <v>167</v>
      </c>
    </row>
    <row r="4" spans="1:5" x14ac:dyDescent="0.25">
      <c r="D4" s="33" t="s">
        <v>67</v>
      </c>
      <c r="E4" s="33" t="s">
        <v>676</v>
      </c>
    </row>
    <row r="5" spans="1:5" x14ac:dyDescent="0.25">
      <c r="A5" t="s">
        <v>63</v>
      </c>
    </row>
    <row r="8" spans="1:5" x14ac:dyDescent="0.25">
      <c r="A8" s="3" t="s">
        <v>84</v>
      </c>
      <c r="B8" s="3"/>
      <c r="C8" s="3" t="s">
        <v>85</v>
      </c>
      <c r="D8" s="3"/>
      <c r="E8" s="3"/>
    </row>
    <row r="10" spans="1:5" x14ac:dyDescent="0.25">
      <c r="A10" t="str">
        <f>SEM_wRR!N4</f>
        <v>Page 2</v>
      </c>
      <c r="C10" t="str">
        <f>SEM_wRR!A5</f>
        <v>Calculation of Revenue Requirement - Water</v>
      </c>
    </row>
    <row r="11" spans="1:5" x14ac:dyDescent="0.25">
      <c r="A11" t="str">
        <f>SEM_wwRR!N4</f>
        <v>Page 3</v>
      </c>
      <c r="C11" t="str">
        <f>SEM_wwRR!A5</f>
        <v>Calculation of Revenue Requirement - Wastewater</v>
      </c>
    </row>
    <row r="12" spans="1:5" x14ac:dyDescent="0.25">
      <c r="A12" t="str">
        <f>SEM_NOIadj!J4</f>
        <v>Page 4</v>
      </c>
      <c r="C12" t="str">
        <f>SEM_NOIadj!A5</f>
        <v>Schedule of Adjustments to Operating Income</v>
      </c>
    </row>
    <row r="13" spans="1:5" x14ac:dyDescent="0.25">
      <c r="A13" t="str">
        <f>SEM_wRB!I4</f>
        <v>Page 5</v>
      </c>
      <c r="C13" t="str">
        <f>SEM_wRB!A5</f>
        <v>Rate Base - Water</v>
      </c>
    </row>
    <row r="14" spans="1:5" x14ac:dyDescent="0.25">
      <c r="A14" t="str">
        <f>SEM_wwRB!I4</f>
        <v>Page 6</v>
      </c>
      <c r="C14" t="str">
        <f>SEM_wwRB!A5</f>
        <v>Rate Base - Wastewater</v>
      </c>
    </row>
    <row r="15" spans="1:5" x14ac:dyDescent="0.25">
      <c r="A15" t="str">
        <f>SEM_RBadj!K4</f>
        <v>Page 7</v>
      </c>
      <c r="C15" t="str">
        <f>SEM_RBadj!A5</f>
        <v>Schedule of Adjustments to Rate Base</v>
      </c>
    </row>
    <row r="16" spans="1:5" x14ac:dyDescent="0.25">
      <c r="A16" t="str">
        <f>SEM_ROR!Q4</f>
        <v>Page 8</v>
      </c>
      <c r="C16" t="str">
        <f>SEM_ROR!A5</f>
        <v>Cost of Capital</v>
      </c>
    </row>
    <row r="17" spans="1:3" x14ac:dyDescent="0.25">
      <c r="A17" t="str">
        <f>SEM_RetCap!I4</f>
        <v>Page 9</v>
      </c>
      <c r="C17" t="str">
        <f>SEM_RetCap!A5</f>
        <v>Revise Water Main Replacement Projects</v>
      </c>
    </row>
    <row r="18" spans="1:3" x14ac:dyDescent="0.25">
      <c r="A18" t="str">
        <f>SEM_Plant!I4</f>
        <v>Page 10</v>
      </c>
      <c r="C18" t="str">
        <f>SEM_Plant!A5</f>
        <v>Revise Northwestern Force Main Replacement Project</v>
      </c>
    </row>
    <row r="19" spans="1:3" x14ac:dyDescent="0.25">
      <c r="A19" t="str">
        <f>SEM_PlantB!I4</f>
        <v>Page 11</v>
      </c>
      <c r="C19" t="str">
        <f>SEM_PlantB!A5</f>
        <v>Revise Ravenna Park / Crystal Lake Interconnection Project</v>
      </c>
    </row>
  </sheetData>
  <pageMargins left="0.7" right="0.7" top="0.75" bottom="0.75" header="0.3" footer="0.3"/>
  <pageSetup orientation="portrait" horizontalDpi="0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workbookViewId="0">
      <selection activeCell="R17" sqref="R17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1.5" customWidth="1"/>
    <col min="5" max="5" width="1.75" customWidth="1"/>
    <col min="6" max="6" width="10.875" customWidth="1"/>
    <col min="7" max="7" width="2.125" customWidth="1"/>
    <col min="8" max="8" width="11.75" customWidth="1"/>
    <col min="9" max="9" width="1.375" customWidth="1"/>
    <col min="10" max="10" width="10.125" customWidth="1"/>
    <col min="11" max="11" width="1.125" customWidth="1"/>
    <col min="12" max="12" width="12.25" customWidth="1"/>
    <col min="13" max="13" width="1.75" customWidth="1"/>
    <col min="14" max="14" width="11" customWidth="1"/>
    <col min="15" max="15" width="5.125" customWidth="1"/>
  </cols>
  <sheetData>
    <row r="1" spans="1:15" x14ac:dyDescent="0.25">
      <c r="A1" t="s">
        <v>61</v>
      </c>
      <c r="O1" s="33" t="str">
        <f>ExhDR_14_SEM!$E$1</f>
        <v>Docket No. 160101-WS</v>
      </c>
    </row>
    <row r="2" spans="1:15" x14ac:dyDescent="0.25">
      <c r="A2" t="s">
        <v>165</v>
      </c>
      <c r="O2" s="33" t="str">
        <f>ExhDR_14_SEM!$E$2</f>
        <v>Exhibit DMR-14</v>
      </c>
    </row>
    <row r="3" spans="1:15" x14ac:dyDescent="0.25">
      <c r="A3" t="s">
        <v>63</v>
      </c>
      <c r="O3" s="33" t="str">
        <f>ExhDR_14_SEM!$E$3</f>
        <v>Seminole County Revenue Requirement</v>
      </c>
    </row>
    <row r="4" spans="1:15" x14ac:dyDescent="0.25">
      <c r="N4" s="33" t="s">
        <v>77</v>
      </c>
      <c r="O4" s="33" t="str">
        <f>ExhDR_14_SEM!$E$4</f>
        <v>of 11</v>
      </c>
    </row>
    <row r="5" spans="1:15" x14ac:dyDescent="0.25">
      <c r="A5" t="s">
        <v>69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1031571</v>
      </c>
      <c r="F12" s="29">
        <f>SEM_NOIadj!F13</f>
        <v>0</v>
      </c>
      <c r="G12" s="6"/>
      <c r="H12">
        <f>SUM(D12:F12)</f>
        <v>1031571</v>
      </c>
      <c r="J12">
        <f>((H23*L25)-H21)*1.67888</f>
        <v>1269085.6817684639</v>
      </c>
      <c r="L12">
        <f>SUM(H12:J12)</f>
        <v>2300656.6817684639</v>
      </c>
      <c r="N12" t="str">
        <f>SEM_NOIadj!J4</f>
        <v>Page 4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630377</v>
      </c>
      <c r="F14" s="29">
        <f>SEM_NOIadj!F28</f>
        <v>-153550</v>
      </c>
      <c r="H14">
        <f>SUM(D14:F14)</f>
        <v>476827</v>
      </c>
      <c r="L14">
        <f>SUM(H14:J14)</f>
        <v>476827</v>
      </c>
      <c r="N14" t="str">
        <f>N12</f>
        <v>Page 4</v>
      </c>
    </row>
    <row r="15" spans="1:15" x14ac:dyDescent="0.25">
      <c r="A15">
        <v>3</v>
      </c>
      <c r="C15" t="s">
        <v>17</v>
      </c>
      <c r="D15">
        <v>214511</v>
      </c>
      <c r="F15" s="29">
        <f>SEM_NOIadj!F36</f>
        <v>150695</v>
      </c>
      <c r="H15">
        <f>SUM(D15:F15)</f>
        <v>365206</v>
      </c>
      <c r="L15">
        <f>SUM(H15:J15)</f>
        <v>365206</v>
      </c>
      <c r="N15" t="str">
        <f>N12</f>
        <v>Page 4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266755</v>
      </c>
      <c r="F17" s="29">
        <f>SEM_NOIadj!F41</f>
        <v>0</v>
      </c>
      <c r="H17">
        <f>SUM(D17:F17)</f>
        <v>266755</v>
      </c>
      <c r="J17">
        <f>J12*0.045</f>
        <v>57108.855679580876</v>
      </c>
      <c r="L17">
        <f>SUM(H17:J17)</f>
        <v>323863.85567958088</v>
      </c>
      <c r="N17" t="str">
        <f>N12</f>
        <v>Page 4</v>
      </c>
    </row>
    <row r="18" spans="1:14" x14ac:dyDescent="0.25">
      <c r="A18">
        <v>6</v>
      </c>
      <c r="C18" t="s">
        <v>19</v>
      </c>
      <c r="D18" s="3">
        <v>-186486</v>
      </c>
      <c r="F18" s="29">
        <f>SEM_NOIadj!F46</f>
        <v>1074</v>
      </c>
      <c r="H18" s="3">
        <f>SUM(D18:F18)</f>
        <v>-185412</v>
      </c>
      <c r="J18">
        <f>(J12-J17)*0.3763</f>
        <v>456066.8796572467</v>
      </c>
      <c r="L18" s="9">
        <f>SUM(H18:J18)</f>
        <v>270654.8796572467</v>
      </c>
    </row>
    <row r="19" spans="1:14" x14ac:dyDescent="0.25">
      <c r="A19">
        <v>7</v>
      </c>
      <c r="C19" t="s">
        <v>20</v>
      </c>
      <c r="D19">
        <f>SUM(D14:D18)</f>
        <v>925157</v>
      </c>
      <c r="F19" s="29"/>
      <c r="H19" s="5">
        <f>SUM(H14:H18)</f>
        <v>923376</v>
      </c>
      <c r="L19" s="5">
        <f>SUM(L14:L18)</f>
        <v>1436551.7353368276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106414</v>
      </c>
      <c r="F21" s="29"/>
      <c r="H21">
        <f>H12-H19</f>
        <v>108195</v>
      </c>
      <c r="L21">
        <f>H23*L25</f>
        <v>864107.08530000004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SEM_wRB!E24</f>
        <v>13512594</v>
      </c>
      <c r="F23" s="29">
        <f>H23-D23</f>
        <v>-1150547</v>
      </c>
      <c r="H23">
        <f>SEM_wRB!I24</f>
        <v>12362047</v>
      </c>
      <c r="L23">
        <f>H23</f>
        <v>12362047</v>
      </c>
      <c r="N23" t="str">
        <f>SEM_wRB!I4</f>
        <v>Page 5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7.875171858193919E-3</v>
      </c>
      <c r="F25" s="29"/>
      <c r="L25" s="8">
        <f>SEM_ROR!Q20</f>
        <v>6.9900000000000004E-2</v>
      </c>
      <c r="N25" t="str">
        <f>SEM_ROR!Q4</f>
        <v>Page 8</v>
      </c>
    </row>
    <row r="26" spans="1:14" x14ac:dyDescent="0.25">
      <c r="L26" s="8"/>
    </row>
    <row r="27" spans="1:14" ht="18" x14ac:dyDescent="0.4">
      <c r="C27" s="4" t="s">
        <v>88</v>
      </c>
      <c r="J27" s="32"/>
      <c r="L27" s="8"/>
    </row>
    <row r="28" spans="1:14" x14ac:dyDescent="0.25">
      <c r="C28" t="s">
        <v>195</v>
      </c>
      <c r="J28" s="29"/>
    </row>
  </sheetData>
  <pageMargins left="0.7" right="0.7" top="0.75" bottom="0.75" header="0.3" footer="0.3"/>
  <pageSetup scale="72" orientation="portrait" horizontalDpi="0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J24" sqref="J24"/>
    </sheetView>
  </sheetViews>
  <sheetFormatPr defaultRowHeight="15.75" x14ac:dyDescent="0.25"/>
  <cols>
    <col min="1" max="1" width="4.125" customWidth="1"/>
    <col min="2" max="2" width="1.625" customWidth="1"/>
    <col min="3" max="3" width="30.625" customWidth="1"/>
    <col min="4" max="4" width="10.375" bestFit="1" customWidth="1"/>
    <col min="5" max="5" width="1.75" customWidth="1"/>
    <col min="6" max="6" width="10.875" customWidth="1"/>
    <col min="7" max="7" width="2.125" customWidth="1"/>
    <col min="8" max="8" width="10.375" bestFit="1" customWidth="1"/>
    <col min="9" max="9" width="1.375" customWidth="1"/>
    <col min="10" max="10" width="10.125" customWidth="1"/>
    <col min="11" max="11" width="1.125" customWidth="1"/>
    <col min="12" max="12" width="11.25" customWidth="1"/>
    <col min="13" max="13" width="1.75" customWidth="1"/>
    <col min="14" max="14" width="11" customWidth="1"/>
    <col min="15" max="15" width="6" customWidth="1"/>
  </cols>
  <sheetData>
    <row r="1" spans="1:15" x14ac:dyDescent="0.25">
      <c r="A1" t="s">
        <v>61</v>
      </c>
      <c r="O1" s="33" t="str">
        <f>ExhDR_14_SEM!$E$1</f>
        <v>Docket No. 160101-WS</v>
      </c>
    </row>
    <row r="2" spans="1:15" x14ac:dyDescent="0.25">
      <c r="A2" t="s">
        <v>165</v>
      </c>
      <c r="O2" s="33" t="str">
        <f>ExhDR_14_SEM!$E$2</f>
        <v>Exhibit DMR-14</v>
      </c>
    </row>
    <row r="3" spans="1:15" x14ac:dyDescent="0.25">
      <c r="A3" t="s">
        <v>63</v>
      </c>
      <c r="O3" s="33" t="str">
        <f>ExhDR_14_SEM!$E$3</f>
        <v>Seminole County Revenue Requirement</v>
      </c>
    </row>
    <row r="4" spans="1:15" x14ac:dyDescent="0.25">
      <c r="N4" s="33" t="s">
        <v>80</v>
      </c>
      <c r="O4" s="33" t="str">
        <f>ExhDR_14_SEM!$E$4</f>
        <v>of 11</v>
      </c>
    </row>
    <row r="5" spans="1:15" x14ac:dyDescent="0.25">
      <c r="A5" t="s">
        <v>76</v>
      </c>
      <c r="N5" s="33"/>
    </row>
    <row r="7" spans="1:15" x14ac:dyDescent="0.25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25">
      <c r="D8" s="1" t="s">
        <v>3</v>
      </c>
      <c r="F8" s="1"/>
      <c r="H8" t="s">
        <v>8</v>
      </c>
      <c r="L8" s="1" t="s">
        <v>12</v>
      </c>
    </row>
    <row r="9" spans="1:15" x14ac:dyDescent="0.25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8" x14ac:dyDescent="0.4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25">
      <c r="D11" s="1"/>
    </row>
    <row r="12" spans="1:15" x14ac:dyDescent="0.25">
      <c r="A12">
        <v>1</v>
      </c>
      <c r="C12" t="s">
        <v>15</v>
      </c>
      <c r="D12">
        <v>840136</v>
      </c>
      <c r="F12" s="29">
        <f>SEM_NOIadj!H13</f>
        <v>0</v>
      </c>
      <c r="G12" s="6"/>
      <c r="H12">
        <f>SUM(D12:F12)</f>
        <v>840136</v>
      </c>
      <c r="J12">
        <f>((H23*L25)-H21)*1.67888</f>
        <v>-85052.281661163477</v>
      </c>
      <c r="L12">
        <f>SUM(H12:J12)</f>
        <v>755083.71833883657</v>
      </c>
      <c r="N12" t="str">
        <f>SEM_NOIadj!J4</f>
        <v>Page 4</v>
      </c>
    </row>
    <row r="13" spans="1:15" x14ac:dyDescent="0.25">
      <c r="F13" s="29"/>
    </row>
    <row r="14" spans="1:15" x14ac:dyDescent="0.25">
      <c r="A14">
        <v>2</v>
      </c>
      <c r="C14" t="s">
        <v>16</v>
      </c>
      <c r="D14">
        <v>522591</v>
      </c>
      <c r="F14" s="29">
        <f>SEM_NOIadj!H28</f>
        <v>-118021</v>
      </c>
      <c r="H14">
        <f>SUM(D14:F14)</f>
        <v>404570</v>
      </c>
      <c r="L14">
        <f>SUM(H14:J14)</f>
        <v>404570</v>
      </c>
      <c r="N14" t="str">
        <f>N12</f>
        <v>Page 4</v>
      </c>
    </row>
    <row r="15" spans="1:15" x14ac:dyDescent="0.25">
      <c r="A15">
        <v>3</v>
      </c>
      <c r="C15" t="s">
        <v>17</v>
      </c>
      <c r="D15">
        <v>11767</v>
      </c>
      <c r="F15" s="29">
        <f>SEM_NOIadj!H36</f>
        <v>72284</v>
      </c>
      <c r="H15">
        <f>SUM(D15:F15)</f>
        <v>84051</v>
      </c>
      <c r="L15">
        <f>SUM(H15:J15)</f>
        <v>84051</v>
      </c>
      <c r="N15" t="str">
        <f>N12</f>
        <v>Page 4</v>
      </c>
    </row>
    <row r="16" spans="1:15" x14ac:dyDescent="0.25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25">
      <c r="A17">
        <v>5</v>
      </c>
      <c r="C17" t="s">
        <v>18</v>
      </c>
      <c r="D17">
        <v>77961</v>
      </c>
      <c r="F17" s="29">
        <f>SEM_NOIadj!H41</f>
        <v>0</v>
      </c>
      <c r="H17">
        <f>SUM(D17:F17)</f>
        <v>77961</v>
      </c>
      <c r="J17">
        <f>J12*0.045</f>
        <v>-3827.3526747523565</v>
      </c>
      <c r="L17">
        <f>SUM(H17:J17)</f>
        <v>74133.647325247643</v>
      </c>
      <c r="N17" t="str">
        <f>N12</f>
        <v>Page 4</v>
      </c>
    </row>
    <row r="18" spans="1:14" x14ac:dyDescent="0.25">
      <c r="A18">
        <v>6</v>
      </c>
      <c r="C18" t="s">
        <v>19</v>
      </c>
      <c r="D18" s="3">
        <v>64306</v>
      </c>
      <c r="F18" s="29">
        <f>SEM_NOIadj!H46</f>
        <v>14834.11474732</v>
      </c>
      <c r="H18" s="3">
        <f>SUM(D18:F18)</f>
        <v>79140.114747319996</v>
      </c>
      <c r="J18">
        <f>(J12-J17)*0.3763</f>
        <v>-30564.940777586507</v>
      </c>
      <c r="L18" s="9">
        <f>SUM(H18:J18)</f>
        <v>48575.173969733485</v>
      </c>
    </row>
    <row r="19" spans="1:14" x14ac:dyDescent="0.25">
      <c r="A19">
        <v>7</v>
      </c>
      <c r="C19" t="s">
        <v>20</v>
      </c>
      <c r="D19">
        <f>SUM(D14:D18)</f>
        <v>676625</v>
      </c>
      <c r="F19" s="29"/>
      <c r="H19" s="5">
        <f>SUM(H14:H18)</f>
        <v>645722.11474731995</v>
      </c>
      <c r="L19" s="5">
        <f>SUM(L14:L18)</f>
        <v>611329.82129498117</v>
      </c>
    </row>
    <row r="20" spans="1:14" x14ac:dyDescent="0.25">
      <c r="F20" s="29"/>
    </row>
    <row r="21" spans="1:14" x14ac:dyDescent="0.25">
      <c r="A21">
        <v>8</v>
      </c>
      <c r="C21" t="s">
        <v>21</v>
      </c>
      <c r="D21">
        <f>D12-D19</f>
        <v>163511</v>
      </c>
      <c r="F21" s="29"/>
      <c r="H21">
        <f>H12-H19</f>
        <v>194413.88525268005</v>
      </c>
      <c r="L21">
        <f>H23*L25</f>
        <v>143753.7537</v>
      </c>
    </row>
    <row r="22" spans="1:14" x14ac:dyDescent="0.25">
      <c r="F22" s="29"/>
    </row>
    <row r="23" spans="1:14" x14ac:dyDescent="0.25">
      <c r="A23">
        <v>9</v>
      </c>
      <c r="C23" t="s">
        <v>22</v>
      </c>
      <c r="D23" s="29">
        <f>SEM_wwRB!E23</f>
        <v>1850815</v>
      </c>
      <c r="F23" s="29">
        <f>H23-D23</f>
        <v>205748</v>
      </c>
      <c r="H23">
        <f>SEM_wwRB!I23</f>
        <v>2056563</v>
      </c>
      <c r="L23">
        <f>H23</f>
        <v>2056563</v>
      </c>
      <c r="N23" t="str">
        <f>SEM_wwRB!I4</f>
        <v>Page 6</v>
      </c>
    </row>
    <row r="24" spans="1:14" x14ac:dyDescent="0.25">
      <c r="F24" s="29"/>
    </row>
    <row r="25" spans="1:14" x14ac:dyDescent="0.25">
      <c r="A25">
        <v>10</v>
      </c>
      <c r="C25" t="s">
        <v>53</v>
      </c>
      <c r="D25" s="30">
        <f>D21/D23</f>
        <v>8.8345404592031079E-2</v>
      </c>
      <c r="F25" s="29"/>
      <c r="L25" s="8">
        <f>SEM_ROR!Q20</f>
        <v>6.9900000000000004E-2</v>
      </c>
      <c r="N25" t="str">
        <f>SEM_ROR!Q4</f>
        <v>Page 8</v>
      </c>
    </row>
    <row r="28" spans="1:14" ht="18" x14ac:dyDescent="0.4">
      <c r="C28" s="4" t="s">
        <v>88</v>
      </c>
    </row>
    <row r="29" spans="1:14" x14ac:dyDescent="0.25">
      <c r="C29" t="s">
        <v>196</v>
      </c>
    </row>
  </sheetData>
  <pageMargins left="0.7" right="0.7" top="0.75" bottom="0.75" header="0.3" footer="0.3"/>
  <pageSetup scale="74" orientation="portrait" horizontalDpi="0" verticalDpi="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opLeftCell="A36" workbookViewId="0">
      <selection activeCell="C55" sqref="C55"/>
    </sheetView>
  </sheetViews>
  <sheetFormatPr defaultRowHeight="15.75" x14ac:dyDescent="0.25"/>
  <cols>
    <col min="1" max="1" width="4.375" customWidth="1"/>
    <col min="2" max="2" width="1.625" customWidth="1"/>
    <col min="3" max="3" width="42.875" customWidth="1"/>
    <col min="5" max="5" width="12.125" customWidth="1"/>
    <col min="6" max="6" width="9.625" bestFit="1" customWidth="1"/>
    <col min="7" max="7" width="1.75" customWidth="1"/>
    <col min="8" max="8" width="9.625" customWidth="1"/>
    <col min="9" max="9" width="1.375" customWidth="1"/>
    <col min="10" max="10" width="15.375" customWidth="1"/>
    <col min="11" max="11" width="6.25" customWidth="1"/>
  </cols>
  <sheetData>
    <row r="1" spans="1:11" x14ac:dyDescent="0.25">
      <c r="A1" t="str">
        <f>CL_wRR!A1</f>
        <v>Utilities, Inc. of Florida</v>
      </c>
      <c r="J1" s="33"/>
      <c r="K1" s="33" t="str">
        <f>ExhDR_14_SEM!$E$1</f>
        <v>Docket No. 160101-WS</v>
      </c>
    </row>
    <row r="2" spans="1:11" x14ac:dyDescent="0.25">
      <c r="A2" t="s">
        <v>165</v>
      </c>
      <c r="J2" s="33"/>
      <c r="K2" s="33" t="str">
        <f>ExhDR_14_SEM!$E$2</f>
        <v>Exhibit DMR-14</v>
      </c>
    </row>
    <row r="3" spans="1:11" x14ac:dyDescent="0.25">
      <c r="A3" t="str">
        <f>CL_wRR!A3</f>
        <v>Test Year Ended December 31, 2015</v>
      </c>
      <c r="J3" s="33"/>
      <c r="K3" s="33" t="str">
        <f>ExhDR_14_SEM!$E$3</f>
        <v>Seminole County Revenue Requirement</v>
      </c>
    </row>
    <row r="4" spans="1:11" x14ac:dyDescent="0.25">
      <c r="J4" s="33" t="s">
        <v>81</v>
      </c>
      <c r="K4" s="33" t="str">
        <f>ExhDR_14_SEM!$E$4</f>
        <v>of 11</v>
      </c>
    </row>
    <row r="5" spans="1:11" x14ac:dyDescent="0.25">
      <c r="A5" t="s">
        <v>45</v>
      </c>
    </row>
    <row r="8" spans="1:11" x14ac:dyDescent="0.25">
      <c r="A8" t="s">
        <v>0</v>
      </c>
      <c r="F8" s="1" t="s">
        <v>70</v>
      </c>
      <c r="G8" s="1"/>
      <c r="H8" s="1" t="s">
        <v>71</v>
      </c>
    </row>
    <row r="9" spans="1:11" ht="18" x14ac:dyDescent="0.4">
      <c r="A9" s="3" t="s">
        <v>1</v>
      </c>
      <c r="C9" s="4" t="s">
        <v>2</v>
      </c>
      <c r="F9" s="2" t="s">
        <v>5</v>
      </c>
      <c r="G9" s="34"/>
      <c r="H9" s="2" t="s">
        <v>5</v>
      </c>
      <c r="J9" s="4" t="s">
        <v>72</v>
      </c>
    </row>
    <row r="11" spans="1:11" ht="18" x14ac:dyDescent="0.4">
      <c r="C11" s="4" t="s">
        <v>73</v>
      </c>
    </row>
    <row r="12" spans="1:11" x14ac:dyDescent="0.25">
      <c r="A12">
        <v>1</v>
      </c>
    </row>
    <row r="13" spans="1:11" ht="16.5" thickBot="1" x14ac:dyDescent="0.3">
      <c r="A13">
        <v>2</v>
      </c>
      <c r="C13" t="s">
        <v>110</v>
      </c>
      <c r="F13" s="24">
        <f>SUM(F12:F12)</f>
        <v>0</v>
      </c>
      <c r="H13" s="24">
        <f>SUM(H12:H12)</f>
        <v>0</v>
      </c>
    </row>
    <row r="14" spans="1:11" ht="16.5" thickTop="1" x14ac:dyDescent="0.25">
      <c r="A14">
        <v>3</v>
      </c>
    </row>
    <row r="15" spans="1:11" ht="18" x14ac:dyDescent="0.4">
      <c r="A15">
        <v>4</v>
      </c>
      <c r="C15" s="4" t="s">
        <v>49</v>
      </c>
    </row>
    <row r="16" spans="1:11" x14ac:dyDescent="0.25">
      <c r="A16">
        <v>5</v>
      </c>
    </row>
    <row r="17" spans="1:10" x14ac:dyDescent="0.25">
      <c r="A17">
        <v>6</v>
      </c>
      <c r="C17" t="s">
        <v>547</v>
      </c>
      <c r="H17">
        <f>ROUND(185616*-0.3741,0)</f>
        <v>-69439</v>
      </c>
      <c r="J17" s="6" t="s">
        <v>214</v>
      </c>
    </row>
    <row r="18" spans="1:10" x14ac:dyDescent="0.25">
      <c r="A18">
        <v>7</v>
      </c>
      <c r="C18" t="s">
        <v>542</v>
      </c>
      <c r="F18">
        <f>ROUND(8051*-0.0095,0)</f>
        <v>-76</v>
      </c>
      <c r="J18" s="6" t="s">
        <v>215</v>
      </c>
    </row>
    <row r="19" spans="1:10" x14ac:dyDescent="0.25">
      <c r="A19">
        <v>8</v>
      </c>
      <c r="C19" t="s">
        <v>543</v>
      </c>
      <c r="F19">
        <f>ROUND(1374*-0.0481,0)</f>
        <v>-66</v>
      </c>
      <c r="J19" s="6" t="s">
        <v>215</v>
      </c>
    </row>
    <row r="20" spans="1:10" x14ac:dyDescent="0.25">
      <c r="A20">
        <v>9</v>
      </c>
      <c r="C20" t="s">
        <v>544</v>
      </c>
      <c r="F20">
        <f>ROUND(12660*-0.0223,0)</f>
        <v>-282</v>
      </c>
      <c r="J20" s="6" t="s">
        <v>215</v>
      </c>
    </row>
    <row r="21" spans="1:10" x14ac:dyDescent="0.25">
      <c r="A21">
        <v>10</v>
      </c>
      <c r="C21" t="s">
        <v>545</v>
      </c>
      <c r="F21">
        <f>ROUND(1804*-0.0156,0)</f>
        <v>-28</v>
      </c>
      <c r="J21" s="6" t="s">
        <v>215</v>
      </c>
    </row>
    <row r="22" spans="1:10" x14ac:dyDescent="0.25">
      <c r="A22">
        <v>11</v>
      </c>
      <c r="C22" t="s">
        <v>546</v>
      </c>
      <c r="F22">
        <f>ROUND(25834*-0.0131,0)</f>
        <v>-338</v>
      </c>
      <c r="J22" s="6" t="s">
        <v>215</v>
      </c>
    </row>
    <row r="23" spans="1:10" x14ac:dyDescent="0.25">
      <c r="A23">
        <v>12</v>
      </c>
      <c r="C23" t="s">
        <v>531</v>
      </c>
      <c r="F23" s="25">
        <f>-61485</f>
        <v>-61485</v>
      </c>
      <c r="G23" s="25"/>
      <c r="H23" s="25"/>
      <c r="J23" t="s">
        <v>198</v>
      </c>
    </row>
    <row r="24" spans="1:10" x14ac:dyDescent="0.25">
      <c r="A24">
        <v>13</v>
      </c>
      <c r="C24" t="s">
        <v>384</v>
      </c>
      <c r="F24" s="25">
        <f>-101026</f>
        <v>-101026</v>
      </c>
      <c r="G24" s="25"/>
      <c r="H24" s="25">
        <f>-53884</f>
        <v>-53884</v>
      </c>
      <c r="J24" t="s">
        <v>372</v>
      </c>
    </row>
    <row r="25" spans="1:10" x14ac:dyDescent="0.25">
      <c r="A25">
        <v>14</v>
      </c>
      <c r="C25" t="s">
        <v>385</v>
      </c>
      <c r="F25" s="26">
        <f>ROUND((132281+14012)/4*0.3947,0)</f>
        <v>14435</v>
      </c>
      <c r="G25" s="26"/>
      <c r="H25" s="26">
        <f>ROUND((53835+5702)/4*0.5273,0)</f>
        <v>7848</v>
      </c>
      <c r="J25" t="s">
        <v>379</v>
      </c>
    </row>
    <row r="26" spans="1:10" x14ac:dyDescent="0.25">
      <c r="A26">
        <v>15</v>
      </c>
      <c r="C26" t="s">
        <v>290</v>
      </c>
      <c r="F26" s="5">
        <f>ROUND('WSC-Ins'!$I$23*(1781.91/(1781.91+968.73)),0)</f>
        <v>-1087</v>
      </c>
      <c r="G26" s="5"/>
      <c r="H26" s="5">
        <f>ROUND('WSC-Ins'!$I$23*(968.73/(1781.91+968.73)),0)</f>
        <v>-591</v>
      </c>
      <c r="J26" t="str">
        <f>'WSC-Ins'!J2</f>
        <v>Exhibit DMR-19</v>
      </c>
    </row>
    <row r="27" spans="1:10" x14ac:dyDescent="0.25">
      <c r="A27">
        <v>16</v>
      </c>
      <c r="C27" t="s">
        <v>291</v>
      </c>
      <c r="F27" s="5">
        <f>ROUND(WSCs_Dep!I23*(1781.91/(1781.91+968.73)),0)</f>
        <v>-3597</v>
      </c>
      <c r="G27" s="5"/>
      <c r="H27" s="5">
        <f>ROUND(WSCs_Dep!I23*(968.73/(1781.91+968.73)),0)</f>
        <v>-1955</v>
      </c>
      <c r="J27" t="str">
        <f>WSCs_Dep!J2</f>
        <v>Exhibit DMR-20</v>
      </c>
    </row>
    <row r="28" spans="1:10" ht="16.5" thickBot="1" x14ac:dyDescent="0.3">
      <c r="A28">
        <v>17</v>
      </c>
      <c r="C28" t="s">
        <v>110</v>
      </c>
      <c r="F28" s="24">
        <f>SUM(F16:F27)</f>
        <v>-153550</v>
      </c>
      <c r="G28" s="26"/>
      <c r="H28" s="24">
        <f>SUM(H16:H27)</f>
        <v>-118021</v>
      </c>
    </row>
    <row r="29" spans="1:10" ht="16.5" thickTop="1" x14ac:dyDescent="0.25">
      <c r="A29">
        <v>18</v>
      </c>
    </row>
    <row r="30" spans="1:10" ht="18" x14ac:dyDescent="0.4">
      <c r="A30">
        <v>19</v>
      </c>
      <c r="C30" s="4" t="s">
        <v>46</v>
      </c>
    </row>
    <row r="31" spans="1:10" x14ac:dyDescent="0.25">
      <c r="A31">
        <v>20</v>
      </c>
      <c r="C31" t="s">
        <v>533</v>
      </c>
      <c r="F31">
        <f>SEM_RetCap!I27</f>
        <v>127572</v>
      </c>
      <c r="J31" t="str">
        <f>SEM_RetCap!I4</f>
        <v>Page 9</v>
      </c>
    </row>
    <row r="32" spans="1:10" x14ac:dyDescent="0.25">
      <c r="A32">
        <v>21</v>
      </c>
      <c r="C32" t="s">
        <v>539</v>
      </c>
      <c r="F32">
        <v>26599</v>
      </c>
      <c r="H32">
        <v>72343</v>
      </c>
    </row>
    <row r="33" spans="1:10" x14ac:dyDescent="0.25">
      <c r="A33">
        <v>22</v>
      </c>
      <c r="C33" t="s">
        <v>665</v>
      </c>
      <c r="H33">
        <f>SEM_Plant!I27</f>
        <v>563</v>
      </c>
      <c r="J33" t="str">
        <f>SEM_Plant!I4</f>
        <v>Page 10</v>
      </c>
    </row>
    <row r="34" spans="1:10" x14ac:dyDescent="0.25">
      <c r="A34">
        <v>23</v>
      </c>
      <c r="C34" t="s">
        <v>669</v>
      </c>
      <c r="F34">
        <f>SEM_PlantB!I21+SEM_PlantB!I31+SEM_PlantB!I41</f>
        <v>-2332</v>
      </c>
      <c r="J34" t="str">
        <f>SEM_PlantB!I4</f>
        <v>Page 11</v>
      </c>
    </row>
    <row r="35" spans="1:10" x14ac:dyDescent="0.25">
      <c r="A35">
        <v>24</v>
      </c>
      <c r="C35" t="s">
        <v>630</v>
      </c>
      <c r="F35" s="3">
        <f>GIS_Proj!M21</f>
        <v>-1144</v>
      </c>
      <c r="G35" s="26"/>
      <c r="H35" s="3">
        <f>GIS_Proj!O21</f>
        <v>-622</v>
      </c>
      <c r="J35" s="31" t="str">
        <f>GIS_Proj!O2</f>
        <v>Exhibit DMR-21</v>
      </c>
    </row>
    <row r="36" spans="1:10" ht="16.5" thickBot="1" x14ac:dyDescent="0.3">
      <c r="A36">
        <v>25</v>
      </c>
      <c r="C36" t="s">
        <v>110</v>
      </c>
      <c r="F36" s="24">
        <f>SUM(F31:F35)</f>
        <v>150695</v>
      </c>
      <c r="G36" s="26"/>
      <c r="H36" s="24">
        <f>SUM(H31:H35)</f>
        <v>72284</v>
      </c>
    </row>
    <row r="37" spans="1:10" ht="16.5" thickTop="1" x14ac:dyDescent="0.25">
      <c r="A37">
        <v>26</v>
      </c>
    </row>
    <row r="38" spans="1:10" ht="18" x14ac:dyDescent="0.4">
      <c r="A38">
        <v>27</v>
      </c>
      <c r="C38" s="4" t="s">
        <v>60</v>
      </c>
    </row>
    <row r="39" spans="1:10" ht="18" x14ac:dyDescent="0.4">
      <c r="A39">
        <v>28</v>
      </c>
      <c r="C39" s="4"/>
      <c r="F39" s="29"/>
      <c r="G39" s="29"/>
      <c r="H39" s="29"/>
    </row>
    <row r="40" spans="1:10" x14ac:dyDescent="0.25">
      <c r="A40">
        <v>29</v>
      </c>
      <c r="C40" s="40" t="s">
        <v>89</v>
      </c>
      <c r="F40">
        <f>ROUND(F13*0.045,0)</f>
        <v>0</v>
      </c>
      <c r="H40">
        <f>ROUND(H13*0.045,0)</f>
        <v>0</v>
      </c>
    </row>
    <row r="41" spans="1:10" ht="16.5" thickBot="1" x14ac:dyDescent="0.3">
      <c r="A41">
        <v>30</v>
      </c>
      <c r="C41" t="s">
        <v>110</v>
      </c>
      <c r="F41" s="24">
        <f>SUM(F39:F40)</f>
        <v>0</v>
      </c>
      <c r="G41" s="26"/>
      <c r="H41" s="24">
        <f>SUM(H39:H40)</f>
        <v>0</v>
      </c>
    </row>
    <row r="42" spans="1:10" ht="16.5" thickTop="1" x14ac:dyDescent="0.25">
      <c r="A42">
        <v>31</v>
      </c>
    </row>
    <row r="43" spans="1:10" ht="18" x14ac:dyDescent="0.4">
      <c r="A43">
        <v>32</v>
      </c>
      <c r="C43" s="4" t="s">
        <v>79</v>
      </c>
    </row>
    <row r="44" spans="1:10" x14ac:dyDescent="0.25">
      <c r="A44">
        <v>33</v>
      </c>
      <c r="C44" s="40" t="s">
        <v>115</v>
      </c>
      <c r="F44">
        <f>SEM_wRB!G23*0.0307*-0.3763</f>
        <v>0</v>
      </c>
      <c r="H44">
        <f>SEM_wwRB!G23*0.0307*-0.3763</f>
        <v>-2376.8852526800001</v>
      </c>
    </row>
    <row r="45" spans="1:10" x14ac:dyDescent="0.25">
      <c r="C45" s="40" t="s">
        <v>90</v>
      </c>
      <c r="F45">
        <f>ROUND((F13-F28-F36-F41)*0.3763,0)</f>
        <v>1074</v>
      </c>
      <c r="H45">
        <f>ROUND((H13-H28-H36-H41)*0.3763,0)</f>
        <v>17211</v>
      </c>
    </row>
    <row r="46" spans="1:10" ht="16.5" thickBot="1" x14ac:dyDescent="0.3">
      <c r="C46" t="s">
        <v>110</v>
      </c>
      <c r="F46" s="24">
        <f>SUM(F44:F45)</f>
        <v>1074</v>
      </c>
      <c r="G46" s="26"/>
      <c r="H46" s="24">
        <f>SUM(H44:H45)</f>
        <v>14834.11474732</v>
      </c>
    </row>
    <row r="47" spans="1:10" ht="16.5" thickTop="1" x14ac:dyDescent="0.25"/>
    <row r="49" spans="3:6" x14ac:dyDescent="0.25">
      <c r="C49" s="6" t="s">
        <v>168</v>
      </c>
    </row>
    <row r="50" spans="3:6" x14ac:dyDescent="0.25">
      <c r="C50" t="s">
        <v>116</v>
      </c>
    </row>
    <row r="51" spans="3:6" x14ac:dyDescent="0.25">
      <c r="C51" s="6" t="s">
        <v>386</v>
      </c>
    </row>
    <row r="52" spans="3:6" x14ac:dyDescent="0.25">
      <c r="C52" s="6" t="s">
        <v>540</v>
      </c>
      <c r="F52" s="60"/>
    </row>
    <row r="53" spans="3:6" x14ac:dyDescent="0.25">
      <c r="C53" t="s">
        <v>541</v>
      </c>
    </row>
    <row r="54" spans="3:6" x14ac:dyDescent="0.25">
      <c r="C54" s="6" t="s">
        <v>711</v>
      </c>
    </row>
    <row r="55" spans="3:6" x14ac:dyDescent="0.25">
      <c r="C55" t="s">
        <v>710</v>
      </c>
    </row>
  </sheetData>
  <pageMargins left="0.7" right="0.7" top="0.75" bottom="0.75" header="0.3" footer="0.3"/>
  <pageSetup scale="75" orientation="portrait" horizontalDpi="0" verticalDpi="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workbookViewId="0">
      <selection activeCell="L36" sqref="L36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7" customWidth="1"/>
    <col min="5" max="5" width="16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6.125" customWidth="1"/>
  </cols>
  <sheetData>
    <row r="1" spans="1:10" x14ac:dyDescent="0.25">
      <c r="A1" t="str">
        <f>CL_wRR!A1</f>
        <v>Utilities, Inc. of Florida</v>
      </c>
      <c r="H1" s="10"/>
      <c r="I1" s="10"/>
      <c r="J1" s="33" t="str">
        <f>ExhDR_14_SEM!$E$1</f>
        <v>Docket No. 160101-WS</v>
      </c>
    </row>
    <row r="2" spans="1:10" x14ac:dyDescent="0.25">
      <c r="A2" t="s">
        <v>165</v>
      </c>
      <c r="H2" s="10"/>
      <c r="I2" s="10"/>
      <c r="J2" s="33" t="str">
        <f>ExhDR_14_SEM!$E$2</f>
        <v>Exhibit DMR-14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ExhDR_14_SEM!$E$3</f>
        <v>Seminole County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82</v>
      </c>
      <c r="J4" s="33" t="str">
        <f>ExhDR_14_SEM!$E$4</f>
        <v>of 11</v>
      </c>
    </row>
    <row r="5" spans="1:10" x14ac:dyDescent="0.25">
      <c r="A5" s="27" t="s">
        <v>74</v>
      </c>
      <c r="B5" s="10"/>
      <c r="C5" s="10"/>
      <c r="D5" s="10"/>
      <c r="E5" s="10"/>
      <c r="F5" s="10"/>
      <c r="G5" s="10"/>
      <c r="H5" s="10"/>
      <c r="I5" s="10"/>
      <c r="J5" s="35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  <c r="J6" s="35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  <c r="J7" s="10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  <c r="J8" s="10"/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  <c r="J9" s="10"/>
    </row>
    <row r="10" spans="1:10" x14ac:dyDescent="0.25">
      <c r="A10" s="10"/>
      <c r="B10" s="10"/>
      <c r="C10" s="10"/>
      <c r="D10" s="10"/>
      <c r="E10" s="43" t="s">
        <v>24</v>
      </c>
      <c r="F10" s="10"/>
      <c r="G10" s="43" t="s">
        <v>25</v>
      </c>
      <c r="H10" s="10"/>
      <c r="I10" s="43" t="s">
        <v>26</v>
      </c>
      <c r="J10" s="10"/>
    </row>
    <row r="11" spans="1:10" x14ac:dyDescent="0.25">
      <c r="A11" s="10"/>
      <c r="B11" s="10"/>
      <c r="C11" s="10"/>
      <c r="D11" s="10"/>
      <c r="E11" s="43"/>
      <c r="F11" s="10"/>
      <c r="G11" s="43"/>
      <c r="H11" s="10"/>
      <c r="I11" s="43"/>
      <c r="J11" s="10"/>
    </row>
    <row r="12" spans="1:10" x14ac:dyDescent="0.25">
      <c r="A12" s="10">
        <v>1</v>
      </c>
      <c r="B12" s="10"/>
      <c r="C12" s="11" t="s">
        <v>33</v>
      </c>
      <c r="D12" s="10"/>
      <c r="E12" s="10">
        <v>8037351</v>
      </c>
      <c r="F12" s="10"/>
      <c r="G12" s="10">
        <f>SEM_RBadj!G17</f>
        <v>5947030</v>
      </c>
      <c r="H12" s="10"/>
      <c r="I12" s="10">
        <f>SUM(E12:G12)</f>
        <v>13984381</v>
      </c>
      <c r="J12" s="10"/>
    </row>
    <row r="13" spans="1:10" x14ac:dyDescent="0.25">
      <c r="A13" s="10">
        <v>2</v>
      </c>
      <c r="B13" s="10"/>
      <c r="C13" s="11" t="s">
        <v>34</v>
      </c>
      <c r="D13" s="10"/>
      <c r="E13" s="10">
        <v>-788</v>
      </c>
      <c r="F13" s="10"/>
      <c r="G13" s="10"/>
      <c r="H13" s="10"/>
      <c r="I13" s="10">
        <f t="shared" ref="I13:I22" si="0">SUM(E13:G13)</f>
        <v>-788</v>
      </c>
      <c r="J13" s="10"/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  <c r="J14" s="10"/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  <c r="J15" s="10"/>
    </row>
    <row r="16" spans="1:10" x14ac:dyDescent="0.25">
      <c r="A16" s="10">
        <v>5</v>
      </c>
      <c r="B16" s="10"/>
      <c r="C16" s="11" t="s">
        <v>37</v>
      </c>
      <c r="D16" s="10"/>
      <c r="E16" s="27">
        <v>5475112</v>
      </c>
      <c r="F16" s="10"/>
      <c r="G16" s="10">
        <f>-SEM_RBadj!G29</f>
        <v>-7078765</v>
      </c>
      <c r="H16" s="10"/>
      <c r="I16" s="10">
        <f t="shared" si="0"/>
        <v>-1603653</v>
      </c>
      <c r="J16" s="10"/>
    </row>
    <row r="17" spans="1:10" x14ac:dyDescent="0.25">
      <c r="A17" s="10">
        <v>6</v>
      </c>
      <c r="B17" s="10"/>
      <c r="C17" s="11" t="s">
        <v>38</v>
      </c>
      <c r="D17" s="10"/>
      <c r="E17" s="10">
        <v>-1088378</v>
      </c>
      <c r="F17" s="10"/>
      <c r="G17" s="10">
        <f>-SEM_RBadj!G33</f>
        <v>158502</v>
      </c>
      <c r="H17" s="10"/>
      <c r="I17" s="10">
        <f t="shared" si="0"/>
        <v>-929876</v>
      </c>
      <c r="J17" s="10"/>
    </row>
    <row r="18" spans="1:10" x14ac:dyDescent="0.25">
      <c r="A18" s="10">
        <v>7</v>
      </c>
      <c r="B18" s="10"/>
      <c r="C18" s="11" t="s">
        <v>39</v>
      </c>
      <c r="D18" s="10"/>
      <c r="E18" s="10">
        <v>1010698</v>
      </c>
      <c r="F18" s="10"/>
      <c r="G18" s="10">
        <f>SEM_RBadj!G37</f>
        <v>-177314</v>
      </c>
      <c r="H18" s="10"/>
      <c r="I18" s="10">
        <f t="shared" si="0"/>
        <v>833384</v>
      </c>
      <c r="J18" s="10"/>
    </row>
    <row r="19" spans="1:10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  <c r="J19" s="10"/>
    </row>
    <row r="20" spans="1:10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  <c r="J20" s="10"/>
    </row>
    <row r="21" spans="1:10" x14ac:dyDescent="0.25">
      <c r="A21" s="10">
        <v>10</v>
      </c>
      <c r="B21" s="10"/>
      <c r="C21" s="27" t="s">
        <v>135</v>
      </c>
      <c r="D21" s="10"/>
      <c r="E21" s="27">
        <v>644</v>
      </c>
      <c r="F21" s="10"/>
      <c r="G21" s="10"/>
      <c r="H21" s="10"/>
      <c r="I21" s="10">
        <f t="shared" si="0"/>
        <v>644</v>
      </c>
      <c r="J21" s="10"/>
    </row>
    <row r="22" spans="1:10" x14ac:dyDescent="0.25">
      <c r="A22" s="62">
        <v>11</v>
      </c>
      <c r="B22" s="10"/>
      <c r="C22" s="11" t="s">
        <v>40</v>
      </c>
      <c r="D22" s="10"/>
      <c r="E22" s="28">
        <v>77955</v>
      </c>
      <c r="F22" s="10"/>
      <c r="G22" s="17">
        <f>SEM_RBadj!G41</f>
        <v>0</v>
      </c>
      <c r="H22" s="10"/>
      <c r="I22" s="17">
        <f t="shared" si="0"/>
        <v>77955</v>
      </c>
      <c r="J22" s="10"/>
    </row>
    <row r="23" spans="1:10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 ht="16.5" thickBot="1" x14ac:dyDescent="0.3">
      <c r="A24" s="10">
        <v>12</v>
      </c>
      <c r="B24" s="10"/>
      <c r="C24" s="11" t="s">
        <v>41</v>
      </c>
      <c r="D24" s="10"/>
      <c r="E24" s="18">
        <f>SUM(E12:E22)</f>
        <v>13512594</v>
      </c>
      <c r="F24" s="10"/>
      <c r="G24" s="18">
        <f>SUM(G12:G22)</f>
        <v>-1150547</v>
      </c>
      <c r="H24" s="10"/>
      <c r="I24" s="18">
        <f>SUM(I12:I23)</f>
        <v>12362047</v>
      </c>
      <c r="J24" s="10"/>
    </row>
    <row r="25" spans="1:10" ht="16.5" thickTop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0" ht="18" x14ac:dyDescent="0.4">
      <c r="A26" s="10"/>
      <c r="B26" s="10"/>
      <c r="C26" s="12" t="s">
        <v>50</v>
      </c>
      <c r="D26" s="10"/>
      <c r="E26" s="10"/>
      <c r="F26" s="10"/>
      <c r="G26" s="10"/>
      <c r="H26" s="10"/>
      <c r="I26" s="10"/>
      <c r="J26" s="10"/>
    </row>
    <row r="27" spans="1:10" x14ac:dyDescent="0.25">
      <c r="A27" s="10"/>
      <c r="B27" s="10"/>
      <c r="C27" s="45" t="s">
        <v>103</v>
      </c>
      <c r="D27" s="10"/>
      <c r="E27" s="10"/>
      <c r="F27" s="10"/>
      <c r="G27" s="10"/>
      <c r="H27" s="10"/>
      <c r="I27" s="10"/>
      <c r="J27" s="10"/>
    </row>
    <row r="28" spans="1:10" x14ac:dyDescent="0.25">
      <c r="A28" s="10"/>
      <c r="B28" s="10"/>
      <c r="C28" s="27" t="s">
        <v>104</v>
      </c>
      <c r="D28" s="10"/>
      <c r="E28" s="10"/>
      <c r="F28" s="10"/>
      <c r="G28" s="10"/>
      <c r="H28" s="10"/>
      <c r="I28" s="10"/>
      <c r="J28" s="10"/>
    </row>
  </sheetData>
  <pageMargins left="0.7" right="0.7" top="0.75" bottom="0.75" header="0.3" footer="0.3"/>
  <pageSetup scale="91" orientation="portrait" horizontalDpi="0" verticalDpi="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G16" sqref="G16"/>
    </sheetView>
  </sheetViews>
  <sheetFormatPr defaultRowHeight="15.75" x14ac:dyDescent="0.25"/>
  <cols>
    <col min="1" max="1" width="4.625" customWidth="1"/>
    <col min="2" max="2" width="1.375" customWidth="1"/>
    <col min="3" max="3" width="32" customWidth="1"/>
    <col min="4" max="4" width="7" customWidth="1"/>
    <col min="5" max="5" width="16" customWidth="1"/>
    <col min="6" max="6" width="1.75" customWidth="1"/>
    <col min="7" max="7" width="12.375" customWidth="1"/>
    <col min="8" max="8" width="2.5" customWidth="1"/>
    <col min="9" max="9" width="11.125" customWidth="1"/>
    <col min="10" max="10" width="6" customWidth="1"/>
  </cols>
  <sheetData>
    <row r="1" spans="1:10" x14ac:dyDescent="0.25">
      <c r="A1" t="str">
        <f>CL_wRR!A1</f>
        <v>Utilities, Inc. of Florida</v>
      </c>
      <c r="H1" s="10"/>
      <c r="J1" s="33" t="str">
        <f>ExhDR_14_SEM!$E$1</f>
        <v>Docket No. 160101-WS</v>
      </c>
    </row>
    <row r="2" spans="1:10" x14ac:dyDescent="0.25">
      <c r="A2" t="s">
        <v>165</v>
      </c>
      <c r="H2" s="10"/>
      <c r="I2" s="10"/>
      <c r="J2" s="33" t="str">
        <f>ExhDR_14_SEM!$E$2</f>
        <v>Exhibit DMR-14</v>
      </c>
    </row>
    <row r="3" spans="1:10" x14ac:dyDescent="0.25">
      <c r="A3" t="str">
        <f>CL_wRR!A3</f>
        <v>Test Year Ended December 31, 2015</v>
      </c>
      <c r="H3" s="10"/>
      <c r="I3" s="10"/>
      <c r="J3" s="33" t="str">
        <f>ExhDR_14_SEM!$E$3</f>
        <v>Seminole County Revenue Requirement</v>
      </c>
    </row>
    <row r="4" spans="1:10" x14ac:dyDescent="0.25">
      <c r="B4" s="10"/>
      <c r="C4" s="10"/>
      <c r="D4" s="10"/>
      <c r="E4" s="10"/>
      <c r="F4" s="10"/>
      <c r="G4" s="11"/>
      <c r="H4" s="10"/>
      <c r="I4" s="36" t="s">
        <v>83</v>
      </c>
      <c r="J4" s="33" t="str">
        <f>ExhDR_14_SEM!$E$4</f>
        <v>of 11</v>
      </c>
    </row>
    <row r="5" spans="1:10" x14ac:dyDescent="0.25">
      <c r="A5" s="27" t="s">
        <v>78</v>
      </c>
      <c r="B5" s="10"/>
      <c r="C5" s="10"/>
      <c r="D5" s="10"/>
      <c r="E5" s="10"/>
      <c r="F5" s="10"/>
      <c r="G5" s="10"/>
      <c r="H5" s="10"/>
      <c r="I5" s="10"/>
      <c r="J5" s="33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25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25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8" x14ac:dyDescent="0.4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8" x14ac:dyDescent="0.4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25">
      <c r="A12" s="10">
        <v>1</v>
      </c>
      <c r="B12" s="10"/>
      <c r="C12" s="11" t="s">
        <v>33</v>
      </c>
      <c r="D12" s="10"/>
      <c r="E12" s="10">
        <v>2351588</v>
      </c>
      <c r="F12" s="10"/>
      <c r="G12" s="10">
        <f>SEM_RBadj!I17</f>
        <v>1201555</v>
      </c>
      <c r="H12" s="10"/>
      <c r="I12" s="10">
        <f>SUM(E12:G12)</f>
        <v>3553143</v>
      </c>
    </row>
    <row r="13" spans="1:10" x14ac:dyDescent="0.25">
      <c r="A13" s="10">
        <v>2</v>
      </c>
      <c r="B13" s="10"/>
      <c r="C13" s="11" t="s">
        <v>34</v>
      </c>
      <c r="D13" s="10"/>
      <c r="E13" s="10">
        <v>1295</v>
      </c>
      <c r="F13" s="10"/>
      <c r="G13" s="10"/>
      <c r="H13" s="10"/>
      <c r="I13" s="10">
        <f t="shared" ref="I13:I21" si="0">SUM(E13:G13)</f>
        <v>1295</v>
      </c>
    </row>
    <row r="14" spans="1:10" x14ac:dyDescent="0.25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</row>
    <row r="15" spans="1:10" x14ac:dyDescent="0.25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25">
      <c r="A16" s="10">
        <v>5</v>
      </c>
      <c r="B16" s="10"/>
      <c r="C16" s="11" t="s">
        <v>37</v>
      </c>
      <c r="D16" s="10"/>
      <c r="E16" s="27">
        <v>-134349</v>
      </c>
      <c r="F16" s="10"/>
      <c r="G16" s="10">
        <f>-SEM_RBadj!I29</f>
        <v>-1243868</v>
      </c>
      <c r="H16" s="10"/>
      <c r="I16" s="10">
        <f t="shared" si="0"/>
        <v>-1378217</v>
      </c>
    </row>
    <row r="17" spans="1:9" x14ac:dyDescent="0.25">
      <c r="A17" s="10">
        <v>6</v>
      </c>
      <c r="B17" s="10"/>
      <c r="C17" s="11" t="s">
        <v>38</v>
      </c>
      <c r="D17" s="10"/>
      <c r="E17" s="10">
        <v>-1043254</v>
      </c>
      <c r="F17" s="10"/>
      <c r="G17" s="10">
        <f>-SEM_RBadj!I33</f>
        <v>226651</v>
      </c>
      <c r="H17" s="10"/>
      <c r="I17" s="10">
        <f t="shared" si="0"/>
        <v>-816603</v>
      </c>
    </row>
    <row r="18" spans="1:9" x14ac:dyDescent="0.25">
      <c r="A18" s="10">
        <v>7</v>
      </c>
      <c r="B18" s="10"/>
      <c r="C18" s="11" t="s">
        <v>39</v>
      </c>
      <c r="D18" s="10"/>
      <c r="E18" s="10">
        <v>633143</v>
      </c>
      <c r="F18" s="10"/>
      <c r="G18" s="10">
        <f>SEM_RBadj!I37</f>
        <v>21410</v>
      </c>
      <c r="H18" s="10"/>
      <c r="I18" s="10">
        <f t="shared" si="0"/>
        <v>654553</v>
      </c>
    </row>
    <row r="19" spans="1:9" x14ac:dyDescent="0.25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25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25">
      <c r="A21" s="10">
        <v>10</v>
      </c>
      <c r="B21" s="10"/>
      <c r="C21" s="11" t="s">
        <v>40</v>
      </c>
      <c r="D21" s="10"/>
      <c r="E21" s="28">
        <v>42392</v>
      </c>
      <c r="F21" s="10"/>
      <c r="G21" s="17">
        <f>SEM_RBadj!I41</f>
        <v>0</v>
      </c>
      <c r="H21" s="10"/>
      <c r="I21" s="17">
        <f t="shared" si="0"/>
        <v>42392</v>
      </c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5" thickBot="1" x14ac:dyDescent="0.3">
      <c r="A23" s="10">
        <v>11</v>
      </c>
      <c r="B23" s="10"/>
      <c r="C23" s="11" t="s">
        <v>41</v>
      </c>
      <c r="D23" s="10"/>
      <c r="E23" s="18">
        <f>SUM(E12:E21)</f>
        <v>1850815</v>
      </c>
      <c r="F23" s="10"/>
      <c r="G23" s="18">
        <f>SUM(G12:G21)</f>
        <v>205748</v>
      </c>
      <c r="H23" s="10"/>
      <c r="I23" s="18">
        <f>SUM(I12:I22)</f>
        <v>2056563</v>
      </c>
    </row>
    <row r="24" spans="1:9" ht="16.5" thickTop="1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8" x14ac:dyDescent="0.4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25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27" t="s">
        <v>104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139</vt:i4>
      </vt:variant>
    </vt:vector>
  </HeadingPairs>
  <TitlesOfParts>
    <vt:vector size="139" baseType="lpstr">
      <vt:lpstr>ExhDR2</vt:lpstr>
      <vt:lpstr>ExhDR3_CL_TOC</vt:lpstr>
      <vt:lpstr>CL_wRR</vt:lpstr>
      <vt:lpstr>CL_wwRR</vt:lpstr>
      <vt:lpstr>CL_NOIadj</vt:lpstr>
      <vt:lpstr>CL_wRB</vt:lpstr>
      <vt:lpstr>CL_wwRB</vt:lpstr>
      <vt:lpstr>CL_RBadj</vt:lpstr>
      <vt:lpstr>CL_ROR</vt:lpstr>
      <vt:lpstr>ExhDR4_ER_TOC</vt:lpstr>
      <vt:lpstr>ER_wwRR</vt:lpstr>
      <vt:lpstr>ER_NOIadj</vt:lpstr>
      <vt:lpstr>ER_wwRB</vt:lpstr>
      <vt:lpstr>ER_RBadj</vt:lpstr>
      <vt:lpstr>ER_ROR</vt:lpstr>
      <vt:lpstr>ER_Plant</vt:lpstr>
      <vt:lpstr>ExhDR5_LAB_TOC</vt:lpstr>
      <vt:lpstr>LABwRR</vt:lpstr>
      <vt:lpstr>LABwwRR</vt:lpstr>
      <vt:lpstr>LAB_NOIadj</vt:lpstr>
      <vt:lpstr>LAB_wRB</vt:lpstr>
      <vt:lpstr>LAB_wwRB</vt:lpstr>
      <vt:lpstr>LAB_RBadj</vt:lpstr>
      <vt:lpstr>LAB_ROR</vt:lpstr>
      <vt:lpstr>LAB_UandU</vt:lpstr>
      <vt:lpstr>ExhDR6_LP_TOC</vt:lpstr>
      <vt:lpstr>LP_wRR</vt:lpstr>
      <vt:lpstr>LP_wwRR</vt:lpstr>
      <vt:lpstr>LP_NOIadj</vt:lpstr>
      <vt:lpstr>LP_wRB</vt:lpstr>
      <vt:lpstr>LP_wwRB</vt:lpstr>
      <vt:lpstr>LP_RBadj</vt:lpstr>
      <vt:lpstr>LP_ROR</vt:lpstr>
      <vt:lpstr>LP_UandU</vt:lpstr>
      <vt:lpstr>ExhDR7_LW_TOC</vt:lpstr>
      <vt:lpstr>LW_wwRR</vt:lpstr>
      <vt:lpstr>LW_NOIadj</vt:lpstr>
      <vt:lpstr>LW_wwRB</vt:lpstr>
      <vt:lpstr>LW_RBadj</vt:lpstr>
      <vt:lpstr>LW_ROR</vt:lpstr>
      <vt:lpstr>ExhDR8_LUS_TOC</vt:lpstr>
      <vt:lpstr>LUS_wRR</vt:lpstr>
      <vt:lpstr>LUS_wwRR</vt:lpstr>
      <vt:lpstr>LUS_NOIadj</vt:lpstr>
      <vt:lpstr>LUS_wRB</vt:lpstr>
      <vt:lpstr>LUS_wwRB</vt:lpstr>
      <vt:lpstr>LUS_RBadj</vt:lpstr>
      <vt:lpstr>LUS_ROR</vt:lpstr>
      <vt:lpstr>LUS_PlantA</vt:lpstr>
      <vt:lpstr>LUS_PlantB</vt:lpstr>
      <vt:lpstr>LUS_PlantC</vt:lpstr>
      <vt:lpstr>LUS_UandU</vt:lpstr>
      <vt:lpstr>ExhDR9_MC_TOC</vt:lpstr>
      <vt:lpstr>MC_wwRR</vt:lpstr>
      <vt:lpstr>MC_NOIadj</vt:lpstr>
      <vt:lpstr>MC_wwRB</vt:lpstr>
      <vt:lpstr>MC_RBadj</vt:lpstr>
      <vt:lpstr>MC_ROR</vt:lpstr>
      <vt:lpstr>MC_UandU</vt:lpstr>
      <vt:lpstr>MC_PlantA</vt:lpstr>
      <vt:lpstr>MC_PlantB</vt:lpstr>
      <vt:lpstr>ExhDR10_PB</vt:lpstr>
      <vt:lpstr>PB_wRR</vt:lpstr>
      <vt:lpstr>PB_wwRR</vt:lpstr>
      <vt:lpstr>PB_NOIadj</vt:lpstr>
      <vt:lpstr>PB_wRB</vt:lpstr>
      <vt:lpstr>PB_wwRB</vt:lpstr>
      <vt:lpstr>PB_RBadj</vt:lpstr>
      <vt:lpstr>PB_ROR</vt:lpstr>
      <vt:lpstr>ExhDR11_SH</vt:lpstr>
      <vt:lpstr>SH_wwRR</vt:lpstr>
      <vt:lpstr>SH_NOIadj</vt:lpstr>
      <vt:lpstr>SH_wwRB</vt:lpstr>
      <vt:lpstr>SH_RBadj</vt:lpstr>
      <vt:lpstr>SH_ROR</vt:lpstr>
      <vt:lpstr>SH_IandI</vt:lpstr>
      <vt:lpstr>SH_UandU</vt:lpstr>
      <vt:lpstr>SH_Plant</vt:lpstr>
      <vt:lpstr>ExhDR_12_SL</vt:lpstr>
      <vt:lpstr>SL_wRR</vt:lpstr>
      <vt:lpstr>SL_wwRR</vt:lpstr>
      <vt:lpstr>SL_NOIadj</vt:lpstr>
      <vt:lpstr>SL_wRB</vt:lpstr>
      <vt:lpstr>SL_wwRB</vt:lpstr>
      <vt:lpstr>SL_RBadj</vt:lpstr>
      <vt:lpstr>SL_ROR</vt:lpstr>
      <vt:lpstr>SL_Plant</vt:lpstr>
      <vt:lpstr>ExhDR_13_TV</vt:lpstr>
      <vt:lpstr>TV_wwRR</vt:lpstr>
      <vt:lpstr>TV_NOIadj</vt:lpstr>
      <vt:lpstr>TV_wwRB</vt:lpstr>
      <vt:lpstr>TV_RBadj</vt:lpstr>
      <vt:lpstr>TV_ROR</vt:lpstr>
      <vt:lpstr>ExhDR_14_SEM</vt:lpstr>
      <vt:lpstr>SEM_wRR</vt:lpstr>
      <vt:lpstr>SEM_wwRR</vt:lpstr>
      <vt:lpstr>SEM_NOIadj</vt:lpstr>
      <vt:lpstr>SEM_wRB</vt:lpstr>
      <vt:lpstr>SEM_wwRB</vt:lpstr>
      <vt:lpstr>SEM_RBadj</vt:lpstr>
      <vt:lpstr>SEM_ROR</vt:lpstr>
      <vt:lpstr>SEM_RetCap</vt:lpstr>
      <vt:lpstr>SEM_Plant</vt:lpstr>
      <vt:lpstr>SEM_PlantB</vt:lpstr>
      <vt:lpstr>ExhDR_15_OC</vt:lpstr>
      <vt:lpstr>OC_wRR</vt:lpstr>
      <vt:lpstr>OC_NOIadj</vt:lpstr>
      <vt:lpstr>OC_wRB</vt:lpstr>
      <vt:lpstr>OC_RBadj</vt:lpstr>
      <vt:lpstr>OC_ROR</vt:lpstr>
      <vt:lpstr>OC_Plant</vt:lpstr>
      <vt:lpstr>Exh_DR_16_PAS</vt:lpstr>
      <vt:lpstr>PAS_wRR</vt:lpstr>
      <vt:lpstr>PAS_wwRR</vt:lpstr>
      <vt:lpstr>PAS_NOIadj</vt:lpstr>
      <vt:lpstr>PAS_wRB</vt:lpstr>
      <vt:lpstr>PAS_wwRB</vt:lpstr>
      <vt:lpstr>PAS_RBadj</vt:lpstr>
      <vt:lpstr>PAS_ROR</vt:lpstr>
      <vt:lpstr>PAS_PurWtr</vt:lpstr>
      <vt:lpstr>PAS_Decom</vt:lpstr>
      <vt:lpstr>Exh_DR_17_PIN</vt:lpstr>
      <vt:lpstr>PIN_wRR</vt:lpstr>
      <vt:lpstr>PIN_NOIadj</vt:lpstr>
      <vt:lpstr>PIN_wRB</vt:lpstr>
      <vt:lpstr>PIN_RBadj</vt:lpstr>
      <vt:lpstr>PIN_ROR</vt:lpstr>
      <vt:lpstr>Exh_DR_18_MAR</vt:lpstr>
      <vt:lpstr>MAR_wRR</vt:lpstr>
      <vt:lpstr>MAR_wwRR</vt:lpstr>
      <vt:lpstr>MAR_NOIadj</vt:lpstr>
      <vt:lpstr>MAR_wRB</vt:lpstr>
      <vt:lpstr>MAR_wwRB</vt:lpstr>
      <vt:lpstr>MAR_RBadj</vt:lpstr>
      <vt:lpstr>MAR_UandU</vt:lpstr>
      <vt:lpstr>MAR_ROR</vt:lpstr>
      <vt:lpstr>WSC-Ins</vt:lpstr>
      <vt:lpstr>WSCs_Dep</vt:lpstr>
      <vt:lpstr>GIS_Proj</vt:lpstr>
    </vt:vector>
  </TitlesOfParts>
  <Company>Larkin &amp; Associates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DeRonne</dc:creator>
  <cp:lastModifiedBy>Owner</cp:lastModifiedBy>
  <cp:lastPrinted>2017-03-03T07:11:24Z</cp:lastPrinted>
  <dcterms:created xsi:type="dcterms:W3CDTF">2001-07-05T19:35:19Z</dcterms:created>
  <dcterms:modified xsi:type="dcterms:W3CDTF">2017-03-30T16:25:30Z</dcterms:modified>
</cp:coreProperties>
</file>