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TS181FS1\projects\IER\08465\200-08465-16003\SupportDocs\"/>
    </mc:Choice>
  </mc:AlternateContent>
  <bookViews>
    <workbookView xWindow="0" yWindow="0" windowWidth="28800" windowHeight="12045" firstSheet="9" activeTab="1"/>
  </bookViews>
  <sheets>
    <sheet name="Overview" sheetId="19" r:id="rId1"/>
    <sheet name="Revised Exhibits Staff 7th ROGs" sheetId="20" r:id="rId2"/>
    <sheet name="Summary" sheetId="1" r:id="rId3"/>
    <sheet name="PCF 20" sheetId="22" r:id="rId4"/>
    <sheet name="PCF 17" sheetId="21" r:id="rId5"/>
    <sheet name="ATW - 16" sheetId="18" r:id="rId6"/>
    <sheet name="PCF - 31" sheetId="17" r:id="rId7"/>
    <sheet name="Sheet1" sheetId="11" r:id="rId8"/>
    <sheet name="PCF -3" sheetId="2" r:id="rId9"/>
    <sheet name="PCF - 5" sheetId="13" r:id="rId10"/>
    <sheet name="PCF - 7" sheetId="3" r:id="rId11"/>
    <sheet name="PCF - 10 10a" sheetId="4" r:id="rId12"/>
    <sheet name="PCF - 12" sheetId="12" r:id="rId13"/>
    <sheet name="PCF - 14" sheetId="14" r:id="rId14"/>
    <sheet name="PCF 18" sheetId="5" r:id="rId15"/>
    <sheet name="PCF 19" sheetId="15" r:id="rId16"/>
    <sheet name="PCF - 21" sheetId="6" r:id="rId17"/>
    <sheet name="PCF - 23" sheetId="7" r:id="rId18"/>
    <sheet name="PCF - 26" sheetId="8" r:id="rId19"/>
    <sheet name="PCF - 27" sheetId="9" r:id="rId20"/>
    <sheet name="PCF - 30" sheetId="16" r:id="rId21"/>
    <sheet name="PCF - 36" sheetId="10" r:id="rId22"/>
  </sheets>
  <definedNames>
    <definedName name="_xlnm.Print_Area" localSheetId="2">Summary!$A$1:$I$50</definedName>
    <definedName name="_xlnm.Print_Titles" localSheetId="2">Summary!$1:$5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9" l="1"/>
  <c r="G7" i="20"/>
  <c r="D7" i="22"/>
  <c r="G6" i="20"/>
  <c r="D14" i="21"/>
  <c r="D13" i="21"/>
  <c r="D11" i="21"/>
  <c r="C20" i="2" l="1"/>
  <c r="I17" i="1"/>
  <c r="I21" i="1"/>
  <c r="I44" i="1"/>
  <c r="I43" i="1"/>
  <c r="K57" i="1" s="1"/>
  <c r="I45" i="1"/>
  <c r="I47" i="1"/>
  <c r="I48" i="1"/>
  <c r="I49" i="1"/>
  <c r="I51" i="1"/>
  <c r="F57" i="1" l="1"/>
  <c r="D48" i="19"/>
  <c r="C48" i="19"/>
  <c r="A48" i="19"/>
  <c r="E14" i="15" l="1"/>
  <c r="D14" i="15"/>
  <c r="C14" i="15"/>
  <c r="C35" i="2" l="1"/>
  <c r="C34" i="2"/>
  <c r="C33" i="2"/>
  <c r="F31" i="4"/>
  <c r="D31" i="4"/>
  <c r="C31" i="4"/>
  <c r="B31" i="4"/>
  <c r="C49" i="19" l="1"/>
  <c r="A49" i="19"/>
  <c r="D40" i="19"/>
  <c r="D37" i="19"/>
  <c r="D34" i="19"/>
  <c r="D33" i="19"/>
  <c r="D31" i="19"/>
  <c r="D28" i="19"/>
  <c r="D27" i="19"/>
  <c r="D26" i="19"/>
  <c r="D25" i="19"/>
  <c r="D24" i="19"/>
  <c r="D18" i="19"/>
  <c r="D17" i="19"/>
  <c r="D14" i="19"/>
  <c r="D13" i="19"/>
  <c r="D12" i="19"/>
  <c r="D10" i="19"/>
  <c r="D8" i="19"/>
  <c r="D6" i="19"/>
  <c r="D5" i="19"/>
  <c r="D4" i="19"/>
  <c r="D47" i="19"/>
  <c r="C47" i="19"/>
  <c r="B47" i="19"/>
  <c r="A47" i="19"/>
  <c r="D46" i="19"/>
  <c r="C46" i="19"/>
  <c r="B46" i="19"/>
  <c r="A46" i="19"/>
  <c r="D45" i="19"/>
  <c r="C45" i="19"/>
  <c r="B45" i="19"/>
  <c r="A45" i="19"/>
  <c r="D44" i="19"/>
  <c r="C44" i="19"/>
  <c r="B44" i="19"/>
  <c r="A44" i="19"/>
  <c r="D43" i="19"/>
  <c r="C43" i="19"/>
  <c r="B43" i="19"/>
  <c r="A43" i="19"/>
  <c r="D42" i="19"/>
  <c r="C42" i="19"/>
  <c r="B42" i="19"/>
  <c r="A42" i="19"/>
  <c r="D41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C23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C16" i="19"/>
  <c r="B16" i="19"/>
  <c r="A16" i="19"/>
  <c r="C15" i="19"/>
  <c r="B15" i="19"/>
  <c r="A15" i="19"/>
  <c r="C14" i="19"/>
  <c r="B14" i="19"/>
  <c r="A14" i="19"/>
  <c r="C13" i="19"/>
  <c r="B13" i="19"/>
  <c r="A13" i="19"/>
  <c r="C12" i="19"/>
  <c r="B12" i="19"/>
  <c r="A12" i="19"/>
  <c r="C11" i="19"/>
  <c r="B11" i="19"/>
  <c r="A11" i="19"/>
  <c r="C10" i="19"/>
  <c r="B10" i="19"/>
  <c r="A10" i="19"/>
  <c r="C9" i="19"/>
  <c r="B9" i="19"/>
  <c r="A9" i="19"/>
  <c r="C8" i="19"/>
  <c r="B8" i="19"/>
  <c r="A8" i="19"/>
  <c r="C7" i="19"/>
  <c r="B7" i="19"/>
  <c r="A7" i="19"/>
  <c r="C6" i="19"/>
  <c r="B6" i="19"/>
  <c r="A6" i="19"/>
  <c r="C5" i="19"/>
  <c r="B5" i="19"/>
  <c r="A5" i="19"/>
  <c r="C4" i="19"/>
  <c r="B4" i="19"/>
  <c r="A4" i="19"/>
  <c r="C3" i="19"/>
  <c r="B3" i="19"/>
  <c r="A3" i="19"/>
  <c r="F59" i="1"/>
  <c r="F56" i="1"/>
  <c r="D53" i="1"/>
  <c r="E14" i="18"/>
  <c r="D49" i="19" s="1"/>
  <c r="D14" i="18"/>
  <c r="C14" i="18"/>
  <c r="A14" i="18"/>
  <c r="D13" i="18"/>
  <c r="C13" i="18"/>
  <c r="B13" i="18"/>
  <c r="A13" i="18"/>
  <c r="E4" i="18"/>
  <c r="D4" i="18"/>
  <c r="C4" i="18"/>
  <c r="B4" i="18"/>
  <c r="A4" i="18"/>
  <c r="D12" i="18"/>
  <c r="C12" i="18"/>
  <c r="B12" i="18"/>
  <c r="A12" i="18"/>
  <c r="D11" i="18"/>
  <c r="C11" i="18"/>
  <c r="B11" i="18"/>
  <c r="A11" i="18"/>
  <c r="E10" i="18"/>
  <c r="D10" i="18"/>
  <c r="C10" i="18"/>
  <c r="B10" i="18"/>
  <c r="A10" i="18"/>
  <c r="D9" i="18"/>
  <c r="C9" i="18"/>
  <c r="B9" i="18"/>
  <c r="A9" i="18"/>
  <c r="D8" i="18"/>
  <c r="C8" i="18"/>
  <c r="B8" i="18"/>
  <c r="A8" i="18"/>
  <c r="D7" i="18"/>
  <c r="C7" i="18"/>
  <c r="B7" i="18"/>
  <c r="A7" i="18"/>
  <c r="D6" i="18"/>
  <c r="C6" i="18"/>
  <c r="B6" i="18"/>
  <c r="A6" i="18"/>
  <c r="E5" i="18"/>
  <c r="D7" i="19" s="1"/>
  <c r="D5" i="18"/>
  <c r="C5" i="18"/>
  <c r="B5" i="18"/>
  <c r="A5" i="18"/>
  <c r="E3" i="18"/>
  <c r="D3" i="19" s="1"/>
  <c r="D3" i="18"/>
  <c r="C3" i="18"/>
  <c r="B3" i="18"/>
  <c r="A3" i="18"/>
  <c r="I30" i="1"/>
  <c r="C14" i="17"/>
  <c r="D16" i="18" l="1"/>
  <c r="F58" i="1" s="1"/>
  <c r="I35" i="1"/>
  <c r="E11" i="18" s="1"/>
  <c r="D32" i="19" s="1"/>
  <c r="C25" i="16"/>
  <c r="C24" i="16"/>
  <c r="C18" i="16"/>
  <c r="B15" i="16"/>
  <c r="C7" i="6" l="1"/>
  <c r="C6" i="15"/>
  <c r="I24" i="1" s="1"/>
  <c r="E8" i="18" s="1"/>
  <c r="D21" i="19" s="1"/>
  <c r="C30" i="2"/>
  <c r="C9" i="2"/>
  <c r="E30" i="4" l="1"/>
  <c r="D30" i="4"/>
  <c r="C30" i="4"/>
  <c r="B30" i="4"/>
  <c r="D26" i="4"/>
  <c r="C26" i="4"/>
  <c r="B26" i="4"/>
  <c r="E25" i="4"/>
  <c r="D25" i="4"/>
  <c r="C25" i="4"/>
  <c r="B25" i="4"/>
  <c r="D23" i="11" l="1"/>
  <c r="I37" i="1"/>
  <c r="I34" i="1"/>
  <c r="I46" i="1" l="1"/>
  <c r="C8" i="10"/>
  <c r="I41" i="1" s="1"/>
  <c r="E12" i="18" s="1"/>
  <c r="D38" i="19" s="1"/>
  <c r="I31" i="1"/>
  <c r="C5" i="8"/>
  <c r="I28" i="1"/>
  <c r="C6" i="7"/>
  <c r="I26" i="1"/>
  <c r="E9" i="18" s="1"/>
  <c r="D23" i="19" s="1"/>
  <c r="I23" i="1"/>
  <c r="E7" i="18" s="1"/>
  <c r="D20" i="19" s="1"/>
  <c r="C6" i="5"/>
  <c r="C6" i="4"/>
  <c r="I15" i="1" s="1"/>
  <c r="I12" i="1"/>
  <c r="E6" i="18" s="1"/>
  <c r="D9" i="19" s="1"/>
  <c r="C32" i="3"/>
  <c r="E16" i="18" l="1"/>
  <c r="G58" i="1" s="1"/>
  <c r="H58" i="1" s="1"/>
  <c r="F61" i="1" s="1"/>
  <c r="I36" i="1"/>
  <c r="I29" i="1"/>
  <c r="I27" i="1"/>
  <c r="I20" i="1"/>
  <c r="I13" i="1"/>
  <c r="I11" i="1"/>
  <c r="I9" i="1"/>
  <c r="I7" i="1"/>
</calcChain>
</file>

<file path=xl/sharedStrings.xml><?xml version="1.0" encoding="utf-8"?>
<sst xmlns="http://schemas.openxmlformats.org/spreadsheetml/2006/main" count="650" uniqueCount="397">
  <si>
    <t>System</t>
  </si>
  <si>
    <t>Project</t>
  </si>
  <si>
    <t>Amount</t>
  </si>
  <si>
    <t>Status</t>
  </si>
  <si>
    <t>Notes</t>
  </si>
  <si>
    <t>Cypress Lakes</t>
  </si>
  <si>
    <t>Hydro Tank Replacement</t>
  </si>
  <si>
    <t>Sediment Removal from WWTP</t>
  </si>
  <si>
    <t>WWTP EQ tank and headworks</t>
  </si>
  <si>
    <t>Eagle Ridge</t>
  </si>
  <si>
    <t>Date Complete</t>
  </si>
  <si>
    <t>Not bid</t>
  </si>
  <si>
    <t>Sept. 2016</t>
  </si>
  <si>
    <t>Bid received;</t>
  </si>
  <si>
    <t>Sept. 2017</t>
  </si>
  <si>
    <t>CAPITAL PROJECTS</t>
  </si>
  <si>
    <t>UPDATED PER PCF REVISED TESTIMONY</t>
  </si>
  <si>
    <t>Labrador</t>
  </si>
  <si>
    <t>WWTP Sediment Removal</t>
  </si>
  <si>
    <t>Difficult to tell from documentation</t>
  </si>
  <si>
    <t>check on if it is done and final amounts; is sediment removal a capital item?</t>
  </si>
  <si>
    <t>LUSI</t>
  </si>
  <si>
    <t>Sludge Dewatering Equipment</t>
  </si>
  <si>
    <t>Dec. 2016</t>
  </si>
  <si>
    <t>Done</t>
  </si>
  <si>
    <t>check on if it is done and final amounts;</t>
  </si>
  <si>
    <t>Oswalt Road WM Relocation</t>
  </si>
  <si>
    <t>Supported by bid forms and pay requests</t>
  </si>
  <si>
    <t>Feb. 2017</t>
  </si>
  <si>
    <t>SCADA</t>
  </si>
  <si>
    <t>Jul. 2016</t>
  </si>
  <si>
    <t>TTHM &amp; HAA5 Study</t>
  </si>
  <si>
    <t>Ask for copies of Study</t>
  </si>
  <si>
    <t>Engineering TTHM &amp; HAA5 Remediation - Engineering design and permitting</t>
  </si>
  <si>
    <t>not done</t>
  </si>
  <si>
    <t>marked held for future use in revised PCF 9</t>
  </si>
  <si>
    <t>Seems high for just engineering services</t>
  </si>
  <si>
    <t>???</t>
  </si>
  <si>
    <t>US 27 Utility relocations; 8650 ft 16" and 2800 ft 12"</t>
  </si>
  <si>
    <t>Jun. 2017</t>
  </si>
  <si>
    <t>Bids received; const. on-going</t>
  </si>
  <si>
    <t>Seems well documented verify construction during site visit</t>
  </si>
  <si>
    <t>Longwood</t>
  </si>
  <si>
    <t>Church Ave Utility Reloc.</t>
  </si>
  <si>
    <t>agmt signed 8/2016</t>
  </si>
  <si>
    <t>may be under construction; no pay requests provided</t>
  </si>
  <si>
    <t>Find out status; ask for pay requests; cost seems reasonable</t>
  </si>
  <si>
    <t>I&amp;I study</t>
  </si>
  <si>
    <t>Nov. 2016</t>
  </si>
  <si>
    <t>not sure if done</t>
  </si>
  <si>
    <t>no bid info; double check on cost</t>
  </si>
  <si>
    <t>I&amp;I Remdiation</t>
  </si>
  <si>
    <t>NO PCF-13 PROVIDED IN REVISED EXHIBITS</t>
  </si>
  <si>
    <t>Mid-County</t>
  </si>
  <si>
    <t>Electical Improvements and Generator</t>
  </si>
  <si>
    <t>Looks like it's in the design phase</t>
  </si>
  <si>
    <t>APG provide on-site RPR services, two days a week. Is that necessary? Looks like also preliminary quote from APG electric on the drawings. Project sheet shows const. TBD and other costs at 140k</t>
  </si>
  <si>
    <t>Methonal Pumps and Nutrient Analyzer</t>
  </si>
  <si>
    <t>Field Office</t>
  </si>
  <si>
    <t>price seems reasonable</t>
  </si>
  <si>
    <t>Jun. 2016</t>
  </si>
  <si>
    <t>Flow Study ( I&amp;I)</t>
  </si>
  <si>
    <t>Ask for copies of Study; Mid County does not have excess I&amp;I by U&amp;U standards</t>
  </si>
  <si>
    <t>Excess I&amp;I Remediation</t>
  </si>
  <si>
    <t>marked held for future use in revised PCF 17</t>
  </si>
  <si>
    <t>Nov. 2016 from exhbit PCF 18</t>
  </si>
  <si>
    <t>appears to be done</t>
  </si>
  <si>
    <t>review during site inspections</t>
  </si>
  <si>
    <t>US Hwy 19 Relocation; 525 ft 6" FM and 190 ft 8" GM</t>
  </si>
  <si>
    <t>Jul. 2017</t>
  </si>
  <si>
    <t>not done?</t>
  </si>
  <si>
    <t>Pennbrooke</t>
  </si>
  <si>
    <t>WTP Electrical Imp.</t>
  </si>
  <si>
    <t>held for future use</t>
  </si>
  <si>
    <t>Sandalhaven</t>
  </si>
  <si>
    <t>Placida Rd. Utility Relocatio</t>
  </si>
  <si>
    <t>Dec. 2017</t>
  </si>
  <si>
    <t>looks like it's been designed but not constructed</t>
  </si>
  <si>
    <t>ask for supporting info</t>
  </si>
  <si>
    <t>Sanlando</t>
  </si>
  <si>
    <t>Oct. 2016</t>
  </si>
  <si>
    <t>Autumn Dr WM Replacement: 900 ft, 6" pipe</t>
  </si>
  <si>
    <t>not sure if complete</t>
  </si>
  <si>
    <t>ask for status</t>
  </si>
  <si>
    <t>Lift Station RTU Installation</t>
  </si>
  <si>
    <t>lacking documentation</t>
  </si>
  <si>
    <t>Markham Wood Utility Relocates; 240 ft 10" pipe</t>
  </si>
  <si>
    <t>May. 2016</t>
  </si>
  <si>
    <t>done</t>
  </si>
  <si>
    <t>cost reasonable</t>
  </si>
  <si>
    <t>Myrtle Lake Hills WM</t>
  </si>
  <si>
    <t>may have implications for U&amp;U in Sanlando depending on how many have connected. Legal costs legit for capitalization?</t>
  </si>
  <si>
    <t>I&amp;I Study and Remediation</t>
  </si>
  <si>
    <t>not sure</t>
  </si>
  <si>
    <t>Alternatives analysis complete; no design or construction</t>
  </si>
  <si>
    <t>Cost estimate as sufficient to add to rate base? schedule is imprortant</t>
  </si>
  <si>
    <t>Expected Dec. 2017</t>
  </si>
  <si>
    <t>Wekive WWTP Blower Replacement</t>
  </si>
  <si>
    <t>Oct. 2017</t>
  </si>
  <si>
    <t>Well 2A Lift Station A1 electical improvements; generator</t>
  </si>
  <si>
    <t>presumably done</t>
  </si>
  <si>
    <t>pay invoices would be good to ensure project costs; review during inspections</t>
  </si>
  <si>
    <t>Wekive WWTP Rehabilitation</t>
  </si>
  <si>
    <t>cleaning was underway</t>
  </si>
  <si>
    <t>verify low bidder still under contract and able to work. get update on status.</t>
  </si>
  <si>
    <t>Tierra Verde</t>
  </si>
  <si>
    <t>8th Ave Gravity Main Replacement Ph 2; 40 ft VCP</t>
  </si>
  <si>
    <t>Mar. 2016</t>
  </si>
  <si>
    <t>completed</t>
  </si>
  <si>
    <t>UIF - Orange Crescent Hts</t>
  </si>
  <si>
    <t>Crescent HtsWM Replacement</t>
  </si>
  <si>
    <t>Mar.2017</t>
  </si>
  <si>
    <t>should be underway</t>
  </si>
  <si>
    <t>UIF - Pasco</t>
  </si>
  <si>
    <t>Orangewood, Buena Vista WM Replacement</t>
  </si>
  <si>
    <t>Summertree Well Abandonment</t>
  </si>
  <si>
    <t>UIF - Pinellas</t>
  </si>
  <si>
    <t>Lake Tarpon WM Replacement</t>
  </si>
  <si>
    <t>Mar. 2017</t>
  </si>
  <si>
    <t>Bids received;</t>
  </si>
  <si>
    <t>Request Schedule of Values; requests; signed agreement is over $1 million</t>
  </si>
  <si>
    <t>UIF  - Seminole</t>
  </si>
  <si>
    <t>Electrical Imp. At Little Wekiva and Jansen WTPs</t>
  </si>
  <si>
    <t>Sep. 2016</t>
  </si>
  <si>
    <t>looks complete</t>
  </si>
  <si>
    <t>submitted info is higher than what’s in the testimony; have someone look at the SCADAONE bids for reasonableness</t>
  </si>
  <si>
    <t>UIF  - Seminole &amp; Orange</t>
  </si>
  <si>
    <t>WM Replacements</t>
  </si>
  <si>
    <t>engineering only</t>
  </si>
  <si>
    <t>get status update; supporting documentation is higher than the number in the testimony</t>
  </si>
  <si>
    <t>Bear Lake WM Replacement</t>
  </si>
  <si>
    <t>project bid; construction?</t>
  </si>
  <si>
    <t>Crystal Lake WM Replacement</t>
  </si>
  <si>
    <t>get status update;</t>
  </si>
  <si>
    <t xml:space="preserve">UIF - Seminole </t>
  </si>
  <si>
    <t>Little Wekiva WM Replacement</t>
  </si>
  <si>
    <t>Northwestern FM Replacement (Weathersfield)</t>
  </si>
  <si>
    <t xml:space="preserve"> Dec. 2106</t>
  </si>
  <si>
    <t>only design contract provided</t>
  </si>
  <si>
    <t>no bid info; double check on cost; no cost estimate</t>
  </si>
  <si>
    <t>Oakland Shores WM Replacement</t>
  </si>
  <si>
    <t>Sep. 2017</t>
  </si>
  <si>
    <t>Phillips WM Replacement</t>
  </si>
  <si>
    <t>Ravenna Park WM Replacement</t>
  </si>
  <si>
    <t>Ravenna Park /Crystal Lake Interconnect</t>
  </si>
  <si>
    <t>project looks complete</t>
  </si>
  <si>
    <t>verify it's in service. Ask for supporting documentation on alternative analysis</t>
  </si>
  <si>
    <t>Per Staff ROG 2 bids are pending</t>
  </si>
  <si>
    <t>Per Staff ROG UIF is ammotizing over 10 years the cost</t>
  </si>
  <si>
    <t>Per Staff ROG 2 project is complete. See PCF 2</t>
  </si>
  <si>
    <t>Per Staff ROG 2 project is complete and in pilot testing</t>
  </si>
  <si>
    <t>Per Staff ROG 4 bids provided</t>
  </si>
  <si>
    <t xml:space="preserve">PCF -1 </t>
  </si>
  <si>
    <t>PCF -2</t>
  </si>
  <si>
    <t>PCF -3</t>
  </si>
  <si>
    <t>Excel eng $8900;  Env. Equip Sales 20262.70; Bob Dean Sup $10450; Davey 38850</t>
  </si>
  <si>
    <t>Actual Amount</t>
  </si>
  <si>
    <t>Per Staff ROG 2, project not yet bid</t>
  </si>
  <si>
    <t>PCF - 4</t>
  </si>
  <si>
    <t>PCF - 5</t>
  </si>
  <si>
    <t>PCF - 6</t>
  </si>
  <si>
    <t>PCF - 7</t>
  </si>
  <si>
    <t>Looks complete; verfiy during site insp</t>
  </si>
  <si>
    <t>PCF - 8</t>
  </si>
  <si>
    <t>PCF - 9</t>
  </si>
  <si>
    <t>PCF - 10</t>
  </si>
  <si>
    <t>Per Staff ROG 2 project nearly finished construction; project costs less than bid</t>
  </si>
  <si>
    <t>PCF - 11</t>
  </si>
  <si>
    <t>PCF - 12</t>
  </si>
  <si>
    <t>PCF - 13</t>
  </si>
  <si>
    <t>PCF - 14</t>
  </si>
  <si>
    <t>Per Staff ROG 2 construction in process.; ask for bids</t>
  </si>
  <si>
    <t>PCF - 15</t>
  </si>
  <si>
    <t>PCF - 16</t>
  </si>
  <si>
    <t>Need price back up ???</t>
  </si>
  <si>
    <t>PCF - 17</t>
  </si>
  <si>
    <t>PCF - 18</t>
  </si>
  <si>
    <t>Tri nova 38608.70; Chem scan 41467; App Spec 29026.9; EMS 12500</t>
  </si>
  <si>
    <t>PCF - 19</t>
  </si>
  <si>
    <t>Revised exhibit submitted with Staff POD 2</t>
  </si>
  <si>
    <t>needs more supporting documentation for numbers especially engineering</t>
  </si>
  <si>
    <t>Check status; ask for engineering contracts</t>
  </si>
  <si>
    <t>PCF - 20</t>
  </si>
  <si>
    <t>PCF - 21</t>
  </si>
  <si>
    <t>Check status; not bid yet; engineering cost provided</t>
  </si>
  <si>
    <t>PCF - 22</t>
  </si>
  <si>
    <t>PCF - 23</t>
  </si>
  <si>
    <t>Ammended Exhibit in Staffs 4th POD</t>
  </si>
  <si>
    <t>PCF - 24</t>
  </si>
  <si>
    <t>PCF - 25</t>
  </si>
  <si>
    <t>PCF - 26</t>
  </si>
  <si>
    <t>Ammended Exhibit in Staffs 4th ROGs</t>
  </si>
  <si>
    <t>PCF - 27</t>
  </si>
  <si>
    <t>no bids for work</t>
  </si>
  <si>
    <t>PCF - 28</t>
  </si>
  <si>
    <t>PCF - 29</t>
  </si>
  <si>
    <t>PCF - 30</t>
  </si>
  <si>
    <t>Per Staff ROG 4 work under way again; taxes added extra ask abou this in discovery</t>
  </si>
  <si>
    <t>PCF - 31</t>
  </si>
  <si>
    <t>ok</t>
  </si>
  <si>
    <t>ask for copy of study</t>
  </si>
  <si>
    <t>check numbers</t>
  </si>
  <si>
    <t>from Revised PCF Exhibits</t>
  </si>
  <si>
    <t>Excel Engineering</t>
  </si>
  <si>
    <t>Environmental Equipment</t>
  </si>
  <si>
    <t>driveways</t>
  </si>
  <si>
    <t>splitter box</t>
  </si>
  <si>
    <t>Davey</t>
  </si>
  <si>
    <t>trees not including continuing maintenance</t>
  </si>
  <si>
    <t>From PCF revised exhibits</t>
  </si>
  <si>
    <t>CPH</t>
  </si>
  <si>
    <t>scada one</t>
  </si>
  <si>
    <t>verizon</t>
  </si>
  <si>
    <t>bright house</t>
  </si>
  <si>
    <t>Avanti</t>
  </si>
  <si>
    <t>ims</t>
  </si>
  <si>
    <t>innovative</t>
  </si>
  <si>
    <t>KW</t>
  </si>
  <si>
    <t>north lake</t>
  </si>
  <si>
    <t>Volition</t>
  </si>
  <si>
    <t>Verizon</t>
  </si>
  <si>
    <t>Traverse</t>
  </si>
  <si>
    <t>NONE</t>
  </si>
  <si>
    <t>Flow Splitter</t>
  </si>
  <si>
    <t>ASA</t>
  </si>
  <si>
    <t>tri nova</t>
  </si>
  <si>
    <t>EMS</t>
  </si>
  <si>
    <t>clarification per staff ROG 94</t>
  </si>
  <si>
    <t>Bailey</t>
  </si>
  <si>
    <t>North Lake</t>
  </si>
  <si>
    <t>Scada One</t>
  </si>
  <si>
    <t>From Response to staff's 4th discovery</t>
  </si>
  <si>
    <t>Insituform</t>
  </si>
  <si>
    <t>Shadow Hills Flow Diversion</t>
  </si>
  <si>
    <t>Kimley Horn</t>
  </si>
  <si>
    <t>PCF - 32</t>
  </si>
  <si>
    <t>PCF - 33</t>
  </si>
  <si>
    <t>PCF - 34</t>
  </si>
  <si>
    <t>PCF - 35</t>
  </si>
  <si>
    <t>Thompson</t>
  </si>
  <si>
    <t>PCF - 36</t>
  </si>
  <si>
    <t>PCF - 37</t>
  </si>
  <si>
    <t>PCF - 38</t>
  </si>
  <si>
    <t>PCF - 39</t>
  </si>
  <si>
    <t>PCF - 40</t>
  </si>
  <si>
    <t>PCF - 41</t>
  </si>
  <si>
    <t>PCF - 42</t>
  </si>
  <si>
    <t>PCF - 43</t>
  </si>
  <si>
    <t>PCF - 44</t>
  </si>
  <si>
    <t>PCF - 45</t>
  </si>
  <si>
    <t>cost doesn’t match staff</t>
  </si>
  <si>
    <t>Revised exhibit submitted with Staff ROG 4</t>
  </si>
  <si>
    <t>supported costs</t>
  </si>
  <si>
    <t>Verified Amount</t>
  </si>
  <si>
    <t>Exhibit</t>
  </si>
  <si>
    <t>From revised PCF 12 received Feb 22</t>
  </si>
  <si>
    <t>American In-line Insp.</t>
  </si>
  <si>
    <t>scope</t>
  </si>
  <si>
    <t>pay request total</t>
  </si>
  <si>
    <t>C O s from pay requests</t>
  </si>
  <si>
    <t>Breakout by account</t>
  </si>
  <si>
    <t>Water main</t>
  </si>
  <si>
    <t>from pay request</t>
  </si>
  <si>
    <t>Force Main</t>
  </si>
  <si>
    <t>Reclaimed</t>
  </si>
  <si>
    <t>Total</t>
  </si>
  <si>
    <t>Allocated amount</t>
  </si>
  <si>
    <t>WM</t>
  </si>
  <si>
    <t>FM</t>
  </si>
  <si>
    <t>RM</t>
  </si>
  <si>
    <t>OPC POD 63</t>
  </si>
  <si>
    <t>From Revised Flynn Testimony</t>
  </si>
  <si>
    <t>SolarOrganite</t>
  </si>
  <si>
    <t>Eco 2000</t>
  </si>
  <si>
    <t>PA Tech</t>
  </si>
  <si>
    <t>no supportin info for tractor equipment</t>
  </si>
  <si>
    <t>From OPC POD 69</t>
  </si>
  <si>
    <t>APG</t>
  </si>
  <si>
    <t>permit allowance</t>
  </si>
  <si>
    <t>UIF did not provide second bid as asked for in POD 69</t>
  </si>
  <si>
    <t>based on OPC POD 69 does not seem to be competitively bid</t>
  </si>
  <si>
    <t>from response to OPC POD 65</t>
  </si>
  <si>
    <t>Bob Dean</t>
  </si>
  <si>
    <t>install splitter box</t>
  </si>
  <si>
    <t>includes CO</t>
  </si>
  <si>
    <t>agreement has been delayed until consturction permit is received</t>
  </si>
  <si>
    <t>did not provide bid forms only a bid comparison</t>
  </si>
  <si>
    <t>SCADA for flow eq; Estimate</t>
  </si>
  <si>
    <t>Instrumentation; Quote</t>
  </si>
  <si>
    <t>ESR</t>
  </si>
  <si>
    <t>walkway around holding tank; Agreement and invoice</t>
  </si>
  <si>
    <t>Armor Aluminun Fab.</t>
  </si>
  <si>
    <t>walkway estimate only</t>
  </si>
  <si>
    <t>Mod Space</t>
  </si>
  <si>
    <t>missing first 15 pages; no signed agreement or invoices</t>
  </si>
  <si>
    <t>What is actually documented</t>
  </si>
  <si>
    <t>From revised PCF Exhibit</t>
  </si>
  <si>
    <t>From POD 65</t>
  </si>
  <si>
    <t>Documented costs through OPC POD 64,65</t>
  </si>
  <si>
    <t>questionable does seem to be competitvely bid</t>
  </si>
  <si>
    <t>Environmental Equip</t>
  </si>
  <si>
    <t>SPT</t>
  </si>
  <si>
    <t>only allow supported data</t>
  </si>
  <si>
    <t>Envornmental Equip</t>
  </si>
  <si>
    <t>from 2011????</t>
  </si>
  <si>
    <t>Added per OPC POD 72</t>
  </si>
  <si>
    <t>CPH invoice from 2011</t>
  </si>
  <si>
    <t>From Flynn Revised Exhibits</t>
  </si>
  <si>
    <t>Evoqua</t>
  </si>
  <si>
    <t>ECO 2000</t>
  </si>
  <si>
    <t>tank cleaning</t>
  </si>
  <si>
    <t>low bid: with contract</t>
  </si>
  <si>
    <t>CO</t>
  </si>
  <si>
    <t>TAX</t>
  </si>
  <si>
    <t>No tax shown on ECO 2000 pay requests; it’s a serivce not materials so no tax</t>
  </si>
  <si>
    <t>For Evoqua only invoices provided tax appears to be paid only on the equipment portion of the project so estiamte 6% of total equipment</t>
  </si>
  <si>
    <t>tax</t>
  </si>
  <si>
    <t>Tax of Evoqua</t>
  </si>
  <si>
    <t>resolved taxes per response to OPC POD 76</t>
  </si>
  <si>
    <t>included with other projects</t>
  </si>
  <si>
    <t>KEY</t>
  </si>
  <si>
    <t>Project Excluded; no information provided</t>
  </si>
  <si>
    <t>Amount presented in Flynn's testimony is not unreasonable</t>
  </si>
  <si>
    <t>Amount should be lower than Flynn's testimony</t>
  </si>
  <si>
    <t>Award</t>
  </si>
  <si>
    <t>Friedman</t>
  </si>
  <si>
    <t>Flynn Exhibit Number</t>
  </si>
  <si>
    <t>Cost per Flynn's Testimony</t>
  </si>
  <si>
    <t>Recommended Costs</t>
  </si>
  <si>
    <t>Reason</t>
  </si>
  <si>
    <t>Remainder unsupported</t>
  </si>
  <si>
    <t>Totals</t>
  </si>
  <si>
    <t>Adjusted for taxes on equipment only</t>
  </si>
  <si>
    <t>GIS Mapping Services</t>
  </si>
  <si>
    <t>Inadequate or too late</t>
  </si>
  <si>
    <t>Original</t>
  </si>
  <si>
    <t>Net Adjustments</t>
  </si>
  <si>
    <t>PCF - 47</t>
  </si>
  <si>
    <t>No.</t>
  </si>
  <si>
    <t>actual</t>
  </si>
  <si>
    <t>requested</t>
  </si>
  <si>
    <t>By account</t>
  </si>
  <si>
    <t>Plant</t>
  </si>
  <si>
    <t>Breakdown</t>
  </si>
  <si>
    <t>GM</t>
  </si>
  <si>
    <t>Bid</t>
  </si>
  <si>
    <t>PCF - 46</t>
  </si>
  <si>
    <t>Truck Upgrade</t>
  </si>
  <si>
    <t>Unsigned agreement with contractor</t>
  </si>
  <si>
    <t>Included elsewhere</t>
  </si>
  <si>
    <t>PCF - 1</t>
  </si>
  <si>
    <t>Cypress Lake</t>
  </si>
  <si>
    <t>Signed proposal</t>
  </si>
  <si>
    <t>per staff 7th ROGs</t>
  </si>
  <si>
    <t>Flynn Testimony Amount</t>
  </si>
  <si>
    <t>Estimate from Traverse signed agreement with insituform</t>
  </si>
  <si>
    <t>from revised Flynn exhibit supplied in respone to staff ROG 179</t>
  </si>
  <si>
    <t>Altair</t>
  </si>
  <si>
    <t>invoice</t>
  </si>
  <si>
    <t>Hach</t>
  </si>
  <si>
    <t>Quote</t>
  </si>
  <si>
    <t>Pasco Pipe</t>
  </si>
  <si>
    <t>reciept</t>
  </si>
  <si>
    <t>EES</t>
  </si>
  <si>
    <t>proposal</t>
  </si>
  <si>
    <t>Blue Book Web Page?</t>
  </si>
  <si>
    <t>less Hach quote</t>
  </si>
  <si>
    <t>should be bid</t>
  </si>
  <si>
    <t>Net</t>
  </si>
  <si>
    <t>Some invoices some quotes</t>
  </si>
  <si>
    <t>Hach quote greater than $50k</t>
  </si>
  <si>
    <t>Agreement w Chinchor</t>
  </si>
  <si>
    <t>Bailley</t>
  </si>
  <si>
    <t>agreement</t>
  </si>
  <si>
    <t>SCADA One</t>
  </si>
  <si>
    <t>Agreements; invoices</t>
  </si>
  <si>
    <t>missing support for Leesburg Elect</t>
  </si>
  <si>
    <t>FEC (Des Pinar)</t>
  </si>
  <si>
    <t>bid form</t>
  </si>
  <si>
    <t>CFT (Longwood FM)</t>
  </si>
  <si>
    <t>bid tab</t>
  </si>
  <si>
    <t>Tri Sure (Sabal PS)</t>
  </si>
  <si>
    <t>CES (WWTP demo)</t>
  </si>
  <si>
    <t>quote</t>
  </si>
  <si>
    <t>Thompson Elec (WWTP demo)</t>
  </si>
  <si>
    <t>Terracon (mon well abandonment)</t>
  </si>
  <si>
    <t>unsigned auth to proceed</t>
  </si>
  <si>
    <t>Tri Sure (Springs FM)</t>
  </si>
  <si>
    <t>Evans Contracting (bldg)</t>
  </si>
  <si>
    <t>unsigned agreement; not bid?</t>
  </si>
  <si>
    <t>bid tabs; unsigned agreeements</t>
  </si>
  <si>
    <t>signed agreement; NTP</t>
  </si>
  <si>
    <t>nothing really supported</t>
  </si>
  <si>
    <t>no back up</t>
  </si>
  <si>
    <t>From Flynn Revised testimony</t>
  </si>
  <si>
    <t>per staff 7th ROGs; Need evidence of bids for work; agreement w Traverse and NTP</t>
  </si>
  <si>
    <t>bid?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</si>
</sst>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1" applyNumberFormat="1" applyFont="1"/>
    <xf numFmtId="0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1" applyNumberFormat="1" applyFont="1" applyBorder="1" applyAlignment="1">
      <alignment wrapText="1"/>
    </xf>
    <xf numFmtId="0" fontId="0" fillId="0" borderId="2" xfId="0" applyFill="1" applyBorder="1" applyAlignment="1">
      <alignment wrapText="1"/>
    </xf>
    <xf numFmtId="44" fontId="0" fillId="0" borderId="0" xfId="1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1" applyNumberFormat="1" applyFont="1" applyFill="1" applyBorder="1"/>
    <xf numFmtId="0" fontId="0" fillId="0" borderId="0" xfId="0" applyFill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1" xfId="0" applyFill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164" fontId="0" fillId="0" borderId="0" xfId="0" applyNumberFormat="1" applyFill="1"/>
    <xf numFmtId="0" fontId="0" fillId="3" borderId="1" xfId="0" applyFill="1" applyBorder="1"/>
    <xf numFmtId="164" fontId="0" fillId="3" borderId="1" xfId="1" applyNumberFormat="1" applyFont="1" applyFill="1" applyBorder="1"/>
    <xf numFmtId="0" fontId="0" fillId="3" borderId="1" xfId="1" applyNumberFormat="1" applyFont="1" applyFill="1" applyBorder="1"/>
    <xf numFmtId="0" fontId="0" fillId="3" borderId="1" xfId="1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0" xfId="0" applyFill="1"/>
    <xf numFmtId="17" fontId="0" fillId="3" borderId="1" xfId="1" applyNumberFormat="1" applyFont="1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0" fillId="4" borderId="1" xfId="0" applyFill="1" applyBorder="1" applyAlignment="1">
      <alignment wrapText="1"/>
    </xf>
    <xf numFmtId="0" fontId="0" fillId="4" borderId="0" xfId="0" applyFill="1"/>
    <xf numFmtId="0" fontId="0" fillId="4" borderId="1" xfId="1" applyNumberFormat="1" applyFont="1" applyFill="1" applyBorder="1" applyAlignment="1">
      <alignment wrapText="1"/>
    </xf>
    <xf numFmtId="164" fontId="0" fillId="4" borderId="1" xfId="0" applyNumberFormat="1" applyFill="1" applyBorder="1"/>
    <xf numFmtId="0" fontId="0" fillId="0" borderId="0" xfId="0" applyAlignment="1">
      <alignment horizontal="right"/>
    </xf>
    <xf numFmtId="0" fontId="0" fillId="4" borderId="1" xfId="1" applyNumberFormat="1" applyFont="1" applyFill="1" applyBorder="1"/>
    <xf numFmtId="44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wrapText="1"/>
    </xf>
    <xf numFmtId="164" fontId="0" fillId="5" borderId="1" xfId="1" applyNumberFormat="1" applyFont="1" applyFill="1" applyBorder="1"/>
    <xf numFmtId="0" fontId="0" fillId="5" borderId="1" xfId="1" applyNumberFormat="1" applyFont="1" applyFill="1" applyBorder="1"/>
    <xf numFmtId="0" fontId="0" fillId="5" borderId="1" xfId="1" applyNumberFormat="1" applyFont="1" applyFill="1" applyBorder="1" applyAlignment="1">
      <alignment wrapText="1"/>
    </xf>
    <xf numFmtId="0" fontId="0" fillId="5" borderId="0" xfId="0" applyFill="1"/>
    <xf numFmtId="17" fontId="0" fillId="5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164" fontId="0" fillId="6" borderId="1" xfId="1" applyNumberFormat="1" applyFont="1" applyFill="1" applyBorder="1"/>
    <xf numFmtId="0" fontId="0" fillId="6" borderId="1" xfId="1" applyNumberFormat="1" applyFont="1" applyFill="1" applyBorder="1"/>
    <xf numFmtId="0" fontId="0" fillId="6" borderId="1" xfId="1" applyNumberFormat="1" applyFont="1" applyFill="1" applyBorder="1" applyAlignment="1">
      <alignment wrapText="1"/>
    </xf>
    <xf numFmtId="44" fontId="0" fillId="6" borderId="1" xfId="0" applyNumberFormat="1" applyFill="1" applyBorder="1"/>
    <xf numFmtId="0" fontId="0" fillId="6" borderId="0" xfId="0" applyFill="1"/>
    <xf numFmtId="164" fontId="0" fillId="5" borderId="1" xfId="0" applyNumberFormat="1" applyFill="1" applyBorder="1"/>
    <xf numFmtId="0" fontId="0" fillId="6" borderId="2" xfId="0" applyFill="1" applyBorder="1" applyAlignment="1">
      <alignment wrapText="1"/>
    </xf>
    <xf numFmtId="0" fontId="0" fillId="5" borderId="2" xfId="0" applyFill="1" applyBorder="1" applyAlignment="1">
      <alignment wrapText="1"/>
    </xf>
    <xf numFmtId="44" fontId="0" fillId="5" borderId="1" xfId="1" applyFont="1" applyFill="1" applyBorder="1"/>
    <xf numFmtId="17" fontId="0" fillId="6" borderId="1" xfId="1" applyNumberFormat="1" applyFont="1" applyFill="1" applyBorder="1"/>
    <xf numFmtId="43" fontId="0" fillId="6" borderId="1" xfId="2" applyFont="1" applyFill="1" applyBorder="1"/>
    <xf numFmtId="0" fontId="0" fillId="6" borderId="2" xfId="1" applyNumberFormat="1" applyFont="1" applyFill="1" applyBorder="1" applyAlignment="1">
      <alignment wrapText="1"/>
    </xf>
    <xf numFmtId="17" fontId="0" fillId="6" borderId="1" xfId="1" applyNumberFormat="1" applyFont="1" applyFill="1" applyBorder="1" applyAlignment="1">
      <alignment wrapText="1"/>
    </xf>
    <xf numFmtId="44" fontId="0" fillId="6" borderId="1" xfId="1" applyFont="1" applyFill="1" applyBorder="1"/>
    <xf numFmtId="0" fontId="2" fillId="5" borderId="1" xfId="0" applyFont="1" applyFill="1" applyBorder="1"/>
    <xf numFmtId="164" fontId="2" fillId="5" borderId="1" xfId="1" applyNumberFormat="1" applyFont="1" applyFill="1" applyBorder="1"/>
    <xf numFmtId="0" fontId="2" fillId="5" borderId="1" xfId="1" applyNumberFormat="1" applyFont="1" applyFill="1" applyBorder="1"/>
    <xf numFmtId="0" fontId="2" fillId="5" borderId="1" xfId="1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/>
    <xf numFmtId="0" fontId="2" fillId="5" borderId="2" xfId="0" applyFont="1" applyFill="1" applyBorder="1" applyAlignment="1">
      <alignment wrapText="1"/>
    </xf>
    <xf numFmtId="0" fontId="2" fillId="5" borderId="0" xfId="0" applyFont="1" applyFill="1"/>
    <xf numFmtId="164" fontId="0" fillId="6" borderId="1" xfId="0" applyNumberFormat="1" applyFill="1" applyBorder="1"/>
    <xf numFmtId="0" fontId="0" fillId="6" borderId="0" xfId="0" applyFill="1" applyAlignment="1">
      <alignment wrapText="1"/>
    </xf>
    <xf numFmtId="3" fontId="0" fillId="0" borderId="0" xfId="0" applyNumberFormat="1"/>
    <xf numFmtId="3" fontId="0" fillId="6" borderId="1" xfId="0" applyNumberFormat="1" applyFill="1" applyBorder="1"/>
    <xf numFmtId="0" fontId="0" fillId="0" borderId="1" xfId="1" applyNumberFormat="1" applyFont="1" applyFill="1" applyBorder="1"/>
    <xf numFmtId="0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3" fillId="7" borderId="3" xfId="0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2" borderId="1" xfId="1" applyNumberFormat="1" applyFont="1" applyFill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3" xfId="0" applyBorder="1"/>
    <xf numFmtId="44" fontId="0" fillId="0" borderId="1" xfId="0" applyNumberFormat="1" applyBorder="1" applyAlignment="1">
      <alignment wrapText="1"/>
    </xf>
    <xf numFmtId="44" fontId="0" fillId="0" borderId="3" xfId="1" applyFont="1" applyBorder="1"/>
    <xf numFmtId="44" fontId="0" fillId="0" borderId="1" xfId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topLeftCell="A19" workbookViewId="0">
      <selection activeCell="D35" sqref="D35"/>
    </sheetView>
  </sheetViews>
  <sheetFormatPr defaultRowHeight="15" x14ac:dyDescent="0.25"/>
  <cols>
    <col min="1" max="1" width="13.28515625" customWidth="1"/>
    <col min="2" max="2" width="17.85546875" customWidth="1"/>
    <col min="3" max="3" width="35.140625" customWidth="1"/>
    <col min="4" max="4" width="31.28515625" style="1" customWidth="1"/>
  </cols>
  <sheetData>
    <row r="2" spans="1:4" x14ac:dyDescent="0.25">
      <c r="A2" s="10" t="s">
        <v>338</v>
      </c>
      <c r="B2" s="10" t="s">
        <v>0</v>
      </c>
      <c r="C2" s="10" t="s">
        <v>1</v>
      </c>
      <c r="D2" s="12" t="s">
        <v>2</v>
      </c>
    </row>
    <row r="3" spans="1:4" x14ac:dyDescent="0.25">
      <c r="A3" s="11" t="str">
        <f>Summary!A6</f>
        <v xml:space="preserve">PCF -1 </v>
      </c>
      <c r="B3" s="11" t="str">
        <f>Summary!B6</f>
        <v>Cypress Lakes</v>
      </c>
      <c r="C3" s="11" t="str">
        <f>Summary!C6</f>
        <v>Hydro Tank Replacement</v>
      </c>
      <c r="D3" s="78">
        <f>'ATW - 16'!E3</f>
        <v>25732</v>
      </c>
    </row>
    <row r="4" spans="1:4" x14ac:dyDescent="0.25">
      <c r="A4" s="11" t="str">
        <f>Summary!A7</f>
        <v>PCF -2</v>
      </c>
      <c r="B4" s="11" t="str">
        <f>Summary!B7</f>
        <v>Cypress Lakes</v>
      </c>
      <c r="C4" s="11" t="str">
        <f>Summary!C7</f>
        <v>Sediment Removal from WWTP</v>
      </c>
      <c r="D4" s="78">
        <f>Summary!D7</f>
        <v>50200</v>
      </c>
    </row>
    <row r="5" spans="1:4" x14ac:dyDescent="0.25">
      <c r="A5" s="11" t="str">
        <f>Summary!A8</f>
        <v>PCF -3</v>
      </c>
      <c r="B5" s="11" t="str">
        <f>Summary!B8</f>
        <v>Eagle Ridge</v>
      </c>
      <c r="C5" s="11" t="str">
        <f>Summary!C8</f>
        <v>WWTP EQ tank and headworks</v>
      </c>
      <c r="D5" s="78">
        <f>'ATW - 16'!E4</f>
        <v>106387.7</v>
      </c>
    </row>
    <row r="6" spans="1:4" x14ac:dyDescent="0.25">
      <c r="A6" s="11" t="str">
        <f>Summary!A9</f>
        <v>PCF - 4</v>
      </c>
      <c r="B6" s="11" t="str">
        <f>Summary!B9</f>
        <v>Labrador</v>
      </c>
      <c r="C6" s="11" t="str">
        <f>Summary!C9</f>
        <v>WWTP Sediment Removal</v>
      </c>
      <c r="D6" s="78">
        <f>Summary!D9</f>
        <v>61137</v>
      </c>
    </row>
    <row r="7" spans="1:4" x14ac:dyDescent="0.25">
      <c r="A7" s="11" t="str">
        <f>Summary!A10</f>
        <v>PCF - 5</v>
      </c>
      <c r="B7" s="11" t="str">
        <f>Summary!B10</f>
        <v>LUSI</v>
      </c>
      <c r="C7" s="11" t="str">
        <f>Summary!C10</f>
        <v>Sludge Dewatering Equipment</v>
      </c>
      <c r="D7" s="78">
        <f>'ATW - 16'!E5</f>
        <v>240000</v>
      </c>
    </row>
    <row r="8" spans="1:4" x14ac:dyDescent="0.25">
      <c r="A8" s="11" t="str">
        <f>Summary!A11</f>
        <v>PCF - 6</v>
      </c>
      <c r="B8" s="11" t="str">
        <f>Summary!B11</f>
        <v>LUSI</v>
      </c>
      <c r="C8" s="11" t="str">
        <f>Summary!C11</f>
        <v>Oswalt Road WM Relocation</v>
      </c>
      <c r="D8" s="78">
        <f>Summary!D11</f>
        <v>181400</v>
      </c>
    </row>
    <row r="9" spans="1:4" x14ac:dyDescent="0.25">
      <c r="A9" s="11" t="str">
        <f>Summary!A12</f>
        <v>PCF - 7</v>
      </c>
      <c r="B9" s="11" t="str">
        <f>Summary!B12</f>
        <v>LUSI</v>
      </c>
      <c r="C9" s="11" t="str">
        <f>Summary!C12</f>
        <v>SCADA</v>
      </c>
      <c r="D9" s="78">
        <f>'ATW - 16'!E6</f>
        <v>458901.96</v>
      </c>
    </row>
    <row r="10" spans="1:4" x14ac:dyDescent="0.25">
      <c r="A10" s="11" t="str">
        <f>Summary!A13</f>
        <v>PCF - 8</v>
      </c>
      <c r="B10" s="11" t="str">
        <f>Summary!B13</f>
        <v>LUSI</v>
      </c>
      <c r="C10" s="11" t="str">
        <f>Summary!C13</f>
        <v>TTHM &amp; HAA5 Study</v>
      </c>
      <c r="D10" s="78">
        <f>Summary!D13</f>
        <v>79250</v>
      </c>
    </row>
    <row r="11" spans="1:4" ht="45" x14ac:dyDescent="0.25">
      <c r="A11" s="11" t="str">
        <f>Summary!A14</f>
        <v>PCF - 9</v>
      </c>
      <c r="B11" s="11" t="str">
        <f>Summary!B14</f>
        <v>LUSI</v>
      </c>
      <c r="C11" s="11" t="str">
        <f>Summary!C14</f>
        <v>Engineering TTHM &amp; HAA5 Remediation - Engineering design and permitting</v>
      </c>
      <c r="D11" s="78">
        <v>0</v>
      </c>
    </row>
    <row r="12" spans="1:4" ht="30" x14ac:dyDescent="0.25">
      <c r="A12" s="11" t="str">
        <f>Summary!A15</f>
        <v>PCF - 10</v>
      </c>
      <c r="B12" s="11" t="str">
        <f>Summary!B15</f>
        <v>LUSI</v>
      </c>
      <c r="C12" s="11" t="str">
        <f>Summary!C15</f>
        <v>US 27 Utility relocations; 8650 ft 16" and 2800 ft 12"</v>
      </c>
      <c r="D12" s="78">
        <f>Summary!D15</f>
        <v>1806000</v>
      </c>
    </row>
    <row r="13" spans="1:4" x14ac:dyDescent="0.25">
      <c r="A13" s="11" t="str">
        <f>Summary!A16</f>
        <v>PCF - 11</v>
      </c>
      <c r="B13" s="11" t="str">
        <f>Summary!B16</f>
        <v>Longwood</v>
      </c>
      <c r="C13" s="11" t="str">
        <f>Summary!C16</f>
        <v>Church Ave Utility Reloc.</v>
      </c>
      <c r="D13" s="78">
        <f>Summary!D16</f>
        <v>193880</v>
      </c>
    </row>
    <row r="14" spans="1:4" x14ac:dyDescent="0.25">
      <c r="A14" s="11" t="str">
        <f>Summary!A17</f>
        <v>PCF - 12</v>
      </c>
      <c r="B14" s="11" t="str">
        <f>Summary!B17</f>
        <v>Longwood</v>
      </c>
      <c r="C14" s="11" t="str">
        <f>Summary!C17</f>
        <v>I&amp;I study</v>
      </c>
      <c r="D14" s="78">
        <f>Summary!D17</f>
        <v>50000</v>
      </c>
    </row>
    <row r="15" spans="1:4" x14ac:dyDescent="0.25">
      <c r="A15" s="11" t="str">
        <f>Summary!A18</f>
        <v>PCF - 13</v>
      </c>
      <c r="B15" s="11" t="str">
        <f>Summary!B18</f>
        <v>Longwood</v>
      </c>
      <c r="C15" s="11" t="str">
        <f>Summary!C18</f>
        <v>I&amp;I Remdiation</v>
      </c>
      <c r="D15" s="78">
        <v>0</v>
      </c>
    </row>
    <row r="16" spans="1:4" ht="30" x14ac:dyDescent="0.25">
      <c r="A16" s="11" t="str">
        <f>Summary!A19</f>
        <v>PCF - 14</v>
      </c>
      <c r="B16" s="11" t="str">
        <f>Summary!B19</f>
        <v>Mid-County</v>
      </c>
      <c r="C16" s="11" t="str">
        <f>Summary!C19</f>
        <v>Electical Improvements and Generator</v>
      </c>
      <c r="D16" s="78">
        <v>0</v>
      </c>
    </row>
    <row r="17" spans="1:4" x14ac:dyDescent="0.25">
      <c r="A17" s="11" t="str">
        <f>Summary!A20</f>
        <v>PCF - 15</v>
      </c>
      <c r="B17" s="11" t="str">
        <f>Summary!B20</f>
        <v>Mid-County</v>
      </c>
      <c r="C17" s="11" t="str">
        <f>Summary!C20</f>
        <v>Field Office</v>
      </c>
      <c r="D17" s="78">
        <f>Summary!D20</f>
        <v>65000</v>
      </c>
    </row>
    <row r="18" spans="1:4" x14ac:dyDescent="0.25">
      <c r="A18" s="11" t="str">
        <f>Summary!A21</f>
        <v>PCF - 16</v>
      </c>
      <c r="B18" s="11" t="str">
        <f>Summary!B21</f>
        <v>Mid-County</v>
      </c>
      <c r="C18" s="11" t="str">
        <f>Summary!C21</f>
        <v>Flow Study ( I&amp;I)</v>
      </c>
      <c r="D18" s="78">
        <f>Summary!D21</f>
        <v>80000</v>
      </c>
    </row>
    <row r="19" spans="1:4" x14ac:dyDescent="0.25">
      <c r="A19" s="11" t="str">
        <f>Summary!A22</f>
        <v>PCF - 17</v>
      </c>
      <c r="B19" s="11" t="str">
        <f>Summary!B22</f>
        <v>Mid-County</v>
      </c>
      <c r="C19" s="11" t="str">
        <f>Summary!C22</f>
        <v>Excess I&amp;I Remediation</v>
      </c>
      <c r="D19" s="78">
        <v>0</v>
      </c>
    </row>
    <row r="20" spans="1:4" ht="30" x14ac:dyDescent="0.25">
      <c r="A20" s="11" t="str">
        <f>Summary!A23</f>
        <v>PCF - 18</v>
      </c>
      <c r="B20" s="11" t="str">
        <f>Summary!B23</f>
        <v>Mid-County</v>
      </c>
      <c r="C20" s="11" t="str">
        <f>Summary!C23</f>
        <v>Methonal Pumps and Nutrient Analyzer</v>
      </c>
      <c r="D20" s="78">
        <f>'ATW - 16'!E7</f>
        <v>92575.7</v>
      </c>
    </row>
    <row r="21" spans="1:4" ht="30" x14ac:dyDescent="0.25">
      <c r="A21" s="11" t="str">
        <f>Summary!A24</f>
        <v>PCF - 19</v>
      </c>
      <c r="B21" s="11" t="str">
        <f>Summary!B24</f>
        <v>Mid-County</v>
      </c>
      <c r="C21" s="11" t="str">
        <f>Summary!C24</f>
        <v>US Hwy 19 Relocation; 525 ft 6" FM and 190 ft 8" GM</v>
      </c>
      <c r="D21" s="78">
        <f>'ATW - 16'!E8</f>
        <v>172879</v>
      </c>
    </row>
    <row r="22" spans="1:4" x14ac:dyDescent="0.25">
      <c r="A22" s="11" t="str">
        <f>Summary!A25</f>
        <v>PCF - 20</v>
      </c>
      <c r="B22" s="11" t="str">
        <f>Summary!B25</f>
        <v>Pennbrooke</v>
      </c>
      <c r="C22" s="11" t="str">
        <f>Summary!C25</f>
        <v>WTP Electrical Imp.</v>
      </c>
      <c r="D22" s="78">
        <v>0</v>
      </c>
    </row>
    <row r="23" spans="1:4" x14ac:dyDescent="0.25">
      <c r="A23" s="11" t="str">
        <f>Summary!A26</f>
        <v>PCF - 21</v>
      </c>
      <c r="B23" s="11" t="str">
        <f>Summary!B26</f>
        <v>Sandalhaven</v>
      </c>
      <c r="C23" s="11" t="str">
        <f>Summary!C26</f>
        <v>Placida Rd. Utility Relocatio</v>
      </c>
      <c r="D23" s="78">
        <f>'ATW - 16'!E9</f>
        <v>217034.4</v>
      </c>
    </row>
    <row r="24" spans="1:4" ht="30" x14ac:dyDescent="0.25">
      <c r="A24" s="11" t="str">
        <f>Summary!A27</f>
        <v>PCF - 22</v>
      </c>
      <c r="B24" s="11" t="str">
        <f>Summary!B27</f>
        <v>Sanlando</v>
      </c>
      <c r="C24" s="11" t="str">
        <f>Summary!C27</f>
        <v>Autumn Dr WM Replacement: 900 ft, 6" pipe</v>
      </c>
      <c r="D24" s="78">
        <f>Summary!D27</f>
        <v>98970</v>
      </c>
    </row>
    <row r="25" spans="1:4" x14ac:dyDescent="0.25">
      <c r="A25" s="11" t="str">
        <f>Summary!A28</f>
        <v>PCF - 23</v>
      </c>
      <c r="B25" s="11" t="str">
        <f>Summary!B28</f>
        <v>Sanlando</v>
      </c>
      <c r="C25" s="11" t="str">
        <f>Summary!C28</f>
        <v>Lift Station RTU Installation</v>
      </c>
      <c r="D25" s="78">
        <f>Summary!D28</f>
        <v>353200</v>
      </c>
    </row>
    <row r="26" spans="1:4" ht="30" x14ac:dyDescent="0.25">
      <c r="A26" s="11" t="str">
        <f>Summary!A29</f>
        <v>PCF - 24</v>
      </c>
      <c r="B26" s="11" t="str">
        <f>Summary!B29</f>
        <v>Sanlando</v>
      </c>
      <c r="C26" s="11" t="str">
        <f>Summary!C29</f>
        <v>Markham Wood Utility Relocates; 240 ft 10" pipe</v>
      </c>
      <c r="D26" s="78">
        <f>Summary!D29</f>
        <v>65900</v>
      </c>
    </row>
    <row r="27" spans="1:4" x14ac:dyDescent="0.25">
      <c r="A27" s="11" t="str">
        <f>Summary!A30</f>
        <v>PCF - 25</v>
      </c>
      <c r="B27" s="11" t="str">
        <f>Summary!B30</f>
        <v>Sanlando</v>
      </c>
      <c r="C27" s="11" t="str">
        <f>Summary!C30</f>
        <v>Myrtle Lake Hills WM</v>
      </c>
      <c r="D27" s="78">
        <f>Summary!I30</f>
        <v>684271.15999999992</v>
      </c>
    </row>
    <row r="28" spans="1:4" x14ac:dyDescent="0.25">
      <c r="A28" s="11" t="str">
        <f>Summary!A31</f>
        <v>PCF - 26</v>
      </c>
      <c r="B28" s="11" t="str">
        <f>Summary!B31</f>
        <v>Sanlando</v>
      </c>
      <c r="C28" s="11" t="str">
        <f>Summary!C31</f>
        <v>I&amp;I Study and Remediation</v>
      </c>
      <c r="D28" s="78">
        <f>Summary!D31</f>
        <v>1573884</v>
      </c>
    </row>
    <row r="29" spans="1:4" x14ac:dyDescent="0.25">
      <c r="A29" s="11" t="str">
        <f>Summary!A32</f>
        <v>PCF - 27</v>
      </c>
      <c r="B29" s="11" t="str">
        <f>Summary!B32</f>
        <v>Sanlando</v>
      </c>
      <c r="C29" s="11" t="str">
        <f>Summary!C32</f>
        <v>Shadow Hills Flow Diversion</v>
      </c>
      <c r="D29" s="78">
        <v>0</v>
      </c>
    </row>
    <row r="30" spans="1:4" x14ac:dyDescent="0.25">
      <c r="A30" s="11" t="str">
        <f>Summary!A33</f>
        <v>PCF - 28</v>
      </c>
      <c r="B30" s="11" t="str">
        <f>Summary!B33</f>
        <v>Sanlando</v>
      </c>
      <c r="C30" s="11" t="str">
        <f>Summary!C33</f>
        <v>Wekive WWTP Blower Replacement</v>
      </c>
      <c r="D30" s="78">
        <v>0</v>
      </c>
    </row>
    <row r="31" spans="1:4" ht="30" x14ac:dyDescent="0.25">
      <c r="A31" s="11" t="str">
        <f>Summary!A34</f>
        <v>PCF - 29</v>
      </c>
      <c r="B31" s="11" t="str">
        <f>Summary!B34</f>
        <v>Sanlando</v>
      </c>
      <c r="C31" s="11" t="str">
        <f>Summary!C34</f>
        <v>Well 2A Lift Station A1 electical improvements; generator</v>
      </c>
      <c r="D31" s="78">
        <f>Summary!D34</f>
        <v>343437</v>
      </c>
    </row>
    <row r="32" spans="1:4" x14ac:dyDescent="0.25">
      <c r="A32" s="11" t="str">
        <f>Summary!A35</f>
        <v>PCF - 30</v>
      </c>
      <c r="B32" s="11" t="str">
        <f>Summary!B35</f>
        <v>Sanlando</v>
      </c>
      <c r="C32" s="11" t="str">
        <f>Summary!C35</f>
        <v>Wekive WWTP Rehabilitation</v>
      </c>
      <c r="D32" s="78">
        <f>'ATW - 16'!E11</f>
        <v>1729034.1</v>
      </c>
    </row>
    <row r="33" spans="1:4" ht="30" x14ac:dyDescent="0.25">
      <c r="A33" s="11" t="str">
        <f>Summary!A36</f>
        <v>PCF - 31</v>
      </c>
      <c r="B33" s="11" t="str">
        <f>Summary!B36</f>
        <v>Tierra Verde</v>
      </c>
      <c r="C33" s="11" t="str">
        <f>Summary!C36</f>
        <v>8th Ave Gravity Main Replacement Ph 2; 40 ft VCP</v>
      </c>
      <c r="D33" s="78">
        <f>Summary!D36</f>
        <v>84673</v>
      </c>
    </row>
    <row r="34" spans="1:4" ht="30" x14ac:dyDescent="0.25">
      <c r="A34" s="11" t="str">
        <f>Summary!A37</f>
        <v>PCF - 32</v>
      </c>
      <c r="B34" s="11" t="str">
        <f>Summary!B37</f>
        <v>UIF - Orange Crescent Hts</v>
      </c>
      <c r="C34" s="11" t="str">
        <f>Summary!C37</f>
        <v>Crescent HtsWM Replacement</v>
      </c>
      <c r="D34" s="78">
        <f>Summary!D37</f>
        <v>1806000</v>
      </c>
    </row>
    <row r="35" spans="1:4" ht="30" x14ac:dyDescent="0.25">
      <c r="A35" s="11" t="str">
        <f>Summary!A38</f>
        <v>PCF - 33</v>
      </c>
      <c r="B35" s="11" t="str">
        <f>Summary!B38</f>
        <v>UIF - Pasco</v>
      </c>
      <c r="C35" s="11" t="str">
        <f>Summary!C38</f>
        <v>Orangewood, Buena Vista WM Replacement</v>
      </c>
      <c r="D35" s="78">
        <v>0</v>
      </c>
    </row>
    <row r="36" spans="1:4" x14ac:dyDescent="0.25">
      <c r="A36" s="11" t="str">
        <f>Summary!A39</f>
        <v>PCF - 34</v>
      </c>
      <c r="B36" s="11" t="str">
        <f>Summary!B39</f>
        <v>UIF - Pasco</v>
      </c>
      <c r="C36" s="11" t="str">
        <f>Summary!C39</f>
        <v>Summertree Well Abandonment</v>
      </c>
      <c r="D36" s="78">
        <v>0</v>
      </c>
    </row>
    <row r="37" spans="1:4" x14ac:dyDescent="0.25">
      <c r="A37" s="11" t="str">
        <f>Summary!A40</f>
        <v>PCF - 35</v>
      </c>
      <c r="B37" s="11" t="str">
        <f>Summary!B40</f>
        <v>UIF - Pinellas</v>
      </c>
      <c r="C37" s="11" t="str">
        <f>Summary!C40</f>
        <v>Lake Tarpon WM Replacement</v>
      </c>
      <c r="D37" s="78">
        <f>Summary!D40</f>
        <v>800000</v>
      </c>
    </row>
    <row r="38" spans="1:4" ht="30" x14ac:dyDescent="0.25">
      <c r="A38" s="11" t="str">
        <f>Summary!A41</f>
        <v>PCF - 36</v>
      </c>
      <c r="B38" s="11" t="str">
        <f>Summary!B41</f>
        <v>UIF  - Seminole</v>
      </c>
      <c r="C38" s="11" t="str">
        <f>Summary!C41</f>
        <v>Electrical Imp. At Little Wekiva and Jansen WTPs</v>
      </c>
      <c r="D38" s="78">
        <f>'ATW - 16'!E12</f>
        <v>268830</v>
      </c>
    </row>
    <row r="39" spans="1:4" ht="30" x14ac:dyDescent="0.25">
      <c r="A39" s="11" t="str">
        <f>Summary!A42</f>
        <v>PCF - 37</v>
      </c>
      <c r="B39" s="11" t="str">
        <f>Summary!B42</f>
        <v>UIF  - Seminole &amp; Orange</v>
      </c>
      <c r="C39" s="11" t="str">
        <f>Summary!C42</f>
        <v>WM Replacements</v>
      </c>
      <c r="D39" s="78">
        <v>0</v>
      </c>
    </row>
    <row r="40" spans="1:4" x14ac:dyDescent="0.25">
      <c r="A40" s="11" t="str">
        <f>Summary!A43</f>
        <v>PCF - 38</v>
      </c>
      <c r="B40" s="11" t="str">
        <f>Summary!B43</f>
        <v>UIF  - Seminole</v>
      </c>
      <c r="C40" s="11" t="str">
        <f>Summary!C43</f>
        <v>Bear Lake WM Replacement</v>
      </c>
      <c r="D40" s="78">
        <f>Summary!D43</f>
        <v>1485270</v>
      </c>
    </row>
    <row r="41" spans="1:4" x14ac:dyDescent="0.25">
      <c r="A41" s="11" t="str">
        <f>Summary!A44</f>
        <v>PCF - 39</v>
      </c>
      <c r="B41" s="11" t="str">
        <f>Summary!B44</f>
        <v xml:space="preserve">UIF - Seminole </v>
      </c>
      <c r="C41" s="11" t="str">
        <f>Summary!C44</f>
        <v>Crystal Lake WM Replacement</v>
      </c>
      <c r="D41" s="78">
        <f>Summary!D44</f>
        <v>1585933</v>
      </c>
    </row>
    <row r="42" spans="1:4" x14ac:dyDescent="0.25">
      <c r="A42" s="11" t="str">
        <f>Summary!A45</f>
        <v>PCF - 40</v>
      </c>
      <c r="B42" s="11" t="str">
        <f>Summary!B45</f>
        <v xml:space="preserve">UIF - Seminole </v>
      </c>
      <c r="C42" s="11" t="str">
        <f>Summary!C45</f>
        <v>Little Wekiva WM Replacement</v>
      </c>
      <c r="D42" s="78">
        <f>Summary!D45</f>
        <v>521681</v>
      </c>
    </row>
    <row r="43" spans="1:4" ht="30" x14ac:dyDescent="0.25">
      <c r="A43" s="11" t="str">
        <f>Summary!A46</f>
        <v>PCF - 41</v>
      </c>
      <c r="B43" s="11" t="str">
        <f>Summary!B46</f>
        <v xml:space="preserve">UIF - Seminole </v>
      </c>
      <c r="C43" s="11" t="str">
        <f>Summary!C46</f>
        <v>Northwestern FM Replacement (Weathersfield)</v>
      </c>
      <c r="D43" s="78">
        <f>Summary!D46</f>
        <v>120000</v>
      </c>
    </row>
    <row r="44" spans="1:4" x14ac:dyDescent="0.25">
      <c r="A44" s="11" t="str">
        <f>Summary!A47</f>
        <v>PCF - 42</v>
      </c>
      <c r="B44" s="11" t="str">
        <f>Summary!B47</f>
        <v xml:space="preserve">UIF - Seminole </v>
      </c>
      <c r="C44" s="11" t="str">
        <f>Summary!C47</f>
        <v>Oakland Shores WM Replacement</v>
      </c>
      <c r="D44" s="78">
        <f>Summary!D47</f>
        <v>1571701</v>
      </c>
    </row>
    <row r="45" spans="1:4" x14ac:dyDescent="0.25">
      <c r="A45" s="11" t="str">
        <f>Summary!A48</f>
        <v>PCF - 43</v>
      </c>
      <c r="B45" s="11" t="str">
        <f>Summary!B48</f>
        <v xml:space="preserve">UIF - Seminole </v>
      </c>
      <c r="C45" s="11" t="str">
        <f>Summary!C48</f>
        <v>Phillips WM Replacement</v>
      </c>
      <c r="D45" s="78">
        <f>Summary!D48</f>
        <v>1188247</v>
      </c>
    </row>
    <row r="46" spans="1:4" x14ac:dyDescent="0.25">
      <c r="A46" s="11" t="str">
        <f>Summary!A49</f>
        <v>PCF - 44</v>
      </c>
      <c r="B46" s="11" t="str">
        <f>Summary!B49</f>
        <v xml:space="preserve">UIF - Seminole </v>
      </c>
      <c r="C46" s="11" t="str">
        <f>Summary!C49</f>
        <v>Ravenna Park WM Replacement</v>
      </c>
      <c r="D46" s="78">
        <f>Summary!D49</f>
        <v>2160808</v>
      </c>
    </row>
    <row r="47" spans="1:4" ht="30" x14ac:dyDescent="0.25">
      <c r="A47" s="11" t="str">
        <f>Summary!A50</f>
        <v>PCF - 45</v>
      </c>
      <c r="B47" s="11" t="str">
        <f>Summary!B50</f>
        <v xml:space="preserve">UIF - Seminole </v>
      </c>
      <c r="C47" s="11" t="str">
        <f>Summary!C50</f>
        <v>Ravenna Park /Crystal Lake Interconnect</v>
      </c>
      <c r="D47" s="78">
        <f>Summary!D50</f>
        <v>646000</v>
      </c>
    </row>
    <row r="48" spans="1:4" x14ac:dyDescent="0.25">
      <c r="A48" s="11" t="str">
        <f>Summary!A51</f>
        <v>PCF - 46</v>
      </c>
      <c r="B48" s="11"/>
      <c r="C48" s="11" t="str">
        <f>Summary!C51</f>
        <v>Truck Upgrade</v>
      </c>
      <c r="D48" s="78">
        <f>Summary!D51</f>
        <v>44000</v>
      </c>
    </row>
    <row r="49" spans="1:4" x14ac:dyDescent="0.25">
      <c r="A49" s="11" t="str">
        <f>Summary!A52</f>
        <v>PCF - 47</v>
      </c>
      <c r="B49" s="11"/>
      <c r="C49" s="11" t="str">
        <f>Summary!C52</f>
        <v>GIS Mapping Services</v>
      </c>
      <c r="D49" s="78">
        <f>'ATW - 16'!E14</f>
        <v>244321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workbookViewId="0"/>
  </sheetViews>
  <sheetFormatPr defaultRowHeight="15" x14ac:dyDescent="0.25"/>
  <sheetData>
    <row r="3" spans="1:3" x14ac:dyDescent="0.25">
      <c r="A3" t="s">
        <v>271</v>
      </c>
    </row>
    <row r="5" spans="1:3" x14ac:dyDescent="0.25">
      <c r="B5" t="s">
        <v>272</v>
      </c>
      <c r="C5">
        <v>160000</v>
      </c>
    </row>
    <row r="6" spans="1:3" x14ac:dyDescent="0.25">
      <c r="B6" t="s">
        <v>273</v>
      </c>
      <c r="C6">
        <v>40000</v>
      </c>
    </row>
    <row r="7" spans="1:3" x14ac:dyDescent="0.25">
      <c r="B7" t="s">
        <v>274</v>
      </c>
      <c r="C7">
        <v>40000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/>
  </sheetViews>
  <sheetFormatPr defaultRowHeight="15" x14ac:dyDescent="0.25"/>
  <sheetData>
    <row r="2" spans="1:3" x14ac:dyDescent="0.25">
      <c r="A2" t="s">
        <v>209</v>
      </c>
    </row>
    <row r="3" spans="1:3" x14ac:dyDescent="0.25">
      <c r="B3" t="s">
        <v>210</v>
      </c>
      <c r="C3">
        <v>58425</v>
      </c>
    </row>
    <row r="4" spans="1:3" x14ac:dyDescent="0.25">
      <c r="B4" t="s">
        <v>210</v>
      </c>
      <c r="C4">
        <v>35000</v>
      </c>
    </row>
    <row r="5" spans="1:3" x14ac:dyDescent="0.25">
      <c r="B5" t="s">
        <v>211</v>
      </c>
      <c r="C5">
        <v>288131.34000000003</v>
      </c>
    </row>
    <row r="6" spans="1:3" x14ac:dyDescent="0.25">
      <c r="B6" t="s">
        <v>211</v>
      </c>
      <c r="C6">
        <v>5772</v>
      </c>
    </row>
    <row r="7" spans="1:3" x14ac:dyDescent="0.25">
      <c r="B7" t="s">
        <v>211</v>
      </c>
      <c r="C7">
        <v>4040</v>
      </c>
    </row>
    <row r="8" spans="1:3" x14ac:dyDescent="0.25">
      <c r="B8" t="s">
        <v>211</v>
      </c>
      <c r="C8">
        <v>2951.08</v>
      </c>
    </row>
    <row r="9" spans="1:3" x14ac:dyDescent="0.25">
      <c r="B9" t="s">
        <v>212</v>
      </c>
      <c r="C9">
        <v>779.84</v>
      </c>
    </row>
    <row r="10" spans="1:3" x14ac:dyDescent="0.25">
      <c r="B10" t="s">
        <v>213</v>
      </c>
      <c r="C10">
        <v>600</v>
      </c>
    </row>
    <row r="11" spans="1:3" x14ac:dyDescent="0.25">
      <c r="B11" t="s">
        <v>214</v>
      </c>
      <c r="C11">
        <v>1228.06</v>
      </c>
    </row>
    <row r="12" spans="1:3" x14ac:dyDescent="0.25">
      <c r="B12" t="s">
        <v>214</v>
      </c>
      <c r="C12">
        <v>1328.42</v>
      </c>
    </row>
    <row r="13" spans="1:3" x14ac:dyDescent="0.25">
      <c r="B13" t="s">
        <v>214</v>
      </c>
      <c r="C13">
        <v>1125</v>
      </c>
    </row>
    <row r="14" spans="1:3" x14ac:dyDescent="0.25">
      <c r="B14" t="s">
        <v>215</v>
      </c>
      <c r="C14">
        <v>2755.25</v>
      </c>
    </row>
    <row r="15" spans="1:3" x14ac:dyDescent="0.25">
      <c r="B15" t="s">
        <v>216</v>
      </c>
      <c r="C15">
        <v>360</v>
      </c>
    </row>
    <row r="16" spans="1:3" x14ac:dyDescent="0.25">
      <c r="B16" t="s">
        <v>216</v>
      </c>
      <c r="C16">
        <v>250</v>
      </c>
    </row>
    <row r="17" spans="2:3" x14ac:dyDescent="0.25">
      <c r="B17" t="s">
        <v>216</v>
      </c>
      <c r="C17">
        <v>250</v>
      </c>
    </row>
    <row r="18" spans="2:3" x14ac:dyDescent="0.25">
      <c r="B18" t="s">
        <v>216</v>
      </c>
      <c r="C18">
        <v>250</v>
      </c>
    </row>
    <row r="19" spans="2:3" x14ac:dyDescent="0.25">
      <c r="B19" t="s">
        <v>216</v>
      </c>
      <c r="C19">
        <v>846</v>
      </c>
    </row>
    <row r="20" spans="2:3" x14ac:dyDescent="0.25">
      <c r="B20" t="s">
        <v>216</v>
      </c>
      <c r="C20">
        <v>600</v>
      </c>
    </row>
    <row r="21" spans="2:3" x14ac:dyDescent="0.25">
      <c r="B21" t="s">
        <v>216</v>
      </c>
      <c r="C21">
        <v>465</v>
      </c>
    </row>
    <row r="22" spans="2:3" x14ac:dyDescent="0.25">
      <c r="B22" t="s">
        <v>216</v>
      </c>
      <c r="C22">
        <v>1640</v>
      </c>
    </row>
    <row r="23" spans="2:3" x14ac:dyDescent="0.25">
      <c r="B23" t="s">
        <v>217</v>
      </c>
      <c r="C23">
        <v>1867.87</v>
      </c>
    </row>
    <row r="24" spans="2:3" x14ac:dyDescent="0.25">
      <c r="C24">
        <v>7980.8</v>
      </c>
    </row>
    <row r="25" spans="2:3" x14ac:dyDescent="0.25">
      <c r="C25">
        <v>2989.85</v>
      </c>
    </row>
    <row r="26" spans="2:3" x14ac:dyDescent="0.25">
      <c r="C26">
        <v>1370</v>
      </c>
    </row>
    <row r="27" spans="2:3" x14ac:dyDescent="0.25">
      <c r="C27">
        <v>2002.05</v>
      </c>
    </row>
    <row r="28" spans="2:3" x14ac:dyDescent="0.25">
      <c r="B28" t="s">
        <v>218</v>
      </c>
      <c r="C28">
        <v>16628</v>
      </c>
    </row>
    <row r="29" spans="2:3" x14ac:dyDescent="0.25">
      <c r="C29">
        <v>3037</v>
      </c>
    </row>
    <row r="30" spans="2:3" x14ac:dyDescent="0.25">
      <c r="B30" t="s">
        <v>219</v>
      </c>
      <c r="C30">
        <v>12490</v>
      </c>
    </row>
    <row r="31" spans="2:3" x14ac:dyDescent="0.25">
      <c r="B31" t="s">
        <v>220</v>
      </c>
      <c r="C31">
        <v>3739.4</v>
      </c>
    </row>
    <row r="32" spans="2:3" x14ac:dyDescent="0.25">
      <c r="C32">
        <f>SUM(C3:C31)</f>
        <v>458901.96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F32" sqref="F32"/>
    </sheetView>
  </sheetViews>
  <sheetFormatPr defaultRowHeight="15" x14ac:dyDescent="0.25"/>
  <cols>
    <col min="2" max="2" width="14.28515625" bestFit="1" customWidth="1"/>
    <col min="3" max="4" width="12.5703125" bestFit="1" customWidth="1"/>
    <col min="5" max="6" width="14.28515625" bestFit="1" customWidth="1"/>
  </cols>
  <sheetData>
    <row r="2" spans="1:4" x14ac:dyDescent="0.25">
      <c r="A2" t="s">
        <v>209</v>
      </c>
    </row>
    <row r="3" spans="1:4" x14ac:dyDescent="0.25">
      <c r="B3" t="s">
        <v>210</v>
      </c>
      <c r="C3">
        <v>62990</v>
      </c>
      <c r="D3" t="s">
        <v>257</v>
      </c>
    </row>
    <row r="4" spans="1:4" x14ac:dyDescent="0.25">
      <c r="B4" t="s">
        <v>221</v>
      </c>
      <c r="C4">
        <v>1706668.5</v>
      </c>
      <c r="D4" t="s">
        <v>258</v>
      </c>
    </row>
    <row r="5" spans="1:4" x14ac:dyDescent="0.25">
      <c r="C5">
        <v>59250</v>
      </c>
      <c r="D5" t="s">
        <v>259</v>
      </c>
    </row>
    <row r="6" spans="1:4" x14ac:dyDescent="0.25">
      <c r="C6">
        <f>SUM(C3:C5)</f>
        <v>1828908.5</v>
      </c>
    </row>
    <row r="9" spans="1:4" x14ac:dyDescent="0.25">
      <c r="B9" t="s">
        <v>260</v>
      </c>
    </row>
    <row r="10" spans="1:4" x14ac:dyDescent="0.25">
      <c r="B10" t="s">
        <v>262</v>
      </c>
    </row>
    <row r="11" spans="1:4" x14ac:dyDescent="0.25">
      <c r="B11" t="s">
        <v>261</v>
      </c>
      <c r="C11" t="s">
        <v>263</v>
      </c>
      <c r="D11" t="s">
        <v>264</v>
      </c>
    </row>
    <row r="12" spans="1:4" x14ac:dyDescent="0.25">
      <c r="B12">
        <v>10650</v>
      </c>
      <c r="C12">
        <v>750</v>
      </c>
      <c r="D12">
        <v>4400</v>
      </c>
    </row>
    <row r="13" spans="1:4" x14ac:dyDescent="0.25">
      <c r="B13">
        <v>392232.5</v>
      </c>
      <c r="C13">
        <v>153604</v>
      </c>
      <c r="D13">
        <v>75701</v>
      </c>
    </row>
    <row r="14" spans="1:4" x14ac:dyDescent="0.25">
      <c r="B14">
        <v>157500</v>
      </c>
      <c r="C14">
        <v>5500</v>
      </c>
      <c r="D14">
        <v>1000</v>
      </c>
    </row>
    <row r="15" spans="1:4" x14ac:dyDescent="0.25">
      <c r="B15">
        <v>19600</v>
      </c>
      <c r="D15">
        <v>8000</v>
      </c>
    </row>
    <row r="16" spans="1:4" x14ac:dyDescent="0.25">
      <c r="B16">
        <v>4620</v>
      </c>
      <c r="D16">
        <v>400</v>
      </c>
    </row>
    <row r="17" spans="1:6" x14ac:dyDescent="0.25">
      <c r="B17">
        <v>3250</v>
      </c>
      <c r="D17">
        <v>500</v>
      </c>
    </row>
    <row r="18" spans="1:6" x14ac:dyDescent="0.25">
      <c r="B18">
        <v>15600</v>
      </c>
      <c r="D18">
        <v>1200</v>
      </c>
    </row>
    <row r="19" spans="1:6" x14ac:dyDescent="0.25">
      <c r="B19">
        <v>1300</v>
      </c>
      <c r="D19">
        <v>2150</v>
      </c>
    </row>
    <row r="20" spans="1:6" x14ac:dyDescent="0.25">
      <c r="B20">
        <v>1500</v>
      </c>
      <c r="D20">
        <v>3500</v>
      </c>
    </row>
    <row r="21" spans="1:6" x14ac:dyDescent="0.25">
      <c r="B21">
        <v>12500</v>
      </c>
      <c r="D21">
        <v>250</v>
      </c>
    </row>
    <row r="22" spans="1:6" x14ac:dyDescent="0.25">
      <c r="B22">
        <v>45150</v>
      </c>
      <c r="D22">
        <v>126000</v>
      </c>
    </row>
    <row r="23" spans="1:6" x14ac:dyDescent="0.25">
      <c r="B23">
        <v>750</v>
      </c>
    </row>
    <row r="24" spans="1:6" x14ac:dyDescent="0.25">
      <c r="B24">
        <v>148500</v>
      </c>
      <c r="E24" t="s">
        <v>265</v>
      </c>
    </row>
    <row r="25" spans="1:6" x14ac:dyDescent="0.25">
      <c r="B25">
        <f>SUM(B12:B24)</f>
        <v>813152.5</v>
      </c>
      <c r="C25">
        <f>SUM(C12:C24)</f>
        <v>159854</v>
      </c>
      <c r="D25">
        <f>SUM(D12:D24)</f>
        <v>223101</v>
      </c>
      <c r="E25">
        <f>SUM(B25:D25)</f>
        <v>1196107.5</v>
      </c>
    </row>
    <row r="26" spans="1:6" x14ac:dyDescent="0.25">
      <c r="B26">
        <f>B25/$E$25</f>
        <v>0.67983228932182094</v>
      </c>
      <c r="C26">
        <f t="shared" ref="C26:D26" si="0">C25/$E$25</f>
        <v>0.1336451782134967</v>
      </c>
      <c r="D26">
        <f t="shared" si="0"/>
        <v>0.18652253246468231</v>
      </c>
    </row>
    <row r="28" spans="1:6" x14ac:dyDescent="0.25">
      <c r="A28" t="s">
        <v>266</v>
      </c>
    </row>
    <row r="29" spans="1:6" x14ac:dyDescent="0.25">
      <c r="B29" t="s">
        <v>267</v>
      </c>
      <c r="C29" t="s">
        <v>268</v>
      </c>
      <c r="D29" t="s">
        <v>269</v>
      </c>
    </row>
    <row r="30" spans="1:6" x14ac:dyDescent="0.25">
      <c r="A30" t="s">
        <v>339</v>
      </c>
      <c r="B30" s="9">
        <f>B26*$C$6</f>
        <v>1243351.0525151375</v>
      </c>
      <c r="C30" s="9">
        <f t="shared" ref="C30:D30" si="1">C26*$C$6</f>
        <v>244424.80241867891</v>
      </c>
      <c r="D30" s="9">
        <f t="shared" si="1"/>
        <v>341132.64506618341</v>
      </c>
      <c r="E30" s="9">
        <f>SUM(B30:D30)</f>
        <v>1828908.5</v>
      </c>
    </row>
    <row r="31" spans="1:6" x14ac:dyDescent="0.25">
      <c r="A31" t="s">
        <v>340</v>
      </c>
      <c r="B31" s="35">
        <f>B26*$E$31</f>
        <v>1227777.1145152086</v>
      </c>
      <c r="C31" s="35">
        <f t="shared" ref="C31:D31" si="2">C26*$E$31</f>
        <v>241363.19185357503</v>
      </c>
      <c r="D31" s="35">
        <f t="shared" si="2"/>
        <v>336859.69363121624</v>
      </c>
      <c r="E31" s="9">
        <v>1806000</v>
      </c>
      <c r="F31" s="35">
        <f>SUM(B31:D31)</f>
        <v>1805999.9999999998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/>
  </sheetViews>
  <sheetFormatPr defaultRowHeight="15" x14ac:dyDescent="0.25"/>
  <cols>
    <col min="2" max="2" width="20.7109375" bestFit="1" customWidth="1"/>
  </cols>
  <sheetData>
    <row r="2" spans="1:3" x14ac:dyDescent="0.25">
      <c r="A2" t="s">
        <v>255</v>
      </c>
    </row>
    <row r="3" spans="1:3" x14ac:dyDescent="0.25">
      <c r="B3" t="s">
        <v>256</v>
      </c>
      <c r="C3">
        <v>49970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/>
  </sheetViews>
  <sheetFormatPr defaultRowHeight="15" x14ac:dyDescent="0.25"/>
  <sheetData>
    <row r="2" spans="1:6" x14ac:dyDescent="0.25">
      <c r="A2" t="s">
        <v>276</v>
      </c>
    </row>
    <row r="3" spans="1:6" x14ac:dyDescent="0.25">
      <c r="B3" t="s">
        <v>277</v>
      </c>
      <c r="C3">
        <v>999200</v>
      </c>
      <c r="D3" t="s">
        <v>299</v>
      </c>
    </row>
    <row r="4" spans="1:6" x14ac:dyDescent="0.25">
      <c r="C4">
        <v>15000</v>
      </c>
      <c r="D4" t="s">
        <v>278</v>
      </c>
    </row>
    <row r="5" spans="1:6" x14ac:dyDescent="0.25">
      <c r="F5" t="s">
        <v>279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/>
  </sheetViews>
  <sheetFormatPr defaultRowHeight="15" x14ac:dyDescent="0.25"/>
  <sheetData>
    <row r="2" spans="1:4" x14ac:dyDescent="0.25">
      <c r="A2" t="s">
        <v>209</v>
      </c>
    </row>
    <row r="3" spans="1:4" x14ac:dyDescent="0.25">
      <c r="B3" t="s">
        <v>224</v>
      </c>
      <c r="C3">
        <v>41467</v>
      </c>
    </row>
    <row r="4" spans="1:4" x14ac:dyDescent="0.25">
      <c r="B4" t="s">
        <v>225</v>
      </c>
      <c r="C4">
        <v>38608.699999999997</v>
      </c>
    </row>
    <row r="5" spans="1:4" x14ac:dyDescent="0.25">
      <c r="B5" t="s">
        <v>226</v>
      </c>
      <c r="C5">
        <v>12500</v>
      </c>
    </row>
    <row r="6" spans="1:4" x14ac:dyDescent="0.25">
      <c r="C6">
        <f>SUM(C3:C5)</f>
        <v>92575.7</v>
      </c>
      <c r="D6" t="s">
        <v>227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F21" sqref="F21"/>
    </sheetView>
  </sheetViews>
  <sheetFormatPr defaultRowHeight="15" x14ac:dyDescent="0.25"/>
  <cols>
    <col min="2" max="2" width="19.7109375" bestFit="1" customWidth="1"/>
  </cols>
  <sheetData>
    <row r="2" spans="1:5" x14ac:dyDescent="0.25">
      <c r="A2" t="s">
        <v>271</v>
      </c>
    </row>
    <row r="3" spans="1:5" x14ac:dyDescent="0.25">
      <c r="B3" t="s">
        <v>300</v>
      </c>
      <c r="C3">
        <v>107054</v>
      </c>
    </row>
    <row r="4" spans="1:5" x14ac:dyDescent="0.25">
      <c r="B4" t="s">
        <v>300</v>
      </c>
      <c r="C4">
        <v>49700</v>
      </c>
    </row>
    <row r="5" spans="1:5" x14ac:dyDescent="0.25">
      <c r="B5" t="s">
        <v>301</v>
      </c>
      <c r="C5">
        <v>16125</v>
      </c>
    </row>
    <row r="6" spans="1:5" x14ac:dyDescent="0.25">
      <c r="B6" s="33" t="s">
        <v>265</v>
      </c>
      <c r="C6">
        <f>SUM(C3:C5)</f>
        <v>172879</v>
      </c>
    </row>
    <row r="9" spans="1:5" x14ac:dyDescent="0.25">
      <c r="B9" t="s">
        <v>343</v>
      </c>
    </row>
    <row r="10" spans="1:5" x14ac:dyDescent="0.25">
      <c r="C10" t="s">
        <v>268</v>
      </c>
      <c r="D10" t="s">
        <v>344</v>
      </c>
      <c r="E10" t="s">
        <v>265</v>
      </c>
    </row>
    <row r="11" spans="1:5" x14ac:dyDescent="0.25">
      <c r="B11" t="s">
        <v>345</v>
      </c>
      <c r="C11">
        <v>107054</v>
      </c>
    </row>
    <row r="12" spans="1:5" x14ac:dyDescent="0.25">
      <c r="B12" t="s">
        <v>312</v>
      </c>
      <c r="D12">
        <v>49700</v>
      </c>
    </row>
    <row r="13" spans="1:5" x14ac:dyDescent="0.25">
      <c r="B13" t="s">
        <v>301</v>
      </c>
      <c r="D13">
        <v>16125</v>
      </c>
    </row>
    <row r="14" spans="1:5" x14ac:dyDescent="0.25">
      <c r="B14" t="s">
        <v>265</v>
      </c>
      <c r="C14">
        <f>SUM(C11:C13)</f>
        <v>107054</v>
      </c>
      <c r="D14">
        <f>SUM(D11:D13)</f>
        <v>65825</v>
      </c>
      <c r="E14">
        <f>SUM(C14:D14)</f>
        <v>172879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/>
  </sheetViews>
  <sheetFormatPr defaultRowHeight="15" x14ac:dyDescent="0.25"/>
  <sheetData>
    <row r="2" spans="1:4" x14ac:dyDescent="0.25">
      <c r="A2" t="s">
        <v>209</v>
      </c>
    </row>
    <row r="3" spans="1:4" x14ac:dyDescent="0.25">
      <c r="B3" t="s">
        <v>210</v>
      </c>
      <c r="C3">
        <v>29000</v>
      </c>
      <c r="D3" t="s">
        <v>304</v>
      </c>
    </row>
    <row r="4" spans="1:4" x14ac:dyDescent="0.25">
      <c r="B4" t="s">
        <v>234</v>
      </c>
      <c r="C4">
        <v>19244</v>
      </c>
    </row>
    <row r="5" spans="1:4" x14ac:dyDescent="0.25">
      <c r="A5" t="s">
        <v>305</v>
      </c>
    </row>
    <row r="6" spans="1:4" x14ac:dyDescent="0.25">
      <c r="B6" t="s">
        <v>303</v>
      </c>
      <c r="C6">
        <v>197790.4</v>
      </c>
    </row>
    <row r="7" spans="1:4" x14ac:dyDescent="0.25">
      <c r="C7">
        <f>C4+C6</f>
        <v>217034.4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/>
  </sheetViews>
  <sheetFormatPr defaultRowHeight="15" x14ac:dyDescent="0.25"/>
  <sheetData>
    <row r="2" spans="1:3" x14ac:dyDescent="0.25">
      <c r="A2" t="s">
        <v>209</v>
      </c>
    </row>
    <row r="3" spans="1:3" x14ac:dyDescent="0.25">
      <c r="B3" t="s">
        <v>228</v>
      </c>
      <c r="C3">
        <v>26200</v>
      </c>
    </row>
    <row r="4" spans="1:3" x14ac:dyDescent="0.25">
      <c r="B4" t="s">
        <v>229</v>
      </c>
      <c r="C4">
        <v>217250</v>
      </c>
    </row>
    <row r="5" spans="1:3" x14ac:dyDescent="0.25">
      <c r="B5" t="s">
        <v>230</v>
      </c>
      <c r="C5">
        <v>341320</v>
      </c>
    </row>
    <row r="6" spans="1:3" x14ac:dyDescent="0.25">
      <c r="C6">
        <f>SUM(C3:C5)</f>
        <v>584770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/>
  </sheetViews>
  <sheetFormatPr defaultRowHeight="15" x14ac:dyDescent="0.25"/>
  <sheetData>
    <row r="2" spans="1:3" x14ac:dyDescent="0.25">
      <c r="A2" t="s">
        <v>231</v>
      </c>
    </row>
    <row r="3" spans="1:3" x14ac:dyDescent="0.25">
      <c r="B3" t="s">
        <v>221</v>
      </c>
      <c r="C3">
        <v>875013.13</v>
      </c>
    </row>
    <row r="4" spans="1:3" x14ac:dyDescent="0.25">
      <c r="B4" t="s">
        <v>232</v>
      </c>
      <c r="C4">
        <v>718969.4</v>
      </c>
    </row>
    <row r="5" spans="1:3" x14ac:dyDescent="0.25">
      <c r="C5">
        <f>SUM(C3:C4)</f>
        <v>1593982.53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F10" sqref="F10"/>
    </sheetView>
  </sheetViews>
  <sheetFormatPr defaultRowHeight="15" x14ac:dyDescent="0.25"/>
  <cols>
    <col min="2" max="2" width="12.28515625" bestFit="1" customWidth="1"/>
    <col min="3" max="3" width="35.7109375" customWidth="1"/>
    <col min="4" max="4" width="13" customWidth="1"/>
    <col min="5" max="5" width="29" customWidth="1"/>
    <col min="6" max="6" width="29.7109375" customWidth="1"/>
    <col min="7" max="7" width="18.140625" bestFit="1" customWidth="1"/>
  </cols>
  <sheetData>
    <row r="2" spans="1:7" ht="45" x14ac:dyDescent="0.25">
      <c r="A2" s="85" t="s">
        <v>338</v>
      </c>
      <c r="B2" s="85" t="s">
        <v>0</v>
      </c>
      <c r="C2" s="85" t="s">
        <v>1</v>
      </c>
      <c r="D2" s="86" t="s">
        <v>354</v>
      </c>
      <c r="E2" s="85" t="s">
        <v>3</v>
      </c>
      <c r="F2" s="85" t="s">
        <v>4</v>
      </c>
      <c r="G2" s="85" t="s">
        <v>2</v>
      </c>
    </row>
    <row r="3" spans="1:7" x14ac:dyDescent="0.25">
      <c r="A3" s="6" t="s">
        <v>350</v>
      </c>
      <c r="B3" s="6" t="s">
        <v>351</v>
      </c>
      <c r="C3" s="6" t="s">
        <v>6</v>
      </c>
      <c r="D3" s="79">
        <v>30000</v>
      </c>
      <c r="E3" s="6" t="s">
        <v>352</v>
      </c>
      <c r="F3" s="6" t="s">
        <v>353</v>
      </c>
      <c r="G3" s="79">
        <v>25732</v>
      </c>
    </row>
    <row r="4" spans="1:7" ht="30" x14ac:dyDescent="0.25">
      <c r="A4" s="16" t="s">
        <v>164</v>
      </c>
      <c r="B4" s="16" t="s">
        <v>21</v>
      </c>
      <c r="C4" s="16" t="s">
        <v>33</v>
      </c>
      <c r="D4" s="79">
        <v>450000</v>
      </c>
      <c r="E4" s="16" t="s">
        <v>352</v>
      </c>
      <c r="F4" s="6" t="s">
        <v>353</v>
      </c>
      <c r="G4" s="79">
        <v>330832</v>
      </c>
    </row>
    <row r="5" spans="1:7" ht="45" x14ac:dyDescent="0.25">
      <c r="A5" s="16" t="s">
        <v>169</v>
      </c>
      <c r="B5" s="16" t="s">
        <v>42</v>
      </c>
      <c r="C5" s="16" t="s">
        <v>51</v>
      </c>
      <c r="D5" s="17">
        <v>450000</v>
      </c>
      <c r="E5" s="6" t="s">
        <v>355</v>
      </c>
      <c r="F5" s="6" t="s">
        <v>395</v>
      </c>
      <c r="G5" s="79">
        <v>92832</v>
      </c>
    </row>
    <row r="6" spans="1:7" x14ac:dyDescent="0.25">
      <c r="A6" s="14" t="s">
        <v>175</v>
      </c>
      <c r="B6" s="14" t="s">
        <v>53</v>
      </c>
      <c r="C6" s="14" t="s">
        <v>63</v>
      </c>
      <c r="D6" s="15">
        <v>600000</v>
      </c>
      <c r="E6" s="6" t="s">
        <v>369</v>
      </c>
      <c r="F6" s="6" t="s">
        <v>370</v>
      </c>
      <c r="G6" s="81">
        <f>'PCF 17'!D14</f>
        <v>58975.260000000009</v>
      </c>
    </row>
    <row r="7" spans="1:7" ht="30" x14ac:dyDescent="0.25">
      <c r="A7" s="14" t="s">
        <v>182</v>
      </c>
      <c r="B7" s="14" t="s">
        <v>71</v>
      </c>
      <c r="C7" s="16" t="s">
        <v>72</v>
      </c>
      <c r="D7" s="15">
        <v>270000</v>
      </c>
      <c r="E7" s="6" t="s">
        <v>375</v>
      </c>
      <c r="F7" s="6" t="s">
        <v>376</v>
      </c>
      <c r="G7" s="81">
        <f>'PCF 20'!D7</f>
        <v>400937</v>
      </c>
    </row>
    <row r="8" spans="1:7" ht="30" x14ac:dyDescent="0.25">
      <c r="A8" s="14" t="s">
        <v>192</v>
      </c>
      <c r="B8" s="14" t="s">
        <v>79</v>
      </c>
      <c r="C8" s="16" t="s">
        <v>233</v>
      </c>
      <c r="D8" s="15">
        <v>4243423</v>
      </c>
      <c r="E8" s="6" t="s">
        <v>390</v>
      </c>
      <c r="F8" s="6" t="s">
        <v>392</v>
      </c>
      <c r="G8" s="83">
        <v>0</v>
      </c>
    </row>
    <row r="9" spans="1:7" ht="30" x14ac:dyDescent="0.25">
      <c r="A9" s="14" t="s">
        <v>236</v>
      </c>
      <c r="B9" s="14" t="s">
        <v>113</v>
      </c>
      <c r="C9" s="16" t="s">
        <v>114</v>
      </c>
      <c r="D9" s="15">
        <v>1200000</v>
      </c>
      <c r="E9" s="6" t="s">
        <v>391</v>
      </c>
      <c r="F9" s="6" t="s">
        <v>396</v>
      </c>
      <c r="G9" s="83">
        <v>2066888</v>
      </c>
    </row>
    <row r="10" spans="1:7" x14ac:dyDescent="0.25">
      <c r="A10" s="14" t="s">
        <v>237</v>
      </c>
      <c r="B10" s="14" t="s">
        <v>113</v>
      </c>
      <c r="C10" s="16" t="s">
        <v>115</v>
      </c>
      <c r="D10" s="15">
        <v>200000</v>
      </c>
      <c r="E10" s="6" t="s">
        <v>393</v>
      </c>
      <c r="F10" s="6"/>
      <c r="G10" s="83">
        <v>0</v>
      </c>
    </row>
    <row r="11" spans="1:7" x14ac:dyDescent="0.25">
      <c r="A11" s="84"/>
      <c r="B11" s="84"/>
      <c r="C11" s="84"/>
      <c r="D11" s="84"/>
      <c r="E11" s="84"/>
      <c r="F11" s="84"/>
      <c r="G11" s="84"/>
    </row>
    <row r="12" spans="1:7" x14ac:dyDescent="0.25">
      <c r="A12" s="84"/>
      <c r="B12" s="84"/>
      <c r="C12" s="84"/>
      <c r="D12" s="84"/>
      <c r="E12" s="84"/>
      <c r="F12" s="84"/>
      <c r="G12" s="84"/>
    </row>
    <row r="13" spans="1:7" x14ac:dyDescent="0.25">
      <c r="A13" s="84"/>
      <c r="B13" s="84"/>
      <c r="C13" s="84"/>
      <c r="D13" s="84"/>
      <c r="E13" s="84"/>
      <c r="F13" s="84"/>
      <c r="G13" s="84"/>
    </row>
    <row r="14" spans="1:7" x14ac:dyDescent="0.25">
      <c r="A14" s="84"/>
      <c r="B14" s="84"/>
      <c r="C14" s="84"/>
      <c r="D14" s="84"/>
      <c r="E14" s="84"/>
      <c r="F14" s="84"/>
      <c r="G14" s="84"/>
    </row>
    <row r="15" spans="1:7" x14ac:dyDescent="0.25">
      <c r="A15" s="84"/>
      <c r="B15" s="84"/>
      <c r="C15" s="84"/>
      <c r="D15" s="84"/>
      <c r="E15" s="84"/>
      <c r="F15" s="84"/>
      <c r="G15" s="84"/>
    </row>
    <row r="16" spans="1:7" x14ac:dyDescent="0.25">
      <c r="A16" s="84"/>
      <c r="B16" s="84"/>
      <c r="C16" s="84"/>
      <c r="D16" s="84"/>
      <c r="E16" s="84"/>
      <c r="F16" s="84"/>
      <c r="G16" s="84"/>
    </row>
  </sheetData>
  <pageMargins left="0.7" right="0.7" top="0.75" bottom="0.75" header="0.3" footer="0.3"/>
  <pageSetup paperSize="23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opLeftCell="A7" workbookViewId="0">
      <selection activeCell="I19" sqref="I19"/>
    </sheetView>
  </sheetViews>
  <sheetFormatPr defaultRowHeight="15" x14ac:dyDescent="0.25"/>
  <sheetData>
    <row r="2" spans="1:5" x14ac:dyDescent="0.25">
      <c r="A2" t="s">
        <v>209</v>
      </c>
    </row>
    <row r="3" spans="1:5" x14ac:dyDescent="0.25">
      <c r="B3" t="s">
        <v>234</v>
      </c>
      <c r="C3">
        <v>236923</v>
      </c>
    </row>
    <row r="4" spans="1:5" x14ac:dyDescent="0.25">
      <c r="B4" t="s">
        <v>210</v>
      </c>
      <c r="C4">
        <v>23500</v>
      </c>
    </row>
    <row r="7" spans="1:5" x14ac:dyDescent="0.25">
      <c r="A7" t="s">
        <v>356</v>
      </c>
    </row>
    <row r="8" spans="1:5" x14ac:dyDescent="0.25">
      <c r="B8" t="s">
        <v>377</v>
      </c>
      <c r="D8">
        <v>3012273</v>
      </c>
      <c r="E8" t="s">
        <v>378</v>
      </c>
    </row>
    <row r="9" spans="1:5" x14ac:dyDescent="0.25">
      <c r="B9" t="s">
        <v>379</v>
      </c>
      <c r="D9">
        <v>1443012</v>
      </c>
      <c r="E9" t="s">
        <v>380</v>
      </c>
    </row>
    <row r="10" spans="1:5" x14ac:dyDescent="0.25">
      <c r="B10" t="s">
        <v>381</v>
      </c>
      <c r="D10">
        <v>2244445</v>
      </c>
      <c r="E10" t="s">
        <v>380</v>
      </c>
    </row>
    <row r="11" spans="1:5" x14ac:dyDescent="0.25">
      <c r="B11" t="s">
        <v>382</v>
      </c>
      <c r="D11">
        <v>29750</v>
      </c>
      <c r="E11" t="s">
        <v>383</v>
      </c>
    </row>
    <row r="12" spans="1:5" x14ac:dyDescent="0.25">
      <c r="B12" t="s">
        <v>384</v>
      </c>
      <c r="D12">
        <v>600</v>
      </c>
      <c r="E12" t="s">
        <v>383</v>
      </c>
    </row>
    <row r="13" spans="1:5" x14ac:dyDescent="0.25">
      <c r="B13" t="s">
        <v>385</v>
      </c>
      <c r="D13">
        <v>5436</v>
      </c>
      <c r="E13" t="s">
        <v>386</v>
      </c>
    </row>
    <row r="14" spans="1:5" x14ac:dyDescent="0.25">
      <c r="B14" t="s">
        <v>387</v>
      </c>
      <c r="D14">
        <v>925350</v>
      </c>
      <c r="E14" t="s">
        <v>380</v>
      </c>
    </row>
    <row r="15" spans="1:5" x14ac:dyDescent="0.25">
      <c r="B15" t="s">
        <v>388</v>
      </c>
      <c r="D15" s="80">
        <v>106659</v>
      </c>
      <c r="E15" t="s">
        <v>389</v>
      </c>
    </row>
    <row r="16" spans="1:5" x14ac:dyDescent="0.25">
      <c r="C16" t="s">
        <v>265</v>
      </c>
      <c r="D16">
        <f>SUM(D8:D15)</f>
        <v>7767525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/>
  </sheetViews>
  <sheetFormatPr defaultRowHeight="15" x14ac:dyDescent="0.25"/>
  <cols>
    <col min="2" max="2" width="12.5703125" bestFit="1" customWidth="1"/>
    <col min="3" max="3" width="14.28515625" bestFit="1" customWidth="1"/>
  </cols>
  <sheetData>
    <row r="2" spans="1:4" x14ac:dyDescent="0.25">
      <c r="A2" t="s">
        <v>307</v>
      </c>
    </row>
    <row r="3" spans="1:4" x14ac:dyDescent="0.25">
      <c r="B3" t="s">
        <v>308</v>
      </c>
      <c r="C3">
        <v>1526000</v>
      </c>
      <c r="D3" t="s">
        <v>311</v>
      </c>
    </row>
    <row r="4" spans="1:4" x14ac:dyDescent="0.25">
      <c r="B4" t="s">
        <v>309</v>
      </c>
      <c r="C4">
        <v>158850</v>
      </c>
      <c r="D4" t="s">
        <v>310</v>
      </c>
    </row>
    <row r="5" spans="1:4" x14ac:dyDescent="0.25">
      <c r="B5" t="s">
        <v>309</v>
      </c>
      <c r="C5">
        <v>10534</v>
      </c>
      <c r="D5" t="s">
        <v>312</v>
      </c>
    </row>
    <row r="7" spans="1:4" x14ac:dyDescent="0.25">
      <c r="B7" t="s">
        <v>313</v>
      </c>
      <c r="C7" t="s">
        <v>37</v>
      </c>
    </row>
    <row r="8" spans="1:4" x14ac:dyDescent="0.25">
      <c r="B8" t="s">
        <v>314</v>
      </c>
    </row>
    <row r="9" spans="1:4" x14ac:dyDescent="0.25">
      <c r="B9" t="s">
        <v>315</v>
      </c>
    </row>
    <row r="11" spans="1:4" x14ac:dyDescent="0.25">
      <c r="B11">
        <v>56083.5</v>
      </c>
    </row>
    <row r="12" spans="1:4" x14ac:dyDescent="0.25">
      <c r="B12">
        <v>182912.4</v>
      </c>
    </row>
    <row r="13" spans="1:4" x14ac:dyDescent="0.25">
      <c r="B13">
        <v>150811.20000000001</v>
      </c>
    </row>
    <row r="14" spans="1:4" x14ac:dyDescent="0.25">
      <c r="B14">
        <v>171027.9</v>
      </c>
    </row>
    <row r="15" spans="1:4" x14ac:dyDescent="0.25">
      <c r="B15" s="9">
        <f>SUM(B11:B14)</f>
        <v>560835</v>
      </c>
    </row>
    <row r="16" spans="1:4" x14ac:dyDescent="0.25">
      <c r="B16">
        <v>0.06</v>
      </c>
    </row>
    <row r="18" spans="1:4" x14ac:dyDescent="0.25">
      <c r="B18" t="s">
        <v>316</v>
      </c>
      <c r="C18" s="35">
        <f>B16*B15</f>
        <v>33650.1</v>
      </c>
    </row>
    <row r="20" spans="1:4" x14ac:dyDescent="0.25">
      <c r="A20" t="s">
        <v>265</v>
      </c>
    </row>
    <row r="21" spans="1:4" x14ac:dyDescent="0.25">
      <c r="B21" t="s">
        <v>308</v>
      </c>
      <c r="C21">
        <v>1526000</v>
      </c>
      <c r="D21" t="s">
        <v>311</v>
      </c>
    </row>
    <row r="22" spans="1:4" x14ac:dyDescent="0.25">
      <c r="B22" t="s">
        <v>309</v>
      </c>
      <c r="C22">
        <v>158850</v>
      </c>
      <c r="D22" t="s">
        <v>310</v>
      </c>
    </row>
    <row r="23" spans="1:4" x14ac:dyDescent="0.25">
      <c r="B23" t="s">
        <v>309</v>
      </c>
      <c r="C23">
        <v>10534</v>
      </c>
      <c r="D23" t="s">
        <v>312</v>
      </c>
    </row>
    <row r="24" spans="1:4" x14ac:dyDescent="0.25">
      <c r="B24" s="35" t="s">
        <v>317</v>
      </c>
      <c r="C24" s="35">
        <f>C18</f>
        <v>33650.1</v>
      </c>
    </row>
    <row r="25" spans="1:4" x14ac:dyDescent="0.25">
      <c r="B25" t="s">
        <v>265</v>
      </c>
      <c r="C25" s="9">
        <f>SUM(C21:C24)</f>
        <v>1729034.1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/>
  </sheetViews>
  <sheetFormatPr defaultRowHeight="15" x14ac:dyDescent="0.25"/>
  <cols>
    <col min="3" max="3" width="12.5703125" bestFit="1" customWidth="1"/>
  </cols>
  <sheetData>
    <row r="2" spans="1:3" x14ac:dyDescent="0.25">
      <c r="A2" t="s">
        <v>231</v>
      </c>
    </row>
    <row r="3" spans="1:3" x14ac:dyDescent="0.25">
      <c r="B3" t="s">
        <v>239</v>
      </c>
      <c r="C3">
        <v>83750</v>
      </c>
    </row>
    <row r="4" spans="1:3" x14ac:dyDescent="0.25">
      <c r="B4" t="s">
        <v>230</v>
      </c>
      <c r="C4">
        <v>146480</v>
      </c>
    </row>
    <row r="5" spans="1:3" x14ac:dyDescent="0.25">
      <c r="B5" t="s">
        <v>228</v>
      </c>
      <c r="C5">
        <v>14700</v>
      </c>
    </row>
    <row r="6" spans="1:3" x14ac:dyDescent="0.25">
      <c r="B6" t="s">
        <v>228</v>
      </c>
      <c r="C6">
        <v>12600</v>
      </c>
    </row>
    <row r="7" spans="1:3" x14ac:dyDescent="0.25">
      <c r="B7" t="s">
        <v>228</v>
      </c>
      <c r="C7">
        <v>11300</v>
      </c>
    </row>
    <row r="8" spans="1:3" x14ac:dyDescent="0.25">
      <c r="C8" s="9">
        <f>SUM(C3:C7)</f>
        <v>268830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1"/>
  <sheetViews>
    <sheetView topLeftCell="A46" workbookViewId="0">
      <selection activeCell="A39" sqref="A39:D39"/>
    </sheetView>
  </sheetViews>
  <sheetFormatPr defaultRowHeight="15" x14ac:dyDescent="0.25"/>
  <cols>
    <col min="2" max="2" width="15" customWidth="1"/>
    <col min="3" max="3" width="30" customWidth="1"/>
    <col min="4" max="4" width="17.42578125" style="1" customWidth="1"/>
    <col min="5" max="5" width="17.42578125" style="2" customWidth="1"/>
    <col min="6" max="6" width="27.140625" customWidth="1"/>
    <col min="7" max="7" width="41.42578125" customWidth="1"/>
    <col min="8" max="8" width="36" customWidth="1"/>
    <col min="9" max="9" width="23.42578125" customWidth="1"/>
    <col min="10" max="10" width="18" customWidth="1"/>
    <col min="11" max="11" width="12.5703125" bestFit="1" customWidth="1"/>
  </cols>
  <sheetData>
    <row r="2" spans="1:10" x14ac:dyDescent="0.25">
      <c r="B2" t="s">
        <v>15</v>
      </c>
    </row>
    <row r="3" spans="1:10" x14ac:dyDescent="0.25">
      <c r="B3" t="s">
        <v>16</v>
      </c>
    </row>
    <row r="5" spans="1:10" x14ac:dyDescent="0.25">
      <c r="A5" s="3" t="s">
        <v>338</v>
      </c>
      <c r="B5" s="3" t="s">
        <v>0</v>
      </c>
      <c r="C5" s="3" t="s">
        <v>1</v>
      </c>
      <c r="D5" s="4" t="s">
        <v>2</v>
      </c>
      <c r="E5" s="5" t="s">
        <v>10</v>
      </c>
      <c r="F5" s="3" t="s">
        <v>3</v>
      </c>
      <c r="G5" s="3" t="s">
        <v>4</v>
      </c>
      <c r="H5" s="3"/>
      <c r="I5" s="3" t="s">
        <v>156</v>
      </c>
    </row>
    <row r="6" spans="1:10" s="49" customFormat="1" x14ac:dyDescent="0.25">
      <c r="A6" s="43" t="s">
        <v>152</v>
      </c>
      <c r="B6" s="43" t="s">
        <v>5</v>
      </c>
      <c r="C6" s="43" t="s">
        <v>6</v>
      </c>
      <c r="D6" s="45">
        <v>30000</v>
      </c>
      <c r="E6" s="57" t="s">
        <v>28</v>
      </c>
      <c r="F6" s="44" t="s">
        <v>11</v>
      </c>
      <c r="G6" s="44" t="s">
        <v>147</v>
      </c>
      <c r="H6" s="43"/>
      <c r="I6" s="58">
        <v>25732</v>
      </c>
      <c r="J6" s="49" t="s">
        <v>270</v>
      </c>
    </row>
    <row r="7" spans="1:10" s="41" customFormat="1" ht="30" x14ac:dyDescent="0.25">
      <c r="A7" s="36" t="s">
        <v>153</v>
      </c>
      <c r="B7" s="36" t="s">
        <v>5</v>
      </c>
      <c r="C7" s="36" t="s">
        <v>7</v>
      </c>
      <c r="D7" s="38">
        <v>50200</v>
      </c>
      <c r="E7" s="40" t="s">
        <v>12</v>
      </c>
      <c r="F7" s="37" t="s">
        <v>13</v>
      </c>
      <c r="G7" s="37" t="s">
        <v>20</v>
      </c>
      <c r="H7" s="37" t="s">
        <v>148</v>
      </c>
      <c r="I7" s="50">
        <f>D7</f>
        <v>50200</v>
      </c>
      <c r="J7" s="52" t="s">
        <v>199</v>
      </c>
    </row>
    <row r="8" spans="1:10" s="49" customFormat="1" ht="45" x14ac:dyDescent="0.25">
      <c r="A8" s="43" t="s">
        <v>154</v>
      </c>
      <c r="B8" s="43" t="s">
        <v>9</v>
      </c>
      <c r="C8" s="43" t="s">
        <v>8</v>
      </c>
      <c r="D8" s="45">
        <v>350000</v>
      </c>
      <c r="E8" s="47" t="s">
        <v>14</v>
      </c>
      <c r="F8" s="47" t="s">
        <v>19</v>
      </c>
      <c r="G8" s="47" t="s">
        <v>155</v>
      </c>
      <c r="H8" s="47" t="s">
        <v>157</v>
      </c>
      <c r="I8" s="47">
        <v>106387.7</v>
      </c>
      <c r="J8" s="56" t="s">
        <v>298</v>
      </c>
    </row>
    <row r="9" spans="1:10" s="41" customFormat="1" ht="30" x14ac:dyDescent="0.25">
      <c r="A9" s="36" t="s">
        <v>158</v>
      </c>
      <c r="B9" s="36" t="s">
        <v>17</v>
      </c>
      <c r="C9" s="36" t="s">
        <v>18</v>
      </c>
      <c r="D9" s="38">
        <v>61137</v>
      </c>
      <c r="E9" s="40" t="s">
        <v>12</v>
      </c>
      <c r="F9" s="37" t="s">
        <v>13</v>
      </c>
      <c r="G9" s="37" t="s">
        <v>20</v>
      </c>
      <c r="H9" s="37" t="s">
        <v>149</v>
      </c>
      <c r="I9" s="50">
        <f>D9</f>
        <v>61137</v>
      </c>
      <c r="J9" s="52" t="s">
        <v>199</v>
      </c>
    </row>
    <row r="10" spans="1:10" s="49" customFormat="1" ht="45" x14ac:dyDescent="0.25">
      <c r="A10" s="43" t="s">
        <v>159</v>
      </c>
      <c r="B10" s="43" t="s">
        <v>21</v>
      </c>
      <c r="C10" s="43" t="s">
        <v>22</v>
      </c>
      <c r="D10" s="45">
        <v>245000</v>
      </c>
      <c r="E10" s="47" t="s">
        <v>23</v>
      </c>
      <c r="F10" s="47" t="s">
        <v>24</v>
      </c>
      <c r="G10" s="44" t="s">
        <v>25</v>
      </c>
      <c r="H10" s="44" t="s">
        <v>150</v>
      </c>
      <c r="I10" s="67">
        <v>240000</v>
      </c>
      <c r="J10" s="51" t="s">
        <v>275</v>
      </c>
    </row>
    <row r="11" spans="1:10" s="41" customFormat="1" ht="30" x14ac:dyDescent="0.25">
      <c r="A11" s="36" t="s">
        <v>160</v>
      </c>
      <c r="B11" s="36" t="s">
        <v>21</v>
      </c>
      <c r="C11" s="36" t="s">
        <v>26</v>
      </c>
      <c r="D11" s="38">
        <v>181400</v>
      </c>
      <c r="E11" s="40" t="s">
        <v>23</v>
      </c>
      <c r="F11" s="40" t="s">
        <v>27</v>
      </c>
      <c r="G11" s="37" t="s">
        <v>25</v>
      </c>
      <c r="H11" s="36"/>
      <c r="I11" s="50">
        <f>D11</f>
        <v>181400</v>
      </c>
      <c r="J11" s="52" t="s">
        <v>199</v>
      </c>
    </row>
    <row r="12" spans="1:10" s="49" customFormat="1" ht="30" x14ac:dyDescent="0.25">
      <c r="A12" s="43" t="s">
        <v>161</v>
      </c>
      <c r="B12" s="43" t="s">
        <v>21</v>
      </c>
      <c r="C12" s="43" t="s">
        <v>29</v>
      </c>
      <c r="D12" s="45">
        <v>470000</v>
      </c>
      <c r="E12" s="54" t="s">
        <v>30</v>
      </c>
      <c r="F12" s="47" t="s">
        <v>27</v>
      </c>
      <c r="G12" s="44" t="s">
        <v>162</v>
      </c>
      <c r="H12" s="43"/>
      <c r="I12" s="55">
        <f>'PCF - 7'!C32</f>
        <v>458901.96</v>
      </c>
      <c r="J12" s="51" t="s">
        <v>250</v>
      </c>
    </row>
    <row r="13" spans="1:10" s="66" customFormat="1" ht="45" x14ac:dyDescent="0.25">
      <c r="A13" s="59" t="s">
        <v>163</v>
      </c>
      <c r="B13" s="59" t="s">
        <v>21</v>
      </c>
      <c r="C13" s="59" t="s">
        <v>31</v>
      </c>
      <c r="D13" s="60">
        <v>79250</v>
      </c>
      <c r="E13" s="61" t="s">
        <v>12</v>
      </c>
      <c r="F13" s="62" t="s">
        <v>24</v>
      </c>
      <c r="G13" s="63" t="s">
        <v>32</v>
      </c>
      <c r="H13" s="59"/>
      <c r="I13" s="64">
        <f>D13</f>
        <v>79250</v>
      </c>
      <c r="J13" s="65" t="s">
        <v>200</v>
      </c>
    </row>
    <row r="14" spans="1:10" s="25" customFormat="1" ht="30" x14ac:dyDescent="0.25">
      <c r="A14" s="19" t="s">
        <v>164</v>
      </c>
      <c r="B14" s="19" t="s">
        <v>21</v>
      </c>
      <c r="C14" s="19" t="s">
        <v>33</v>
      </c>
      <c r="D14" s="20">
        <v>450000</v>
      </c>
      <c r="E14" s="21" t="s">
        <v>34</v>
      </c>
      <c r="F14" s="22" t="s">
        <v>35</v>
      </c>
      <c r="G14" s="23" t="s">
        <v>36</v>
      </c>
      <c r="H14" s="19"/>
      <c r="I14" s="19">
        <v>0</v>
      </c>
      <c r="J14" s="24"/>
    </row>
    <row r="15" spans="1:10" s="41" customFormat="1" ht="45" x14ac:dyDescent="0.25">
      <c r="A15" s="36" t="s">
        <v>165</v>
      </c>
      <c r="B15" s="36" t="s">
        <v>21</v>
      </c>
      <c r="C15" s="37" t="s">
        <v>38</v>
      </c>
      <c r="D15" s="38">
        <v>1806000</v>
      </c>
      <c r="E15" s="39" t="s">
        <v>39</v>
      </c>
      <c r="F15" s="40" t="s">
        <v>40</v>
      </c>
      <c r="G15" s="37" t="s">
        <v>41</v>
      </c>
      <c r="H15" s="37" t="s">
        <v>166</v>
      </c>
      <c r="I15" s="53">
        <f>'PCF - 10 10a'!C6</f>
        <v>1828908.5</v>
      </c>
      <c r="J15" s="52" t="s">
        <v>199</v>
      </c>
    </row>
    <row r="16" spans="1:10" s="41" customFormat="1" ht="30" x14ac:dyDescent="0.25">
      <c r="A16" s="36" t="s">
        <v>167</v>
      </c>
      <c r="B16" s="36" t="s">
        <v>42</v>
      </c>
      <c r="C16" s="36" t="s">
        <v>43</v>
      </c>
      <c r="D16" s="38">
        <v>193880</v>
      </c>
      <c r="E16" s="39" t="s">
        <v>44</v>
      </c>
      <c r="F16" s="40" t="s">
        <v>45</v>
      </c>
      <c r="G16" s="37" t="s">
        <v>46</v>
      </c>
      <c r="H16" s="37" t="s">
        <v>179</v>
      </c>
      <c r="I16" s="50">
        <v>253524</v>
      </c>
      <c r="J16" s="52" t="s">
        <v>199</v>
      </c>
    </row>
    <row r="17" spans="1:10" s="41" customFormat="1" x14ac:dyDescent="0.25">
      <c r="A17" s="36" t="s">
        <v>168</v>
      </c>
      <c r="B17" s="36" t="s">
        <v>42</v>
      </c>
      <c r="C17" s="36" t="s">
        <v>47</v>
      </c>
      <c r="D17" s="38">
        <v>50000</v>
      </c>
      <c r="E17" s="39" t="s">
        <v>48</v>
      </c>
      <c r="F17" s="40" t="s">
        <v>49</v>
      </c>
      <c r="G17" s="37" t="s">
        <v>50</v>
      </c>
      <c r="H17" s="36"/>
      <c r="I17" s="50">
        <f>D17</f>
        <v>50000</v>
      </c>
      <c r="J17" s="52" t="s">
        <v>199</v>
      </c>
    </row>
    <row r="18" spans="1:10" s="25" customFormat="1" x14ac:dyDescent="0.25">
      <c r="A18" s="19" t="s">
        <v>169</v>
      </c>
      <c r="B18" s="19" t="s">
        <v>42</v>
      </c>
      <c r="C18" s="19" t="s">
        <v>51</v>
      </c>
      <c r="D18" s="20">
        <v>450000</v>
      </c>
      <c r="E18" s="21" t="s">
        <v>52</v>
      </c>
      <c r="F18" s="19"/>
      <c r="G18" s="19"/>
      <c r="H18" s="19"/>
      <c r="I18" s="19"/>
      <c r="J18" s="24"/>
    </row>
    <row r="19" spans="1:10" ht="75" x14ac:dyDescent="0.25">
      <c r="A19" s="3" t="s">
        <v>170</v>
      </c>
      <c r="B19" s="3" t="s">
        <v>53</v>
      </c>
      <c r="C19" s="6" t="s">
        <v>54</v>
      </c>
      <c r="D19" s="4">
        <v>900000</v>
      </c>
      <c r="E19" s="5" t="s">
        <v>39</v>
      </c>
      <c r="F19" s="7" t="s">
        <v>55</v>
      </c>
      <c r="G19" s="6" t="s">
        <v>56</v>
      </c>
      <c r="H19" s="6" t="s">
        <v>171</v>
      </c>
      <c r="I19" s="6">
        <v>0</v>
      </c>
      <c r="J19" s="8" t="s">
        <v>280</v>
      </c>
    </row>
    <row r="20" spans="1:10" s="41" customFormat="1" x14ac:dyDescent="0.25">
      <c r="A20" s="36" t="s">
        <v>172</v>
      </c>
      <c r="B20" s="36" t="s">
        <v>53</v>
      </c>
      <c r="C20" s="37" t="s">
        <v>58</v>
      </c>
      <c r="D20" s="38">
        <v>65000</v>
      </c>
      <c r="E20" s="39" t="s">
        <v>30</v>
      </c>
      <c r="F20" s="40" t="s">
        <v>24</v>
      </c>
      <c r="G20" s="37" t="s">
        <v>59</v>
      </c>
      <c r="H20" s="36"/>
      <c r="I20" s="50">
        <f>D20</f>
        <v>65000</v>
      </c>
      <c r="J20" s="52"/>
    </row>
    <row r="21" spans="1:10" s="41" customFormat="1" ht="30" x14ac:dyDescent="0.25">
      <c r="A21" s="36" t="s">
        <v>173</v>
      </c>
      <c r="B21" s="36" t="s">
        <v>53</v>
      </c>
      <c r="C21" s="36" t="s">
        <v>61</v>
      </c>
      <c r="D21" s="38">
        <v>80000</v>
      </c>
      <c r="E21" s="39" t="s">
        <v>60</v>
      </c>
      <c r="F21" s="40" t="s">
        <v>49</v>
      </c>
      <c r="G21" s="37" t="s">
        <v>62</v>
      </c>
      <c r="H21" s="36" t="s">
        <v>174</v>
      </c>
      <c r="I21" s="50">
        <f>D21</f>
        <v>80000</v>
      </c>
      <c r="J21" s="52" t="s">
        <v>201</v>
      </c>
    </row>
    <row r="22" spans="1:10" s="25" customFormat="1" ht="30" x14ac:dyDescent="0.25">
      <c r="A22" s="19" t="s">
        <v>175</v>
      </c>
      <c r="B22" s="19" t="s">
        <v>53</v>
      </c>
      <c r="C22" s="19" t="s">
        <v>63</v>
      </c>
      <c r="D22" s="20">
        <v>600000</v>
      </c>
      <c r="E22" s="21" t="s">
        <v>34</v>
      </c>
      <c r="F22" s="22" t="s">
        <v>64</v>
      </c>
      <c r="G22" s="19"/>
      <c r="H22" s="19"/>
      <c r="I22" s="19"/>
      <c r="J22" s="24"/>
    </row>
    <row r="23" spans="1:10" s="49" customFormat="1" ht="30" x14ac:dyDescent="0.25">
      <c r="A23" s="43" t="s">
        <v>176</v>
      </c>
      <c r="B23" s="43" t="s">
        <v>53</v>
      </c>
      <c r="C23" s="44" t="s">
        <v>57</v>
      </c>
      <c r="D23" s="45">
        <v>102000</v>
      </c>
      <c r="E23" s="47" t="s">
        <v>65</v>
      </c>
      <c r="F23" s="47" t="s">
        <v>66</v>
      </c>
      <c r="G23" s="44" t="s">
        <v>67</v>
      </c>
      <c r="H23" s="44" t="s">
        <v>177</v>
      </c>
      <c r="I23" s="44">
        <f>'PCF 18'!C6</f>
        <v>92575.7</v>
      </c>
      <c r="J23" s="51" t="s">
        <v>199</v>
      </c>
    </row>
    <row r="24" spans="1:10" s="49" customFormat="1" ht="30" x14ac:dyDescent="0.25">
      <c r="A24" s="43" t="s">
        <v>178</v>
      </c>
      <c r="B24" s="43" t="s">
        <v>53</v>
      </c>
      <c r="C24" s="44" t="s">
        <v>68</v>
      </c>
      <c r="D24" s="45">
        <v>230000</v>
      </c>
      <c r="E24" s="46" t="s">
        <v>69</v>
      </c>
      <c r="F24" s="47" t="s">
        <v>70</v>
      </c>
      <c r="G24" s="44" t="s">
        <v>180</v>
      </c>
      <c r="H24" s="44" t="s">
        <v>181</v>
      </c>
      <c r="I24" s="43">
        <f>'PCF 19'!C6</f>
        <v>172879</v>
      </c>
      <c r="J24" s="68" t="s">
        <v>302</v>
      </c>
    </row>
    <row r="25" spans="1:10" s="25" customFormat="1" x14ac:dyDescent="0.25">
      <c r="A25" s="19" t="s">
        <v>182</v>
      </c>
      <c r="B25" s="19" t="s">
        <v>71</v>
      </c>
      <c r="C25" s="23" t="s">
        <v>72</v>
      </c>
      <c r="D25" s="20">
        <v>270000</v>
      </c>
      <c r="E25" s="21" t="s">
        <v>73</v>
      </c>
      <c r="F25" s="21" t="s">
        <v>73</v>
      </c>
      <c r="G25" s="19"/>
      <c r="H25" s="19"/>
      <c r="I25" s="19"/>
      <c r="J25" s="24"/>
    </row>
    <row r="26" spans="1:10" s="49" customFormat="1" ht="30" x14ac:dyDescent="0.25">
      <c r="A26" s="43" t="s">
        <v>183</v>
      </c>
      <c r="B26" s="43" t="s">
        <v>74</v>
      </c>
      <c r="C26" s="44" t="s">
        <v>75</v>
      </c>
      <c r="D26" s="45">
        <v>250000</v>
      </c>
      <c r="E26" s="46" t="s">
        <v>76</v>
      </c>
      <c r="F26" s="47" t="s">
        <v>77</v>
      </c>
      <c r="G26" s="44" t="s">
        <v>78</v>
      </c>
      <c r="H26" s="44" t="s">
        <v>184</v>
      </c>
      <c r="I26" s="43">
        <f>'PCF - 21'!C7</f>
        <v>217034.4</v>
      </c>
      <c r="J26" s="51" t="s">
        <v>306</v>
      </c>
    </row>
    <row r="27" spans="1:10" s="41" customFormat="1" ht="30" x14ac:dyDescent="0.25">
      <c r="A27" s="36" t="s">
        <v>185</v>
      </c>
      <c r="B27" s="36" t="s">
        <v>79</v>
      </c>
      <c r="C27" s="37" t="s">
        <v>81</v>
      </c>
      <c r="D27" s="38">
        <v>98970</v>
      </c>
      <c r="E27" s="39" t="s">
        <v>80</v>
      </c>
      <c r="F27" s="40" t="s">
        <v>82</v>
      </c>
      <c r="G27" s="37" t="s">
        <v>83</v>
      </c>
      <c r="H27" s="36"/>
      <c r="I27" s="50">
        <f>D27</f>
        <v>98970</v>
      </c>
    </row>
    <row r="28" spans="1:10" s="41" customFormat="1" x14ac:dyDescent="0.25">
      <c r="A28" s="36" t="s">
        <v>186</v>
      </c>
      <c r="B28" s="36" t="s">
        <v>79</v>
      </c>
      <c r="C28" s="37" t="s">
        <v>84</v>
      </c>
      <c r="D28" s="38">
        <v>353200</v>
      </c>
      <c r="E28" s="39" t="s">
        <v>37</v>
      </c>
      <c r="F28" s="40" t="s">
        <v>85</v>
      </c>
      <c r="G28" s="37" t="s">
        <v>187</v>
      </c>
      <c r="H28" s="36"/>
      <c r="I28" s="38">
        <f>'PCF - 23'!C6</f>
        <v>584770</v>
      </c>
      <c r="J28" s="41" t="s">
        <v>199</v>
      </c>
    </row>
    <row r="29" spans="1:10" s="41" customFormat="1" ht="30" x14ac:dyDescent="0.25">
      <c r="A29" s="36" t="s">
        <v>188</v>
      </c>
      <c r="B29" s="36" t="s">
        <v>79</v>
      </c>
      <c r="C29" s="37" t="s">
        <v>86</v>
      </c>
      <c r="D29" s="38">
        <v>65900</v>
      </c>
      <c r="E29" s="39" t="s">
        <v>87</v>
      </c>
      <c r="F29" s="40" t="s">
        <v>88</v>
      </c>
      <c r="G29" s="37" t="s">
        <v>89</v>
      </c>
      <c r="H29" s="36"/>
      <c r="I29" s="50">
        <f>D29</f>
        <v>65900</v>
      </c>
      <c r="J29" s="41" t="s">
        <v>199</v>
      </c>
    </row>
    <row r="30" spans="1:10" s="49" customFormat="1" ht="45" x14ac:dyDescent="0.25">
      <c r="A30" s="43" t="s">
        <v>189</v>
      </c>
      <c r="B30" s="43" t="s">
        <v>79</v>
      </c>
      <c r="C30" s="44" t="s">
        <v>90</v>
      </c>
      <c r="D30" s="45">
        <v>695450</v>
      </c>
      <c r="E30" s="46" t="s">
        <v>80</v>
      </c>
      <c r="F30" s="47" t="s">
        <v>88</v>
      </c>
      <c r="G30" s="44" t="s">
        <v>91</v>
      </c>
      <c r="H30" s="43"/>
      <c r="I30" s="70">
        <f>'PCF - 31'!C14</f>
        <v>684271.15999999992</v>
      </c>
    </row>
    <row r="31" spans="1:10" s="41" customFormat="1" ht="30" x14ac:dyDescent="0.25">
      <c r="A31" s="36" t="s">
        <v>190</v>
      </c>
      <c r="B31" s="36" t="s">
        <v>79</v>
      </c>
      <c r="C31" s="37" t="s">
        <v>92</v>
      </c>
      <c r="D31" s="38">
        <v>1573884</v>
      </c>
      <c r="E31" s="39" t="s">
        <v>93</v>
      </c>
      <c r="F31" s="40" t="s">
        <v>191</v>
      </c>
      <c r="G31" s="37"/>
      <c r="H31" s="36"/>
      <c r="I31" s="50">
        <f>'PCF - 26'!C5</f>
        <v>1593982.53</v>
      </c>
    </row>
    <row r="32" spans="1:10" s="13" customFormat="1" ht="45" x14ac:dyDescent="0.25">
      <c r="A32" s="14" t="s">
        <v>192</v>
      </c>
      <c r="B32" s="14" t="s">
        <v>79</v>
      </c>
      <c r="C32" s="16" t="s">
        <v>233</v>
      </c>
      <c r="D32" s="15">
        <v>4243423</v>
      </c>
      <c r="E32" s="71" t="s">
        <v>96</v>
      </c>
      <c r="F32" s="72" t="s">
        <v>94</v>
      </c>
      <c r="G32" s="16" t="s">
        <v>95</v>
      </c>
      <c r="H32" s="14"/>
      <c r="I32" s="14" t="s">
        <v>193</v>
      </c>
    </row>
    <row r="33" spans="1:10" s="25" customFormat="1" ht="30" x14ac:dyDescent="0.25">
      <c r="A33" s="19" t="s">
        <v>194</v>
      </c>
      <c r="B33" s="19" t="s">
        <v>79</v>
      </c>
      <c r="C33" s="23" t="s">
        <v>97</v>
      </c>
      <c r="D33" s="20">
        <v>600000</v>
      </c>
      <c r="E33" s="26" t="s">
        <v>98</v>
      </c>
      <c r="F33" s="22" t="s">
        <v>73</v>
      </c>
      <c r="G33" s="19"/>
      <c r="H33" s="19"/>
      <c r="I33" s="19"/>
    </row>
    <row r="34" spans="1:10" s="30" customFormat="1" ht="30" x14ac:dyDescent="0.25">
      <c r="A34" s="27" t="s">
        <v>195</v>
      </c>
      <c r="B34" s="27" t="s">
        <v>79</v>
      </c>
      <c r="C34" s="29" t="s">
        <v>99</v>
      </c>
      <c r="D34" s="28">
        <v>343437</v>
      </c>
      <c r="E34" s="34" t="s">
        <v>23</v>
      </c>
      <c r="F34" s="31" t="s">
        <v>100</v>
      </c>
      <c r="G34" s="29" t="s">
        <v>101</v>
      </c>
      <c r="H34" s="27"/>
      <c r="I34" s="32">
        <f>D34</f>
        <v>343437</v>
      </c>
    </row>
    <row r="35" spans="1:10" s="49" customFormat="1" ht="45" x14ac:dyDescent="0.25">
      <c r="A35" s="43" t="s">
        <v>196</v>
      </c>
      <c r="B35" s="43" t="s">
        <v>79</v>
      </c>
      <c r="C35" s="44" t="s">
        <v>102</v>
      </c>
      <c r="D35" s="45">
        <v>1803000</v>
      </c>
      <c r="E35" s="46" t="s">
        <v>39</v>
      </c>
      <c r="F35" s="47" t="s">
        <v>103</v>
      </c>
      <c r="G35" s="44" t="s">
        <v>104</v>
      </c>
      <c r="H35" s="44" t="s">
        <v>197</v>
      </c>
      <c r="I35" s="48">
        <f>'PCF - 30'!C25</f>
        <v>1729034.1</v>
      </c>
      <c r="J35" s="49" t="s">
        <v>318</v>
      </c>
    </row>
    <row r="36" spans="1:10" s="30" customFormat="1" ht="30" x14ac:dyDescent="0.25">
      <c r="A36" s="27" t="s">
        <v>198</v>
      </c>
      <c r="B36" s="27" t="s">
        <v>105</v>
      </c>
      <c r="C36" s="29" t="s">
        <v>106</v>
      </c>
      <c r="D36" s="28">
        <v>84673</v>
      </c>
      <c r="E36" s="34" t="s">
        <v>107</v>
      </c>
      <c r="F36" s="31" t="s">
        <v>108</v>
      </c>
      <c r="G36" s="29" t="s">
        <v>89</v>
      </c>
      <c r="H36" s="27"/>
      <c r="I36" s="32">
        <f>D36</f>
        <v>84673</v>
      </c>
    </row>
    <row r="37" spans="1:10" s="30" customFormat="1" ht="30" x14ac:dyDescent="0.25">
      <c r="A37" s="27" t="s">
        <v>235</v>
      </c>
      <c r="B37" s="29" t="s">
        <v>109</v>
      </c>
      <c r="C37" s="29" t="s">
        <v>110</v>
      </c>
      <c r="D37" s="28">
        <v>1806000</v>
      </c>
      <c r="E37" s="34" t="s">
        <v>111</v>
      </c>
      <c r="F37" s="31" t="s">
        <v>112</v>
      </c>
      <c r="G37" s="29"/>
      <c r="H37" s="27"/>
      <c r="I37" s="32">
        <f>D37</f>
        <v>1806000</v>
      </c>
    </row>
    <row r="38" spans="1:10" s="25" customFormat="1" ht="30" x14ac:dyDescent="0.25">
      <c r="A38" s="19" t="s">
        <v>236</v>
      </c>
      <c r="B38" s="19" t="s">
        <v>113</v>
      </c>
      <c r="C38" s="23" t="s">
        <v>114</v>
      </c>
      <c r="D38" s="20">
        <v>1200000</v>
      </c>
      <c r="E38" s="21" t="s">
        <v>23</v>
      </c>
      <c r="F38" s="22" t="s">
        <v>73</v>
      </c>
      <c r="G38" s="19"/>
      <c r="H38" s="19"/>
      <c r="I38" s="19"/>
    </row>
    <row r="39" spans="1:10" s="25" customFormat="1" ht="30" x14ac:dyDescent="0.25">
      <c r="A39" s="19" t="s">
        <v>237</v>
      </c>
      <c r="B39" s="19" t="s">
        <v>113</v>
      </c>
      <c r="C39" s="23" t="s">
        <v>115</v>
      </c>
      <c r="D39" s="20">
        <v>200000</v>
      </c>
      <c r="E39" s="21"/>
      <c r="F39" s="22" t="s">
        <v>73</v>
      </c>
      <c r="G39" s="19"/>
      <c r="H39" s="19"/>
      <c r="I39" s="19"/>
    </row>
    <row r="40" spans="1:10" s="41" customFormat="1" ht="30" x14ac:dyDescent="0.25">
      <c r="A40" s="36" t="s">
        <v>238</v>
      </c>
      <c r="B40" s="36" t="s">
        <v>116</v>
      </c>
      <c r="C40" s="37" t="s">
        <v>117</v>
      </c>
      <c r="D40" s="38">
        <v>800000</v>
      </c>
      <c r="E40" s="39" t="s">
        <v>118</v>
      </c>
      <c r="F40" s="40" t="s">
        <v>119</v>
      </c>
      <c r="G40" s="37" t="s">
        <v>120</v>
      </c>
      <c r="H40" s="36" t="s">
        <v>251</v>
      </c>
      <c r="I40" s="36">
        <v>1089446</v>
      </c>
      <c r="J40" s="41" t="s">
        <v>252</v>
      </c>
    </row>
    <row r="41" spans="1:10" s="49" customFormat="1" ht="45" x14ac:dyDescent="0.25">
      <c r="A41" s="43" t="s">
        <v>240</v>
      </c>
      <c r="B41" s="43" t="s">
        <v>121</v>
      </c>
      <c r="C41" s="44" t="s">
        <v>122</v>
      </c>
      <c r="D41" s="45">
        <v>323000</v>
      </c>
      <c r="E41" s="46" t="s">
        <v>123</v>
      </c>
      <c r="F41" s="47" t="s">
        <v>124</v>
      </c>
      <c r="G41" s="44" t="s">
        <v>125</v>
      </c>
      <c r="H41" s="43"/>
      <c r="I41" s="48">
        <f>'PCF - 36'!C8</f>
        <v>268830</v>
      </c>
    </row>
    <row r="42" spans="1:10" s="49" customFormat="1" ht="45" x14ac:dyDescent="0.25">
      <c r="A42" s="43" t="s">
        <v>241</v>
      </c>
      <c r="B42" s="44" t="s">
        <v>126</v>
      </c>
      <c r="C42" s="44" t="s">
        <v>127</v>
      </c>
      <c r="D42" s="45">
        <v>57000</v>
      </c>
      <c r="E42" s="46" t="s">
        <v>123</v>
      </c>
      <c r="F42" s="47" t="s">
        <v>128</v>
      </c>
      <c r="G42" s="44" t="s">
        <v>129</v>
      </c>
      <c r="H42" s="43"/>
      <c r="I42" s="43" t="s">
        <v>319</v>
      </c>
    </row>
    <row r="43" spans="1:10" s="41" customFormat="1" x14ac:dyDescent="0.25">
      <c r="A43" s="36" t="s">
        <v>242</v>
      </c>
      <c r="B43" s="36" t="s">
        <v>121</v>
      </c>
      <c r="C43" s="37" t="s">
        <v>130</v>
      </c>
      <c r="D43" s="38">
        <v>1485270</v>
      </c>
      <c r="E43" s="39" t="s">
        <v>118</v>
      </c>
      <c r="F43" s="40" t="s">
        <v>131</v>
      </c>
      <c r="G43" s="37" t="s">
        <v>133</v>
      </c>
      <c r="H43" s="36"/>
      <c r="I43" s="50">
        <f t="shared" ref="I43:I44" si="0">D43</f>
        <v>1485270</v>
      </c>
    </row>
    <row r="44" spans="1:10" s="41" customFormat="1" x14ac:dyDescent="0.25">
      <c r="A44" s="36" t="s">
        <v>243</v>
      </c>
      <c r="B44" s="36" t="s">
        <v>134</v>
      </c>
      <c r="C44" s="37" t="s">
        <v>132</v>
      </c>
      <c r="D44" s="38">
        <v>1585933</v>
      </c>
      <c r="E44" s="42" t="s">
        <v>39</v>
      </c>
      <c r="F44" s="40" t="s">
        <v>131</v>
      </c>
      <c r="G44" s="37" t="s">
        <v>133</v>
      </c>
      <c r="H44" s="36"/>
      <c r="I44" s="50">
        <f t="shared" si="0"/>
        <v>1585933</v>
      </c>
    </row>
    <row r="45" spans="1:10" s="41" customFormat="1" x14ac:dyDescent="0.25">
      <c r="A45" s="36" t="s">
        <v>244</v>
      </c>
      <c r="B45" s="36" t="s">
        <v>134</v>
      </c>
      <c r="C45" s="37" t="s">
        <v>135</v>
      </c>
      <c r="D45" s="38">
        <v>521681</v>
      </c>
      <c r="E45" s="42" t="s">
        <v>39</v>
      </c>
      <c r="F45" s="40" t="s">
        <v>131</v>
      </c>
      <c r="G45" s="37" t="s">
        <v>133</v>
      </c>
      <c r="H45" s="36"/>
      <c r="I45" s="50">
        <f>D45</f>
        <v>521681</v>
      </c>
    </row>
    <row r="46" spans="1:10" s="41" customFormat="1" ht="30" x14ac:dyDescent="0.25">
      <c r="A46" s="36" t="s">
        <v>245</v>
      </c>
      <c r="B46" s="36" t="s">
        <v>134</v>
      </c>
      <c r="C46" s="37" t="s">
        <v>136</v>
      </c>
      <c r="D46" s="38">
        <v>120000</v>
      </c>
      <c r="E46" s="39" t="s">
        <v>137</v>
      </c>
      <c r="F46" s="40" t="s">
        <v>138</v>
      </c>
      <c r="G46" s="37" t="s">
        <v>139</v>
      </c>
      <c r="H46" s="37" t="s">
        <v>151</v>
      </c>
      <c r="I46" s="38">
        <f>669130.73+19500</f>
        <v>688630.73</v>
      </c>
    </row>
    <row r="47" spans="1:10" s="41" customFormat="1" ht="30" x14ac:dyDescent="0.25">
      <c r="A47" s="36" t="s">
        <v>246</v>
      </c>
      <c r="B47" s="36" t="s">
        <v>134</v>
      </c>
      <c r="C47" s="37" t="s">
        <v>140</v>
      </c>
      <c r="D47" s="38">
        <v>1571701</v>
      </c>
      <c r="E47" s="39" t="s">
        <v>141</v>
      </c>
      <c r="F47" s="40" t="s">
        <v>131</v>
      </c>
      <c r="G47" s="37" t="s">
        <v>133</v>
      </c>
      <c r="H47" s="36"/>
      <c r="I47" s="50">
        <f>D47</f>
        <v>1571701</v>
      </c>
    </row>
    <row r="48" spans="1:10" s="41" customFormat="1" x14ac:dyDescent="0.25">
      <c r="A48" s="36" t="s">
        <v>247</v>
      </c>
      <c r="B48" s="36" t="s">
        <v>134</v>
      </c>
      <c r="C48" s="37" t="s">
        <v>142</v>
      </c>
      <c r="D48" s="38">
        <v>1188247</v>
      </c>
      <c r="E48" s="39" t="s">
        <v>141</v>
      </c>
      <c r="F48" s="40" t="s">
        <v>131</v>
      </c>
      <c r="G48" s="37" t="s">
        <v>133</v>
      </c>
      <c r="H48" s="36"/>
      <c r="I48" s="50">
        <f>D48</f>
        <v>1188247</v>
      </c>
    </row>
    <row r="49" spans="1:11" s="41" customFormat="1" x14ac:dyDescent="0.25">
      <c r="A49" s="36" t="s">
        <v>248</v>
      </c>
      <c r="B49" s="36" t="s">
        <v>134</v>
      </c>
      <c r="C49" s="37" t="s">
        <v>143</v>
      </c>
      <c r="D49" s="38">
        <v>2160808</v>
      </c>
      <c r="E49" s="39" t="s">
        <v>118</v>
      </c>
      <c r="F49" s="40" t="s">
        <v>131</v>
      </c>
      <c r="G49" s="37" t="s">
        <v>133</v>
      </c>
      <c r="H49" s="36"/>
      <c r="I49" s="50">
        <f>D49</f>
        <v>2160808</v>
      </c>
    </row>
    <row r="50" spans="1:11" s="41" customFormat="1" ht="30" x14ac:dyDescent="0.25">
      <c r="A50" s="36" t="s">
        <v>249</v>
      </c>
      <c r="B50" s="36" t="s">
        <v>134</v>
      </c>
      <c r="C50" s="37" t="s">
        <v>144</v>
      </c>
      <c r="D50" s="38">
        <v>646000</v>
      </c>
      <c r="E50" s="39" t="s">
        <v>12</v>
      </c>
      <c r="F50" s="40" t="s">
        <v>145</v>
      </c>
      <c r="G50" s="37" t="s">
        <v>146</v>
      </c>
      <c r="H50" s="36"/>
      <c r="I50" s="36">
        <v>645835</v>
      </c>
    </row>
    <row r="51" spans="1:11" s="41" customFormat="1" x14ac:dyDescent="0.25">
      <c r="A51" s="36" t="s">
        <v>346</v>
      </c>
      <c r="B51" s="36"/>
      <c r="C51" s="37" t="s">
        <v>347</v>
      </c>
      <c r="D51" s="38">
        <v>44000</v>
      </c>
      <c r="E51" s="39"/>
      <c r="F51" s="40"/>
      <c r="G51" s="37"/>
      <c r="H51" s="36"/>
      <c r="I51" s="50">
        <f>D51</f>
        <v>44000</v>
      </c>
    </row>
    <row r="52" spans="1:11" s="49" customFormat="1" x14ac:dyDescent="0.25">
      <c r="A52" s="43" t="s">
        <v>337</v>
      </c>
      <c r="B52" s="43"/>
      <c r="C52" s="44" t="s">
        <v>333</v>
      </c>
      <c r="D52" s="45">
        <v>350000</v>
      </c>
      <c r="E52" s="46">
        <v>0</v>
      </c>
      <c r="F52" s="47"/>
      <c r="G52" s="44"/>
      <c r="H52" s="43"/>
      <c r="I52" s="43">
        <v>244321</v>
      </c>
    </row>
    <row r="53" spans="1:11" x14ac:dyDescent="0.25">
      <c r="C53" s="52" t="s">
        <v>335</v>
      </c>
      <c r="D53" s="1">
        <f>SUM(D6:D52)</f>
        <v>30835444</v>
      </c>
    </row>
    <row r="55" spans="1:11" x14ac:dyDescent="0.25">
      <c r="B55" t="s">
        <v>320</v>
      </c>
    </row>
    <row r="56" spans="1:11" x14ac:dyDescent="0.25">
      <c r="B56" s="25"/>
      <c r="C56" t="s">
        <v>321</v>
      </c>
      <c r="F56" s="77">
        <f>D39+D38+D33+D25+D22+D14+D18</f>
        <v>3770000</v>
      </c>
    </row>
    <row r="57" spans="1:11" x14ac:dyDescent="0.25">
      <c r="B57" s="41"/>
      <c r="C57" t="s">
        <v>322</v>
      </c>
      <c r="F57" s="77">
        <f>D7+D9+D11+D13+D15+D16+D17+D20+D21+D27+D28+D29+D31+D34+D36+D37+D43+D44+D45+D46+D47+D48+D49+D50+D51+D40</f>
        <v>17016571</v>
      </c>
      <c r="I57" s="77"/>
      <c r="K57" s="77">
        <f>I7+I9+I11+I13+I15+I16+I17+I20+I21+I27+I28+I29+I31+I34+I36+I37+I43+I44+I45+I46+I47+I48+I49+I50+I51+I40</f>
        <v>18208703.760000002</v>
      </c>
    </row>
    <row r="58" spans="1:11" x14ac:dyDescent="0.25">
      <c r="B58" s="49"/>
      <c r="C58" t="s">
        <v>323</v>
      </c>
      <c r="F58" s="1">
        <f>'ATW - 16'!D16</f>
        <v>4905450</v>
      </c>
      <c r="G58" s="1">
        <f>'ATW - 16'!E16</f>
        <v>4239967.0199999996</v>
      </c>
      <c r="H58" s="1">
        <f>F58-G58</f>
        <v>665482.98000000045</v>
      </c>
    </row>
    <row r="59" spans="1:11" x14ac:dyDescent="0.25">
      <c r="C59" t="s">
        <v>334</v>
      </c>
      <c r="F59" s="77">
        <f>D32+D19</f>
        <v>5143423</v>
      </c>
    </row>
    <row r="61" spans="1:11" x14ac:dyDescent="0.25">
      <c r="C61" t="s">
        <v>336</v>
      </c>
      <c r="F61" s="77">
        <f>D53-F56-H58-F59</f>
        <v>21256538.02</v>
      </c>
    </row>
  </sheetData>
  <pageMargins left="0.7" right="0.7" top="0.75" bottom="0.75" header="0.3" footer="0.3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D6" sqref="D6"/>
    </sheetView>
  </sheetViews>
  <sheetFormatPr defaultRowHeight="15" x14ac:dyDescent="0.25"/>
  <cols>
    <col min="4" max="4" width="12.5703125" bestFit="1" customWidth="1"/>
  </cols>
  <sheetData>
    <row r="2" spans="1:5" x14ac:dyDescent="0.25">
      <c r="A2" t="s">
        <v>356</v>
      </c>
    </row>
    <row r="4" spans="1:5" x14ac:dyDescent="0.25">
      <c r="B4" t="s">
        <v>371</v>
      </c>
      <c r="D4" s="9">
        <v>311453</v>
      </c>
      <c r="E4" t="s">
        <v>373</v>
      </c>
    </row>
    <row r="5" spans="1:5" x14ac:dyDescent="0.25">
      <c r="B5" t="s">
        <v>372</v>
      </c>
      <c r="D5" s="9">
        <v>19900</v>
      </c>
      <c r="E5" t="s">
        <v>358</v>
      </c>
    </row>
    <row r="6" spans="1:5" x14ac:dyDescent="0.25">
      <c r="B6" t="s">
        <v>374</v>
      </c>
      <c r="D6" s="82">
        <v>69584</v>
      </c>
      <c r="E6" t="s">
        <v>373</v>
      </c>
    </row>
    <row r="7" spans="1:5" x14ac:dyDescent="0.25">
      <c r="C7" t="s">
        <v>265</v>
      </c>
      <c r="D7" s="9">
        <f>SUM(D4:D6)</f>
        <v>400937</v>
      </c>
    </row>
    <row r="9" spans="1:5" x14ac:dyDescent="0.25">
      <c r="C9" s="33"/>
    </row>
    <row r="10" spans="1:5" x14ac:dyDescent="0.25">
      <c r="D10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2" sqref="A2"/>
    </sheetView>
  </sheetViews>
  <sheetFormatPr defaultRowHeight="15" x14ac:dyDescent="0.25"/>
  <cols>
    <col min="4" max="4" width="12.5703125" bestFit="1" customWidth="1"/>
  </cols>
  <sheetData>
    <row r="2" spans="1:5" x14ac:dyDescent="0.25">
      <c r="A2" t="s">
        <v>356</v>
      </c>
    </row>
    <row r="4" spans="1:5" x14ac:dyDescent="0.25">
      <c r="B4" t="s">
        <v>357</v>
      </c>
      <c r="D4">
        <v>17550</v>
      </c>
      <c r="E4" t="s">
        <v>358</v>
      </c>
    </row>
    <row r="5" spans="1:5" x14ac:dyDescent="0.25">
      <c r="B5" t="s">
        <v>357</v>
      </c>
      <c r="D5">
        <v>22244.49</v>
      </c>
      <c r="E5" t="s">
        <v>358</v>
      </c>
    </row>
    <row r="6" spans="1:5" x14ac:dyDescent="0.25">
      <c r="B6" t="s">
        <v>357</v>
      </c>
      <c r="D6">
        <v>2470.61</v>
      </c>
      <c r="E6" t="s">
        <v>358</v>
      </c>
    </row>
    <row r="7" spans="1:5" x14ac:dyDescent="0.25">
      <c r="B7" t="s">
        <v>359</v>
      </c>
      <c r="D7">
        <v>58489</v>
      </c>
      <c r="E7" t="s">
        <v>360</v>
      </c>
    </row>
    <row r="8" spans="1:5" x14ac:dyDescent="0.25">
      <c r="B8" t="s">
        <v>361</v>
      </c>
      <c r="D8">
        <v>1955.16</v>
      </c>
      <c r="E8" t="s">
        <v>362</v>
      </c>
    </row>
    <row r="9" spans="1:5" x14ac:dyDescent="0.25">
      <c r="B9" t="s">
        <v>363</v>
      </c>
      <c r="D9">
        <v>14755</v>
      </c>
      <c r="E9" t="s">
        <v>364</v>
      </c>
    </row>
    <row r="10" spans="1:5" x14ac:dyDescent="0.25">
      <c r="B10" s="33" t="s">
        <v>365</v>
      </c>
      <c r="D10" s="80"/>
    </row>
    <row r="11" spans="1:5" x14ac:dyDescent="0.25">
      <c r="C11" t="s">
        <v>265</v>
      </c>
      <c r="D11" s="9">
        <f>SUM(D4:D10)</f>
        <v>117464.26000000001</v>
      </c>
    </row>
    <row r="13" spans="1:5" x14ac:dyDescent="0.25">
      <c r="C13" s="33" t="s">
        <v>366</v>
      </c>
      <c r="D13">
        <f>D7</f>
        <v>58489</v>
      </c>
      <c r="E13" t="s">
        <v>367</v>
      </c>
    </row>
    <row r="14" spans="1:5" x14ac:dyDescent="0.25">
      <c r="C14" t="s">
        <v>368</v>
      </c>
      <c r="D14" s="35">
        <f>D11-D13</f>
        <v>58975.260000000009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F14" sqref="F14"/>
    </sheetView>
  </sheetViews>
  <sheetFormatPr defaultRowHeight="15" x14ac:dyDescent="0.25"/>
  <cols>
    <col min="1" max="1" width="13" customWidth="1"/>
    <col min="2" max="2" width="15" customWidth="1"/>
    <col min="3" max="3" width="22.7109375" customWidth="1"/>
    <col min="4" max="4" width="15.85546875" customWidth="1"/>
    <col min="5" max="5" width="16.140625" customWidth="1"/>
    <col min="6" max="6" width="27.7109375" customWidth="1"/>
  </cols>
  <sheetData>
    <row r="2" spans="1:6" s="73" customFormat="1" ht="30" x14ac:dyDescent="0.25">
      <c r="A2" s="75" t="s">
        <v>326</v>
      </c>
      <c r="B2" s="75" t="s">
        <v>0</v>
      </c>
      <c r="C2" s="75" t="s">
        <v>1</v>
      </c>
      <c r="D2" s="75" t="s">
        <v>327</v>
      </c>
      <c r="E2" s="75" t="s">
        <v>328</v>
      </c>
      <c r="F2" s="75" t="s">
        <v>329</v>
      </c>
    </row>
    <row r="3" spans="1:6" s="73" customFormat="1" ht="30" x14ac:dyDescent="0.25">
      <c r="A3" s="73" t="str">
        <f>Summary!A6</f>
        <v xml:space="preserve">PCF -1 </v>
      </c>
      <c r="B3" s="73" t="str">
        <f>Summary!B6</f>
        <v>Cypress Lakes</v>
      </c>
      <c r="C3" s="73" t="str">
        <f>Summary!C6</f>
        <v>Hydro Tank Replacement</v>
      </c>
      <c r="D3" s="74">
        <f>Summary!D6</f>
        <v>30000</v>
      </c>
      <c r="E3" s="74">
        <f>Summary!I6</f>
        <v>25732</v>
      </c>
      <c r="F3" s="73" t="s">
        <v>330</v>
      </c>
    </row>
    <row r="4" spans="1:6" s="73" customFormat="1" ht="30" x14ac:dyDescent="0.25">
      <c r="A4" s="73" t="str">
        <f>Summary!A8</f>
        <v>PCF -3</v>
      </c>
      <c r="B4" s="73" t="str">
        <f>Summary!B8</f>
        <v>Eagle Ridge</v>
      </c>
      <c r="C4" s="73" t="str">
        <f>Summary!C8</f>
        <v>WWTP EQ tank and headworks</v>
      </c>
      <c r="D4" s="74">
        <f>Summary!D8</f>
        <v>350000</v>
      </c>
      <c r="E4" s="74">
        <f>Summary!I8</f>
        <v>106387.7</v>
      </c>
      <c r="F4" s="73" t="s">
        <v>348</v>
      </c>
    </row>
    <row r="5" spans="1:6" s="73" customFormat="1" ht="30" x14ac:dyDescent="0.25">
      <c r="A5" s="73" t="str">
        <f>Summary!A10</f>
        <v>PCF - 5</v>
      </c>
      <c r="B5" s="73" t="str">
        <f>Summary!B10</f>
        <v>LUSI</v>
      </c>
      <c r="C5" s="73" t="str">
        <f>Summary!C10</f>
        <v>Sludge Dewatering Equipment</v>
      </c>
      <c r="D5" s="74">
        <f>Summary!D10</f>
        <v>245000</v>
      </c>
      <c r="E5" s="74">
        <f>Summary!I10</f>
        <v>240000</v>
      </c>
      <c r="F5" s="73" t="s">
        <v>330</v>
      </c>
    </row>
    <row r="6" spans="1:6" s="73" customFormat="1" x14ac:dyDescent="0.25">
      <c r="A6" s="73" t="str">
        <f>Summary!A12</f>
        <v>PCF - 7</v>
      </c>
      <c r="B6" s="73" t="str">
        <f>Summary!B12</f>
        <v>LUSI</v>
      </c>
      <c r="C6" s="73" t="str">
        <f>Summary!C12</f>
        <v>SCADA</v>
      </c>
      <c r="D6" s="74">
        <f>Summary!D12</f>
        <v>470000</v>
      </c>
      <c r="E6" s="74">
        <f>Summary!I12</f>
        <v>458901.96</v>
      </c>
      <c r="F6" s="73" t="s">
        <v>330</v>
      </c>
    </row>
    <row r="7" spans="1:6" s="73" customFormat="1" ht="30" x14ac:dyDescent="0.25">
      <c r="A7" s="73" t="str">
        <f>Summary!A23</f>
        <v>PCF - 18</v>
      </c>
      <c r="B7" s="73" t="str">
        <f>Summary!B23</f>
        <v>Mid-County</v>
      </c>
      <c r="C7" s="73" t="str">
        <f>Summary!C23</f>
        <v>Methonal Pumps and Nutrient Analyzer</v>
      </c>
      <c r="D7" s="74">
        <f>Summary!D23</f>
        <v>102000</v>
      </c>
      <c r="E7" s="74">
        <f>Summary!I23</f>
        <v>92575.7</v>
      </c>
      <c r="F7" s="73" t="s">
        <v>330</v>
      </c>
    </row>
    <row r="8" spans="1:6" s="73" customFormat="1" ht="45" x14ac:dyDescent="0.25">
      <c r="A8" s="73" t="str">
        <f>Summary!A24</f>
        <v>PCF - 19</v>
      </c>
      <c r="B8" s="73" t="str">
        <f>Summary!B24</f>
        <v>Mid-County</v>
      </c>
      <c r="C8" s="73" t="str">
        <f>Summary!C24</f>
        <v>US Hwy 19 Relocation; 525 ft 6" FM and 190 ft 8" GM</v>
      </c>
      <c r="D8" s="74">
        <f>Summary!D24</f>
        <v>230000</v>
      </c>
      <c r="E8" s="74">
        <f>Summary!I24</f>
        <v>172879</v>
      </c>
      <c r="F8" s="73" t="s">
        <v>330</v>
      </c>
    </row>
    <row r="9" spans="1:6" s="73" customFormat="1" ht="30" x14ac:dyDescent="0.25">
      <c r="A9" s="73" t="str">
        <f>Summary!A26</f>
        <v>PCF - 21</v>
      </c>
      <c r="B9" s="73" t="str">
        <f>Summary!B26</f>
        <v>Sandalhaven</v>
      </c>
      <c r="C9" s="73" t="str">
        <f>Summary!C26</f>
        <v>Placida Rd. Utility Relocatio</v>
      </c>
      <c r="D9" s="74">
        <f>Summary!D26</f>
        <v>250000</v>
      </c>
      <c r="E9" s="74">
        <f>Summary!I26</f>
        <v>217034.4</v>
      </c>
      <c r="F9" s="73" t="s">
        <v>330</v>
      </c>
    </row>
    <row r="10" spans="1:6" s="73" customFormat="1" x14ac:dyDescent="0.25">
      <c r="A10" s="73" t="str">
        <f>Summary!A30</f>
        <v>PCF - 25</v>
      </c>
      <c r="B10" s="73" t="str">
        <f>Summary!B30</f>
        <v>Sanlando</v>
      </c>
      <c r="C10" s="73" t="str">
        <f>Summary!C30</f>
        <v>Myrtle Lake Hills WM</v>
      </c>
      <c r="D10" s="74">
        <f>Summary!D30</f>
        <v>695450</v>
      </c>
      <c r="E10" s="74">
        <f>Summary!I30</f>
        <v>684271.15999999992</v>
      </c>
      <c r="F10" s="73" t="s">
        <v>330</v>
      </c>
    </row>
    <row r="11" spans="1:6" s="73" customFormat="1" ht="30" x14ac:dyDescent="0.25">
      <c r="A11" s="73" t="str">
        <f>Summary!A35</f>
        <v>PCF - 30</v>
      </c>
      <c r="B11" s="73" t="str">
        <f>Summary!B35</f>
        <v>Sanlando</v>
      </c>
      <c r="C11" s="73" t="str">
        <f>Summary!C35</f>
        <v>Wekive WWTP Rehabilitation</v>
      </c>
      <c r="D11" s="74">
        <f>Summary!D35</f>
        <v>1803000</v>
      </c>
      <c r="E11" s="74">
        <f>Summary!I35</f>
        <v>1729034.1</v>
      </c>
      <c r="F11" s="73" t="s">
        <v>332</v>
      </c>
    </row>
    <row r="12" spans="1:6" s="73" customFormat="1" ht="45" x14ac:dyDescent="0.25">
      <c r="A12" s="73" t="str">
        <f>Summary!A41</f>
        <v>PCF - 36</v>
      </c>
      <c r="B12" s="73" t="str">
        <f>Summary!B41</f>
        <v>UIF  - Seminole</v>
      </c>
      <c r="C12" s="73" t="str">
        <f>Summary!C41</f>
        <v>Electrical Imp. At Little Wekiva and Jansen WTPs</v>
      </c>
      <c r="D12" s="74">
        <f>Summary!D41</f>
        <v>323000</v>
      </c>
      <c r="E12" s="74">
        <f>Summary!I41</f>
        <v>268830</v>
      </c>
      <c r="F12" s="73" t="s">
        <v>330</v>
      </c>
    </row>
    <row r="13" spans="1:6" s="73" customFormat="1" ht="30" x14ac:dyDescent="0.25">
      <c r="A13" s="73" t="str">
        <f>Summary!A42</f>
        <v>PCF - 37</v>
      </c>
      <c r="B13" s="73" t="str">
        <f>Summary!B42</f>
        <v>UIF  - Seminole &amp; Orange</v>
      </c>
      <c r="C13" s="73" t="str">
        <f>Summary!C42</f>
        <v>WM Replacements</v>
      </c>
      <c r="D13" s="74">
        <f>Summary!D42</f>
        <v>57000</v>
      </c>
      <c r="E13" s="74">
        <v>0</v>
      </c>
      <c r="F13" s="73" t="s">
        <v>349</v>
      </c>
    </row>
    <row r="14" spans="1:6" s="73" customFormat="1" x14ac:dyDescent="0.25">
      <c r="A14" s="73" t="str">
        <f>Summary!A52</f>
        <v>PCF - 47</v>
      </c>
      <c r="C14" s="73" t="str">
        <f>Summary!C52</f>
        <v>GIS Mapping Services</v>
      </c>
      <c r="D14" s="74">
        <f>Summary!D52</f>
        <v>350000</v>
      </c>
      <c r="E14" s="74">
        <f>Summary!I52</f>
        <v>244321</v>
      </c>
      <c r="F14" s="73" t="s">
        <v>330</v>
      </c>
    </row>
    <row r="15" spans="1:6" s="73" customFormat="1" x14ac:dyDescent="0.25"/>
    <row r="16" spans="1:6" s="73" customFormat="1" x14ac:dyDescent="0.25">
      <c r="C16" s="73" t="s">
        <v>331</v>
      </c>
      <c r="D16" s="76">
        <f>SUM(D3:D14)</f>
        <v>4905450</v>
      </c>
      <c r="E16" s="76">
        <f>SUM(E3:E14)</f>
        <v>4239967.0199999996</v>
      </c>
    </row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3" sqref="A3"/>
    </sheetView>
  </sheetViews>
  <sheetFormatPr defaultRowHeight="15" x14ac:dyDescent="0.25"/>
  <sheetData>
    <row r="2" spans="1:3" x14ac:dyDescent="0.25">
      <c r="A2" t="s">
        <v>394</v>
      </c>
    </row>
    <row r="4" spans="1:3" x14ac:dyDescent="0.25">
      <c r="B4" t="s">
        <v>324</v>
      </c>
      <c r="C4" s="69">
        <v>659470</v>
      </c>
    </row>
    <row r="5" spans="1:3" x14ac:dyDescent="0.25">
      <c r="B5" t="s">
        <v>234</v>
      </c>
      <c r="C5">
        <v>20000</v>
      </c>
    </row>
    <row r="6" spans="1:3" x14ac:dyDescent="0.25">
      <c r="B6" t="s">
        <v>325</v>
      </c>
      <c r="C6">
        <v>324.08</v>
      </c>
    </row>
    <row r="7" spans="1:3" x14ac:dyDescent="0.25">
      <c r="C7">
        <v>1640</v>
      </c>
    </row>
    <row r="8" spans="1:3" x14ac:dyDescent="0.25">
      <c r="C8">
        <v>1037.08</v>
      </c>
    </row>
    <row r="9" spans="1:3" x14ac:dyDescent="0.25">
      <c r="C9">
        <v>684</v>
      </c>
    </row>
    <row r="10" spans="1:3" x14ac:dyDescent="0.25">
      <c r="C10">
        <v>612</v>
      </c>
    </row>
    <row r="11" spans="1:3" x14ac:dyDescent="0.25">
      <c r="C11">
        <v>324</v>
      </c>
    </row>
    <row r="12" spans="1:3" x14ac:dyDescent="0.25">
      <c r="C12">
        <v>72</v>
      </c>
    </row>
    <row r="13" spans="1:3" x14ac:dyDescent="0.25">
      <c r="C13">
        <v>108</v>
      </c>
    </row>
    <row r="14" spans="1:3" x14ac:dyDescent="0.25">
      <c r="C14" s="69">
        <f>SUM(C4:C13)</f>
        <v>684271.15999999992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opLeftCell="A4" workbookViewId="0"/>
  </sheetViews>
  <sheetFormatPr defaultRowHeight="15" x14ac:dyDescent="0.25"/>
  <cols>
    <col min="1" max="1" width="9.140625" style="13"/>
    <col min="2" max="2" width="15" style="13" customWidth="1"/>
    <col min="3" max="3" width="30" style="13" customWidth="1"/>
    <col min="4" max="4" width="23.42578125" style="13" customWidth="1"/>
    <col min="5" max="16384" width="9.140625" style="13"/>
  </cols>
  <sheetData>
    <row r="2" spans="1:4" x14ac:dyDescent="0.25">
      <c r="B2" s="13" t="s">
        <v>15</v>
      </c>
    </row>
    <row r="5" spans="1:4" x14ac:dyDescent="0.25">
      <c r="A5" s="14" t="s">
        <v>254</v>
      </c>
      <c r="B5" s="14" t="s">
        <v>0</v>
      </c>
      <c r="C5" s="14" t="s">
        <v>1</v>
      </c>
      <c r="D5" s="14" t="s">
        <v>253</v>
      </c>
    </row>
    <row r="6" spans="1:4" x14ac:dyDescent="0.25">
      <c r="A6" s="14" t="s">
        <v>153</v>
      </c>
      <c r="B6" s="14" t="s">
        <v>5</v>
      </c>
      <c r="C6" s="14" t="s">
        <v>7</v>
      </c>
      <c r="D6" s="15">
        <v>50200</v>
      </c>
    </row>
    <row r="7" spans="1:4" x14ac:dyDescent="0.25">
      <c r="A7" s="14" t="s">
        <v>158</v>
      </c>
      <c r="B7" s="14" t="s">
        <v>17</v>
      </c>
      <c r="C7" s="14" t="s">
        <v>18</v>
      </c>
      <c r="D7" s="15">
        <v>61137</v>
      </c>
    </row>
    <row r="8" spans="1:4" x14ac:dyDescent="0.25">
      <c r="A8" s="14" t="s">
        <v>160</v>
      </c>
      <c r="B8" s="14" t="s">
        <v>21</v>
      </c>
      <c r="C8" s="14" t="s">
        <v>26</v>
      </c>
      <c r="D8" s="15">
        <v>181400</v>
      </c>
    </row>
    <row r="9" spans="1:4" x14ac:dyDescent="0.25">
      <c r="A9" s="14" t="s">
        <v>161</v>
      </c>
      <c r="B9" s="14" t="s">
        <v>21</v>
      </c>
      <c r="C9" s="14" t="s">
        <v>29</v>
      </c>
      <c r="D9" s="15">
        <v>458901.96</v>
      </c>
    </row>
    <row r="10" spans="1:4" ht="30" x14ac:dyDescent="0.25">
      <c r="A10" s="14" t="s">
        <v>165</v>
      </c>
      <c r="B10" s="14" t="s">
        <v>21</v>
      </c>
      <c r="C10" s="16" t="s">
        <v>38</v>
      </c>
      <c r="D10" s="15">
        <v>1794908.5</v>
      </c>
    </row>
    <row r="11" spans="1:4" x14ac:dyDescent="0.25">
      <c r="A11" s="14" t="s">
        <v>222</v>
      </c>
      <c r="B11" s="14" t="s">
        <v>21</v>
      </c>
      <c r="C11" s="16" t="s">
        <v>223</v>
      </c>
      <c r="D11" s="15">
        <v>78000</v>
      </c>
    </row>
    <row r="12" spans="1:4" x14ac:dyDescent="0.25">
      <c r="A12" s="14" t="s">
        <v>167</v>
      </c>
      <c r="B12" s="14" t="s">
        <v>42</v>
      </c>
      <c r="C12" s="14" t="s">
        <v>43</v>
      </c>
      <c r="D12" s="15">
        <v>253524</v>
      </c>
    </row>
    <row r="13" spans="1:4" x14ac:dyDescent="0.25">
      <c r="A13" s="14" t="s">
        <v>168</v>
      </c>
      <c r="B13" s="14" t="s">
        <v>42</v>
      </c>
      <c r="C13" s="14" t="s">
        <v>47</v>
      </c>
      <c r="D13" s="15">
        <v>49970</v>
      </c>
    </row>
    <row r="14" spans="1:4" x14ac:dyDescent="0.25">
      <c r="A14" s="14" t="s">
        <v>172</v>
      </c>
      <c r="B14" s="14" t="s">
        <v>53</v>
      </c>
      <c r="C14" s="16" t="s">
        <v>58</v>
      </c>
      <c r="D14" s="15">
        <v>65000</v>
      </c>
    </row>
    <row r="15" spans="1:4" ht="30" x14ac:dyDescent="0.25">
      <c r="A15" s="14" t="s">
        <v>176</v>
      </c>
      <c r="B15" s="14" t="s">
        <v>53</v>
      </c>
      <c r="C15" s="16" t="s">
        <v>57</v>
      </c>
      <c r="D15" s="17">
        <v>92575.7</v>
      </c>
    </row>
    <row r="16" spans="1:4" x14ac:dyDescent="0.25">
      <c r="A16" s="14" t="s">
        <v>186</v>
      </c>
      <c r="B16" s="14" t="s">
        <v>79</v>
      </c>
      <c r="C16" s="16" t="s">
        <v>84</v>
      </c>
      <c r="D16" s="15">
        <v>584770</v>
      </c>
    </row>
    <row r="17" spans="1:4" ht="30" x14ac:dyDescent="0.25">
      <c r="A17" s="14" t="s">
        <v>188</v>
      </c>
      <c r="B17" s="14" t="s">
        <v>79</v>
      </c>
      <c r="C17" s="16" t="s">
        <v>86</v>
      </c>
      <c r="D17" s="15">
        <v>65900</v>
      </c>
    </row>
    <row r="18" spans="1:4" x14ac:dyDescent="0.25">
      <c r="A18" s="14" t="s">
        <v>190</v>
      </c>
      <c r="B18" s="14" t="s">
        <v>79</v>
      </c>
      <c r="C18" s="16" t="s">
        <v>92</v>
      </c>
      <c r="D18" s="15">
        <v>1593982.53</v>
      </c>
    </row>
    <row r="19" spans="1:4" ht="30" x14ac:dyDescent="0.25">
      <c r="A19" s="14" t="s">
        <v>195</v>
      </c>
      <c r="B19" s="14" t="s">
        <v>79</v>
      </c>
      <c r="C19" s="16" t="s">
        <v>99</v>
      </c>
      <c r="D19" s="15">
        <v>343437</v>
      </c>
    </row>
    <row r="20" spans="1:4" ht="30" x14ac:dyDescent="0.25">
      <c r="A20" s="14" t="s">
        <v>198</v>
      </c>
      <c r="B20" s="14" t="s">
        <v>105</v>
      </c>
      <c r="C20" s="16" t="s">
        <v>106</v>
      </c>
      <c r="D20" s="15">
        <v>84673</v>
      </c>
    </row>
    <row r="21" spans="1:4" x14ac:dyDescent="0.25">
      <c r="A21" s="14" t="s">
        <v>238</v>
      </c>
      <c r="B21" s="14" t="s">
        <v>116</v>
      </c>
      <c r="C21" s="16" t="s">
        <v>117</v>
      </c>
      <c r="D21" s="15">
        <v>1089446</v>
      </c>
    </row>
    <row r="22" spans="1:4" ht="30" x14ac:dyDescent="0.25">
      <c r="A22" s="14" t="s">
        <v>240</v>
      </c>
      <c r="B22" s="14" t="s">
        <v>121</v>
      </c>
      <c r="C22" s="16" t="s">
        <v>122</v>
      </c>
      <c r="D22" s="15">
        <v>268830</v>
      </c>
    </row>
    <row r="23" spans="1:4" x14ac:dyDescent="0.25">
      <c r="D23" s="18">
        <f>SUM(D6:D22)</f>
        <v>7116655.6900000004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5"/>
  <sheetViews>
    <sheetView workbookViewId="0">
      <selection activeCell="C20" sqref="C20"/>
    </sheetView>
  </sheetViews>
  <sheetFormatPr defaultRowHeight="15" x14ac:dyDescent="0.25"/>
  <cols>
    <col min="2" max="2" width="24.5703125" bestFit="1" customWidth="1"/>
    <col min="3" max="3" width="12.5703125" bestFit="1" customWidth="1"/>
  </cols>
  <sheetData>
    <row r="3" spans="1:4" x14ac:dyDescent="0.25">
      <c r="A3" t="s">
        <v>202</v>
      </c>
    </row>
    <row r="4" spans="1:4" x14ac:dyDescent="0.25">
      <c r="B4" t="s">
        <v>203</v>
      </c>
      <c r="C4">
        <v>16347</v>
      </c>
      <c r="D4" t="s">
        <v>284</v>
      </c>
    </row>
    <row r="5" spans="1:4" x14ac:dyDescent="0.25">
      <c r="B5" t="s">
        <v>204</v>
      </c>
      <c r="C5">
        <v>20262.7</v>
      </c>
      <c r="D5" t="s">
        <v>205</v>
      </c>
    </row>
    <row r="6" spans="1:4" x14ac:dyDescent="0.25">
      <c r="B6" t="s">
        <v>282</v>
      </c>
      <c r="C6">
        <v>10450</v>
      </c>
      <c r="D6" t="s">
        <v>206</v>
      </c>
    </row>
    <row r="7" spans="1:4" x14ac:dyDescent="0.25">
      <c r="B7" t="s">
        <v>204</v>
      </c>
      <c r="C7">
        <v>7000</v>
      </c>
      <c r="D7" t="s">
        <v>283</v>
      </c>
    </row>
    <row r="8" spans="1:4" x14ac:dyDescent="0.25">
      <c r="B8" t="s">
        <v>207</v>
      </c>
      <c r="C8">
        <v>38850</v>
      </c>
      <c r="D8" t="s">
        <v>208</v>
      </c>
    </row>
    <row r="9" spans="1:4" x14ac:dyDescent="0.25">
      <c r="B9" s="33" t="s">
        <v>265</v>
      </c>
      <c r="C9">
        <f>SUM(C4:C8)</f>
        <v>92909.7</v>
      </c>
    </row>
    <row r="11" spans="1:4" x14ac:dyDescent="0.25">
      <c r="A11" t="s">
        <v>281</v>
      </c>
    </row>
    <row r="12" spans="1:4" x14ac:dyDescent="0.25">
      <c r="B12" t="s">
        <v>203</v>
      </c>
      <c r="C12">
        <v>33567</v>
      </c>
    </row>
    <row r="13" spans="1:4" x14ac:dyDescent="0.25">
      <c r="B13" t="s">
        <v>204</v>
      </c>
      <c r="C13">
        <v>670363</v>
      </c>
      <c r="D13" t="s">
        <v>286</v>
      </c>
    </row>
    <row r="14" spans="1:4" x14ac:dyDescent="0.25">
      <c r="D14" t="s">
        <v>285</v>
      </c>
    </row>
    <row r="15" spans="1:4" x14ac:dyDescent="0.25">
      <c r="B15" t="s">
        <v>226</v>
      </c>
      <c r="C15">
        <v>17645</v>
      </c>
      <c r="D15" t="s">
        <v>287</v>
      </c>
    </row>
    <row r="16" spans="1:4" x14ac:dyDescent="0.25">
      <c r="B16" t="s">
        <v>219</v>
      </c>
      <c r="C16">
        <v>5368.25</v>
      </c>
      <c r="D16" t="s">
        <v>288</v>
      </c>
    </row>
    <row r="17" spans="1:4" x14ac:dyDescent="0.25">
      <c r="B17" t="s">
        <v>289</v>
      </c>
      <c r="C17">
        <v>13478</v>
      </c>
      <c r="D17" t="s">
        <v>290</v>
      </c>
    </row>
    <row r="18" spans="1:4" x14ac:dyDescent="0.25">
      <c r="B18" t="s">
        <v>291</v>
      </c>
      <c r="C18">
        <v>8850</v>
      </c>
      <c r="D18" t="s">
        <v>292</v>
      </c>
    </row>
    <row r="19" spans="1:4" x14ac:dyDescent="0.25">
      <c r="B19" t="s">
        <v>293</v>
      </c>
      <c r="C19">
        <v>52664.5</v>
      </c>
      <c r="D19" t="s">
        <v>294</v>
      </c>
    </row>
    <row r="20" spans="1:4" x14ac:dyDescent="0.25">
      <c r="C20">
        <f>SUM(C12:C19)</f>
        <v>801935.75</v>
      </c>
    </row>
    <row r="21" spans="1:4" x14ac:dyDescent="0.25">
      <c r="A21" t="s">
        <v>295</v>
      </c>
    </row>
    <row r="22" spans="1:4" x14ac:dyDescent="0.25">
      <c r="A22" t="s">
        <v>296</v>
      </c>
    </row>
    <row r="23" spans="1:4" x14ac:dyDescent="0.25">
      <c r="B23" t="s">
        <v>203</v>
      </c>
      <c r="C23">
        <v>16347</v>
      </c>
      <c r="D23" t="s">
        <v>284</v>
      </c>
    </row>
    <row r="24" spans="1:4" x14ac:dyDescent="0.25">
      <c r="B24" t="s">
        <v>204</v>
      </c>
      <c r="C24">
        <v>20262.7</v>
      </c>
      <c r="D24" t="s">
        <v>205</v>
      </c>
    </row>
    <row r="25" spans="1:4" x14ac:dyDescent="0.25">
      <c r="B25" t="s">
        <v>282</v>
      </c>
      <c r="C25">
        <v>10450</v>
      </c>
      <c r="D25" t="s">
        <v>206</v>
      </c>
    </row>
    <row r="26" spans="1:4" x14ac:dyDescent="0.25">
      <c r="B26" t="s">
        <v>204</v>
      </c>
      <c r="C26">
        <v>7000</v>
      </c>
      <c r="D26" t="s">
        <v>283</v>
      </c>
    </row>
    <row r="27" spans="1:4" x14ac:dyDescent="0.25">
      <c r="B27" t="s">
        <v>207</v>
      </c>
      <c r="C27">
        <v>38850</v>
      </c>
      <c r="D27" t="s">
        <v>208</v>
      </c>
    </row>
    <row r="28" spans="1:4" x14ac:dyDescent="0.25">
      <c r="A28" t="s">
        <v>297</v>
      </c>
      <c r="B28" s="33"/>
    </row>
    <row r="29" spans="1:4" x14ac:dyDescent="0.25">
      <c r="B29" t="s">
        <v>289</v>
      </c>
      <c r="C29">
        <v>13478</v>
      </c>
      <c r="D29" t="s">
        <v>290</v>
      </c>
    </row>
    <row r="30" spans="1:4" x14ac:dyDescent="0.25">
      <c r="B30" s="33" t="s">
        <v>265</v>
      </c>
      <c r="C30" s="9">
        <f>SUM(C23:C29)</f>
        <v>106387.7</v>
      </c>
    </row>
    <row r="32" spans="1:4" x14ac:dyDescent="0.25">
      <c r="B32" s="33" t="s">
        <v>341</v>
      </c>
    </row>
    <row r="33" spans="2:3" x14ac:dyDescent="0.25">
      <c r="B33" t="s">
        <v>342</v>
      </c>
      <c r="C33">
        <f>C23+C25+C26+C29</f>
        <v>47275</v>
      </c>
    </row>
    <row r="34" spans="2:3" x14ac:dyDescent="0.25">
      <c r="C34">
        <f>C24+C27</f>
        <v>59112.7</v>
      </c>
    </row>
    <row r="35" spans="2:3" x14ac:dyDescent="0.25">
      <c r="C35">
        <f>SUM(C33:C34)</f>
        <v>106387.7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Overview</vt:lpstr>
      <vt:lpstr>Revised Exhibits Staff 7th ROGs</vt:lpstr>
      <vt:lpstr>Summary</vt:lpstr>
      <vt:lpstr>PCF 20</vt:lpstr>
      <vt:lpstr>PCF 17</vt:lpstr>
      <vt:lpstr>ATW - 16</vt:lpstr>
      <vt:lpstr>PCF - 31</vt:lpstr>
      <vt:lpstr>Sheet1</vt:lpstr>
      <vt:lpstr>PCF -3</vt:lpstr>
      <vt:lpstr>PCF - 5</vt:lpstr>
      <vt:lpstr>PCF - 7</vt:lpstr>
      <vt:lpstr>PCF - 10 10a</vt:lpstr>
      <vt:lpstr>PCF - 12</vt:lpstr>
      <vt:lpstr>PCF - 14</vt:lpstr>
      <vt:lpstr>PCF 18</vt:lpstr>
      <vt:lpstr>PCF 19</vt:lpstr>
      <vt:lpstr>PCF - 21</vt:lpstr>
      <vt:lpstr>PCF - 23</vt:lpstr>
      <vt:lpstr>PCF - 26</vt:lpstr>
      <vt:lpstr>PCF - 27</vt:lpstr>
      <vt:lpstr>PCF - 30</vt:lpstr>
      <vt:lpstr>PCF - 36</vt:lpstr>
      <vt:lpstr>Summary!Print_Area</vt:lpstr>
      <vt:lpstr>Summary!Print_Titles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 Andrew</dc:creator>
  <cp:lastModifiedBy>Woodcock, Andrew</cp:lastModifiedBy>
  <cp:lastPrinted>2017-01-20T21:02:54Z</cp:lastPrinted>
  <dcterms:created xsi:type="dcterms:W3CDTF">2017-01-12T21:27:36Z</dcterms:created>
  <dcterms:modified xsi:type="dcterms:W3CDTF">2017-04-10T17:40:21Z</dcterms:modified>
</cp:coreProperties>
</file>