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TS181FS1\projects\IER\08465\200-08465-16003\SupportDocs\"/>
    </mc:Choice>
  </mc:AlternateContent>
  <bookViews>
    <workbookView xWindow="0" yWindow="0" windowWidth="17700" windowHeight="9270" firstSheet="10" activeTab="10"/>
  </bookViews>
  <sheets>
    <sheet name="Summary" sheetId="18" r:id="rId1"/>
    <sheet name="Initial List" sheetId="1" r:id="rId2"/>
    <sheet name="I&amp;I template" sheetId="10" r:id="rId3"/>
    <sheet name="Template" sheetId="9" r:id="rId4"/>
    <sheet name="Crownwood" sheetId="19" r:id="rId5"/>
    <sheet name="Crownwood Flow" sheetId="11" r:id="rId6"/>
    <sheet name="LUSI 2" sheetId="20" r:id="rId7"/>
    <sheet name="LUSI Flow" sheetId="12" r:id="rId8"/>
    <sheet name="Mid County 2" sheetId="22" r:id="rId9"/>
    <sheet name="Mid County Flow" sheetId="13" r:id="rId10"/>
    <sheet name="Sandalhaven" sheetId="7" r:id="rId11"/>
    <sheet name="Sandalhaven Flow" sheetId="14" r:id="rId12"/>
    <sheet name="Lake Placid 2" sheetId="23" r:id="rId13"/>
    <sheet name="Lake Placid flow" sheetId="15" r:id="rId14"/>
    <sheet name="Labrador 2" sheetId="24" r:id="rId15"/>
    <sheet name="Labrador Flow" sheetId="16" r:id="rId16"/>
    <sheet name="Eagle Ridge 2" sheetId="25" r:id="rId17"/>
    <sheet name="Eagle Ridge Flow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8" l="1"/>
  <c r="B11" i="18"/>
  <c r="B10" i="18"/>
  <c r="B9" i="18"/>
  <c r="B8" i="18"/>
  <c r="B7" i="18"/>
  <c r="B6" i="18"/>
  <c r="B5" i="18"/>
  <c r="B3" i="18"/>
  <c r="C9" i="25" l="1"/>
  <c r="C5" i="25"/>
  <c r="C11" i="25"/>
  <c r="C12" i="25" s="1"/>
  <c r="C14" i="25" s="1"/>
  <c r="C5" i="24"/>
  <c r="C11" i="24" s="1"/>
  <c r="C12" i="24" s="1"/>
  <c r="C5" i="23"/>
  <c r="C11" i="23" s="1"/>
  <c r="C12" i="23" s="1"/>
  <c r="C9" i="23"/>
  <c r="C5" i="22"/>
  <c r="C11" i="22" s="1"/>
  <c r="C12" i="22" s="1"/>
  <c r="C9" i="22"/>
  <c r="C14" i="20"/>
  <c r="C12" i="20"/>
  <c r="C11" i="20"/>
  <c r="C20" i="20" s="1"/>
  <c r="C24" i="20" s="1"/>
  <c r="C25" i="20" s="1"/>
  <c r="C9" i="20"/>
  <c r="C5" i="20"/>
  <c r="C25" i="19"/>
  <c r="C24" i="19"/>
  <c r="C20" i="19"/>
  <c r="C14" i="19"/>
  <c r="C12" i="19"/>
  <c r="C11" i="19"/>
  <c r="C20" i="25" l="1"/>
  <c r="C24" i="25" s="1"/>
  <c r="C25" i="25" s="1"/>
  <c r="C14" i="24"/>
  <c r="C20" i="24" s="1"/>
  <c r="C24" i="24" s="1"/>
  <c r="C25" i="24" s="1"/>
  <c r="C14" i="23"/>
  <c r="C20" i="23" s="1"/>
  <c r="C24" i="23" s="1"/>
  <c r="C25" i="23" s="1"/>
  <c r="C14" i="22"/>
  <c r="C20" i="22" s="1"/>
  <c r="C24" i="22" s="1"/>
  <c r="C25" i="22" s="1"/>
  <c r="C5" i="19"/>
  <c r="F19" i="7"/>
  <c r="E19" i="7"/>
  <c r="D19" i="7"/>
  <c r="F18" i="7"/>
  <c r="E18" i="7"/>
  <c r="D18" i="7"/>
  <c r="F39" i="7"/>
  <c r="E39" i="7"/>
  <c r="D40" i="7"/>
  <c r="D39" i="7"/>
  <c r="F38" i="7"/>
  <c r="E38" i="7"/>
  <c r="D38" i="7"/>
  <c r="F37" i="7"/>
  <c r="E37" i="7"/>
  <c r="D37" i="7"/>
  <c r="F15" i="7"/>
  <c r="F11" i="7"/>
  <c r="E11" i="7"/>
  <c r="D11" i="7"/>
  <c r="C11" i="7"/>
  <c r="F6" i="7"/>
  <c r="F12" i="7" s="1"/>
  <c r="F13" i="7" s="1"/>
  <c r="E6" i="7"/>
  <c r="E15" i="7" s="1"/>
  <c r="D6" i="7"/>
  <c r="D15" i="7" s="1"/>
  <c r="C6" i="7"/>
  <c r="C12" i="7" s="1"/>
  <c r="C13" i="7" s="1"/>
  <c r="C15" i="7" l="1"/>
  <c r="C18" i="7" l="1"/>
  <c r="C19" i="7" l="1"/>
  <c r="C21" i="7" l="1"/>
  <c r="C25" i="7" s="1"/>
  <c r="C26" i="7" s="1"/>
  <c r="F29" i="17"/>
  <c r="F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C29" i="17"/>
  <c r="C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C27" i="16"/>
  <c r="C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C27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C26" i="15"/>
  <c r="D13" i="15"/>
  <c r="D12" i="15"/>
  <c r="D11" i="15"/>
  <c r="D10" i="15"/>
  <c r="D9" i="15"/>
  <c r="D8" i="15"/>
  <c r="D7" i="15"/>
  <c r="D6" i="15"/>
  <c r="D5" i="15"/>
  <c r="D4" i="15"/>
  <c r="C25" i="14"/>
  <c r="C24" i="14"/>
  <c r="C23" i="14"/>
  <c r="C22" i="14"/>
  <c r="D24" i="14" s="1"/>
  <c r="C21" i="14"/>
  <c r="D23" i="14" s="1"/>
  <c r="C20" i="14"/>
  <c r="C19" i="14"/>
  <c r="C18" i="14"/>
  <c r="C17" i="14"/>
  <c r="C16" i="14"/>
  <c r="C15" i="14"/>
  <c r="C14" i="14"/>
  <c r="D25" i="14"/>
  <c r="D13" i="14"/>
  <c r="D12" i="14"/>
  <c r="D11" i="14"/>
  <c r="D10" i="14"/>
  <c r="D9" i="14"/>
  <c r="D8" i="14"/>
  <c r="D7" i="14"/>
  <c r="D6" i="14"/>
  <c r="D5" i="14"/>
  <c r="D4" i="14"/>
  <c r="D21" i="7" l="1"/>
  <c r="D25" i="7" s="1"/>
  <c r="D26" i="7" s="1"/>
  <c r="F30" i="17"/>
  <c r="C30" i="17"/>
  <c r="C28" i="16"/>
  <c r="C28" i="15"/>
  <c r="D22" i="14"/>
  <c r="D21" i="14"/>
  <c r="D20" i="14"/>
  <c r="D19" i="14"/>
  <c r="D18" i="14"/>
  <c r="D17" i="14"/>
  <c r="C27" i="14"/>
  <c r="D16" i="14"/>
  <c r="D14" i="14"/>
  <c r="C26" i="14"/>
  <c r="D15" i="14"/>
  <c r="C27" i="13"/>
  <c r="C26" i="13"/>
  <c r="D25" i="13"/>
  <c r="D24" i="13"/>
  <c r="D23" i="13"/>
  <c r="D22" i="13"/>
  <c r="D21" i="13"/>
  <c r="D20" i="13"/>
  <c r="D19" i="13"/>
  <c r="D18" i="13"/>
  <c r="D17" i="13"/>
  <c r="D15" i="13"/>
  <c r="D14" i="13"/>
  <c r="D16" i="13"/>
  <c r="D13" i="13"/>
  <c r="D12" i="13"/>
  <c r="D11" i="13"/>
  <c r="D10" i="13"/>
  <c r="D9" i="13"/>
  <c r="D8" i="13"/>
  <c r="D7" i="13"/>
  <c r="D6" i="13"/>
  <c r="D5" i="13"/>
  <c r="D4" i="13"/>
  <c r="C14" i="12"/>
  <c r="C26" i="12" s="1"/>
  <c r="C27" i="12"/>
  <c r="D25" i="12"/>
  <c r="D24" i="12"/>
  <c r="D23" i="12"/>
  <c r="D22" i="12"/>
  <c r="D21" i="12"/>
  <c r="D20" i="12"/>
  <c r="D19" i="12"/>
  <c r="D18" i="12"/>
  <c r="D17" i="12"/>
  <c r="D16" i="12"/>
  <c r="D15" i="12"/>
  <c r="D13" i="12"/>
  <c r="D12" i="12"/>
  <c r="D11" i="12"/>
  <c r="D10" i="12"/>
  <c r="D9" i="12"/>
  <c r="D8" i="12"/>
  <c r="D7" i="12"/>
  <c r="D6" i="12"/>
  <c r="D5" i="12"/>
  <c r="D4" i="12"/>
  <c r="F21" i="7" l="1"/>
  <c r="F25" i="7" s="1"/>
  <c r="F26" i="7" s="1"/>
  <c r="E21" i="7"/>
  <c r="E25" i="7" s="1"/>
  <c r="E26" i="7" s="1"/>
  <c r="C28" i="14"/>
  <c r="C28" i="13"/>
  <c r="D14" i="12"/>
  <c r="C28" i="12" s="1"/>
  <c r="C28" i="11"/>
  <c r="C27" i="11"/>
  <c r="C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Q30" i="10" l="1"/>
  <c r="R30" i="10" s="1"/>
  <c r="J30" i="10"/>
  <c r="I30" i="10"/>
  <c r="K30" i="10" s="1"/>
  <c r="L30" i="10" s="1"/>
  <c r="H30" i="10"/>
  <c r="E30" i="10"/>
  <c r="B30" i="10"/>
  <c r="C30" i="10" s="1"/>
  <c r="F30" i="10" s="1"/>
  <c r="G30" i="10" s="1"/>
  <c r="Q29" i="10"/>
  <c r="R29" i="10" s="1"/>
  <c r="J29" i="10"/>
  <c r="I29" i="10"/>
  <c r="K29" i="10" s="1"/>
  <c r="L29" i="10" s="1"/>
  <c r="H29" i="10"/>
  <c r="E29" i="10"/>
  <c r="D29" i="10"/>
  <c r="C29" i="10"/>
  <c r="F29" i="10" s="1"/>
  <c r="G29" i="10" s="1"/>
  <c r="Q28" i="10"/>
  <c r="R28" i="10" s="1"/>
  <c r="J28" i="10"/>
  <c r="I28" i="10"/>
  <c r="K28" i="10" s="1"/>
  <c r="L28" i="10" s="1"/>
  <c r="H28" i="10"/>
  <c r="E28" i="10"/>
  <c r="D28" i="10"/>
  <c r="C28" i="10"/>
  <c r="F28" i="10" s="1"/>
  <c r="G28" i="10" s="1"/>
  <c r="Q27" i="10"/>
  <c r="R27" i="10" s="1"/>
  <c r="J27" i="10"/>
  <c r="I27" i="10"/>
  <c r="K27" i="10" s="1"/>
  <c r="L27" i="10" s="1"/>
  <c r="H27" i="10"/>
  <c r="E27" i="10"/>
  <c r="D27" i="10"/>
  <c r="C27" i="10"/>
  <c r="F27" i="10" s="1"/>
  <c r="G27" i="10" s="1"/>
  <c r="Q26" i="10"/>
  <c r="R26" i="10" s="1"/>
  <c r="J26" i="10"/>
  <c r="I26" i="10"/>
  <c r="K26" i="10" s="1"/>
  <c r="L26" i="10" s="1"/>
  <c r="H26" i="10"/>
  <c r="E26" i="10"/>
  <c r="D26" i="10"/>
  <c r="C26" i="10"/>
  <c r="F26" i="10" s="1"/>
  <c r="G26" i="10" s="1"/>
  <c r="Q25" i="10"/>
  <c r="R25" i="10" s="1"/>
  <c r="J25" i="10"/>
  <c r="I25" i="10"/>
  <c r="K25" i="10" s="1"/>
  <c r="L25" i="10" s="1"/>
  <c r="H25" i="10"/>
  <c r="E25" i="10"/>
  <c r="D25" i="10"/>
  <c r="C25" i="10"/>
  <c r="F25" i="10" s="1"/>
  <c r="G25" i="10" s="1"/>
  <c r="D24" i="10"/>
  <c r="E24" i="10" s="1"/>
  <c r="F24" i="10" s="1"/>
  <c r="G24" i="10" s="1"/>
  <c r="C24" i="10"/>
  <c r="R23" i="10"/>
  <c r="Q23" i="10"/>
  <c r="J23" i="10"/>
  <c r="K23" i="10" s="1"/>
  <c r="L23" i="10" s="1"/>
  <c r="I23" i="10"/>
  <c r="H23" i="10"/>
  <c r="D23" i="10"/>
  <c r="E23" i="10" s="1"/>
  <c r="F23" i="10" s="1"/>
  <c r="G23" i="10" s="1"/>
  <c r="C23" i="10"/>
  <c r="R22" i="10"/>
  <c r="Q22" i="10"/>
  <c r="J22" i="10"/>
  <c r="K22" i="10" s="1"/>
  <c r="L22" i="10" s="1"/>
  <c r="I22" i="10"/>
  <c r="H22" i="10"/>
  <c r="D22" i="10"/>
  <c r="E22" i="10" s="1"/>
  <c r="F22" i="10" s="1"/>
  <c r="G22" i="10" s="1"/>
  <c r="C22" i="10"/>
  <c r="R21" i="10"/>
  <c r="Q21" i="10"/>
  <c r="L21" i="10"/>
  <c r="J21" i="10"/>
  <c r="K21" i="10" s="1"/>
  <c r="I21" i="10"/>
  <c r="H21" i="10"/>
  <c r="F21" i="10"/>
  <c r="G21" i="10" s="1"/>
  <c r="D21" i="10"/>
  <c r="E21" i="10" s="1"/>
  <c r="C21" i="10"/>
  <c r="R20" i="10"/>
  <c r="Q20" i="10"/>
  <c r="L20" i="10"/>
  <c r="J20" i="10"/>
  <c r="K20" i="10" s="1"/>
  <c r="I20" i="10"/>
  <c r="H20" i="10"/>
  <c r="F20" i="10"/>
  <c r="G20" i="10" s="1"/>
  <c r="D20" i="10"/>
  <c r="E20" i="10" s="1"/>
  <c r="B20" i="10"/>
  <c r="C20" i="10" s="1"/>
  <c r="Q19" i="10"/>
  <c r="R19" i="10" s="1"/>
  <c r="K19" i="10"/>
  <c r="L19" i="10" s="1"/>
  <c r="M19" i="10" s="1"/>
  <c r="J19" i="10"/>
  <c r="I19" i="10"/>
  <c r="H19" i="10"/>
  <c r="E19" i="10"/>
  <c r="D19" i="10"/>
  <c r="C19" i="10"/>
  <c r="Q18" i="10"/>
  <c r="R18" i="10" s="1"/>
  <c r="K18" i="10"/>
  <c r="L18" i="10" s="1"/>
  <c r="M18" i="10" s="1"/>
  <c r="J18" i="10"/>
  <c r="I18" i="10"/>
  <c r="H18" i="10"/>
  <c r="E18" i="10"/>
  <c r="D18" i="10"/>
  <c r="C18" i="10"/>
  <c r="Q17" i="10"/>
  <c r="R17" i="10" s="1"/>
  <c r="K17" i="10"/>
  <c r="L17" i="10" s="1"/>
  <c r="M17" i="10" s="1"/>
  <c r="J17" i="10"/>
  <c r="I17" i="10"/>
  <c r="H17" i="10"/>
  <c r="E17" i="10"/>
  <c r="D17" i="10"/>
  <c r="C17" i="10"/>
  <c r="Q15" i="10"/>
  <c r="R15" i="10" s="1"/>
  <c r="K15" i="10"/>
  <c r="L15" i="10" s="1"/>
  <c r="M15" i="10" s="1"/>
  <c r="J15" i="10"/>
  <c r="I15" i="10"/>
  <c r="H15" i="10"/>
  <c r="E15" i="10"/>
  <c r="D15" i="10"/>
  <c r="C15" i="10"/>
  <c r="Q14" i="10"/>
  <c r="R14" i="10" s="1"/>
  <c r="K14" i="10"/>
  <c r="L14" i="10" s="1"/>
  <c r="M14" i="10" s="1"/>
  <c r="J14" i="10"/>
  <c r="I14" i="10"/>
  <c r="H14" i="10"/>
  <c r="E14" i="10"/>
  <c r="D14" i="10"/>
  <c r="C14" i="10"/>
  <c r="Q13" i="10"/>
  <c r="R13" i="10" s="1"/>
  <c r="K13" i="10"/>
  <c r="L13" i="10" s="1"/>
  <c r="M13" i="10" s="1"/>
  <c r="J13" i="10"/>
  <c r="I13" i="10"/>
  <c r="H13" i="10"/>
  <c r="E13" i="10"/>
  <c r="D13" i="10"/>
  <c r="C13" i="10"/>
  <c r="Q12" i="10"/>
  <c r="R12" i="10" s="1"/>
  <c r="K12" i="10"/>
  <c r="L12" i="10" s="1"/>
  <c r="M12" i="10" s="1"/>
  <c r="J12" i="10"/>
  <c r="I12" i="10"/>
  <c r="H12" i="10"/>
  <c r="E12" i="10"/>
  <c r="D12" i="10"/>
  <c r="C12" i="10"/>
  <c r="Q11" i="10"/>
  <c r="R11" i="10" s="1"/>
  <c r="K11" i="10"/>
  <c r="L11" i="10" s="1"/>
  <c r="M11" i="10" s="1"/>
  <c r="J11" i="10"/>
  <c r="I11" i="10"/>
  <c r="H11" i="10"/>
  <c r="E11" i="10"/>
  <c r="D11" i="10"/>
  <c r="C11" i="10"/>
  <c r="D10" i="10"/>
  <c r="E10" i="10" s="1"/>
  <c r="F10" i="10" s="1"/>
  <c r="G10" i="10" s="1"/>
  <c r="C10" i="10"/>
  <c r="R9" i="10"/>
  <c r="Q9" i="10"/>
  <c r="J9" i="10"/>
  <c r="K9" i="10" s="1"/>
  <c r="L9" i="10" s="1"/>
  <c r="I9" i="10"/>
  <c r="H9" i="10"/>
  <c r="D9" i="10"/>
  <c r="E9" i="10" s="1"/>
  <c r="F9" i="10" s="1"/>
  <c r="G9" i="10" s="1"/>
  <c r="C9" i="10"/>
  <c r="R7" i="10"/>
  <c r="Q7" i="10"/>
  <c r="J7" i="10"/>
  <c r="K7" i="10" s="1"/>
  <c r="L7" i="10" s="1"/>
  <c r="I7" i="10"/>
  <c r="H7" i="10"/>
  <c r="D7" i="10"/>
  <c r="E7" i="10" s="1"/>
  <c r="F7" i="10" s="1"/>
  <c r="G7" i="10" s="1"/>
  <c r="C7" i="10"/>
  <c r="O9" i="10" l="1"/>
  <c r="M9" i="10"/>
  <c r="N9" i="10" s="1"/>
  <c r="P9" i="10" s="1"/>
  <c r="M7" i="10"/>
  <c r="N7" i="10" s="1"/>
  <c r="O7" i="10"/>
  <c r="O20" i="10"/>
  <c r="M20" i="10"/>
  <c r="N20" i="10" s="1"/>
  <c r="P20" i="10" s="1"/>
  <c r="S20" i="10" s="1"/>
  <c r="T20" i="10" s="1"/>
  <c r="O30" i="10"/>
  <c r="M30" i="10"/>
  <c r="N30" i="10" s="1"/>
  <c r="S9" i="10"/>
  <c r="T9" i="10" s="1"/>
  <c r="O26" i="10"/>
  <c r="M26" i="10"/>
  <c r="N26" i="10" s="1"/>
  <c r="P26" i="10" s="1"/>
  <c r="S26" i="10" s="1"/>
  <c r="T26" i="10" s="1"/>
  <c r="O11" i="10"/>
  <c r="O12" i="10"/>
  <c r="O13" i="10"/>
  <c r="O14" i="10"/>
  <c r="O15" i="10"/>
  <c r="O17" i="10"/>
  <c r="O18" i="10"/>
  <c r="O19" i="10"/>
  <c r="O28" i="10"/>
  <c r="M28" i="10"/>
  <c r="N28" i="10" s="1"/>
  <c r="M21" i="10"/>
  <c r="N21" i="10" s="1"/>
  <c r="P21" i="10" s="1"/>
  <c r="S21" i="10" s="1"/>
  <c r="T21" i="10" s="1"/>
  <c r="O21" i="10"/>
  <c r="M27" i="10"/>
  <c r="N27" i="10" s="1"/>
  <c r="O27" i="10"/>
  <c r="M23" i="10"/>
  <c r="N23" i="10" s="1"/>
  <c r="O23" i="10"/>
  <c r="F11" i="10"/>
  <c r="G11" i="10" s="1"/>
  <c r="N11" i="10" s="1"/>
  <c r="P11" i="10" s="1"/>
  <c r="S11" i="10" s="1"/>
  <c r="T11" i="10" s="1"/>
  <c r="F12" i="10"/>
  <c r="G12" i="10" s="1"/>
  <c r="N12" i="10" s="1"/>
  <c r="P12" i="10" s="1"/>
  <c r="S12" i="10" s="1"/>
  <c r="T12" i="10" s="1"/>
  <c r="F13" i="10"/>
  <c r="G13" i="10" s="1"/>
  <c r="N13" i="10" s="1"/>
  <c r="P13" i="10" s="1"/>
  <c r="S13" i="10" s="1"/>
  <c r="T13" i="10" s="1"/>
  <c r="F14" i="10"/>
  <c r="G14" i="10" s="1"/>
  <c r="N14" i="10" s="1"/>
  <c r="P14" i="10" s="1"/>
  <c r="S14" i="10" s="1"/>
  <c r="T14" i="10" s="1"/>
  <c r="F15" i="10"/>
  <c r="G15" i="10" s="1"/>
  <c r="N15" i="10" s="1"/>
  <c r="P15" i="10" s="1"/>
  <c r="S15" i="10" s="1"/>
  <c r="T15" i="10" s="1"/>
  <c r="F17" i="10"/>
  <c r="G17" i="10" s="1"/>
  <c r="N17" i="10" s="1"/>
  <c r="P17" i="10" s="1"/>
  <c r="S17" i="10" s="1"/>
  <c r="T17" i="10" s="1"/>
  <c r="F18" i="10"/>
  <c r="G18" i="10" s="1"/>
  <c r="N18" i="10" s="1"/>
  <c r="P18" i="10" s="1"/>
  <c r="S18" i="10" s="1"/>
  <c r="T18" i="10" s="1"/>
  <c r="F19" i="10"/>
  <c r="G19" i="10" s="1"/>
  <c r="N19" i="10" s="1"/>
  <c r="P19" i="10" s="1"/>
  <c r="S19" i="10" s="1"/>
  <c r="T19" i="10" s="1"/>
  <c r="O22" i="10"/>
  <c r="M22" i="10"/>
  <c r="N22" i="10" s="1"/>
  <c r="P22" i="10" s="1"/>
  <c r="S22" i="10" s="1"/>
  <c r="T22" i="10" s="1"/>
  <c r="M25" i="10"/>
  <c r="N25" i="10" s="1"/>
  <c r="O25" i="10"/>
  <c r="M29" i="10"/>
  <c r="N29" i="10" s="1"/>
  <c r="P29" i="10" s="1"/>
  <c r="S29" i="10" s="1"/>
  <c r="T29" i="10" s="1"/>
  <c r="O29" i="10"/>
  <c r="P25" i="10" l="1"/>
  <c r="S25" i="10" s="1"/>
  <c r="T25" i="10" s="1"/>
  <c r="P23" i="10"/>
  <c r="S23" i="10" s="1"/>
  <c r="T23" i="10" s="1"/>
  <c r="P27" i="10"/>
  <c r="S27" i="10" s="1"/>
  <c r="T27" i="10" s="1"/>
  <c r="P28" i="10"/>
  <c r="S28" i="10" s="1"/>
  <c r="T28" i="10" s="1"/>
  <c r="P30" i="10"/>
  <c r="S30" i="10" s="1"/>
  <c r="T30" i="10" s="1"/>
  <c r="P7" i="10"/>
  <c r="S7" i="10" s="1"/>
  <c r="T7" i="10" s="1"/>
  <c r="F40" i="7" l="1"/>
  <c r="E40" i="7"/>
</calcChain>
</file>

<file path=xl/sharedStrings.xml><?xml version="1.0" encoding="utf-8"?>
<sst xmlns="http://schemas.openxmlformats.org/spreadsheetml/2006/main" count="591" uniqueCount="181">
  <si>
    <t>System</t>
  </si>
  <si>
    <t>Water</t>
  </si>
  <si>
    <t>Distribution</t>
  </si>
  <si>
    <t>Wastewater</t>
  </si>
  <si>
    <t>Collection</t>
  </si>
  <si>
    <t>Crownwood</t>
  </si>
  <si>
    <t>No</t>
  </si>
  <si>
    <t>Yes</t>
  </si>
  <si>
    <t>Eagle Ridge</t>
  </si>
  <si>
    <t>Labrador</t>
  </si>
  <si>
    <t>Lake Placid</t>
  </si>
  <si>
    <t>Mid-County</t>
  </si>
  <si>
    <t>Sandalhaven</t>
  </si>
  <si>
    <t>LUSI</t>
  </si>
  <si>
    <t>EAGLE RIDGE</t>
  </si>
  <si>
    <t>LABRADOR</t>
  </si>
  <si>
    <t>LAKE PLACID</t>
  </si>
  <si>
    <t>MID COUNTY</t>
  </si>
  <si>
    <t>SANDALHAVEN</t>
  </si>
  <si>
    <t>Inflow/Infiltration Adjustment</t>
  </si>
  <si>
    <t>Growth Adjustment</t>
  </si>
  <si>
    <t>Plant</t>
  </si>
  <si>
    <t>MFR U&amp;U</t>
  </si>
  <si>
    <t>Notes</t>
  </si>
  <si>
    <t>calc 53.73% but system is substantially built out</t>
  </si>
  <si>
    <t>calc 73.52% but system is substantially built out</t>
  </si>
  <si>
    <t>calc 40.27% but system is substantially built out and unchanged</t>
  </si>
  <si>
    <t>calc 20.83% but system is substantially built out</t>
  </si>
  <si>
    <t>calc 91.75% but system is substantially built out</t>
  </si>
  <si>
    <t>various</t>
  </si>
  <si>
    <t>except for resue which is 100%</t>
  </si>
  <si>
    <t>Length of</t>
  </si>
  <si>
    <t>6"</t>
  </si>
  <si>
    <t>Allowable</t>
  </si>
  <si>
    <t>Avg Test</t>
  </si>
  <si>
    <t>Avg Test Yr</t>
  </si>
  <si>
    <t>Water Sold</t>
  </si>
  <si>
    <t>Returned</t>
  </si>
  <si>
    <t>Actual</t>
  </si>
  <si>
    <t>6" Collection</t>
  </si>
  <si>
    <t>Line</t>
  </si>
  <si>
    <t>8" Collection</t>
  </si>
  <si>
    <t>6" Line</t>
  </si>
  <si>
    <t>Total</t>
  </si>
  <si>
    <t>Infiltration</t>
  </si>
  <si>
    <t>Total Water</t>
  </si>
  <si>
    <t>Year</t>
  </si>
  <si>
    <t>Sold</t>
  </si>
  <si>
    <t>To Wastewater</t>
  </si>
  <si>
    <t>Inflow (10%</t>
  </si>
  <si>
    <t>Estimated</t>
  </si>
  <si>
    <t>WW</t>
  </si>
  <si>
    <t>Excess</t>
  </si>
  <si>
    <t>Percent</t>
  </si>
  <si>
    <t>inch feet</t>
  </si>
  <si>
    <t>Inch miles</t>
  </si>
  <si>
    <t>(500gpd/in-mi)</t>
  </si>
  <si>
    <t>Water ERCs</t>
  </si>
  <si>
    <t>ERCs</t>
  </si>
  <si>
    <t>Adjustment</t>
  </si>
  <si>
    <t>ERC</t>
  </si>
  <si>
    <t>water sold)</t>
  </si>
  <si>
    <t>I&amp;I</t>
  </si>
  <si>
    <t>(80% sold)</t>
  </si>
  <si>
    <t>WW and I&amp;I</t>
  </si>
  <si>
    <t>Treated</t>
  </si>
  <si>
    <t>(ft)</t>
  </si>
  <si>
    <t>(in-ft)</t>
  </si>
  <si>
    <t>(in-mi)</t>
  </si>
  <si>
    <t>(1,000gal )</t>
  </si>
  <si>
    <t>(1,000 gal)</t>
  </si>
  <si>
    <t>(gpd)</t>
  </si>
  <si>
    <t>Arredondo Farms</t>
  </si>
  <si>
    <t>Beecher's Point</t>
  </si>
  <si>
    <t>N/A Interconnected</t>
  </si>
  <si>
    <t>Chuluota</t>
  </si>
  <si>
    <t>Fl. Central Commerce Park</t>
  </si>
  <si>
    <t>N/A</t>
  </si>
  <si>
    <t>Holiday Haven</t>
  </si>
  <si>
    <t>Interlachen Estates/Park Manor</t>
  </si>
  <si>
    <t>Jasmine Lakes</t>
  </si>
  <si>
    <t>Jungle Den</t>
  </si>
  <si>
    <t>Kings Cove</t>
  </si>
  <si>
    <t>Lake Gibson Estates</t>
  </si>
  <si>
    <t>Lake Suzy</t>
  </si>
  <si>
    <t>Leisure Lakes</t>
  </si>
  <si>
    <t>Morningview</t>
  </si>
  <si>
    <t>Palm Port</t>
  </si>
  <si>
    <t>Palm Terrace</t>
  </si>
  <si>
    <t>Rosalie Oaks</t>
  </si>
  <si>
    <t>Silver Lake Oaks</t>
  </si>
  <si>
    <t>South Seas</t>
  </si>
  <si>
    <t>Summit Chase</t>
  </si>
  <si>
    <t>Sunny Hills</t>
  </si>
  <si>
    <t>Valencia Terrace</t>
  </si>
  <si>
    <t>Venetian Village</t>
  </si>
  <si>
    <t>Village Water</t>
  </si>
  <si>
    <t>The Woods</t>
  </si>
  <si>
    <t>Zephyr Shores</t>
  </si>
  <si>
    <t>Column Notes</t>
  </si>
  <si>
    <t>1,2</t>
  </si>
  <si>
    <t>From MFRs map verified</t>
  </si>
  <si>
    <t>7,8,9</t>
  </si>
  <si>
    <t>From MFRs</t>
  </si>
  <si>
    <t>Ratio of water to Wastewater ERCs</t>
  </si>
  <si>
    <t>column 14 plus column 6</t>
  </si>
  <si>
    <t>from DMR analysis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</si>
  <si>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</si>
  <si>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</si>
  <si>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</si>
  <si>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</si>
  <si>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</si>
  <si>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</si>
  <si>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</si>
  <si>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</si>
  <si>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</si>
  <si>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Nov</t>
  </si>
  <si>
    <t>Dec</t>
  </si>
  <si>
    <t>Oct</t>
  </si>
  <si>
    <t>Max Mo</t>
  </si>
  <si>
    <t>Max 3 Mo</t>
  </si>
  <si>
    <t>Mo Avg.</t>
  </si>
  <si>
    <t>3 Mo Avg</t>
  </si>
  <si>
    <t>Ann Avg</t>
  </si>
  <si>
    <t>rain event</t>
  </si>
  <si>
    <t>Cross Creek</t>
  </si>
  <si>
    <t>50 open lots out of?????</t>
  </si>
  <si>
    <t>need to look at lot count</t>
  </si>
  <si>
    <t>Wastewater Treatment</t>
  </si>
  <si>
    <t>Wastewater Collection</t>
  </si>
  <si>
    <t>Mid County</t>
  </si>
  <si>
    <t>mmm</t>
  </si>
  <si>
    <t>Capacity Fees paid to EWD</t>
  </si>
  <si>
    <t>Master Lift Station</t>
  </si>
  <si>
    <t>Pumping Plant</t>
  </si>
  <si>
    <t>Force Main</t>
  </si>
  <si>
    <t>from Schedule F-2</t>
  </si>
  <si>
    <t>Excess I&amp;I (gpy)</t>
  </si>
  <si>
    <t>Excess I&amp;I (gpd)</t>
  </si>
  <si>
    <t>xx</t>
  </si>
  <si>
    <t>Growth for Five year Period (ERCs)</t>
  </si>
  <si>
    <t>Capacity (gpd)</t>
  </si>
  <si>
    <t>Used and Useful Percentage</t>
  </si>
  <si>
    <t>Non-Used and Useful Percentage</t>
  </si>
  <si>
    <t>Description</t>
  </si>
  <si>
    <t>gallons per day (gpd)</t>
  </si>
  <si>
    <r>
      <t>Test Year Flows</t>
    </r>
    <r>
      <rPr>
        <vertAlign val="superscript"/>
        <sz val="11"/>
        <color theme="1"/>
        <rFont val="Calibri"/>
        <family val="2"/>
        <scheme val="minor"/>
      </rPr>
      <t>(1)</t>
    </r>
  </si>
  <si>
    <t>(1) Since the decomissioning of the WWTP all Sandalhaven flow pass through the force main and is treated by EWD</t>
  </si>
  <si>
    <r>
      <t>Test Year ERCs</t>
    </r>
    <r>
      <rPr>
        <vertAlign val="superscript"/>
        <sz val="11"/>
        <color theme="1"/>
        <rFont val="Calibri"/>
        <family val="2"/>
        <scheme val="minor"/>
      </rPr>
      <t>(2)</t>
    </r>
  </si>
  <si>
    <t>(2) From MFR Schedue F-10</t>
  </si>
  <si>
    <t>(3) Linear regression results in negtive growth</t>
  </si>
  <si>
    <r>
      <t>Annual Growth Using Linear Regression (ERCs/yr)</t>
    </r>
    <r>
      <rPr>
        <vertAlign val="superscript"/>
        <sz val="11"/>
        <color theme="1"/>
        <rFont val="Calibri"/>
        <family val="2"/>
        <scheme val="minor"/>
      </rPr>
      <t>(3)</t>
    </r>
  </si>
  <si>
    <t>Test Year gpd/ERC (Line 3 /Line 6)</t>
  </si>
  <si>
    <t>Growth Allowance (gpd) (Line 8*Line 9)</t>
  </si>
  <si>
    <t>Test year Flow Plus Growth Allowance (Line 3+line 10)</t>
  </si>
  <si>
    <t>Test year Flow with Growth Allowance Less I&amp;I (Line 12-Line 14)</t>
  </si>
  <si>
    <r>
      <t>Excess I&amp;I (gpy)</t>
    </r>
    <r>
      <rPr>
        <vertAlign val="superscript"/>
        <sz val="11"/>
        <color theme="1"/>
        <rFont val="Calibri"/>
        <family val="2"/>
        <scheme val="minor"/>
      </rPr>
      <t>(4)</t>
    </r>
  </si>
  <si>
    <t>(4) Excess I&amp;I for Master Lift Station and Pumping Plant calculated as follows.</t>
  </si>
  <si>
    <t>Test Year Flow</t>
  </si>
  <si>
    <t>Lift Station</t>
  </si>
  <si>
    <t>Pumps</t>
  </si>
  <si>
    <t>Ratio to Total</t>
  </si>
  <si>
    <t>Total Excess I&amp;I</t>
  </si>
  <si>
    <t>Allocated I&amp;I</t>
  </si>
  <si>
    <t>Max Three Month (gpd)</t>
  </si>
  <si>
    <t>Test Year gpd/ERC (Line 2 /Line 5)</t>
  </si>
  <si>
    <t>Growth Allowance (gpd) (Line 8*Line 7)</t>
  </si>
  <si>
    <t>Test year Flow Plus Growth Allowance (Line 2+line 9)</t>
  </si>
  <si>
    <t>(1) From test year DMRs</t>
  </si>
  <si>
    <t>Annual Average (MGD)</t>
  </si>
  <si>
    <t>Growth Allowance (MGD) (Line 8*Line 7)</t>
  </si>
  <si>
    <t>Capacity (MGD)</t>
  </si>
  <si>
    <t>Max Three Month (MGD)</t>
  </si>
  <si>
    <t>(3) From MFR Schedue F-10</t>
  </si>
  <si>
    <t>NA</t>
  </si>
  <si>
    <t>Sandalhaven - EWD Cap</t>
  </si>
  <si>
    <t>Sandalhaven - Lift Station</t>
  </si>
  <si>
    <t>Sandalhaven - Force Main</t>
  </si>
  <si>
    <t>Sandalhaven - Pumps</t>
  </si>
  <si>
    <t>Test year Flow with Growth Allowance Less I&amp;I (Line 11-Line 15)</t>
  </si>
  <si>
    <t>Test year Flow with Growth Allowance Less I&amp;I (Line 12-Line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</si>
</sst>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"/>
    <numFmt numFmtId="167" formatCode="_(* #,##0_);_(* \(#,##0\);_(* &quot;-&quot;?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FFC000"/>
      <name val="Times New Roman"/>
      <family val="1"/>
    </font>
    <font>
      <sz val="10"/>
      <color theme="3" tint="0.3999755851924192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9" fontId="0" fillId="0" borderId="0" xfId="0" applyNumberFormat="1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2" fontId="2" fillId="0" borderId="0" xfId="0" applyNumberFormat="1" applyFont="1"/>
    <xf numFmtId="37" fontId="3" fillId="0" borderId="0" xfId="0" applyNumberFormat="1" applyFont="1"/>
    <xf numFmtId="43" fontId="3" fillId="0" borderId="0" xfId="1" applyFont="1"/>
    <xf numFmtId="164" fontId="2" fillId="0" borderId="0" xfId="0" applyNumberFormat="1" applyFont="1"/>
    <xf numFmtId="164" fontId="4" fillId="0" borderId="0" xfId="1" applyNumberFormat="1" applyFont="1"/>
    <xf numFmtId="10" fontId="2" fillId="0" borderId="0" xfId="2" applyNumberFormat="1" applyFont="1"/>
    <xf numFmtId="0" fontId="3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1" applyNumberFormat="1" applyFont="1" applyBorder="1"/>
    <xf numFmtId="2" fontId="2" fillId="0" borderId="1" xfId="0" applyNumberFormat="1" applyFont="1" applyBorder="1"/>
    <xf numFmtId="37" fontId="3" fillId="0" borderId="1" xfId="0" applyNumberFormat="1" applyFont="1" applyBorder="1"/>
    <xf numFmtId="43" fontId="3" fillId="0" borderId="1" xfId="1" applyFont="1" applyBorder="1"/>
    <xf numFmtId="164" fontId="2" fillId="0" borderId="1" xfId="0" applyNumberFormat="1" applyFont="1" applyBorder="1"/>
    <xf numFmtId="164" fontId="4" fillId="0" borderId="1" xfId="1" applyNumberFormat="1" applyFont="1" applyBorder="1"/>
    <xf numFmtId="10" fontId="2" fillId="0" borderId="1" xfId="2" applyNumberFormat="1" applyFont="1" applyBorder="1"/>
    <xf numFmtId="0" fontId="3" fillId="0" borderId="1" xfId="0" applyFont="1" applyBorder="1"/>
    <xf numFmtId="43" fontId="2" fillId="0" borderId="0" xfId="1" applyFont="1"/>
    <xf numFmtId="164" fontId="2" fillId="0" borderId="0" xfId="1" applyNumberFormat="1" applyFont="1" applyAlignment="1"/>
    <xf numFmtId="165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0" borderId="0" xfId="0" applyAlignment="1">
      <alignment horizontal="left" indent="2"/>
    </xf>
    <xf numFmtId="164" fontId="0" fillId="0" borderId="0" xfId="1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9" fontId="0" fillId="0" borderId="0" xfId="2" applyFont="1"/>
    <xf numFmtId="10" fontId="0" fillId="0" borderId="0" xfId="2" applyNumberFormat="1" applyFont="1"/>
    <xf numFmtId="167" fontId="0" fillId="0" borderId="0" xfId="0" applyNumberFormat="1"/>
    <xf numFmtId="1" fontId="0" fillId="0" borderId="0" xfId="0" applyNumberFormat="1"/>
    <xf numFmtId="10" fontId="0" fillId="0" borderId="2" xfId="2" applyNumberFormat="1" applyFont="1" applyBorder="1"/>
    <xf numFmtId="10" fontId="0" fillId="0" borderId="2" xfId="2" applyNumberFormat="1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Source%20FIles/F5-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LSz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Lsr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Mrg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Plm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Plm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Rsl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SvL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Sm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\Projects\Office%20of%20Public%20Counsel\2008%20Aqua%20America%20Rate%20Case\Aqua%20MFRs\MFRs%20Values\MFR%20Sny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Sny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Ard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Vl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Vnt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Vlg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TWd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UIF%20I&amp;I%20and%20UAW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LANDO\FINANCE\Projects\Office%20of%20Public%20Counsel\2008%20Aqua%20America%20Rate%20Case\Final%20Wastewater%20used%20and%20useful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Chu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Hld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ILP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Jsm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Jng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.moore/Local%20Settings/Temporary%20Internet%20Files/Content.Outlook/5XK4FW2I/Aqua%20MFRs/MFRs%20Values/MFR%20KgC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-U&amp;U"/>
      <sheetName val="S-U&amp;U"/>
      <sheetName val="namelookup"/>
      <sheetName val="Sheet1"/>
      <sheetName val="48Es-6597w"/>
      <sheetName val="Ardo-6569w"/>
      <sheetName val="Ardo-6389s"/>
      <sheetName val="BchP-6438w"/>
      <sheetName val="BchP-6439s"/>
      <sheetName val="CrlV-6405w"/>
      <sheetName val="Chul-6456w"/>
      <sheetName val="Chul-6457s"/>
      <sheetName val="ELHE-6406w"/>
      <sheetName val="FCCP-6461s"/>
      <sheetName val="FrnT-6407w"/>
      <sheetName val="FdyC-6408w"/>
      <sheetName val="GbsE-6433w"/>
      <sheetName val="GndT-6409w"/>
      <sheetName val="HnsC-6556w"/>
      <sheetName val="HarH-6462w"/>
      <sheetName val="HerC-6440w"/>
      <sheetName val="HbyH-6410w"/>
      <sheetName val="HldH-6411w"/>
      <sheetName val="HldH-6412s"/>
      <sheetName val="ImMT-6413w"/>
      <sheetName val="ILPM-6441w"/>
      <sheetName val="ILPM-6443s"/>
      <sheetName val="JsmL-6574w"/>
      <sheetName val="JsmL-6391s"/>
      <sheetName val="JngD-6467w"/>
      <sheetName val="JngD-6468s"/>
      <sheetName val="KgCv-6595w"/>
      <sheetName val="KgCv-6395s"/>
      <sheetName val="Kngw-6401w"/>
      <sheetName val="LGbE-6434w"/>
      <sheetName val="LGbE-6435s"/>
      <sheetName val="LJph-6589w"/>
      <sheetName val="LOsE-6558w"/>
      <sheetName val="LSzy-6582w"/>
      <sheetName val="LSzy-6392s"/>
      <sheetName val="LsrL-6403w"/>
      <sheetName val="LsrL-6404s"/>
      <sheetName val="Mrgv-6414w"/>
      <sheetName val="Mrgv-6415s"/>
      <sheetName val="Okwd-6402w"/>
      <sheetName val="OclO-6577w"/>
      <sheetName val="OHSC-6436w"/>
      <sheetName val="PMHP-6416w"/>
      <sheetName val="PlmP-6444w"/>
      <sheetName val="PlmP-6445s"/>
      <sheetName val="PlmT-6429w"/>
      <sheetName val="PlmT-6430s"/>
      <sheetName val="Pcla-6417w"/>
      <sheetName val="PnyW-6418w"/>
      <sheetName val="PmnP-6446w"/>
      <sheetName val="QlRg-6419w"/>
      <sheetName val="Rvwd-6561w"/>
      <sheetName val="RvGv-6447w"/>
      <sheetName val="RslO-6562w"/>
      <sheetName val="RslO-6386s"/>
      <sheetName val="SJnH-6450w"/>
      <sheetName val="SbgL-6933w"/>
      <sheetName val="SLWS-6420w"/>
      <sheetName val="SvLO-6448w"/>
      <sheetName val="SvLO-6449s"/>
      <sheetName val="Skyc-6421w"/>
      <sheetName val="SSea-6831s"/>
      <sheetName val="SnMt-6422w"/>
      <sheetName val="SmCh-6596w"/>
      <sheetName val="SmCh-6396s"/>
      <sheetName val="SnyH-6471w"/>
      <sheetName val="SnyH-6472s"/>
      <sheetName val="Tngr-6428w"/>
      <sheetName val="TWds-6564w"/>
      <sheetName val="TWds-6388s"/>
      <sheetName val="TmTR-6469w"/>
      <sheetName val="VlnT-6423w"/>
      <sheetName val="VlnT-6424s"/>
      <sheetName val="VntV-6425w"/>
      <sheetName val="VntV-6426s"/>
      <sheetName val="VlgW-6571w"/>
      <sheetName val="VlgW-6390s"/>
      <sheetName val="WkSH-6451w"/>
      <sheetName val="Woot-6453w"/>
      <sheetName val="ZyrS-6431w"/>
      <sheetName val="ZyrS-6432s"/>
    </sheetNames>
    <sheetDataSet>
      <sheetData sheetId="0" refreshError="1"/>
      <sheetData sheetId="1" refreshError="1">
        <row r="4">
          <cell r="AJ4">
            <v>26310</v>
          </cell>
        </row>
        <row r="6">
          <cell r="AJ6">
            <v>32791</v>
          </cell>
        </row>
        <row r="7">
          <cell r="AJ7">
            <v>7364</v>
          </cell>
        </row>
        <row r="8">
          <cell r="AJ8">
            <v>9808</v>
          </cell>
        </row>
        <row r="9">
          <cell r="AJ9">
            <v>63269</v>
          </cell>
        </row>
        <row r="10">
          <cell r="AJ10">
            <v>4704</v>
          </cell>
        </row>
        <row r="11">
          <cell r="AJ11">
            <v>11905</v>
          </cell>
        </row>
        <row r="13">
          <cell r="AJ13">
            <v>18747</v>
          </cell>
        </row>
        <row r="14">
          <cell r="AJ14">
            <v>13567</v>
          </cell>
        </row>
        <row r="15">
          <cell r="AJ15">
            <v>2856</v>
          </cell>
        </row>
        <row r="16">
          <cell r="AJ16">
            <v>5191</v>
          </cell>
          <cell r="AL16">
            <v>2558</v>
          </cell>
        </row>
        <row r="17">
          <cell r="AJ17">
            <v>41118</v>
          </cell>
        </row>
        <row r="18">
          <cell r="AJ18">
            <v>1363</v>
          </cell>
        </row>
        <row r="19">
          <cell r="AJ19">
            <v>4162</v>
          </cell>
        </row>
        <row r="20">
          <cell r="AJ20">
            <v>1722</v>
          </cell>
        </row>
        <row r="21">
          <cell r="AJ21">
            <v>9180</v>
          </cell>
        </row>
        <row r="22">
          <cell r="AJ22">
            <v>6039</v>
          </cell>
        </row>
        <row r="23">
          <cell r="AJ23">
            <v>25791</v>
          </cell>
        </row>
        <row r="24">
          <cell r="AL24">
            <v>4850</v>
          </cell>
        </row>
        <row r="25">
          <cell r="AJ25">
            <v>14941</v>
          </cell>
        </row>
        <row r="26">
          <cell r="AJ26">
            <v>7408</v>
          </cell>
        </row>
        <row r="27">
          <cell r="AJ27">
            <v>17445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37404.9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807.33333333333337</v>
          </cell>
        </row>
        <row r="37">
          <cell r="F37">
            <v>498.66666666666669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6532.9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291.66666666666669</v>
          </cell>
        </row>
        <row r="37">
          <cell r="F37">
            <v>283.58333333333331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2274.3000000000002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46.416666666666664</v>
          </cell>
        </row>
        <row r="37">
          <cell r="F37">
            <v>44.5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4597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110.58333333333333</v>
          </cell>
        </row>
        <row r="37">
          <cell r="F37">
            <v>107.91666666666667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60710.6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1203.9166666666667</v>
          </cell>
        </row>
        <row r="37">
          <cell r="F37">
            <v>1033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2335.3000000000002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97</v>
          </cell>
        </row>
        <row r="37">
          <cell r="F37">
            <v>98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1709.7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46</v>
          </cell>
        </row>
        <row r="37">
          <cell r="F37">
            <v>45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7194.7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221</v>
          </cell>
        </row>
        <row r="37">
          <cell r="F37">
            <v>218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42721.3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648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37">
          <cell r="F37">
            <v>182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32360.2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637.33333333333337</v>
          </cell>
        </row>
        <row r="37">
          <cell r="F37">
            <v>382.91666666666669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23375.1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386.33333333333331</v>
          </cell>
        </row>
        <row r="37">
          <cell r="F37">
            <v>372.33333333333331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9935.1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168.75</v>
          </cell>
        </row>
        <row r="37">
          <cell r="F37">
            <v>95.5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22275.5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333.33333333333331</v>
          </cell>
        </row>
        <row r="37">
          <cell r="F37">
            <v>174.5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3728.6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78</v>
          </cell>
        </row>
        <row r="37">
          <cell r="F37">
            <v>74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iltration"/>
      <sheetName val="Inflow"/>
      <sheetName val="I&amp;I Summary"/>
      <sheetName val="UAW"/>
    </sheetNames>
    <sheetDataSet>
      <sheetData sheetId="0" refreshError="1"/>
      <sheetData sheetId="1" refreshError="1"/>
      <sheetData sheetId="2" refreshError="1">
        <row r="5">
          <cell r="F5">
            <v>-29213373.787878789</v>
          </cell>
        </row>
        <row r="13">
          <cell r="F13">
            <v>4225818.9772727285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&amp;I Analysis"/>
      <sheetName val="Arredondo Farms"/>
      <sheetName val="Chuluota"/>
      <sheetName val="FL Central Comm Pk"/>
      <sheetName val="Holiday Haven"/>
      <sheetName val="Interlachen-Park Manor"/>
      <sheetName val="Jasmine Lakes"/>
      <sheetName val="Jungle Den"/>
      <sheetName val="Kings Cove"/>
      <sheetName val="Lake Suzy"/>
      <sheetName val="Leisure Lakes"/>
      <sheetName val="Morningview"/>
      <sheetName val="Palm Port"/>
      <sheetName val="Palm Terrace"/>
      <sheetName val="Rosalie Oaks"/>
      <sheetName val="Silver Lake Oaks"/>
      <sheetName val="South Seas"/>
      <sheetName val="Summit Chase"/>
      <sheetName val="Sunny Hills"/>
      <sheetName val="Valencia Terrace"/>
      <sheetName val="Venetian Village"/>
      <sheetName val="Village Water"/>
      <sheetName val="The Woods"/>
    </sheetNames>
    <sheetDataSet>
      <sheetData sheetId="0" refreshError="1"/>
      <sheetData sheetId="1" refreshError="1"/>
      <sheetData sheetId="2">
        <row r="7">
          <cell r="D7">
            <v>46000</v>
          </cell>
        </row>
      </sheetData>
      <sheetData sheetId="3">
        <row r="7">
          <cell r="D7">
            <v>114000</v>
          </cell>
        </row>
      </sheetData>
      <sheetData sheetId="4" refreshError="1"/>
      <sheetData sheetId="5">
        <row r="7">
          <cell r="D7">
            <v>17000</v>
          </cell>
        </row>
      </sheetData>
      <sheetData sheetId="6">
        <row r="7">
          <cell r="E7">
            <v>4000</v>
          </cell>
        </row>
      </sheetData>
      <sheetData sheetId="7">
        <row r="7">
          <cell r="D7">
            <v>205000</v>
          </cell>
        </row>
      </sheetData>
      <sheetData sheetId="8">
        <row r="7">
          <cell r="D7">
            <v>15000</v>
          </cell>
        </row>
      </sheetData>
      <sheetData sheetId="9">
        <row r="7">
          <cell r="D7">
            <v>30100</v>
          </cell>
        </row>
      </sheetData>
      <sheetData sheetId="10">
        <row r="7">
          <cell r="D7">
            <v>56000</v>
          </cell>
        </row>
      </sheetData>
      <sheetData sheetId="11">
        <row r="7">
          <cell r="D7">
            <v>19000</v>
          </cell>
        </row>
      </sheetData>
      <sheetData sheetId="12">
        <row r="7">
          <cell r="D7">
            <v>5000</v>
          </cell>
        </row>
      </sheetData>
      <sheetData sheetId="13">
        <row r="7">
          <cell r="D7">
            <v>15000</v>
          </cell>
        </row>
      </sheetData>
      <sheetData sheetId="14">
        <row r="7">
          <cell r="D7">
            <v>123000</v>
          </cell>
        </row>
      </sheetData>
      <sheetData sheetId="15">
        <row r="7">
          <cell r="D7">
            <v>10000</v>
          </cell>
        </row>
      </sheetData>
      <sheetData sheetId="16">
        <row r="7">
          <cell r="D7">
            <v>5000</v>
          </cell>
        </row>
      </sheetData>
      <sheetData sheetId="17" refreshError="1"/>
      <sheetData sheetId="18">
        <row r="7">
          <cell r="D7">
            <v>29000</v>
          </cell>
        </row>
      </sheetData>
      <sheetData sheetId="19">
        <row r="7">
          <cell r="D7">
            <v>23000</v>
          </cell>
        </row>
      </sheetData>
      <sheetData sheetId="20">
        <row r="7">
          <cell r="D7">
            <v>36000</v>
          </cell>
        </row>
      </sheetData>
      <sheetData sheetId="21">
        <row r="7">
          <cell r="D7">
            <v>10000</v>
          </cell>
        </row>
      </sheetData>
      <sheetData sheetId="22">
        <row r="7">
          <cell r="D7">
            <v>34000</v>
          </cell>
        </row>
      </sheetData>
      <sheetData sheetId="23">
        <row r="7">
          <cell r="D7">
            <v>9000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153222.29999999999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1496.9166666666667</v>
          </cell>
        </row>
        <row r="37">
          <cell r="F37">
            <v>606.91666666666663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4881.3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127.5</v>
          </cell>
        </row>
        <row r="37">
          <cell r="F37">
            <v>113.5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11304.7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294.5</v>
          </cell>
        </row>
        <row r="37">
          <cell r="F37">
            <v>31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92262.5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1617.75</v>
          </cell>
        </row>
        <row r="37">
          <cell r="F37">
            <v>1603.5833333333333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1669.3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115</v>
          </cell>
        </row>
        <row r="37">
          <cell r="F37">
            <v>137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over Sheet"/>
      <sheetName val="INDEX-A"/>
      <sheetName val="A-1"/>
      <sheetName val="A-2"/>
      <sheetName val="A-3"/>
      <sheetName val="A-4"/>
      <sheetName val="A-5 p1"/>
      <sheetName val="A-5 p2-3"/>
      <sheetName val="A-6 p1"/>
      <sheetName val="A-6 p2-3"/>
      <sheetName val="A-7"/>
      <sheetName val="A-8"/>
      <sheetName val="A-9 p1"/>
      <sheetName val="A-9 p2-3"/>
      <sheetName val="A-10 p1"/>
      <sheetName val="A-10 p2-3"/>
      <sheetName val="A-11"/>
      <sheetName val="A-12 p1"/>
      <sheetName val="A-12 p2-3"/>
      <sheetName val="A-13"/>
      <sheetName val="A-14 p1"/>
      <sheetName val="A-14 p2-3"/>
      <sheetName val="A-15"/>
      <sheetName val="A-16"/>
      <sheetName val="A-17"/>
      <sheetName val="A-18"/>
      <sheetName val="A-19"/>
      <sheetName val="INDEX-B"/>
      <sheetName val="B-1"/>
      <sheetName val="B-2"/>
      <sheetName val="B-3"/>
      <sheetName val="B-4"/>
      <sheetName val="B-5, p1"/>
      <sheetName val="B-5, p2-5"/>
      <sheetName val="B-6, p1"/>
      <sheetName val="B-6, p2-5"/>
      <sheetName val="B-7"/>
      <sheetName val="B-7 Supl"/>
      <sheetName val="B-8"/>
      <sheetName val="B-8 Supl"/>
      <sheetName val="B-9"/>
      <sheetName val="B-10"/>
      <sheetName val="B-11"/>
      <sheetName val="B-12"/>
      <sheetName val="B-13"/>
      <sheetName val="B-14"/>
      <sheetName val="B-15"/>
      <sheetName val="INDEX-C"/>
      <sheetName val="C-1"/>
      <sheetName val="C-2"/>
      <sheetName val="C-3"/>
      <sheetName val="C-4"/>
      <sheetName val="C-5"/>
      <sheetName val="C-6 p1"/>
      <sheetName val="C-6 p2,3"/>
      <sheetName val="C-7 p1,2"/>
      <sheetName val="C-7 p3,4"/>
      <sheetName val="C-8"/>
      <sheetName val="C-9"/>
      <sheetName val="C-10"/>
      <sheetName val="INDEX-D"/>
      <sheetName val="D-1"/>
      <sheetName val="D-2"/>
      <sheetName val="D-3"/>
      <sheetName val="D-4"/>
      <sheetName val="D-5"/>
      <sheetName val="D-6"/>
      <sheetName val="D-7"/>
      <sheetName val="INDEX-E"/>
      <sheetName val="E-1w"/>
      <sheetName val="E-1s"/>
      <sheetName val="E-2w"/>
      <sheetName val="E-2s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4"/>
      <sheetName val="INDEX-F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INDEX-G"/>
      <sheetName val="G-1"/>
      <sheetName val="G-2"/>
      <sheetName val="G-3"/>
      <sheetName val="G-4"/>
      <sheetName val="G-5"/>
      <sheetName val="G-6"/>
      <sheetName val="E Rate Dsgn Water"/>
      <sheetName val="E Rate Dsgn Sewer"/>
      <sheetName val="CustNums"/>
      <sheetName val="CWC data"/>
      <sheetName val="name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34">
          <cell r="E34">
            <v>31887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23">
          <cell r="F23">
            <v>209</v>
          </cell>
        </row>
        <row r="37">
          <cell r="F37">
            <v>201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C4" sqref="C4"/>
    </sheetView>
  </sheetViews>
  <sheetFormatPr defaultRowHeight="15" x14ac:dyDescent="0.25"/>
  <cols>
    <col min="1" max="1" width="23.7109375" bestFit="1" customWidth="1"/>
    <col min="2" max="2" width="16.5703125" customWidth="1"/>
    <col min="3" max="3" width="15" customWidth="1"/>
  </cols>
  <sheetData>
    <row r="2" spans="1:4" ht="30" x14ac:dyDescent="0.25">
      <c r="A2" s="33" t="s">
        <v>0</v>
      </c>
      <c r="B2" s="33" t="s">
        <v>128</v>
      </c>
      <c r="C2" s="33" t="s">
        <v>129</v>
      </c>
      <c r="D2" s="32"/>
    </row>
    <row r="3" spans="1:4" x14ac:dyDescent="0.25">
      <c r="A3" s="34" t="s">
        <v>5</v>
      </c>
      <c r="B3" s="44">
        <f>Crownwood!C24</f>
        <v>0.53199534613147181</v>
      </c>
      <c r="C3" s="44" t="s">
        <v>174</v>
      </c>
    </row>
    <row r="4" spans="1:4" x14ac:dyDescent="0.25">
      <c r="A4" s="34" t="s">
        <v>8</v>
      </c>
      <c r="B4" s="45">
        <v>1</v>
      </c>
      <c r="C4" s="44" t="s">
        <v>174</v>
      </c>
    </row>
    <row r="5" spans="1:4" x14ac:dyDescent="0.25">
      <c r="A5" s="34" t="s">
        <v>9</v>
      </c>
      <c r="B5" s="44">
        <f>'Labrador 2'!C24</f>
        <v>0.40586419753086422</v>
      </c>
      <c r="C5" s="44" t="s">
        <v>174</v>
      </c>
    </row>
    <row r="6" spans="1:4" x14ac:dyDescent="0.25">
      <c r="A6" s="34" t="s">
        <v>10</v>
      </c>
      <c r="B6" s="44">
        <f>'Lake Placid 2'!C24</f>
        <v>0.29785630903109417</v>
      </c>
      <c r="C6" s="44" t="s">
        <v>174</v>
      </c>
    </row>
    <row r="7" spans="1:4" x14ac:dyDescent="0.25">
      <c r="A7" s="34" t="s">
        <v>13</v>
      </c>
      <c r="B7" s="44">
        <f>'LUSI 2'!C24</f>
        <v>0.53550458396511535</v>
      </c>
      <c r="C7" s="44" t="s">
        <v>174</v>
      </c>
    </row>
    <row r="8" spans="1:4" x14ac:dyDescent="0.25">
      <c r="A8" s="34" t="s">
        <v>130</v>
      </c>
      <c r="B8" s="44">
        <f>'Mid County 2'!C24</f>
        <v>0.93674463694078869</v>
      </c>
      <c r="C8" s="44">
        <v>1</v>
      </c>
    </row>
    <row r="9" spans="1:4" x14ac:dyDescent="0.25">
      <c r="A9" s="34" t="s">
        <v>175</v>
      </c>
      <c r="B9" s="44">
        <f>Sandalhaven!C25</f>
        <v>0.42235781755915308</v>
      </c>
      <c r="C9" s="44" t="s">
        <v>174</v>
      </c>
    </row>
    <row r="10" spans="1:4" x14ac:dyDescent="0.25">
      <c r="A10" s="34" t="s">
        <v>176</v>
      </c>
      <c r="B10" s="44">
        <f>Sandalhaven!D25</f>
        <v>0.11267124901665784</v>
      </c>
      <c r="C10" s="44" t="s">
        <v>174</v>
      </c>
    </row>
    <row r="11" spans="1:4" x14ac:dyDescent="0.25">
      <c r="A11" s="34" t="s">
        <v>177</v>
      </c>
      <c r="B11" s="44">
        <f>Sandalhaven!F25</f>
        <v>0.13551587729170689</v>
      </c>
      <c r="C11" s="44" t="s">
        <v>174</v>
      </c>
    </row>
    <row r="12" spans="1:4" x14ac:dyDescent="0.25">
      <c r="A12" s="34" t="s">
        <v>178</v>
      </c>
      <c r="B12" s="44">
        <f>Sandalhaven!E25</f>
        <v>0.27245956580391806</v>
      </c>
      <c r="C12" s="44" t="s">
        <v>174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5" x14ac:dyDescent="0.25"/>
  <cols>
    <col min="4" max="4" width="9.140625" style="26"/>
  </cols>
  <sheetData>
    <row r="1" spans="1:4" x14ac:dyDescent="0.25">
      <c r="C1" t="s">
        <v>121</v>
      </c>
      <c r="D1" s="26" t="s">
        <v>122</v>
      </c>
    </row>
    <row r="2" spans="1:4" x14ac:dyDescent="0.25">
      <c r="A2">
        <v>2014</v>
      </c>
      <c r="B2" t="s">
        <v>107</v>
      </c>
      <c r="C2">
        <v>0.626</v>
      </c>
    </row>
    <row r="3" spans="1:4" x14ac:dyDescent="0.25">
      <c r="B3" t="s">
        <v>108</v>
      </c>
      <c r="C3">
        <v>0.68200000000000005</v>
      </c>
    </row>
    <row r="4" spans="1:4" x14ac:dyDescent="0.25">
      <c r="B4" t="s">
        <v>109</v>
      </c>
      <c r="C4">
        <v>0.72899999999999998</v>
      </c>
      <c r="D4" s="26">
        <f>AVERAGE(C2:C4)</f>
        <v>0.67899999999999994</v>
      </c>
    </row>
    <row r="5" spans="1:4" x14ac:dyDescent="0.25">
      <c r="B5" t="s">
        <v>110</v>
      </c>
      <c r="C5">
        <v>0.72</v>
      </c>
      <c r="D5" s="26">
        <f t="shared" ref="D5:D25" si="0">AVERAGE(C3:C5)</f>
        <v>0.71033333333333337</v>
      </c>
    </row>
    <row r="6" spans="1:4" x14ac:dyDescent="0.25">
      <c r="B6" t="s">
        <v>111</v>
      </c>
      <c r="C6">
        <v>0.71</v>
      </c>
      <c r="D6" s="26">
        <f t="shared" si="0"/>
        <v>0.71966666666666657</v>
      </c>
    </row>
    <row r="7" spans="1:4" x14ac:dyDescent="0.25">
      <c r="B7" t="s">
        <v>112</v>
      </c>
      <c r="C7">
        <v>0.75</v>
      </c>
      <c r="D7" s="26">
        <f t="shared" si="0"/>
        <v>0.72666666666666657</v>
      </c>
    </row>
    <row r="8" spans="1:4" x14ac:dyDescent="0.25">
      <c r="B8" t="s">
        <v>113</v>
      </c>
      <c r="C8">
        <v>0.75800000000000001</v>
      </c>
      <c r="D8" s="26">
        <f t="shared" si="0"/>
        <v>0.73933333333333329</v>
      </c>
    </row>
    <row r="9" spans="1:4" x14ac:dyDescent="0.25">
      <c r="B9" t="s">
        <v>114</v>
      </c>
      <c r="C9">
        <v>0.73299999999999998</v>
      </c>
      <c r="D9" s="26">
        <f t="shared" si="0"/>
        <v>0.747</v>
      </c>
    </row>
    <row r="10" spans="1:4" x14ac:dyDescent="0.25">
      <c r="B10" t="s">
        <v>115</v>
      </c>
      <c r="C10">
        <v>0.84699999999999998</v>
      </c>
      <c r="D10" s="26">
        <f t="shared" si="0"/>
        <v>0.77933333333333332</v>
      </c>
    </row>
    <row r="11" spans="1:4" x14ac:dyDescent="0.25">
      <c r="B11" t="s">
        <v>118</v>
      </c>
      <c r="C11">
        <v>0.77200000000000002</v>
      </c>
      <c r="D11" s="26">
        <f t="shared" si="0"/>
        <v>0.78400000000000014</v>
      </c>
    </row>
    <row r="12" spans="1:4" x14ac:dyDescent="0.25">
      <c r="B12" t="s">
        <v>116</v>
      </c>
      <c r="C12">
        <v>0.7</v>
      </c>
      <c r="D12" s="26">
        <f t="shared" si="0"/>
        <v>0.77300000000000002</v>
      </c>
    </row>
    <row r="13" spans="1:4" x14ac:dyDescent="0.25">
      <c r="B13" t="s">
        <v>117</v>
      </c>
      <c r="C13">
        <v>0.72299999999999998</v>
      </c>
      <c r="D13" s="26">
        <f t="shared" si="0"/>
        <v>0.73166666666666658</v>
      </c>
    </row>
    <row r="14" spans="1:4" x14ac:dyDescent="0.25">
      <c r="A14">
        <v>2015</v>
      </c>
      <c r="B14" t="s">
        <v>107</v>
      </c>
      <c r="C14" s="27">
        <v>0.67900000000000005</v>
      </c>
      <c r="D14" s="26">
        <f t="shared" si="0"/>
        <v>0.70066666666666677</v>
      </c>
    </row>
    <row r="15" spans="1:4" x14ac:dyDescent="0.25">
      <c r="B15" t="s">
        <v>108</v>
      </c>
      <c r="C15">
        <v>0.72199999999999998</v>
      </c>
      <c r="D15" s="26">
        <f t="shared" si="0"/>
        <v>0.70800000000000007</v>
      </c>
    </row>
    <row r="16" spans="1:4" x14ac:dyDescent="0.25">
      <c r="B16" t="s">
        <v>109</v>
      </c>
      <c r="C16">
        <v>0.75700000000000001</v>
      </c>
      <c r="D16" s="26">
        <f t="shared" si="0"/>
        <v>0.71933333333333327</v>
      </c>
    </row>
    <row r="17" spans="1:5" x14ac:dyDescent="0.25">
      <c r="B17" t="s">
        <v>110</v>
      </c>
      <c r="C17">
        <v>0.68300000000000005</v>
      </c>
      <c r="D17" s="26">
        <f t="shared" si="0"/>
        <v>0.72066666666666668</v>
      </c>
    </row>
    <row r="18" spans="1:5" x14ac:dyDescent="0.25">
      <c r="B18" t="s">
        <v>111</v>
      </c>
      <c r="C18">
        <v>0.875</v>
      </c>
      <c r="D18" s="26">
        <f t="shared" si="0"/>
        <v>0.77166666666666661</v>
      </c>
    </row>
    <row r="19" spans="1:5" x14ac:dyDescent="0.25">
      <c r="B19" t="s">
        <v>112</v>
      </c>
      <c r="C19">
        <v>0.73599999999999999</v>
      </c>
      <c r="D19" s="26">
        <f t="shared" si="0"/>
        <v>0.76466666666666672</v>
      </c>
    </row>
    <row r="20" spans="1:5" x14ac:dyDescent="0.25">
      <c r="B20" t="s">
        <v>113</v>
      </c>
      <c r="C20">
        <v>0.91600000000000004</v>
      </c>
      <c r="D20" s="26">
        <f t="shared" si="0"/>
        <v>0.84233333333333338</v>
      </c>
    </row>
    <row r="21" spans="1:5" x14ac:dyDescent="0.25">
      <c r="B21" t="s">
        <v>114</v>
      </c>
      <c r="C21">
        <v>1.0980000000000001</v>
      </c>
      <c r="D21" s="26">
        <f t="shared" si="0"/>
        <v>0.91666666666666663</v>
      </c>
      <c r="E21" t="s">
        <v>124</v>
      </c>
    </row>
    <row r="22" spans="1:5" x14ac:dyDescent="0.25">
      <c r="B22" t="s">
        <v>115</v>
      </c>
      <c r="C22">
        <v>0.93100000000000005</v>
      </c>
      <c r="D22" s="26">
        <f t="shared" si="0"/>
        <v>0.9816666666666668</v>
      </c>
    </row>
    <row r="23" spans="1:5" x14ac:dyDescent="0.25">
      <c r="B23" t="s">
        <v>118</v>
      </c>
      <c r="C23">
        <v>0.71199999999999997</v>
      </c>
      <c r="D23" s="26">
        <f t="shared" si="0"/>
        <v>0.91366666666666652</v>
      </c>
    </row>
    <row r="24" spans="1:5" x14ac:dyDescent="0.25">
      <c r="B24" t="s">
        <v>116</v>
      </c>
      <c r="C24">
        <v>0.69699999999999995</v>
      </c>
      <c r="D24" s="26">
        <f t="shared" si="0"/>
        <v>0.77999999999999992</v>
      </c>
    </row>
    <row r="25" spans="1:5" x14ac:dyDescent="0.25">
      <c r="B25" t="s">
        <v>117</v>
      </c>
      <c r="C25">
        <v>0.66700000000000004</v>
      </c>
      <c r="D25" s="26">
        <f t="shared" si="0"/>
        <v>0.69199999999999984</v>
      </c>
    </row>
    <row r="26" spans="1:5" x14ac:dyDescent="0.25">
      <c r="A26">
        <v>2015</v>
      </c>
      <c r="B26" t="s">
        <v>123</v>
      </c>
      <c r="C26" s="27">
        <f>AVERAGE(C14:C25)</f>
        <v>0.78941666666666654</v>
      </c>
    </row>
    <row r="27" spans="1:5" x14ac:dyDescent="0.25">
      <c r="B27" t="s">
        <v>119</v>
      </c>
      <c r="C27">
        <f>MAX(C14:C25)</f>
        <v>1.0980000000000001</v>
      </c>
    </row>
    <row r="28" spans="1:5" x14ac:dyDescent="0.25">
      <c r="B28" t="s">
        <v>120</v>
      </c>
      <c r="C28" s="28">
        <f>MAX(D14:D25)</f>
        <v>0.9816666666666668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40"/>
  <sheetViews>
    <sheetView tabSelected="1" topLeftCell="A7" workbookViewId="0">
      <selection activeCell="B22" sqref="B22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18</v>
      </c>
    </row>
    <row r="3" spans="1:6" ht="30" x14ac:dyDescent="0.25">
      <c r="A3" t="s">
        <v>40</v>
      </c>
      <c r="B3" t="s">
        <v>144</v>
      </c>
      <c r="C3" s="32" t="s">
        <v>132</v>
      </c>
      <c r="D3" s="32" t="s">
        <v>133</v>
      </c>
      <c r="E3" s="32" t="s">
        <v>134</v>
      </c>
      <c r="F3" s="32" t="s">
        <v>135</v>
      </c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136</v>
      </c>
      <c r="C5" s="26">
        <v>50.473999999999997</v>
      </c>
      <c r="D5" s="26">
        <v>29.847000000000001</v>
      </c>
      <c r="E5" s="26">
        <v>29.847000000000001</v>
      </c>
      <c r="F5" s="26">
        <v>50.473999999999997</v>
      </c>
    </row>
    <row r="6" spans="1:6" x14ac:dyDescent="0.25">
      <c r="A6">
        <v>3</v>
      </c>
      <c r="B6" s="35" t="s">
        <v>145</v>
      </c>
      <c r="C6" s="29">
        <f>C5*1000000/365</f>
        <v>138284.9315068493</v>
      </c>
      <c r="D6" s="29">
        <f t="shared" ref="D6:F6" si="0">D5*1000000/365</f>
        <v>81772.602739726033</v>
      </c>
      <c r="E6" s="29">
        <f t="shared" si="0"/>
        <v>81772.602739726033</v>
      </c>
      <c r="F6" s="29">
        <f t="shared" si="0"/>
        <v>138284.9315068493</v>
      </c>
    </row>
    <row r="7" spans="1:6" x14ac:dyDescent="0.25">
      <c r="A7">
        <v>4</v>
      </c>
      <c r="B7" s="35"/>
      <c r="C7" s="29"/>
      <c r="D7" s="29"/>
      <c r="E7" s="29"/>
      <c r="F7" s="29"/>
    </row>
    <row r="8" spans="1:6" x14ac:dyDescent="0.25">
      <c r="A8">
        <v>5</v>
      </c>
      <c r="B8" t="s">
        <v>20</v>
      </c>
    </row>
    <row r="9" spans="1:6" ht="17.25" x14ac:dyDescent="0.25">
      <c r="A9">
        <v>6</v>
      </c>
      <c r="B9" s="35" t="s">
        <v>148</v>
      </c>
      <c r="C9">
        <v>1365</v>
      </c>
      <c r="D9" s="37" t="s">
        <v>139</v>
      </c>
      <c r="E9" s="37" t="s">
        <v>139</v>
      </c>
      <c r="F9">
        <v>1365</v>
      </c>
    </row>
    <row r="10" spans="1:6" ht="17.25" x14ac:dyDescent="0.25">
      <c r="A10">
        <v>7</v>
      </c>
      <c r="B10" s="35" t="s">
        <v>151</v>
      </c>
      <c r="C10">
        <v>0</v>
      </c>
      <c r="D10" s="37">
        <v>0</v>
      </c>
      <c r="E10" s="37">
        <v>0</v>
      </c>
      <c r="F10">
        <v>0</v>
      </c>
    </row>
    <row r="11" spans="1:6" x14ac:dyDescent="0.25">
      <c r="A11">
        <v>8</v>
      </c>
      <c r="B11" s="35" t="s">
        <v>140</v>
      </c>
      <c r="C11">
        <f>5*C10</f>
        <v>0</v>
      </c>
      <c r="D11">
        <f t="shared" ref="D11:F11" si="1">5*D10</f>
        <v>0</v>
      </c>
      <c r="E11">
        <f t="shared" si="1"/>
        <v>0</v>
      </c>
      <c r="F11">
        <f t="shared" si="1"/>
        <v>0</v>
      </c>
    </row>
    <row r="12" spans="1:6" x14ac:dyDescent="0.25">
      <c r="A12">
        <v>9</v>
      </c>
      <c r="B12" s="35" t="s">
        <v>152</v>
      </c>
      <c r="C12" s="31">
        <f>C6/C9</f>
        <v>101.30764212955992</v>
      </c>
      <c r="D12" s="37" t="s">
        <v>139</v>
      </c>
      <c r="E12" s="37" t="s">
        <v>139</v>
      </c>
      <c r="F12" s="31">
        <f>F6/F9</f>
        <v>101.30764212955992</v>
      </c>
    </row>
    <row r="13" spans="1:6" x14ac:dyDescent="0.25">
      <c r="A13">
        <v>10</v>
      </c>
      <c r="B13" s="35" t="s">
        <v>153</v>
      </c>
      <c r="C13" s="31">
        <f>C12*C11</f>
        <v>0</v>
      </c>
      <c r="D13" s="37" t="s">
        <v>139</v>
      </c>
      <c r="E13" s="37" t="s">
        <v>139</v>
      </c>
      <c r="F13" s="31">
        <f t="shared" ref="F13" si="2">F12*F11</f>
        <v>0</v>
      </c>
    </row>
    <row r="14" spans="1:6" x14ac:dyDescent="0.25">
      <c r="A14">
        <v>11</v>
      </c>
      <c r="B14" s="35"/>
      <c r="C14" s="31"/>
      <c r="D14" s="37"/>
      <c r="E14" s="37"/>
      <c r="F14" s="31"/>
    </row>
    <row r="15" spans="1:6" x14ac:dyDescent="0.25">
      <c r="A15">
        <v>12</v>
      </c>
      <c r="B15" s="38" t="s">
        <v>154</v>
      </c>
      <c r="C15" s="30">
        <f>C6+C13</f>
        <v>138284.9315068493</v>
      </c>
      <c r="D15" s="39">
        <f>D6</f>
        <v>81772.602739726033</v>
      </c>
      <c r="E15" s="39">
        <f>E6</f>
        <v>81772.602739726033</v>
      </c>
      <c r="F15" s="30">
        <f>F6+F13</f>
        <v>138284.9315068493</v>
      </c>
    </row>
    <row r="16" spans="1:6" x14ac:dyDescent="0.25">
      <c r="A16">
        <v>13</v>
      </c>
    </row>
    <row r="17" spans="1:6" x14ac:dyDescent="0.25">
      <c r="A17">
        <v>14</v>
      </c>
      <c r="B17" t="s">
        <v>19</v>
      </c>
    </row>
    <row r="18" spans="1:6" ht="17.25" x14ac:dyDescent="0.25">
      <c r="A18">
        <v>15</v>
      </c>
      <c r="B18" s="35" t="s">
        <v>156</v>
      </c>
      <c r="C18" s="29">
        <f>IF('[24]I&amp;I Summary'!$F$13&gt;0,'[24]I&amp;I Summary'!$F$13,0)</f>
        <v>4225818.9772727285</v>
      </c>
      <c r="D18" s="30">
        <f>E40</f>
        <v>2498871.0824317299</v>
      </c>
      <c r="E18" s="30">
        <f>F40</f>
        <v>2498871.0824317299</v>
      </c>
      <c r="F18" s="30">
        <f>C18</f>
        <v>4225818.9772727285</v>
      </c>
    </row>
    <row r="19" spans="1:6" x14ac:dyDescent="0.25">
      <c r="A19">
        <v>16</v>
      </c>
      <c r="B19" s="35" t="s">
        <v>138</v>
      </c>
      <c r="C19" s="36">
        <f>C18/365</f>
        <v>11577.586239103366</v>
      </c>
      <c r="D19" s="36">
        <f t="shared" ref="D19:F19" si="3">D18/365</f>
        <v>6846.2221436485752</v>
      </c>
      <c r="E19" s="36">
        <f t="shared" si="3"/>
        <v>6846.2221436485752</v>
      </c>
      <c r="F19" s="36">
        <f t="shared" si="3"/>
        <v>11577.586239103366</v>
      </c>
    </row>
    <row r="20" spans="1:6" x14ac:dyDescent="0.25">
      <c r="A20">
        <v>17</v>
      </c>
    </row>
    <row r="21" spans="1:6" x14ac:dyDescent="0.25">
      <c r="A21">
        <v>18</v>
      </c>
      <c r="B21" t="s">
        <v>180</v>
      </c>
      <c r="C21" s="30">
        <f>C15-C19</f>
        <v>126707.34526774593</v>
      </c>
      <c r="D21" s="30">
        <f t="shared" ref="D21:F21" si="4">D15-D19</f>
        <v>74926.380596077463</v>
      </c>
      <c r="E21" s="30">
        <f t="shared" si="4"/>
        <v>74926.380596077463</v>
      </c>
      <c r="F21" s="30">
        <f t="shared" si="4"/>
        <v>126707.34526774593</v>
      </c>
    </row>
    <row r="22" spans="1:6" x14ac:dyDescent="0.25">
      <c r="A22">
        <v>19</v>
      </c>
    </row>
    <row r="23" spans="1:6" x14ac:dyDescent="0.25">
      <c r="A23">
        <v>20</v>
      </c>
      <c r="B23" t="s">
        <v>141</v>
      </c>
      <c r="C23" s="29">
        <v>300000</v>
      </c>
      <c r="D23" s="29">
        <v>665000</v>
      </c>
      <c r="E23" s="29">
        <v>275000</v>
      </c>
      <c r="F23" s="29">
        <v>935000</v>
      </c>
    </row>
    <row r="24" spans="1:6" x14ac:dyDescent="0.25">
      <c r="A24">
        <v>21</v>
      </c>
    </row>
    <row r="25" spans="1:6" x14ac:dyDescent="0.25">
      <c r="A25">
        <v>22</v>
      </c>
      <c r="B25" t="s">
        <v>142</v>
      </c>
      <c r="C25" s="41">
        <f>C21/C23</f>
        <v>0.42235781755915308</v>
      </c>
      <c r="D25" s="41">
        <f t="shared" ref="D25:F25" si="5">D21/D23</f>
        <v>0.11267124901665784</v>
      </c>
      <c r="E25" s="41">
        <f t="shared" si="5"/>
        <v>0.27245956580391806</v>
      </c>
      <c r="F25" s="41">
        <f t="shared" si="5"/>
        <v>0.13551587729170689</v>
      </c>
    </row>
    <row r="26" spans="1:6" x14ac:dyDescent="0.25">
      <c r="A26">
        <v>23</v>
      </c>
      <c r="B26" t="s">
        <v>143</v>
      </c>
      <c r="C26" s="41">
        <f>1-C25</f>
        <v>0.57764218244084686</v>
      </c>
      <c r="D26" s="41">
        <f t="shared" ref="D26:F26" si="6">1-D25</f>
        <v>0.88732875098334218</v>
      </c>
      <c r="E26" s="41">
        <f t="shared" si="6"/>
        <v>0.72754043419608194</v>
      </c>
      <c r="F26" s="41">
        <f t="shared" si="6"/>
        <v>0.86448412270829311</v>
      </c>
    </row>
    <row r="29" spans="1:6" x14ac:dyDescent="0.25">
      <c r="B29" t="s">
        <v>23</v>
      </c>
    </row>
    <row r="30" spans="1:6" x14ac:dyDescent="0.25">
      <c r="B30" t="s">
        <v>147</v>
      </c>
    </row>
    <row r="32" spans="1:6" x14ac:dyDescent="0.25">
      <c r="B32" t="s">
        <v>149</v>
      </c>
    </row>
    <row r="34" spans="2:6" x14ac:dyDescent="0.25">
      <c r="B34" t="s">
        <v>150</v>
      </c>
    </row>
    <row r="36" spans="2:6" x14ac:dyDescent="0.25">
      <c r="B36" t="s">
        <v>157</v>
      </c>
      <c r="D36" t="s">
        <v>43</v>
      </c>
      <c r="E36" t="s">
        <v>159</v>
      </c>
      <c r="F36" t="s">
        <v>160</v>
      </c>
    </row>
    <row r="37" spans="2:6" x14ac:dyDescent="0.25">
      <c r="C37" s="37" t="s">
        <v>158</v>
      </c>
      <c r="D37" s="42">
        <f>C5*1000000</f>
        <v>50474000</v>
      </c>
      <c r="E37" s="42">
        <f>D5*1000000</f>
        <v>29847000</v>
      </c>
      <c r="F37" s="42">
        <f>E5*1000000</f>
        <v>29847000</v>
      </c>
    </row>
    <row r="38" spans="2:6" x14ac:dyDescent="0.25">
      <c r="C38" s="37" t="s">
        <v>161</v>
      </c>
      <c r="D38" s="40">
        <f>D37/$D$37</f>
        <v>1</v>
      </c>
      <c r="E38" s="40">
        <f t="shared" ref="E38:F38" si="7">E37/$D$37</f>
        <v>0.5913341522367952</v>
      </c>
      <c r="F38" s="40">
        <f t="shared" si="7"/>
        <v>0.5913341522367952</v>
      </c>
    </row>
    <row r="39" spans="2:6" x14ac:dyDescent="0.25">
      <c r="C39" s="37" t="s">
        <v>162</v>
      </c>
      <c r="D39" s="30">
        <f>C18</f>
        <v>4225818.9772727285</v>
      </c>
      <c r="E39" s="30">
        <f>D39</f>
        <v>4225818.9772727285</v>
      </c>
      <c r="F39" s="30">
        <f>E39</f>
        <v>4225818.9772727285</v>
      </c>
    </row>
    <row r="40" spans="2:6" x14ac:dyDescent="0.25">
      <c r="C40" s="37" t="s">
        <v>163</v>
      </c>
      <c r="D40" s="30">
        <f>D39*D38</f>
        <v>4225818.9772727285</v>
      </c>
      <c r="E40" s="30">
        <f t="shared" ref="E40:F40" si="8">E39*E38</f>
        <v>2498871.0824317299</v>
      </c>
      <c r="F40" s="30">
        <f t="shared" si="8"/>
        <v>2498871.0824317299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24" sqref="C24"/>
    </sheetView>
  </sheetViews>
  <sheetFormatPr defaultRowHeight="15" x14ac:dyDescent="0.25"/>
  <cols>
    <col min="4" max="4" width="9.140625" style="26"/>
  </cols>
  <sheetData>
    <row r="1" spans="1:4" x14ac:dyDescent="0.25">
      <c r="C1" t="s">
        <v>121</v>
      </c>
      <c r="D1" s="26" t="s">
        <v>122</v>
      </c>
    </row>
    <row r="2" spans="1:4" x14ac:dyDescent="0.25">
      <c r="A2">
        <v>2014</v>
      </c>
      <c r="B2" t="s">
        <v>107</v>
      </c>
      <c r="C2">
        <v>0.626</v>
      </c>
    </row>
    <row r="3" spans="1:4" x14ac:dyDescent="0.25">
      <c r="B3" t="s">
        <v>108</v>
      </c>
    </row>
    <row r="4" spans="1:4" x14ac:dyDescent="0.25">
      <c r="B4" t="s">
        <v>109</v>
      </c>
      <c r="D4" s="26">
        <f>AVERAGE(C2:C4)</f>
        <v>0.626</v>
      </c>
    </row>
    <row r="5" spans="1:4" x14ac:dyDescent="0.25">
      <c r="B5" t="s">
        <v>110</v>
      </c>
      <c r="D5" s="26" t="e">
        <f t="shared" ref="D5:D25" si="0">AVERAGE(C3:C5)</f>
        <v>#DIV/0!</v>
      </c>
    </row>
    <row r="6" spans="1:4" x14ac:dyDescent="0.25">
      <c r="B6" t="s">
        <v>111</v>
      </c>
      <c r="D6" s="26" t="e">
        <f t="shared" si="0"/>
        <v>#DIV/0!</v>
      </c>
    </row>
    <row r="7" spans="1:4" x14ac:dyDescent="0.25">
      <c r="B7" t="s">
        <v>112</v>
      </c>
      <c r="D7" s="26" t="e">
        <f t="shared" si="0"/>
        <v>#DIV/0!</v>
      </c>
    </row>
    <row r="8" spans="1:4" x14ac:dyDescent="0.25">
      <c r="B8" t="s">
        <v>113</v>
      </c>
      <c r="D8" s="26" t="e">
        <f t="shared" si="0"/>
        <v>#DIV/0!</v>
      </c>
    </row>
    <row r="9" spans="1:4" x14ac:dyDescent="0.25">
      <c r="B9" t="s">
        <v>114</v>
      </c>
      <c r="D9" s="26" t="e">
        <f t="shared" si="0"/>
        <v>#DIV/0!</v>
      </c>
    </row>
    <row r="10" spans="1:4" x14ac:dyDescent="0.25">
      <c r="B10" t="s">
        <v>115</v>
      </c>
      <c r="D10" s="26" t="e">
        <f t="shared" si="0"/>
        <v>#DIV/0!</v>
      </c>
    </row>
    <row r="11" spans="1:4" x14ac:dyDescent="0.25">
      <c r="B11" t="s">
        <v>118</v>
      </c>
      <c r="D11" s="26" t="e">
        <f t="shared" si="0"/>
        <v>#DIV/0!</v>
      </c>
    </row>
    <row r="12" spans="1:4" x14ac:dyDescent="0.25">
      <c r="B12" t="s">
        <v>116</v>
      </c>
      <c r="D12" s="26" t="e">
        <f t="shared" si="0"/>
        <v>#DIV/0!</v>
      </c>
    </row>
    <row r="13" spans="1:4" x14ac:dyDescent="0.25">
      <c r="B13" t="s">
        <v>117</v>
      </c>
      <c r="D13" s="26" t="e">
        <f t="shared" si="0"/>
        <v>#DIV/0!</v>
      </c>
    </row>
    <row r="14" spans="1:4" x14ac:dyDescent="0.25">
      <c r="A14">
        <v>2015</v>
      </c>
      <c r="B14" t="s">
        <v>107</v>
      </c>
      <c r="C14" s="27">
        <f>5.357/30</f>
        <v>0.17856666666666668</v>
      </c>
      <c r="D14" s="26">
        <f t="shared" si="0"/>
        <v>0.17856666666666668</v>
      </c>
    </row>
    <row r="15" spans="1:4" x14ac:dyDescent="0.25">
      <c r="B15" t="s">
        <v>108</v>
      </c>
      <c r="C15">
        <f>5.172/28</f>
        <v>0.18471428571428569</v>
      </c>
      <c r="D15" s="26">
        <f t="shared" si="0"/>
        <v>0.18164047619047619</v>
      </c>
    </row>
    <row r="16" spans="1:4" x14ac:dyDescent="0.25">
      <c r="B16" t="s">
        <v>109</v>
      </c>
      <c r="C16">
        <f>5.84/31</f>
        <v>0.18838709677419355</v>
      </c>
      <c r="D16" s="26">
        <f t="shared" si="0"/>
        <v>0.18388934971838197</v>
      </c>
    </row>
    <row r="17" spans="1:4" x14ac:dyDescent="0.25">
      <c r="B17" t="s">
        <v>110</v>
      </c>
      <c r="C17">
        <f>4.477/30</f>
        <v>0.14923333333333336</v>
      </c>
      <c r="D17" s="26">
        <f t="shared" si="0"/>
        <v>0.1741115719406042</v>
      </c>
    </row>
    <row r="18" spans="1:4" x14ac:dyDescent="0.25">
      <c r="B18" t="s">
        <v>111</v>
      </c>
      <c r="C18">
        <f>3.331/31</f>
        <v>0.1074516129032258</v>
      </c>
      <c r="D18" s="26">
        <f t="shared" si="0"/>
        <v>0.14835734767025091</v>
      </c>
    </row>
    <row r="19" spans="1:4" x14ac:dyDescent="0.25">
      <c r="B19" t="s">
        <v>112</v>
      </c>
      <c r="C19">
        <f>4.163/30</f>
        <v>0.13876666666666668</v>
      </c>
      <c r="D19" s="26">
        <f t="shared" si="0"/>
        <v>0.13181720430107527</v>
      </c>
    </row>
    <row r="20" spans="1:4" x14ac:dyDescent="0.25">
      <c r="B20" t="s">
        <v>113</v>
      </c>
      <c r="C20">
        <f>3.713/31</f>
        <v>0.1197741935483871</v>
      </c>
      <c r="D20" s="26">
        <f t="shared" si="0"/>
        <v>0.12199749103942653</v>
      </c>
    </row>
    <row r="21" spans="1:4" x14ac:dyDescent="0.25">
      <c r="B21" t="s">
        <v>114</v>
      </c>
      <c r="C21">
        <f>3.254/31</f>
        <v>0.10496774193548387</v>
      </c>
      <c r="D21" s="26">
        <f t="shared" si="0"/>
        <v>0.12116953405017922</v>
      </c>
    </row>
    <row r="22" spans="1:4" x14ac:dyDescent="0.25">
      <c r="B22" t="s">
        <v>115</v>
      </c>
      <c r="C22">
        <f>3.212/30</f>
        <v>0.10706666666666667</v>
      </c>
      <c r="D22" s="26">
        <f t="shared" si="0"/>
        <v>0.11060286738351255</v>
      </c>
    </row>
    <row r="23" spans="1:4" x14ac:dyDescent="0.25">
      <c r="B23" t="s">
        <v>118</v>
      </c>
      <c r="C23">
        <f>3.498/31</f>
        <v>0.11283870967741937</v>
      </c>
      <c r="D23" s="26">
        <f t="shared" si="0"/>
        <v>0.10829103942652331</v>
      </c>
    </row>
    <row r="24" spans="1:4" x14ac:dyDescent="0.25">
      <c r="B24" t="s">
        <v>116</v>
      </c>
      <c r="C24">
        <f>3.925/30</f>
        <v>0.13083333333333333</v>
      </c>
      <c r="D24" s="26">
        <f t="shared" si="0"/>
        <v>0.11691290322580646</v>
      </c>
    </row>
    <row r="25" spans="1:4" x14ac:dyDescent="0.25">
      <c r="B25" t="s">
        <v>117</v>
      </c>
      <c r="C25">
        <f>4.532/31</f>
        <v>0.14619354838709678</v>
      </c>
      <c r="D25" s="26">
        <f t="shared" si="0"/>
        <v>0.1299551971326165</v>
      </c>
    </row>
    <row r="26" spans="1:4" x14ac:dyDescent="0.25">
      <c r="A26">
        <v>2015</v>
      </c>
      <c r="B26" t="s">
        <v>123</v>
      </c>
      <c r="C26" s="27">
        <f>AVERAGE(C14:C25)</f>
        <v>0.13906615463389657</v>
      </c>
    </row>
    <row r="27" spans="1:4" x14ac:dyDescent="0.25">
      <c r="B27" t="s">
        <v>119</v>
      </c>
      <c r="C27">
        <f>MAX(C14:C25)</f>
        <v>0.18838709677419355</v>
      </c>
    </row>
    <row r="28" spans="1:4" x14ac:dyDescent="0.25">
      <c r="B28" t="s">
        <v>120</v>
      </c>
      <c r="C28" s="28">
        <f>MAX(D14:D25)</f>
        <v>0.18388934971838197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9"/>
  <sheetViews>
    <sheetView workbookViewId="0">
      <selection activeCell="B21" sqref="B21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16</v>
      </c>
    </row>
    <row r="3" spans="1:6" x14ac:dyDescent="0.25">
      <c r="A3" t="s">
        <v>40</v>
      </c>
      <c r="B3" t="s">
        <v>144</v>
      </c>
      <c r="C3" s="32"/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169</v>
      </c>
      <c r="C5" s="26">
        <f>'Lake Placid flow'!C26</f>
        <v>1.8416666666666668E-2</v>
      </c>
      <c r="D5" s="26"/>
      <c r="E5" s="26"/>
      <c r="F5" s="26"/>
    </row>
    <row r="6" spans="1:6" x14ac:dyDescent="0.25">
      <c r="A6">
        <v>3</v>
      </c>
      <c r="B6" s="35"/>
      <c r="C6" s="29"/>
      <c r="D6" s="29"/>
      <c r="E6" s="29"/>
      <c r="F6" s="29"/>
    </row>
    <row r="7" spans="1:6" x14ac:dyDescent="0.25">
      <c r="A7">
        <v>4</v>
      </c>
      <c r="B7" t="s">
        <v>20</v>
      </c>
    </row>
    <row r="8" spans="1:6" ht="17.25" x14ac:dyDescent="0.25">
      <c r="A8">
        <v>5</v>
      </c>
      <c r="B8" s="35" t="s">
        <v>148</v>
      </c>
      <c r="C8">
        <v>349</v>
      </c>
      <c r="D8" s="37"/>
      <c r="E8" s="37"/>
    </row>
    <row r="9" spans="1:6" ht="17.25" x14ac:dyDescent="0.25">
      <c r="A9">
        <v>6</v>
      </c>
      <c r="B9" s="35" t="s">
        <v>151</v>
      </c>
      <c r="C9" s="43">
        <f>C10/5</f>
        <v>31.8</v>
      </c>
      <c r="D9" s="37"/>
      <c r="E9" s="37"/>
    </row>
    <row r="10" spans="1:6" x14ac:dyDescent="0.25">
      <c r="A10">
        <v>7</v>
      </c>
      <c r="B10" s="35" t="s">
        <v>140</v>
      </c>
      <c r="C10">
        <v>159</v>
      </c>
    </row>
    <row r="11" spans="1:6" x14ac:dyDescent="0.25">
      <c r="A11">
        <v>8</v>
      </c>
      <c r="B11" s="35" t="s">
        <v>165</v>
      </c>
      <c r="C11" s="30">
        <f>C5*1000000/C8</f>
        <v>52.769818529130852</v>
      </c>
      <c r="D11" s="37"/>
      <c r="E11" s="37"/>
      <c r="F11" s="31"/>
    </row>
    <row r="12" spans="1:6" x14ac:dyDescent="0.25">
      <c r="A12">
        <v>9</v>
      </c>
      <c r="B12" s="35" t="s">
        <v>170</v>
      </c>
      <c r="C12" s="28">
        <f>C10*C11/1000000</f>
        <v>8.3904011461318068E-3</v>
      </c>
      <c r="D12" s="37"/>
      <c r="E12" s="37"/>
      <c r="F12" s="31"/>
    </row>
    <row r="13" spans="1:6" x14ac:dyDescent="0.25">
      <c r="A13">
        <v>10</v>
      </c>
      <c r="B13" s="35"/>
      <c r="C13" s="31"/>
      <c r="D13" s="37"/>
      <c r="E13" s="37"/>
      <c r="F13" s="31"/>
    </row>
    <row r="14" spans="1:6" x14ac:dyDescent="0.25">
      <c r="A14">
        <v>11</v>
      </c>
      <c r="B14" s="38" t="s">
        <v>167</v>
      </c>
      <c r="C14" s="28">
        <f>C5+C12</f>
        <v>2.6807067812798475E-2</v>
      </c>
      <c r="D14" s="39"/>
      <c r="E14" s="39"/>
      <c r="F14" s="30"/>
    </row>
    <row r="15" spans="1:6" x14ac:dyDescent="0.25">
      <c r="A15">
        <v>12</v>
      </c>
    </row>
    <row r="16" spans="1:6" x14ac:dyDescent="0.25">
      <c r="A16">
        <v>13</v>
      </c>
      <c r="B16" t="s">
        <v>19</v>
      </c>
    </row>
    <row r="17" spans="1:6" x14ac:dyDescent="0.25">
      <c r="A17">
        <v>14</v>
      </c>
      <c r="B17" s="35" t="s">
        <v>137</v>
      </c>
      <c r="C17" s="29">
        <v>0</v>
      </c>
      <c r="D17" s="30"/>
      <c r="E17" s="30"/>
      <c r="F17" s="30"/>
    </row>
    <row r="18" spans="1:6" x14ac:dyDescent="0.25">
      <c r="A18">
        <v>15</v>
      </c>
      <c r="B18" s="35" t="s">
        <v>138</v>
      </c>
      <c r="C18" s="36">
        <v>0</v>
      </c>
      <c r="D18" s="36"/>
      <c r="E18" s="36"/>
      <c r="F18" s="36"/>
    </row>
    <row r="19" spans="1:6" x14ac:dyDescent="0.25">
      <c r="A19">
        <v>16</v>
      </c>
    </row>
    <row r="20" spans="1:6" x14ac:dyDescent="0.25">
      <c r="A20">
        <v>17</v>
      </c>
      <c r="B20" t="s">
        <v>179</v>
      </c>
      <c r="C20" s="28">
        <f>C14-C18</f>
        <v>2.6807067812798475E-2</v>
      </c>
      <c r="D20" s="30"/>
      <c r="E20" s="30"/>
      <c r="F20" s="30"/>
    </row>
    <row r="21" spans="1:6" x14ac:dyDescent="0.25">
      <c r="A21">
        <v>18</v>
      </c>
    </row>
    <row r="22" spans="1:6" x14ac:dyDescent="0.25">
      <c r="A22">
        <v>19</v>
      </c>
      <c r="B22" t="s">
        <v>141</v>
      </c>
      <c r="C22" s="26">
        <v>0.09</v>
      </c>
      <c r="D22" s="29"/>
      <c r="E22" s="29"/>
      <c r="F22" s="29"/>
    </row>
    <row r="23" spans="1:6" x14ac:dyDescent="0.25">
      <c r="A23">
        <v>20</v>
      </c>
    </row>
    <row r="24" spans="1:6" x14ac:dyDescent="0.25">
      <c r="A24">
        <v>21</v>
      </c>
      <c r="B24" t="s">
        <v>142</v>
      </c>
      <c r="C24" s="41">
        <f>C20/C22</f>
        <v>0.29785630903109417</v>
      </c>
      <c r="D24" s="41"/>
      <c r="E24" s="41"/>
      <c r="F24" s="41"/>
    </row>
    <row r="25" spans="1:6" x14ac:dyDescent="0.25">
      <c r="A25">
        <v>22</v>
      </c>
      <c r="B25" t="s">
        <v>143</v>
      </c>
      <c r="C25" s="41">
        <f>1-C24</f>
        <v>0.70214369096890583</v>
      </c>
      <c r="D25" s="41"/>
      <c r="E25" s="41"/>
      <c r="F25" s="41"/>
    </row>
    <row r="28" spans="1:6" x14ac:dyDescent="0.25">
      <c r="B28" t="s">
        <v>23</v>
      </c>
    </row>
    <row r="29" spans="1:6" x14ac:dyDescent="0.25">
      <c r="B29" t="s">
        <v>168</v>
      </c>
    </row>
    <row r="31" spans="1:6" x14ac:dyDescent="0.25">
      <c r="B31" t="s">
        <v>149</v>
      </c>
    </row>
    <row r="33" spans="2:6" x14ac:dyDescent="0.25">
      <c r="B33" t="s">
        <v>173</v>
      </c>
    </row>
    <row r="36" spans="2:6" x14ac:dyDescent="0.25">
      <c r="C36" s="37"/>
      <c r="D36" s="42"/>
      <c r="E36" s="42"/>
      <c r="F36" s="42"/>
    </row>
    <row r="37" spans="2:6" x14ac:dyDescent="0.25">
      <c r="C37" s="37"/>
      <c r="D37" s="40"/>
      <c r="E37" s="40"/>
      <c r="F37" s="40"/>
    </row>
    <row r="38" spans="2:6" x14ac:dyDescent="0.25">
      <c r="C38" s="37"/>
      <c r="D38" s="30"/>
      <c r="E38" s="30"/>
      <c r="F38" s="30"/>
    </row>
    <row r="39" spans="2:6" x14ac:dyDescent="0.25">
      <c r="C39" s="37"/>
      <c r="D39" s="30"/>
      <c r="E39" s="30"/>
      <c r="F39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6" workbookViewId="0">
      <selection activeCell="C26" sqref="C26"/>
    </sheetView>
  </sheetViews>
  <sheetFormatPr defaultRowHeight="15" x14ac:dyDescent="0.25"/>
  <cols>
    <col min="4" max="4" width="9.140625" style="26"/>
  </cols>
  <sheetData>
    <row r="1" spans="1:4" x14ac:dyDescent="0.25">
      <c r="C1" t="s">
        <v>121</v>
      </c>
      <c r="D1" s="26" t="s">
        <v>122</v>
      </c>
    </row>
    <row r="2" spans="1:4" x14ac:dyDescent="0.25">
      <c r="A2">
        <v>2014</v>
      </c>
      <c r="B2" t="s">
        <v>107</v>
      </c>
      <c r="C2">
        <v>1.9E-2</v>
      </c>
    </row>
    <row r="3" spans="1:4" x14ac:dyDescent="0.25">
      <c r="B3" t="s">
        <v>108</v>
      </c>
      <c r="C3">
        <v>2.1999999999999999E-2</v>
      </c>
    </row>
    <row r="4" spans="1:4" x14ac:dyDescent="0.25">
      <c r="B4" t="s">
        <v>109</v>
      </c>
      <c r="C4">
        <v>0.02</v>
      </c>
      <c r="D4" s="26">
        <f>AVERAGE(C2:C4)</f>
        <v>2.0333333333333332E-2</v>
      </c>
    </row>
    <row r="5" spans="1:4" x14ac:dyDescent="0.25">
      <c r="B5" t="s">
        <v>110</v>
      </c>
      <c r="C5">
        <v>1.4E-2</v>
      </c>
      <c r="D5" s="26">
        <f t="shared" ref="D5:D25" si="0">AVERAGE(C3:C5)</f>
        <v>1.8666666666666665E-2</v>
      </c>
    </row>
    <row r="6" spans="1:4" x14ac:dyDescent="0.25">
      <c r="B6" t="s">
        <v>111</v>
      </c>
      <c r="C6">
        <v>1.2E-2</v>
      </c>
      <c r="D6" s="26">
        <f t="shared" si="0"/>
        <v>1.5333333333333332E-2</v>
      </c>
    </row>
    <row r="7" spans="1:4" x14ac:dyDescent="0.25">
      <c r="B7" t="s">
        <v>112</v>
      </c>
      <c r="C7">
        <v>1.2E-2</v>
      </c>
      <c r="D7" s="26">
        <f t="shared" si="0"/>
        <v>1.2666666666666668E-2</v>
      </c>
    </row>
    <row r="8" spans="1:4" x14ac:dyDescent="0.25">
      <c r="B8" t="s">
        <v>113</v>
      </c>
      <c r="C8">
        <v>2.3E-2</v>
      </c>
      <c r="D8" s="26">
        <f t="shared" si="0"/>
        <v>1.5666666666666666E-2</v>
      </c>
    </row>
    <row r="9" spans="1:4" x14ac:dyDescent="0.25">
      <c r="B9" t="s">
        <v>114</v>
      </c>
      <c r="C9">
        <v>0.02</v>
      </c>
      <c r="D9" s="26">
        <f t="shared" si="0"/>
        <v>1.8333333333333337E-2</v>
      </c>
    </row>
    <row r="10" spans="1:4" x14ac:dyDescent="0.25">
      <c r="B10" t="s">
        <v>115</v>
      </c>
      <c r="C10">
        <v>2.4E-2</v>
      </c>
      <c r="D10" s="26">
        <f t="shared" si="0"/>
        <v>2.2333333333333334E-2</v>
      </c>
    </row>
    <row r="11" spans="1:4" x14ac:dyDescent="0.25">
      <c r="B11" t="s">
        <v>118</v>
      </c>
      <c r="C11">
        <v>1.9E-2</v>
      </c>
      <c r="D11" s="26">
        <f t="shared" si="0"/>
        <v>2.1000000000000001E-2</v>
      </c>
    </row>
    <row r="12" spans="1:4" x14ac:dyDescent="0.25">
      <c r="B12" t="s">
        <v>116</v>
      </c>
      <c r="C12">
        <v>1.7000000000000001E-2</v>
      </c>
      <c r="D12" s="26">
        <f t="shared" si="0"/>
        <v>0.02</v>
      </c>
    </row>
    <row r="13" spans="1:4" x14ac:dyDescent="0.25">
      <c r="B13" t="s">
        <v>117</v>
      </c>
      <c r="C13">
        <v>1.6E-2</v>
      </c>
      <c r="D13" s="26">
        <f t="shared" si="0"/>
        <v>1.7333333333333336E-2</v>
      </c>
    </row>
    <row r="14" spans="1:4" x14ac:dyDescent="0.25">
      <c r="A14">
        <v>2015</v>
      </c>
      <c r="B14" t="s">
        <v>107</v>
      </c>
      <c r="C14" s="27">
        <v>2.1000000000000001E-2</v>
      </c>
      <c r="D14" s="26">
        <f t="shared" si="0"/>
        <v>1.8000000000000002E-2</v>
      </c>
    </row>
    <row r="15" spans="1:4" x14ac:dyDescent="0.25">
      <c r="B15" t="s">
        <v>108</v>
      </c>
      <c r="C15">
        <v>2.3E-2</v>
      </c>
      <c r="D15" s="26">
        <f t="shared" si="0"/>
        <v>0.02</v>
      </c>
    </row>
    <row r="16" spans="1:4" x14ac:dyDescent="0.25">
      <c r="B16" t="s">
        <v>109</v>
      </c>
      <c r="C16">
        <v>2.5000000000000001E-2</v>
      </c>
      <c r="D16" s="26">
        <f t="shared" si="0"/>
        <v>2.3000000000000003E-2</v>
      </c>
    </row>
    <row r="17" spans="1:4" x14ac:dyDescent="0.25">
      <c r="B17" t="s">
        <v>110</v>
      </c>
      <c r="C17">
        <v>1.7999999999999999E-2</v>
      </c>
      <c r="D17" s="26">
        <f t="shared" si="0"/>
        <v>2.2000000000000002E-2</v>
      </c>
    </row>
    <row r="18" spans="1:4" x14ac:dyDescent="0.25">
      <c r="B18" t="s">
        <v>111</v>
      </c>
      <c r="C18">
        <v>1.6E-2</v>
      </c>
      <c r="D18" s="26">
        <f t="shared" si="0"/>
        <v>1.9666666666666666E-2</v>
      </c>
    </row>
    <row r="19" spans="1:4" x14ac:dyDescent="0.25">
      <c r="B19" t="s">
        <v>112</v>
      </c>
      <c r="C19">
        <v>1.9E-2</v>
      </c>
      <c r="D19" s="26">
        <f t="shared" si="0"/>
        <v>1.7666666666666667E-2</v>
      </c>
    </row>
    <row r="20" spans="1:4" x14ac:dyDescent="0.25">
      <c r="B20" t="s">
        <v>113</v>
      </c>
      <c r="C20">
        <v>1.4E-2</v>
      </c>
      <c r="D20" s="26">
        <f t="shared" si="0"/>
        <v>1.6333333333333335E-2</v>
      </c>
    </row>
    <row r="21" spans="1:4" x14ac:dyDescent="0.25">
      <c r="B21" t="s">
        <v>114</v>
      </c>
      <c r="C21">
        <v>1.6E-2</v>
      </c>
      <c r="D21" s="26">
        <f t="shared" si="0"/>
        <v>1.6333333333333335E-2</v>
      </c>
    </row>
    <row r="22" spans="1:4" x14ac:dyDescent="0.25">
      <c r="B22" t="s">
        <v>115</v>
      </c>
      <c r="C22">
        <v>1.9E-2</v>
      </c>
      <c r="D22" s="26">
        <f t="shared" si="0"/>
        <v>1.6333333333333335E-2</v>
      </c>
    </row>
    <row r="23" spans="1:4" x14ac:dyDescent="0.25">
      <c r="B23" t="s">
        <v>118</v>
      </c>
      <c r="C23">
        <v>1.4E-2</v>
      </c>
      <c r="D23" s="26">
        <f t="shared" si="0"/>
        <v>1.6333333333333335E-2</v>
      </c>
    </row>
    <row r="24" spans="1:4" x14ac:dyDescent="0.25">
      <c r="B24" t="s">
        <v>116</v>
      </c>
      <c r="C24">
        <v>1.4999999999999999E-2</v>
      </c>
      <c r="D24" s="26">
        <f t="shared" si="0"/>
        <v>1.6E-2</v>
      </c>
    </row>
    <row r="25" spans="1:4" x14ac:dyDescent="0.25">
      <c r="B25" t="s">
        <v>117</v>
      </c>
      <c r="C25">
        <v>2.1000000000000001E-2</v>
      </c>
      <c r="D25" s="26">
        <f t="shared" si="0"/>
        <v>1.6666666666666666E-2</v>
      </c>
    </row>
    <row r="26" spans="1:4" x14ac:dyDescent="0.25">
      <c r="A26">
        <v>2015</v>
      </c>
      <c r="B26" t="s">
        <v>123</v>
      </c>
      <c r="C26" s="27">
        <f>AVERAGE(C14:C25)</f>
        <v>1.8416666666666668E-2</v>
      </c>
    </row>
    <row r="27" spans="1:4" x14ac:dyDescent="0.25">
      <c r="B27" t="s">
        <v>119</v>
      </c>
      <c r="C27">
        <f>MAX(C14:C25)</f>
        <v>2.5000000000000001E-2</v>
      </c>
    </row>
    <row r="28" spans="1:4" x14ac:dyDescent="0.25">
      <c r="B28" t="s">
        <v>120</v>
      </c>
      <c r="C28" s="28">
        <f>MAX(D14:D25)</f>
        <v>2.3000000000000003E-2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9"/>
  <sheetViews>
    <sheetView workbookViewId="0">
      <selection activeCell="B21" sqref="B21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15</v>
      </c>
    </row>
    <row r="3" spans="1:6" x14ac:dyDescent="0.25">
      <c r="A3" t="s">
        <v>40</v>
      </c>
      <c r="B3" t="s">
        <v>144</v>
      </c>
      <c r="C3" s="32"/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172</v>
      </c>
      <c r="C5" s="26">
        <f>'Labrador Flow'!C28</f>
        <v>8.7666666666666671E-2</v>
      </c>
      <c r="D5" s="26"/>
      <c r="E5" s="26"/>
      <c r="F5" s="26"/>
    </row>
    <row r="6" spans="1:6" x14ac:dyDescent="0.25">
      <c r="A6">
        <v>3</v>
      </c>
      <c r="B6" s="35"/>
      <c r="C6" s="29"/>
      <c r="D6" s="29"/>
      <c r="E6" s="29"/>
      <c r="F6" s="29"/>
    </row>
    <row r="7" spans="1:6" x14ac:dyDescent="0.25">
      <c r="A7">
        <v>4</v>
      </c>
      <c r="B7" t="s">
        <v>20</v>
      </c>
    </row>
    <row r="8" spans="1:6" ht="17.25" x14ac:dyDescent="0.25">
      <c r="A8">
        <v>5</v>
      </c>
      <c r="B8" s="35" t="s">
        <v>148</v>
      </c>
      <c r="C8">
        <v>1081</v>
      </c>
      <c r="D8" s="37"/>
      <c r="E8" s="37"/>
    </row>
    <row r="9" spans="1:6" ht="17.25" x14ac:dyDescent="0.25">
      <c r="A9">
        <v>6</v>
      </c>
      <c r="B9" s="35" t="s">
        <v>151</v>
      </c>
      <c r="C9" s="43">
        <v>0</v>
      </c>
      <c r="D9" s="37"/>
      <c r="E9" s="37"/>
    </row>
    <row r="10" spans="1:6" x14ac:dyDescent="0.25">
      <c r="A10">
        <v>7</v>
      </c>
      <c r="B10" s="35" t="s">
        <v>140</v>
      </c>
      <c r="C10">
        <v>0</v>
      </c>
    </row>
    <row r="11" spans="1:6" x14ac:dyDescent="0.25">
      <c r="A11">
        <v>8</v>
      </c>
      <c r="B11" s="35" t="s">
        <v>165</v>
      </c>
      <c r="C11" s="30">
        <f>C5*1000000/C8</f>
        <v>81.097748997841506</v>
      </c>
      <c r="D11" s="37"/>
      <c r="E11" s="37"/>
      <c r="F11" s="31"/>
    </row>
    <row r="12" spans="1:6" x14ac:dyDescent="0.25">
      <c r="A12">
        <v>9</v>
      </c>
      <c r="B12" s="35" t="s">
        <v>170</v>
      </c>
      <c r="C12" s="28">
        <f>C10*C11/1000000</f>
        <v>0</v>
      </c>
      <c r="D12" s="37"/>
      <c r="E12" s="37"/>
      <c r="F12" s="31"/>
    </row>
    <row r="13" spans="1:6" x14ac:dyDescent="0.25">
      <c r="A13">
        <v>10</v>
      </c>
      <c r="B13" s="35"/>
      <c r="C13" s="31"/>
      <c r="D13" s="37"/>
      <c r="E13" s="37"/>
      <c r="F13" s="31"/>
    </row>
    <row r="14" spans="1:6" x14ac:dyDescent="0.25">
      <c r="A14">
        <v>11</v>
      </c>
      <c r="B14" s="38" t="s">
        <v>167</v>
      </c>
      <c r="C14" s="28">
        <f>C5+C12</f>
        <v>8.7666666666666671E-2</v>
      </c>
      <c r="D14" s="39"/>
      <c r="E14" s="39"/>
      <c r="F14" s="30"/>
    </row>
    <row r="15" spans="1:6" x14ac:dyDescent="0.25">
      <c r="A15">
        <v>12</v>
      </c>
    </row>
    <row r="16" spans="1:6" x14ac:dyDescent="0.25">
      <c r="A16">
        <v>13</v>
      </c>
      <c r="B16" t="s">
        <v>19</v>
      </c>
    </row>
    <row r="17" spans="1:6" x14ac:dyDescent="0.25">
      <c r="A17">
        <v>14</v>
      </c>
      <c r="B17" s="35" t="s">
        <v>137</v>
      </c>
      <c r="C17" s="29">
        <v>0</v>
      </c>
      <c r="D17" s="30"/>
      <c r="E17" s="30"/>
      <c r="F17" s="30"/>
    </row>
    <row r="18" spans="1:6" x14ac:dyDescent="0.25">
      <c r="A18">
        <v>15</v>
      </c>
      <c r="B18" s="35" t="s">
        <v>138</v>
      </c>
      <c r="C18" s="36">
        <v>0</v>
      </c>
      <c r="D18" s="36"/>
      <c r="E18" s="36"/>
      <c r="F18" s="36"/>
    </row>
    <row r="19" spans="1:6" x14ac:dyDescent="0.25">
      <c r="A19">
        <v>16</v>
      </c>
    </row>
    <row r="20" spans="1:6" x14ac:dyDescent="0.25">
      <c r="A20">
        <v>17</v>
      </c>
      <c r="B20" t="s">
        <v>179</v>
      </c>
      <c r="C20" s="28">
        <f>C14-C18</f>
        <v>8.7666666666666671E-2</v>
      </c>
      <c r="D20" s="30"/>
      <c r="E20" s="30"/>
      <c r="F20" s="30"/>
    </row>
    <row r="21" spans="1:6" x14ac:dyDescent="0.25">
      <c r="A21">
        <v>18</v>
      </c>
    </row>
    <row r="22" spans="1:6" x14ac:dyDescent="0.25">
      <c r="A22">
        <v>19</v>
      </c>
      <c r="B22" t="s">
        <v>141</v>
      </c>
      <c r="C22" s="26">
        <v>0.216</v>
      </c>
      <c r="D22" s="29"/>
      <c r="E22" s="29"/>
      <c r="F22" s="29"/>
    </row>
    <row r="23" spans="1:6" x14ac:dyDescent="0.25">
      <c r="A23">
        <v>20</v>
      </c>
    </row>
    <row r="24" spans="1:6" x14ac:dyDescent="0.25">
      <c r="A24">
        <v>21</v>
      </c>
      <c r="B24" t="s">
        <v>142</v>
      </c>
      <c r="C24" s="41">
        <f>C20/C22</f>
        <v>0.40586419753086422</v>
      </c>
      <c r="D24" s="41"/>
      <c r="E24" s="41"/>
      <c r="F24" s="41"/>
    </row>
    <row r="25" spans="1:6" x14ac:dyDescent="0.25">
      <c r="A25">
        <v>22</v>
      </c>
      <c r="B25" t="s">
        <v>143</v>
      </c>
      <c r="C25" s="41">
        <f>1-C24</f>
        <v>0.59413580246913578</v>
      </c>
      <c r="D25" s="41"/>
      <c r="E25" s="41"/>
      <c r="F25" s="41"/>
    </row>
    <row r="28" spans="1:6" x14ac:dyDescent="0.25">
      <c r="B28" t="s">
        <v>23</v>
      </c>
    </row>
    <row r="29" spans="1:6" x14ac:dyDescent="0.25">
      <c r="B29" t="s">
        <v>168</v>
      </c>
    </row>
    <row r="31" spans="1:6" x14ac:dyDescent="0.25">
      <c r="B31" t="s">
        <v>149</v>
      </c>
    </row>
    <row r="33" spans="2:6" x14ac:dyDescent="0.25">
      <c r="B33" t="s">
        <v>150</v>
      </c>
    </row>
    <row r="36" spans="2:6" x14ac:dyDescent="0.25">
      <c r="C36" s="37"/>
      <c r="D36" s="42"/>
      <c r="E36" s="42"/>
      <c r="F36" s="42"/>
    </row>
    <row r="37" spans="2:6" x14ac:dyDescent="0.25">
      <c r="C37" s="37"/>
      <c r="D37" s="40"/>
      <c r="E37" s="40"/>
      <c r="F37" s="40"/>
    </row>
    <row r="38" spans="2:6" x14ac:dyDescent="0.25">
      <c r="C38" s="37"/>
      <c r="D38" s="30"/>
      <c r="E38" s="30"/>
      <c r="F38" s="30"/>
    </row>
    <row r="39" spans="2:6" x14ac:dyDescent="0.25">
      <c r="C39" s="37"/>
      <c r="D39" s="30"/>
      <c r="E39" s="30"/>
      <c r="F39" s="3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A4" sqref="A1:XFD1048576"/>
    </sheetView>
  </sheetViews>
  <sheetFormatPr defaultRowHeight="15" x14ac:dyDescent="0.25"/>
  <cols>
    <col min="4" max="4" width="9.140625" style="26"/>
  </cols>
  <sheetData>
    <row r="1" spans="1:4" x14ac:dyDescent="0.25">
      <c r="C1" t="s">
        <v>121</v>
      </c>
      <c r="D1" s="26" t="s">
        <v>122</v>
      </c>
    </row>
    <row r="2" spans="1:4" x14ac:dyDescent="0.25">
      <c r="A2">
        <v>2014</v>
      </c>
      <c r="B2" t="s">
        <v>107</v>
      </c>
      <c r="C2">
        <v>6.9000000000000006E-2</v>
      </c>
    </row>
    <row r="3" spans="1:4" x14ac:dyDescent="0.25">
      <c r="B3" t="s">
        <v>108</v>
      </c>
      <c r="C3">
        <v>7.3999999999999996E-2</v>
      </c>
    </row>
    <row r="4" spans="1:4" x14ac:dyDescent="0.25">
      <c r="B4" t="s">
        <v>109</v>
      </c>
      <c r="C4">
        <v>8.1000000000000003E-2</v>
      </c>
      <c r="D4" s="26">
        <f>AVERAGE(C2:C4)</f>
        <v>7.4666666666666673E-2</v>
      </c>
    </row>
    <row r="5" spans="1:4" x14ac:dyDescent="0.25">
      <c r="B5" t="s">
        <v>110</v>
      </c>
      <c r="C5">
        <v>5.1999999999999998E-2</v>
      </c>
      <c r="D5" s="26">
        <f t="shared" ref="D5:D25" si="0">AVERAGE(C3:C5)</f>
        <v>6.8999999999999992E-2</v>
      </c>
    </row>
    <row r="6" spans="1:4" x14ac:dyDescent="0.25">
      <c r="B6" t="s">
        <v>111</v>
      </c>
      <c r="C6">
        <v>3.2000000000000001E-2</v>
      </c>
      <c r="D6" s="26">
        <f t="shared" si="0"/>
        <v>5.5E-2</v>
      </c>
    </row>
    <row r="7" spans="1:4" x14ac:dyDescent="0.25">
      <c r="B7" t="s">
        <v>112</v>
      </c>
      <c r="C7">
        <v>2.7E-2</v>
      </c>
      <c r="D7" s="26">
        <f t="shared" si="0"/>
        <v>3.6999999999999998E-2</v>
      </c>
    </row>
    <row r="8" spans="1:4" x14ac:dyDescent="0.25">
      <c r="B8" t="s">
        <v>113</v>
      </c>
      <c r="C8">
        <v>3.6999999999999998E-2</v>
      </c>
      <c r="D8" s="26">
        <f t="shared" si="0"/>
        <v>3.2000000000000001E-2</v>
      </c>
    </row>
    <row r="9" spans="1:4" x14ac:dyDescent="0.25">
      <c r="B9" t="s">
        <v>114</v>
      </c>
      <c r="C9">
        <v>3.5000000000000003E-2</v>
      </c>
      <c r="D9" s="26">
        <f t="shared" si="0"/>
        <v>3.3000000000000002E-2</v>
      </c>
    </row>
    <row r="10" spans="1:4" x14ac:dyDescent="0.25">
      <c r="B10" t="s">
        <v>115</v>
      </c>
      <c r="C10">
        <v>3.5000000000000003E-2</v>
      </c>
      <c r="D10" s="26">
        <f t="shared" si="0"/>
        <v>3.5666666666666673E-2</v>
      </c>
    </row>
    <row r="11" spans="1:4" x14ac:dyDescent="0.25">
      <c r="B11" t="s">
        <v>118</v>
      </c>
      <c r="C11">
        <v>4.1000000000000002E-2</v>
      </c>
      <c r="D11" s="26">
        <f t="shared" si="0"/>
        <v>3.7000000000000005E-2</v>
      </c>
    </row>
    <row r="12" spans="1:4" x14ac:dyDescent="0.25">
      <c r="B12" t="s">
        <v>116</v>
      </c>
      <c r="C12">
        <v>5.3999999999999999E-2</v>
      </c>
      <c r="D12" s="26">
        <f t="shared" si="0"/>
        <v>4.3333333333333335E-2</v>
      </c>
    </row>
    <row r="13" spans="1:4" x14ac:dyDescent="0.25">
      <c r="B13" t="s">
        <v>117</v>
      </c>
      <c r="C13">
        <v>6.7000000000000004E-2</v>
      </c>
      <c r="D13" s="26">
        <f t="shared" si="0"/>
        <v>5.3999999999999999E-2</v>
      </c>
    </row>
    <row r="14" spans="1:4" x14ac:dyDescent="0.25">
      <c r="A14">
        <v>2015</v>
      </c>
      <c r="B14" t="s">
        <v>107</v>
      </c>
      <c r="C14" s="27">
        <v>8.4000000000000005E-2</v>
      </c>
      <c r="D14" s="26">
        <f t="shared" si="0"/>
        <v>6.8333333333333343E-2</v>
      </c>
    </row>
    <row r="15" spans="1:4" x14ac:dyDescent="0.25">
      <c r="B15" t="s">
        <v>108</v>
      </c>
      <c r="C15">
        <v>9.1999999999999998E-2</v>
      </c>
      <c r="D15" s="26">
        <f t="shared" si="0"/>
        <v>8.1000000000000003E-2</v>
      </c>
    </row>
    <row r="16" spans="1:4" x14ac:dyDescent="0.25">
      <c r="B16" t="s">
        <v>109</v>
      </c>
      <c r="C16">
        <v>8.6999999999999994E-2</v>
      </c>
      <c r="D16" s="26">
        <f t="shared" si="0"/>
        <v>8.7666666666666671E-2</v>
      </c>
    </row>
    <row r="17" spans="1:4" x14ac:dyDescent="0.25">
      <c r="B17" t="s">
        <v>110</v>
      </c>
      <c r="C17">
        <v>5.7000000000000002E-2</v>
      </c>
      <c r="D17" s="26">
        <f t="shared" si="0"/>
        <v>7.8666666666666663E-2</v>
      </c>
    </row>
    <row r="18" spans="1:4" x14ac:dyDescent="0.25">
      <c r="B18" t="s">
        <v>111</v>
      </c>
      <c r="C18">
        <v>0.03</v>
      </c>
      <c r="D18" s="26">
        <f t="shared" si="0"/>
        <v>5.7999999999999996E-2</v>
      </c>
    </row>
    <row r="19" spans="1:4" x14ac:dyDescent="0.25">
      <c r="B19" t="s">
        <v>112</v>
      </c>
      <c r="C19">
        <v>2.5999999999999999E-2</v>
      </c>
      <c r="D19" s="26">
        <f t="shared" si="0"/>
        <v>3.7666666666666661E-2</v>
      </c>
    </row>
    <row r="20" spans="1:4" x14ac:dyDescent="0.25">
      <c r="B20" t="s">
        <v>113</v>
      </c>
      <c r="C20">
        <v>2.9000000000000001E-2</v>
      </c>
      <c r="D20" s="26">
        <f t="shared" si="0"/>
        <v>2.8333333333333332E-2</v>
      </c>
    </row>
    <row r="21" spans="1:4" x14ac:dyDescent="0.25">
      <c r="B21" t="s">
        <v>114</v>
      </c>
      <c r="C21">
        <v>6.6000000000000003E-2</v>
      </c>
      <c r="D21" s="26">
        <f t="shared" si="0"/>
        <v>4.0333333333333332E-2</v>
      </c>
    </row>
    <row r="22" spans="1:4" x14ac:dyDescent="0.25">
      <c r="B22" t="s">
        <v>115</v>
      </c>
      <c r="C22">
        <v>4.7E-2</v>
      </c>
      <c r="D22" s="26">
        <f t="shared" si="0"/>
        <v>4.7333333333333338E-2</v>
      </c>
    </row>
    <row r="23" spans="1:4" x14ac:dyDescent="0.25">
      <c r="B23" t="s">
        <v>118</v>
      </c>
      <c r="C23">
        <v>4.2000000000000003E-2</v>
      </c>
      <c r="D23" s="26">
        <f t="shared" si="0"/>
        <v>5.1666666666666666E-2</v>
      </c>
    </row>
    <row r="24" spans="1:4" x14ac:dyDescent="0.25">
      <c r="B24" t="s">
        <v>116</v>
      </c>
      <c r="C24">
        <v>5.8000000000000003E-2</v>
      </c>
      <c r="D24" s="26">
        <f t="shared" si="0"/>
        <v>4.8999999999999995E-2</v>
      </c>
    </row>
    <row r="25" spans="1:4" x14ac:dyDescent="0.25">
      <c r="B25" t="s">
        <v>117</v>
      </c>
      <c r="C25">
        <v>5.8000000000000003E-2</v>
      </c>
      <c r="D25" s="26">
        <f t="shared" si="0"/>
        <v>5.2666666666666667E-2</v>
      </c>
    </row>
    <row r="26" spans="1:4" x14ac:dyDescent="0.25">
      <c r="A26">
        <v>2015</v>
      </c>
      <c r="B26" t="s">
        <v>123</v>
      </c>
      <c r="C26" s="27">
        <f>AVERAGE(C14:C25)</f>
        <v>5.6333333333333346E-2</v>
      </c>
    </row>
    <row r="27" spans="1:4" x14ac:dyDescent="0.25">
      <c r="B27" t="s">
        <v>119</v>
      </c>
      <c r="C27">
        <f>MAX(C14:C25)</f>
        <v>9.1999999999999998E-2</v>
      </c>
    </row>
    <row r="28" spans="1:4" x14ac:dyDescent="0.25">
      <c r="B28" t="s">
        <v>120</v>
      </c>
      <c r="C28" s="28">
        <f>MAX(D14:D25)</f>
        <v>8.7666666666666671E-2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9"/>
  <sheetViews>
    <sheetView workbookViewId="0">
      <selection activeCell="D2" sqref="D2:D38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14</v>
      </c>
    </row>
    <row r="3" spans="1:6" x14ac:dyDescent="0.25">
      <c r="A3" t="s">
        <v>40</v>
      </c>
      <c r="B3" t="s">
        <v>144</v>
      </c>
      <c r="C3" s="32" t="s">
        <v>21</v>
      </c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172</v>
      </c>
      <c r="C5" s="26">
        <f>'Eagle Ridge Flow'!F30</f>
        <v>0.23866666666666667</v>
      </c>
      <c r="D5" s="26"/>
      <c r="E5" s="26"/>
      <c r="F5" s="26"/>
    </row>
    <row r="6" spans="1:6" x14ac:dyDescent="0.25">
      <c r="A6">
        <v>3</v>
      </c>
      <c r="B6" s="35"/>
      <c r="C6" s="29"/>
      <c r="D6" s="29"/>
      <c r="E6" s="29"/>
      <c r="F6" s="29"/>
    </row>
    <row r="7" spans="1:6" x14ac:dyDescent="0.25">
      <c r="A7">
        <v>4</v>
      </c>
      <c r="B7" t="s">
        <v>20</v>
      </c>
    </row>
    <row r="8" spans="1:6" ht="17.25" x14ac:dyDescent="0.25">
      <c r="A8">
        <v>5</v>
      </c>
      <c r="B8" s="35" t="s">
        <v>148</v>
      </c>
      <c r="C8">
        <v>1312</v>
      </c>
      <c r="E8" s="37"/>
    </row>
    <row r="9" spans="1:6" ht="17.25" x14ac:dyDescent="0.25">
      <c r="A9">
        <v>6</v>
      </c>
      <c r="B9" s="35" t="s">
        <v>151</v>
      </c>
      <c r="C9" s="43">
        <f>C10/5</f>
        <v>33</v>
      </c>
      <c r="D9" s="43"/>
      <c r="E9" s="37"/>
    </row>
    <row r="10" spans="1:6" x14ac:dyDescent="0.25">
      <c r="A10">
        <v>7</v>
      </c>
      <c r="B10" s="35" t="s">
        <v>140</v>
      </c>
      <c r="C10">
        <v>165</v>
      </c>
    </row>
    <row r="11" spans="1:6" x14ac:dyDescent="0.25">
      <c r="A11">
        <v>8</v>
      </c>
      <c r="B11" s="35" t="s">
        <v>165</v>
      </c>
      <c r="C11" s="30">
        <f>C5*1000000/C8</f>
        <v>181.91056910569105</v>
      </c>
      <c r="D11" s="30"/>
      <c r="E11" s="37"/>
      <c r="F11" s="31"/>
    </row>
    <row r="12" spans="1:6" x14ac:dyDescent="0.25">
      <c r="A12">
        <v>9</v>
      </c>
      <c r="B12" s="35" t="s">
        <v>170</v>
      </c>
      <c r="C12" s="28">
        <f>C10*C11/1000000</f>
        <v>3.0015243902439023E-2</v>
      </c>
      <c r="D12" s="28"/>
      <c r="E12" s="37"/>
      <c r="F12" s="31"/>
    </row>
    <row r="13" spans="1:6" x14ac:dyDescent="0.25">
      <c r="A13">
        <v>10</v>
      </c>
      <c r="B13" s="35"/>
      <c r="C13" s="31"/>
      <c r="D13" s="37"/>
      <c r="E13" s="37"/>
      <c r="F13" s="31"/>
    </row>
    <row r="14" spans="1:6" x14ac:dyDescent="0.25">
      <c r="A14">
        <v>11</v>
      </c>
      <c r="B14" s="38" t="s">
        <v>167</v>
      </c>
      <c r="C14" s="28">
        <f>C5+C12</f>
        <v>0.26868191056910568</v>
      </c>
      <c r="D14" s="28"/>
      <c r="E14" s="39"/>
      <c r="F14" s="30"/>
    </row>
    <row r="15" spans="1:6" x14ac:dyDescent="0.25">
      <c r="A15">
        <v>12</v>
      </c>
    </row>
    <row r="16" spans="1:6" x14ac:dyDescent="0.25">
      <c r="A16">
        <v>13</v>
      </c>
      <c r="B16" t="s">
        <v>19</v>
      </c>
    </row>
    <row r="17" spans="1:6" x14ac:dyDescent="0.25">
      <c r="A17">
        <v>14</v>
      </c>
      <c r="B17" s="35" t="s">
        <v>137</v>
      </c>
      <c r="C17" s="29">
        <v>0</v>
      </c>
      <c r="D17" s="30"/>
      <c r="E17" s="30"/>
      <c r="F17" s="30"/>
    </row>
    <row r="18" spans="1:6" x14ac:dyDescent="0.25">
      <c r="A18">
        <v>15</v>
      </c>
      <c r="B18" s="35" t="s">
        <v>138</v>
      </c>
      <c r="C18" s="36">
        <v>0</v>
      </c>
      <c r="D18" s="36"/>
      <c r="E18" s="36"/>
      <c r="F18" s="36"/>
    </row>
    <row r="19" spans="1:6" x14ac:dyDescent="0.25">
      <c r="A19">
        <v>16</v>
      </c>
    </row>
    <row r="20" spans="1:6" x14ac:dyDescent="0.25">
      <c r="A20">
        <v>17</v>
      </c>
      <c r="B20" t="s">
        <v>179</v>
      </c>
      <c r="C20" s="28">
        <f>C14-C18</f>
        <v>0.26868191056910568</v>
      </c>
      <c r="D20" s="28"/>
      <c r="E20" s="30"/>
      <c r="F20" s="30"/>
    </row>
    <row r="21" spans="1:6" x14ac:dyDescent="0.25">
      <c r="A21">
        <v>18</v>
      </c>
    </row>
    <row r="22" spans="1:6" x14ac:dyDescent="0.25">
      <c r="A22">
        <v>19</v>
      </c>
      <c r="B22" t="s">
        <v>141</v>
      </c>
      <c r="C22" s="26">
        <v>0.318</v>
      </c>
      <c r="D22" s="26"/>
      <c r="E22" s="29"/>
      <c r="F22" s="29"/>
    </row>
    <row r="23" spans="1:6" x14ac:dyDescent="0.25">
      <c r="A23">
        <v>20</v>
      </c>
    </row>
    <row r="24" spans="1:6" x14ac:dyDescent="0.25">
      <c r="A24">
        <v>21</v>
      </c>
      <c r="B24" t="s">
        <v>142</v>
      </c>
      <c r="C24" s="41">
        <f>C20/C22</f>
        <v>0.84491166845630716</v>
      </c>
      <c r="D24" s="41"/>
      <c r="E24" s="41"/>
      <c r="F24" s="41"/>
    </row>
    <row r="25" spans="1:6" x14ac:dyDescent="0.25">
      <c r="A25">
        <v>22</v>
      </c>
      <c r="B25" t="s">
        <v>143</v>
      </c>
      <c r="C25" s="41">
        <f>1-C24</f>
        <v>0.15508833154369284</v>
      </c>
      <c r="D25" s="41"/>
      <c r="E25" s="41"/>
      <c r="F25" s="41"/>
    </row>
    <row r="28" spans="1:6" x14ac:dyDescent="0.25">
      <c r="B28" t="s">
        <v>23</v>
      </c>
    </row>
    <row r="29" spans="1:6" x14ac:dyDescent="0.25">
      <c r="B29" t="s">
        <v>168</v>
      </c>
    </row>
    <row r="31" spans="1:6" x14ac:dyDescent="0.25">
      <c r="B31" t="s">
        <v>149</v>
      </c>
    </row>
    <row r="33" spans="2:6" x14ac:dyDescent="0.25">
      <c r="B33" t="s">
        <v>150</v>
      </c>
    </row>
    <row r="36" spans="2:6" x14ac:dyDescent="0.25">
      <c r="C36" s="37"/>
      <c r="D36" s="42"/>
      <c r="E36" s="42"/>
      <c r="F36" s="42"/>
    </row>
    <row r="37" spans="2:6" x14ac:dyDescent="0.25">
      <c r="C37" s="37"/>
      <c r="D37" s="40"/>
      <c r="E37" s="40"/>
      <c r="F37" s="40"/>
    </row>
    <row r="38" spans="2:6" x14ac:dyDescent="0.25">
      <c r="C38" s="37"/>
      <c r="D38" s="30"/>
      <c r="E38" s="30"/>
      <c r="F38" s="30"/>
    </row>
    <row r="39" spans="2:6" x14ac:dyDescent="0.25">
      <c r="C39" s="37"/>
      <c r="D39" s="30"/>
      <c r="E39" s="30"/>
      <c r="F39" s="3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F28" sqref="F28"/>
    </sheetView>
  </sheetViews>
  <sheetFormatPr defaultRowHeight="15" x14ac:dyDescent="0.25"/>
  <cols>
    <col min="4" max="4" width="9.140625" style="26"/>
  </cols>
  <sheetData>
    <row r="2" spans="1:7" x14ac:dyDescent="0.25">
      <c r="C2" s="46" t="s">
        <v>125</v>
      </c>
      <c r="D2" s="46"/>
      <c r="F2" s="46" t="s">
        <v>8</v>
      </c>
      <c r="G2" s="46"/>
    </row>
    <row r="3" spans="1:7" x14ac:dyDescent="0.25">
      <c r="C3" t="s">
        <v>121</v>
      </c>
      <c r="D3" s="26" t="s">
        <v>122</v>
      </c>
      <c r="F3" t="s">
        <v>121</v>
      </c>
      <c r="G3" s="26" t="s">
        <v>122</v>
      </c>
    </row>
    <row r="4" spans="1:7" x14ac:dyDescent="0.25">
      <c r="A4">
        <v>2014</v>
      </c>
      <c r="B4" t="s">
        <v>107</v>
      </c>
      <c r="C4">
        <v>8.5000000000000006E-2</v>
      </c>
      <c r="F4">
        <v>0.223</v>
      </c>
      <c r="G4" s="26"/>
    </row>
    <row r="5" spans="1:7" x14ac:dyDescent="0.25">
      <c r="B5" t="s">
        <v>108</v>
      </c>
      <c r="C5">
        <v>9.8000000000000004E-2</v>
      </c>
      <c r="F5">
        <v>0.23300000000000001</v>
      </c>
      <c r="G5" s="26"/>
    </row>
    <row r="6" spans="1:7" x14ac:dyDescent="0.25">
      <c r="B6" t="s">
        <v>109</v>
      </c>
      <c r="C6">
        <v>9.7000000000000003E-2</v>
      </c>
      <c r="D6" s="26">
        <f>AVERAGE(C4:C6)</f>
        <v>9.3333333333333338E-2</v>
      </c>
      <c r="F6">
        <v>0.23100000000000001</v>
      </c>
      <c r="G6" s="26">
        <f>AVERAGE(F4:F6)</f>
        <v>0.22900000000000001</v>
      </c>
    </row>
    <row r="7" spans="1:7" x14ac:dyDescent="0.25">
      <c r="B7" t="s">
        <v>110</v>
      </c>
      <c r="C7">
        <v>6.8000000000000005E-2</v>
      </c>
      <c r="D7" s="26">
        <f t="shared" ref="D7:D27" si="0">AVERAGE(C5:C7)</f>
        <v>8.7666666666666671E-2</v>
      </c>
      <c r="F7">
        <v>0.214</v>
      </c>
      <c r="G7" s="26">
        <f t="shared" ref="G7:G27" si="1">AVERAGE(F5:F7)</f>
        <v>0.22600000000000001</v>
      </c>
    </row>
    <row r="8" spans="1:7" x14ac:dyDescent="0.25">
      <c r="B8" t="s">
        <v>111</v>
      </c>
      <c r="C8">
        <v>3.7999999999999999E-2</v>
      </c>
      <c r="D8" s="26">
        <f t="shared" si="0"/>
        <v>6.7666666666666667E-2</v>
      </c>
      <c r="F8">
        <v>0.19700000000000001</v>
      </c>
      <c r="G8" s="26">
        <f t="shared" si="1"/>
        <v>0.214</v>
      </c>
    </row>
    <row r="9" spans="1:7" x14ac:dyDescent="0.25">
      <c r="B9" t="s">
        <v>112</v>
      </c>
      <c r="C9">
        <v>3.2000000000000001E-2</v>
      </c>
      <c r="D9" s="26">
        <f t="shared" si="0"/>
        <v>4.6000000000000006E-2</v>
      </c>
      <c r="F9">
        <v>0.19800000000000001</v>
      </c>
      <c r="G9" s="26">
        <f t="shared" si="1"/>
        <v>0.20299999999999999</v>
      </c>
    </row>
    <row r="10" spans="1:7" x14ac:dyDescent="0.25">
      <c r="B10" t="s">
        <v>113</v>
      </c>
      <c r="C10">
        <v>3.4000000000000002E-2</v>
      </c>
      <c r="D10" s="26">
        <f t="shared" si="0"/>
        <v>3.4666666666666672E-2</v>
      </c>
      <c r="F10">
        <v>0.19500000000000001</v>
      </c>
      <c r="G10" s="26">
        <f t="shared" si="1"/>
        <v>0.19666666666666668</v>
      </c>
    </row>
    <row r="11" spans="1:7" x14ac:dyDescent="0.25">
      <c r="B11" t="s">
        <v>114</v>
      </c>
      <c r="C11">
        <v>3.5000000000000003E-2</v>
      </c>
      <c r="D11" s="26">
        <f t="shared" si="0"/>
        <v>3.3666666666666671E-2</v>
      </c>
      <c r="F11">
        <v>0.19400000000000001</v>
      </c>
      <c r="G11" s="26">
        <f t="shared" si="1"/>
        <v>0.19566666666666666</v>
      </c>
    </row>
    <row r="12" spans="1:7" x14ac:dyDescent="0.25">
      <c r="B12" t="s">
        <v>115</v>
      </c>
      <c r="C12">
        <v>3.6999999999999998E-2</v>
      </c>
      <c r="D12" s="26">
        <f t="shared" si="0"/>
        <v>3.5333333333333335E-2</v>
      </c>
      <c r="F12">
        <v>0.19600000000000001</v>
      </c>
      <c r="G12" s="26">
        <f t="shared" si="1"/>
        <v>0.19499999999999998</v>
      </c>
    </row>
    <row r="13" spans="1:7" x14ac:dyDescent="0.25">
      <c r="B13" t="s">
        <v>118</v>
      </c>
      <c r="C13">
        <v>5.2999999999999999E-2</v>
      </c>
      <c r="D13" s="26">
        <f t="shared" si="0"/>
        <v>4.1666666666666664E-2</v>
      </c>
      <c r="F13">
        <v>0.20399999999999999</v>
      </c>
      <c r="G13" s="26">
        <f t="shared" si="1"/>
        <v>0.19799999999999998</v>
      </c>
    </row>
    <row r="14" spans="1:7" x14ac:dyDescent="0.25">
      <c r="B14" t="s">
        <v>116</v>
      </c>
      <c r="C14">
        <v>6.2E-2</v>
      </c>
      <c r="D14" s="26">
        <f t="shared" si="0"/>
        <v>5.0666666666666665E-2</v>
      </c>
      <c r="F14">
        <v>0.214</v>
      </c>
      <c r="G14" s="26">
        <f t="shared" si="1"/>
        <v>0.20466666666666666</v>
      </c>
    </row>
    <row r="15" spans="1:7" x14ac:dyDescent="0.25">
      <c r="B15" t="s">
        <v>117</v>
      </c>
      <c r="C15">
        <v>5.7000000000000002E-2</v>
      </c>
      <c r="D15" s="26">
        <f t="shared" si="0"/>
        <v>5.7333333333333326E-2</v>
      </c>
      <c r="F15">
        <v>0.21199999999999999</v>
      </c>
      <c r="G15" s="26">
        <f t="shared" si="1"/>
        <v>0.21</v>
      </c>
    </row>
    <row r="16" spans="1:7" x14ac:dyDescent="0.25">
      <c r="A16">
        <v>2015</v>
      </c>
      <c r="B16" t="s">
        <v>107</v>
      </c>
      <c r="C16" s="27">
        <v>8.5999999999999993E-2</v>
      </c>
      <c r="D16" s="26">
        <f t="shared" si="0"/>
        <v>6.8333333333333329E-2</v>
      </c>
      <c r="F16" s="27">
        <v>0.22500000000000001</v>
      </c>
      <c r="G16" s="26">
        <f t="shared" si="1"/>
        <v>0.217</v>
      </c>
    </row>
    <row r="17" spans="1:7" x14ac:dyDescent="0.25">
      <c r="B17" t="s">
        <v>108</v>
      </c>
      <c r="C17">
        <v>0.104</v>
      </c>
      <c r="D17" s="26">
        <f t="shared" si="0"/>
        <v>8.2333333333333328E-2</v>
      </c>
      <c r="F17">
        <v>0.23599999999999999</v>
      </c>
      <c r="G17" s="26">
        <f t="shared" si="1"/>
        <v>0.22433333333333336</v>
      </c>
    </row>
    <row r="18" spans="1:7" x14ac:dyDescent="0.25">
      <c r="B18" t="s">
        <v>109</v>
      </c>
      <c r="C18">
        <v>9.6000000000000002E-2</v>
      </c>
      <c r="D18" s="26">
        <f t="shared" si="0"/>
        <v>9.5333333333333339E-2</v>
      </c>
      <c r="F18">
        <v>0.24</v>
      </c>
      <c r="G18" s="26">
        <f t="shared" si="1"/>
        <v>0.23366666666666666</v>
      </c>
    </row>
    <row r="19" spans="1:7" x14ac:dyDescent="0.25">
      <c r="B19" t="s">
        <v>110</v>
      </c>
      <c r="C19">
        <v>6.8000000000000005E-2</v>
      </c>
      <c r="D19" s="26">
        <f t="shared" si="0"/>
        <v>8.9333333333333334E-2</v>
      </c>
      <c r="F19">
        <v>0.24</v>
      </c>
      <c r="G19" s="26">
        <f t="shared" si="1"/>
        <v>0.23866666666666667</v>
      </c>
    </row>
    <row r="20" spans="1:7" x14ac:dyDescent="0.25">
      <c r="B20" t="s">
        <v>111</v>
      </c>
      <c r="C20">
        <v>3.6999999999999998E-2</v>
      </c>
      <c r="D20" s="26">
        <f t="shared" si="0"/>
        <v>6.7000000000000004E-2</v>
      </c>
      <c r="F20">
        <v>0.19900000000000001</v>
      </c>
      <c r="G20" s="26">
        <f t="shared" si="1"/>
        <v>0.22633333333333336</v>
      </c>
    </row>
    <row r="21" spans="1:7" x14ac:dyDescent="0.25">
      <c r="B21" t="s">
        <v>112</v>
      </c>
      <c r="C21">
        <v>3.5000000000000003E-2</v>
      </c>
      <c r="D21" s="26">
        <f t="shared" si="0"/>
        <v>4.6666666666666669E-2</v>
      </c>
      <c r="F21">
        <v>0.19500000000000001</v>
      </c>
      <c r="G21" s="26">
        <f t="shared" si="1"/>
        <v>0.21133333333333335</v>
      </c>
    </row>
    <row r="22" spans="1:7" x14ac:dyDescent="0.25">
      <c r="B22" t="s">
        <v>113</v>
      </c>
      <c r="C22">
        <v>3.5000000000000003E-2</v>
      </c>
      <c r="D22" s="26">
        <f t="shared" si="0"/>
        <v>3.5666666666666673E-2</v>
      </c>
      <c r="F22">
        <v>0.2</v>
      </c>
      <c r="G22" s="26">
        <f t="shared" si="1"/>
        <v>0.19800000000000004</v>
      </c>
    </row>
    <row r="23" spans="1:7" x14ac:dyDescent="0.25">
      <c r="B23" t="s">
        <v>114</v>
      </c>
      <c r="C23">
        <v>3.5000000000000003E-2</v>
      </c>
      <c r="D23" s="26">
        <f t="shared" si="0"/>
        <v>3.5000000000000003E-2</v>
      </c>
      <c r="F23">
        <v>0.20399999999999999</v>
      </c>
      <c r="G23" s="26">
        <f t="shared" si="1"/>
        <v>0.19966666666666666</v>
      </c>
    </row>
    <row r="24" spans="1:7" x14ac:dyDescent="0.25">
      <c r="B24" t="s">
        <v>115</v>
      </c>
      <c r="C24">
        <v>0.04</v>
      </c>
      <c r="D24" s="26">
        <f t="shared" si="0"/>
        <v>3.6666666666666674E-2</v>
      </c>
      <c r="F24">
        <v>0.20399999999999999</v>
      </c>
      <c r="G24" s="26">
        <f t="shared" si="1"/>
        <v>0.20266666666666666</v>
      </c>
    </row>
    <row r="25" spans="1:7" x14ac:dyDescent="0.25">
      <c r="B25" t="s">
        <v>118</v>
      </c>
      <c r="C25">
        <v>4.4999999999999998E-2</v>
      </c>
      <c r="D25" s="26">
        <f t="shared" si="0"/>
        <v>0.04</v>
      </c>
      <c r="F25">
        <v>0.19400000000000001</v>
      </c>
      <c r="G25" s="26">
        <f t="shared" si="1"/>
        <v>0.20066666666666666</v>
      </c>
    </row>
    <row r="26" spans="1:7" x14ac:dyDescent="0.25">
      <c r="B26" t="s">
        <v>116</v>
      </c>
      <c r="C26">
        <v>5.7000000000000002E-2</v>
      </c>
      <c r="D26" s="26">
        <f t="shared" si="0"/>
        <v>4.7333333333333331E-2</v>
      </c>
      <c r="F26">
        <v>0.218</v>
      </c>
      <c r="G26" s="26">
        <f t="shared" si="1"/>
        <v>0.20533333333333334</v>
      </c>
    </row>
    <row r="27" spans="1:7" x14ac:dyDescent="0.25">
      <c r="B27" t="s">
        <v>117</v>
      </c>
      <c r="C27">
        <v>5.6000000000000001E-2</v>
      </c>
      <c r="D27" s="26">
        <f t="shared" si="0"/>
        <v>5.2666666666666667E-2</v>
      </c>
      <c r="F27">
        <v>0.214</v>
      </c>
      <c r="G27" s="26">
        <f t="shared" si="1"/>
        <v>0.20866666666666667</v>
      </c>
    </row>
    <row r="28" spans="1:7" x14ac:dyDescent="0.25">
      <c r="A28">
        <v>2015</v>
      </c>
      <c r="B28" t="s">
        <v>123</v>
      </c>
      <c r="C28" s="27">
        <f>AVERAGE(C16:C27)</f>
        <v>5.7833333333333355E-2</v>
      </c>
      <c r="F28" s="27">
        <f>AVERAGE(F16:F27)</f>
        <v>0.21408333333333332</v>
      </c>
      <c r="G28" s="26"/>
    </row>
    <row r="29" spans="1:7" x14ac:dyDescent="0.25">
      <c r="B29" t="s">
        <v>119</v>
      </c>
      <c r="C29">
        <f>MAX(C16:C27)</f>
        <v>0.104</v>
      </c>
      <c r="F29">
        <f>MAX(F16:F27)</f>
        <v>0.24</v>
      </c>
      <c r="G29" s="26"/>
    </row>
    <row r="30" spans="1:7" x14ac:dyDescent="0.25">
      <c r="B30" t="s">
        <v>120</v>
      </c>
      <c r="C30" s="28">
        <f>MAX(D16:D27)</f>
        <v>9.5333333333333339E-2</v>
      </c>
      <c r="F30" s="28">
        <f>MAX(G16:G27)</f>
        <v>0.23866666666666667</v>
      </c>
      <c r="G30" s="26"/>
    </row>
  </sheetData>
  <mergeCells count="2">
    <mergeCell ref="F2:G2"/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G5" sqref="G5"/>
    </sheetView>
  </sheetViews>
  <sheetFormatPr defaultRowHeight="15" x14ac:dyDescent="0.25"/>
  <cols>
    <col min="1" max="1" width="11.7109375" bestFit="1" customWidth="1"/>
    <col min="3" max="3" width="11.5703125" bestFit="1" customWidth="1"/>
    <col min="4" max="4" width="11.7109375" bestFit="1" customWidth="1"/>
    <col min="5" max="5" width="11.7109375" customWidth="1"/>
    <col min="6" max="6" width="43.7109375" bestFit="1" customWidth="1"/>
  </cols>
  <sheetData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22</v>
      </c>
      <c r="F3" t="s">
        <v>23</v>
      </c>
      <c r="G3" t="s">
        <v>4</v>
      </c>
    </row>
    <row r="4" spans="1:8" x14ac:dyDescent="0.25">
      <c r="A4" t="s">
        <v>5</v>
      </c>
      <c r="B4" t="s">
        <v>6</v>
      </c>
      <c r="C4" t="s">
        <v>6</v>
      </c>
      <c r="D4" t="s">
        <v>7</v>
      </c>
      <c r="E4" s="1">
        <v>1</v>
      </c>
      <c r="F4" t="s">
        <v>24</v>
      </c>
      <c r="G4" t="s">
        <v>6</v>
      </c>
    </row>
    <row r="5" spans="1:8" x14ac:dyDescent="0.25">
      <c r="A5" t="s">
        <v>8</v>
      </c>
      <c r="B5" t="s">
        <v>6</v>
      </c>
      <c r="C5" t="s">
        <v>6</v>
      </c>
      <c r="D5" t="s">
        <v>7</v>
      </c>
      <c r="E5" s="1">
        <v>1</v>
      </c>
      <c r="F5" t="s">
        <v>25</v>
      </c>
      <c r="G5" t="s">
        <v>7</v>
      </c>
      <c r="H5" t="s">
        <v>131</v>
      </c>
    </row>
    <row r="6" spans="1:8" x14ac:dyDescent="0.25">
      <c r="A6" t="s">
        <v>9</v>
      </c>
      <c r="B6" t="s">
        <v>6</v>
      </c>
      <c r="C6" t="s">
        <v>6</v>
      </c>
      <c r="D6" t="s">
        <v>7</v>
      </c>
      <c r="E6" s="1">
        <v>1</v>
      </c>
      <c r="F6" t="s">
        <v>26</v>
      </c>
      <c r="G6" t="s">
        <v>6</v>
      </c>
    </row>
    <row r="7" spans="1:8" x14ac:dyDescent="0.25">
      <c r="A7" t="s">
        <v>10</v>
      </c>
      <c r="B7" t="s">
        <v>6</v>
      </c>
      <c r="C7" t="s">
        <v>6</v>
      </c>
      <c r="D7" t="s">
        <v>7</v>
      </c>
      <c r="E7" s="1">
        <v>1</v>
      </c>
      <c r="F7" t="s">
        <v>27</v>
      </c>
      <c r="G7" t="s">
        <v>6</v>
      </c>
    </row>
    <row r="8" spans="1:8" x14ac:dyDescent="0.25">
      <c r="A8" t="s">
        <v>11</v>
      </c>
      <c r="B8" t="s">
        <v>6</v>
      </c>
      <c r="C8" t="s">
        <v>6</v>
      </c>
      <c r="D8" t="s">
        <v>7</v>
      </c>
      <c r="E8" s="1">
        <v>1</v>
      </c>
      <c r="F8" t="s">
        <v>28</v>
      </c>
      <c r="G8" t="s">
        <v>7</v>
      </c>
      <c r="H8" t="s">
        <v>126</v>
      </c>
    </row>
    <row r="9" spans="1:8" x14ac:dyDescent="0.25">
      <c r="A9" t="s">
        <v>12</v>
      </c>
      <c r="B9" t="s">
        <v>6</v>
      </c>
      <c r="C9" t="s">
        <v>6</v>
      </c>
      <c r="D9" t="s">
        <v>7</v>
      </c>
      <c r="E9" s="1">
        <v>1</v>
      </c>
      <c r="F9" t="s">
        <v>29</v>
      </c>
      <c r="G9" t="s">
        <v>7</v>
      </c>
      <c r="H9" t="s">
        <v>127</v>
      </c>
    </row>
    <row r="10" spans="1:8" x14ac:dyDescent="0.25">
      <c r="A10" t="s">
        <v>13</v>
      </c>
      <c r="B10" t="s">
        <v>6</v>
      </c>
      <c r="C10" t="s">
        <v>6</v>
      </c>
      <c r="D10" t="s">
        <v>7</v>
      </c>
      <c r="E10" s="1">
        <v>0.59</v>
      </c>
      <c r="F10" t="s">
        <v>30</v>
      </c>
      <c r="G1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workbookViewId="0">
      <selection activeCell="K17" sqref="K17"/>
    </sheetView>
  </sheetViews>
  <sheetFormatPr defaultRowHeight="12.75" x14ac:dyDescent="0.2"/>
  <cols>
    <col min="1" max="1" width="28" style="2" customWidth="1"/>
    <col min="2" max="2" width="10.85546875" style="3" customWidth="1"/>
    <col min="3" max="3" width="8.28515625" style="3" customWidth="1"/>
    <col min="4" max="4" width="11" style="3" customWidth="1"/>
    <col min="5" max="5" width="9.85546875" style="3" customWidth="1"/>
    <col min="6" max="6" width="9.140625" style="2" customWidth="1"/>
    <col min="7" max="7" width="13" style="2" customWidth="1"/>
    <col min="8" max="8" width="11.5703125" style="2" bestFit="1" customWidth="1"/>
    <col min="9" max="9" width="11.28515625" style="2" customWidth="1"/>
    <col min="10" max="10" width="11.5703125" style="2" customWidth="1"/>
    <col min="11" max="11" width="9.85546875" style="2" customWidth="1"/>
    <col min="12" max="12" width="12.5703125" style="2" customWidth="1"/>
    <col min="13" max="13" width="11.28515625" style="2" customWidth="1"/>
    <col min="14" max="14" width="8.7109375" style="2" bestFit="1" customWidth="1"/>
    <col min="15" max="15" width="10.85546875" style="2" customWidth="1"/>
    <col min="16" max="16" width="11" style="2" bestFit="1" customWidth="1"/>
    <col min="17" max="17" width="9.42578125" style="2" customWidth="1"/>
    <col min="18" max="18" width="9" style="2" customWidth="1"/>
    <col min="19" max="19" width="8.140625" style="2" bestFit="1" customWidth="1"/>
    <col min="20" max="20" width="8.85546875" style="2" customWidth="1"/>
    <col min="21" max="256" width="9.140625" style="2"/>
    <col min="257" max="257" width="28" style="2" customWidth="1"/>
    <col min="258" max="258" width="10.85546875" style="2" customWidth="1"/>
    <col min="259" max="259" width="8.28515625" style="2" customWidth="1"/>
    <col min="260" max="260" width="11" style="2" customWidth="1"/>
    <col min="261" max="261" width="9.85546875" style="2" customWidth="1"/>
    <col min="262" max="262" width="9.140625" style="2" customWidth="1"/>
    <col min="263" max="263" width="13" style="2" customWidth="1"/>
    <col min="264" max="264" width="11.5703125" style="2" bestFit="1" customWidth="1"/>
    <col min="265" max="265" width="11.28515625" style="2" customWidth="1"/>
    <col min="266" max="266" width="11.5703125" style="2" customWidth="1"/>
    <col min="267" max="267" width="9.85546875" style="2" customWidth="1"/>
    <col min="268" max="268" width="12.5703125" style="2" customWidth="1"/>
    <col min="269" max="269" width="11.28515625" style="2" customWidth="1"/>
    <col min="270" max="270" width="8.7109375" style="2" bestFit="1" customWidth="1"/>
    <col min="271" max="271" width="10.85546875" style="2" customWidth="1"/>
    <col min="272" max="272" width="11" style="2" bestFit="1" customWidth="1"/>
    <col min="273" max="273" width="9.42578125" style="2" customWidth="1"/>
    <col min="274" max="274" width="9" style="2" customWidth="1"/>
    <col min="275" max="275" width="8.140625" style="2" bestFit="1" customWidth="1"/>
    <col min="276" max="276" width="8.85546875" style="2" customWidth="1"/>
    <col min="277" max="512" width="9.140625" style="2"/>
    <col min="513" max="513" width="28" style="2" customWidth="1"/>
    <col min="514" max="514" width="10.85546875" style="2" customWidth="1"/>
    <col min="515" max="515" width="8.28515625" style="2" customWidth="1"/>
    <col min="516" max="516" width="11" style="2" customWidth="1"/>
    <col min="517" max="517" width="9.85546875" style="2" customWidth="1"/>
    <col min="518" max="518" width="9.140625" style="2" customWidth="1"/>
    <col min="519" max="519" width="13" style="2" customWidth="1"/>
    <col min="520" max="520" width="11.5703125" style="2" bestFit="1" customWidth="1"/>
    <col min="521" max="521" width="11.28515625" style="2" customWidth="1"/>
    <col min="522" max="522" width="11.5703125" style="2" customWidth="1"/>
    <col min="523" max="523" width="9.85546875" style="2" customWidth="1"/>
    <col min="524" max="524" width="12.5703125" style="2" customWidth="1"/>
    <col min="525" max="525" width="11.28515625" style="2" customWidth="1"/>
    <col min="526" max="526" width="8.7109375" style="2" bestFit="1" customWidth="1"/>
    <col min="527" max="527" width="10.85546875" style="2" customWidth="1"/>
    <col min="528" max="528" width="11" style="2" bestFit="1" customWidth="1"/>
    <col min="529" max="529" width="9.42578125" style="2" customWidth="1"/>
    <col min="530" max="530" width="9" style="2" customWidth="1"/>
    <col min="531" max="531" width="8.140625" style="2" bestFit="1" customWidth="1"/>
    <col min="532" max="532" width="8.85546875" style="2" customWidth="1"/>
    <col min="533" max="768" width="9.140625" style="2"/>
    <col min="769" max="769" width="28" style="2" customWidth="1"/>
    <col min="770" max="770" width="10.85546875" style="2" customWidth="1"/>
    <col min="771" max="771" width="8.28515625" style="2" customWidth="1"/>
    <col min="772" max="772" width="11" style="2" customWidth="1"/>
    <col min="773" max="773" width="9.85546875" style="2" customWidth="1"/>
    <col min="774" max="774" width="9.140625" style="2" customWidth="1"/>
    <col min="775" max="775" width="13" style="2" customWidth="1"/>
    <col min="776" max="776" width="11.5703125" style="2" bestFit="1" customWidth="1"/>
    <col min="777" max="777" width="11.28515625" style="2" customWidth="1"/>
    <col min="778" max="778" width="11.5703125" style="2" customWidth="1"/>
    <col min="779" max="779" width="9.85546875" style="2" customWidth="1"/>
    <col min="780" max="780" width="12.5703125" style="2" customWidth="1"/>
    <col min="781" max="781" width="11.28515625" style="2" customWidth="1"/>
    <col min="782" max="782" width="8.7109375" style="2" bestFit="1" customWidth="1"/>
    <col min="783" max="783" width="10.85546875" style="2" customWidth="1"/>
    <col min="784" max="784" width="11" style="2" bestFit="1" customWidth="1"/>
    <col min="785" max="785" width="9.42578125" style="2" customWidth="1"/>
    <col min="786" max="786" width="9" style="2" customWidth="1"/>
    <col min="787" max="787" width="8.140625" style="2" bestFit="1" customWidth="1"/>
    <col min="788" max="788" width="8.85546875" style="2" customWidth="1"/>
    <col min="789" max="1024" width="9.140625" style="2"/>
    <col min="1025" max="1025" width="28" style="2" customWidth="1"/>
    <col min="1026" max="1026" width="10.85546875" style="2" customWidth="1"/>
    <col min="1027" max="1027" width="8.28515625" style="2" customWidth="1"/>
    <col min="1028" max="1028" width="11" style="2" customWidth="1"/>
    <col min="1029" max="1029" width="9.85546875" style="2" customWidth="1"/>
    <col min="1030" max="1030" width="9.140625" style="2" customWidth="1"/>
    <col min="1031" max="1031" width="13" style="2" customWidth="1"/>
    <col min="1032" max="1032" width="11.5703125" style="2" bestFit="1" customWidth="1"/>
    <col min="1033" max="1033" width="11.28515625" style="2" customWidth="1"/>
    <col min="1034" max="1034" width="11.5703125" style="2" customWidth="1"/>
    <col min="1035" max="1035" width="9.85546875" style="2" customWidth="1"/>
    <col min="1036" max="1036" width="12.5703125" style="2" customWidth="1"/>
    <col min="1037" max="1037" width="11.28515625" style="2" customWidth="1"/>
    <col min="1038" max="1038" width="8.7109375" style="2" bestFit="1" customWidth="1"/>
    <col min="1039" max="1039" width="10.85546875" style="2" customWidth="1"/>
    <col min="1040" max="1040" width="11" style="2" bestFit="1" customWidth="1"/>
    <col min="1041" max="1041" width="9.42578125" style="2" customWidth="1"/>
    <col min="1042" max="1042" width="9" style="2" customWidth="1"/>
    <col min="1043" max="1043" width="8.140625" style="2" bestFit="1" customWidth="1"/>
    <col min="1044" max="1044" width="8.85546875" style="2" customWidth="1"/>
    <col min="1045" max="1280" width="9.140625" style="2"/>
    <col min="1281" max="1281" width="28" style="2" customWidth="1"/>
    <col min="1282" max="1282" width="10.85546875" style="2" customWidth="1"/>
    <col min="1283" max="1283" width="8.28515625" style="2" customWidth="1"/>
    <col min="1284" max="1284" width="11" style="2" customWidth="1"/>
    <col min="1285" max="1285" width="9.85546875" style="2" customWidth="1"/>
    <col min="1286" max="1286" width="9.140625" style="2" customWidth="1"/>
    <col min="1287" max="1287" width="13" style="2" customWidth="1"/>
    <col min="1288" max="1288" width="11.5703125" style="2" bestFit="1" customWidth="1"/>
    <col min="1289" max="1289" width="11.28515625" style="2" customWidth="1"/>
    <col min="1290" max="1290" width="11.5703125" style="2" customWidth="1"/>
    <col min="1291" max="1291" width="9.85546875" style="2" customWidth="1"/>
    <col min="1292" max="1292" width="12.5703125" style="2" customWidth="1"/>
    <col min="1293" max="1293" width="11.28515625" style="2" customWidth="1"/>
    <col min="1294" max="1294" width="8.7109375" style="2" bestFit="1" customWidth="1"/>
    <col min="1295" max="1295" width="10.85546875" style="2" customWidth="1"/>
    <col min="1296" max="1296" width="11" style="2" bestFit="1" customWidth="1"/>
    <col min="1297" max="1297" width="9.42578125" style="2" customWidth="1"/>
    <col min="1298" max="1298" width="9" style="2" customWidth="1"/>
    <col min="1299" max="1299" width="8.140625" style="2" bestFit="1" customWidth="1"/>
    <col min="1300" max="1300" width="8.85546875" style="2" customWidth="1"/>
    <col min="1301" max="1536" width="9.140625" style="2"/>
    <col min="1537" max="1537" width="28" style="2" customWidth="1"/>
    <col min="1538" max="1538" width="10.85546875" style="2" customWidth="1"/>
    <col min="1539" max="1539" width="8.28515625" style="2" customWidth="1"/>
    <col min="1540" max="1540" width="11" style="2" customWidth="1"/>
    <col min="1541" max="1541" width="9.85546875" style="2" customWidth="1"/>
    <col min="1542" max="1542" width="9.140625" style="2" customWidth="1"/>
    <col min="1543" max="1543" width="13" style="2" customWidth="1"/>
    <col min="1544" max="1544" width="11.5703125" style="2" bestFit="1" customWidth="1"/>
    <col min="1545" max="1545" width="11.28515625" style="2" customWidth="1"/>
    <col min="1546" max="1546" width="11.5703125" style="2" customWidth="1"/>
    <col min="1547" max="1547" width="9.85546875" style="2" customWidth="1"/>
    <col min="1548" max="1548" width="12.5703125" style="2" customWidth="1"/>
    <col min="1549" max="1549" width="11.28515625" style="2" customWidth="1"/>
    <col min="1550" max="1550" width="8.7109375" style="2" bestFit="1" customWidth="1"/>
    <col min="1551" max="1551" width="10.85546875" style="2" customWidth="1"/>
    <col min="1552" max="1552" width="11" style="2" bestFit="1" customWidth="1"/>
    <col min="1553" max="1553" width="9.42578125" style="2" customWidth="1"/>
    <col min="1554" max="1554" width="9" style="2" customWidth="1"/>
    <col min="1555" max="1555" width="8.140625" style="2" bestFit="1" customWidth="1"/>
    <col min="1556" max="1556" width="8.85546875" style="2" customWidth="1"/>
    <col min="1557" max="1792" width="9.140625" style="2"/>
    <col min="1793" max="1793" width="28" style="2" customWidth="1"/>
    <col min="1794" max="1794" width="10.85546875" style="2" customWidth="1"/>
    <col min="1795" max="1795" width="8.28515625" style="2" customWidth="1"/>
    <col min="1796" max="1796" width="11" style="2" customWidth="1"/>
    <col min="1797" max="1797" width="9.85546875" style="2" customWidth="1"/>
    <col min="1798" max="1798" width="9.140625" style="2" customWidth="1"/>
    <col min="1799" max="1799" width="13" style="2" customWidth="1"/>
    <col min="1800" max="1800" width="11.5703125" style="2" bestFit="1" customWidth="1"/>
    <col min="1801" max="1801" width="11.28515625" style="2" customWidth="1"/>
    <col min="1802" max="1802" width="11.5703125" style="2" customWidth="1"/>
    <col min="1803" max="1803" width="9.85546875" style="2" customWidth="1"/>
    <col min="1804" max="1804" width="12.5703125" style="2" customWidth="1"/>
    <col min="1805" max="1805" width="11.28515625" style="2" customWidth="1"/>
    <col min="1806" max="1806" width="8.7109375" style="2" bestFit="1" customWidth="1"/>
    <col min="1807" max="1807" width="10.85546875" style="2" customWidth="1"/>
    <col min="1808" max="1808" width="11" style="2" bestFit="1" customWidth="1"/>
    <col min="1809" max="1809" width="9.42578125" style="2" customWidth="1"/>
    <col min="1810" max="1810" width="9" style="2" customWidth="1"/>
    <col min="1811" max="1811" width="8.140625" style="2" bestFit="1" customWidth="1"/>
    <col min="1812" max="1812" width="8.85546875" style="2" customWidth="1"/>
    <col min="1813" max="2048" width="9.140625" style="2"/>
    <col min="2049" max="2049" width="28" style="2" customWidth="1"/>
    <col min="2050" max="2050" width="10.85546875" style="2" customWidth="1"/>
    <col min="2051" max="2051" width="8.28515625" style="2" customWidth="1"/>
    <col min="2052" max="2052" width="11" style="2" customWidth="1"/>
    <col min="2053" max="2053" width="9.85546875" style="2" customWidth="1"/>
    <col min="2054" max="2054" width="9.140625" style="2" customWidth="1"/>
    <col min="2055" max="2055" width="13" style="2" customWidth="1"/>
    <col min="2056" max="2056" width="11.5703125" style="2" bestFit="1" customWidth="1"/>
    <col min="2057" max="2057" width="11.28515625" style="2" customWidth="1"/>
    <col min="2058" max="2058" width="11.5703125" style="2" customWidth="1"/>
    <col min="2059" max="2059" width="9.85546875" style="2" customWidth="1"/>
    <col min="2060" max="2060" width="12.5703125" style="2" customWidth="1"/>
    <col min="2061" max="2061" width="11.28515625" style="2" customWidth="1"/>
    <col min="2062" max="2062" width="8.7109375" style="2" bestFit="1" customWidth="1"/>
    <col min="2063" max="2063" width="10.85546875" style="2" customWidth="1"/>
    <col min="2064" max="2064" width="11" style="2" bestFit="1" customWidth="1"/>
    <col min="2065" max="2065" width="9.42578125" style="2" customWidth="1"/>
    <col min="2066" max="2066" width="9" style="2" customWidth="1"/>
    <col min="2067" max="2067" width="8.140625" style="2" bestFit="1" customWidth="1"/>
    <col min="2068" max="2068" width="8.85546875" style="2" customWidth="1"/>
    <col min="2069" max="2304" width="9.140625" style="2"/>
    <col min="2305" max="2305" width="28" style="2" customWidth="1"/>
    <col min="2306" max="2306" width="10.85546875" style="2" customWidth="1"/>
    <col min="2307" max="2307" width="8.28515625" style="2" customWidth="1"/>
    <col min="2308" max="2308" width="11" style="2" customWidth="1"/>
    <col min="2309" max="2309" width="9.85546875" style="2" customWidth="1"/>
    <col min="2310" max="2310" width="9.140625" style="2" customWidth="1"/>
    <col min="2311" max="2311" width="13" style="2" customWidth="1"/>
    <col min="2312" max="2312" width="11.5703125" style="2" bestFit="1" customWidth="1"/>
    <col min="2313" max="2313" width="11.28515625" style="2" customWidth="1"/>
    <col min="2314" max="2314" width="11.5703125" style="2" customWidth="1"/>
    <col min="2315" max="2315" width="9.85546875" style="2" customWidth="1"/>
    <col min="2316" max="2316" width="12.5703125" style="2" customWidth="1"/>
    <col min="2317" max="2317" width="11.28515625" style="2" customWidth="1"/>
    <col min="2318" max="2318" width="8.7109375" style="2" bestFit="1" customWidth="1"/>
    <col min="2319" max="2319" width="10.85546875" style="2" customWidth="1"/>
    <col min="2320" max="2320" width="11" style="2" bestFit="1" customWidth="1"/>
    <col min="2321" max="2321" width="9.42578125" style="2" customWidth="1"/>
    <col min="2322" max="2322" width="9" style="2" customWidth="1"/>
    <col min="2323" max="2323" width="8.140625" style="2" bestFit="1" customWidth="1"/>
    <col min="2324" max="2324" width="8.85546875" style="2" customWidth="1"/>
    <col min="2325" max="2560" width="9.140625" style="2"/>
    <col min="2561" max="2561" width="28" style="2" customWidth="1"/>
    <col min="2562" max="2562" width="10.85546875" style="2" customWidth="1"/>
    <col min="2563" max="2563" width="8.28515625" style="2" customWidth="1"/>
    <col min="2564" max="2564" width="11" style="2" customWidth="1"/>
    <col min="2565" max="2565" width="9.85546875" style="2" customWidth="1"/>
    <col min="2566" max="2566" width="9.140625" style="2" customWidth="1"/>
    <col min="2567" max="2567" width="13" style="2" customWidth="1"/>
    <col min="2568" max="2568" width="11.5703125" style="2" bestFit="1" customWidth="1"/>
    <col min="2569" max="2569" width="11.28515625" style="2" customWidth="1"/>
    <col min="2570" max="2570" width="11.5703125" style="2" customWidth="1"/>
    <col min="2571" max="2571" width="9.85546875" style="2" customWidth="1"/>
    <col min="2572" max="2572" width="12.5703125" style="2" customWidth="1"/>
    <col min="2573" max="2573" width="11.28515625" style="2" customWidth="1"/>
    <col min="2574" max="2574" width="8.7109375" style="2" bestFit="1" customWidth="1"/>
    <col min="2575" max="2575" width="10.85546875" style="2" customWidth="1"/>
    <col min="2576" max="2576" width="11" style="2" bestFit="1" customWidth="1"/>
    <col min="2577" max="2577" width="9.42578125" style="2" customWidth="1"/>
    <col min="2578" max="2578" width="9" style="2" customWidth="1"/>
    <col min="2579" max="2579" width="8.140625" style="2" bestFit="1" customWidth="1"/>
    <col min="2580" max="2580" width="8.85546875" style="2" customWidth="1"/>
    <col min="2581" max="2816" width="9.140625" style="2"/>
    <col min="2817" max="2817" width="28" style="2" customWidth="1"/>
    <col min="2818" max="2818" width="10.85546875" style="2" customWidth="1"/>
    <col min="2819" max="2819" width="8.28515625" style="2" customWidth="1"/>
    <col min="2820" max="2820" width="11" style="2" customWidth="1"/>
    <col min="2821" max="2821" width="9.85546875" style="2" customWidth="1"/>
    <col min="2822" max="2822" width="9.140625" style="2" customWidth="1"/>
    <col min="2823" max="2823" width="13" style="2" customWidth="1"/>
    <col min="2824" max="2824" width="11.5703125" style="2" bestFit="1" customWidth="1"/>
    <col min="2825" max="2825" width="11.28515625" style="2" customWidth="1"/>
    <col min="2826" max="2826" width="11.5703125" style="2" customWidth="1"/>
    <col min="2827" max="2827" width="9.85546875" style="2" customWidth="1"/>
    <col min="2828" max="2828" width="12.5703125" style="2" customWidth="1"/>
    <col min="2829" max="2829" width="11.28515625" style="2" customWidth="1"/>
    <col min="2830" max="2830" width="8.7109375" style="2" bestFit="1" customWidth="1"/>
    <col min="2831" max="2831" width="10.85546875" style="2" customWidth="1"/>
    <col min="2832" max="2832" width="11" style="2" bestFit="1" customWidth="1"/>
    <col min="2833" max="2833" width="9.42578125" style="2" customWidth="1"/>
    <col min="2834" max="2834" width="9" style="2" customWidth="1"/>
    <col min="2835" max="2835" width="8.140625" style="2" bestFit="1" customWidth="1"/>
    <col min="2836" max="2836" width="8.85546875" style="2" customWidth="1"/>
    <col min="2837" max="3072" width="9.140625" style="2"/>
    <col min="3073" max="3073" width="28" style="2" customWidth="1"/>
    <col min="3074" max="3074" width="10.85546875" style="2" customWidth="1"/>
    <col min="3075" max="3075" width="8.28515625" style="2" customWidth="1"/>
    <col min="3076" max="3076" width="11" style="2" customWidth="1"/>
    <col min="3077" max="3077" width="9.85546875" style="2" customWidth="1"/>
    <col min="3078" max="3078" width="9.140625" style="2" customWidth="1"/>
    <col min="3079" max="3079" width="13" style="2" customWidth="1"/>
    <col min="3080" max="3080" width="11.5703125" style="2" bestFit="1" customWidth="1"/>
    <col min="3081" max="3081" width="11.28515625" style="2" customWidth="1"/>
    <col min="3082" max="3082" width="11.5703125" style="2" customWidth="1"/>
    <col min="3083" max="3083" width="9.85546875" style="2" customWidth="1"/>
    <col min="3084" max="3084" width="12.5703125" style="2" customWidth="1"/>
    <col min="3085" max="3085" width="11.28515625" style="2" customWidth="1"/>
    <col min="3086" max="3086" width="8.7109375" style="2" bestFit="1" customWidth="1"/>
    <col min="3087" max="3087" width="10.85546875" style="2" customWidth="1"/>
    <col min="3088" max="3088" width="11" style="2" bestFit="1" customWidth="1"/>
    <col min="3089" max="3089" width="9.42578125" style="2" customWidth="1"/>
    <col min="3090" max="3090" width="9" style="2" customWidth="1"/>
    <col min="3091" max="3091" width="8.140625" style="2" bestFit="1" customWidth="1"/>
    <col min="3092" max="3092" width="8.85546875" style="2" customWidth="1"/>
    <col min="3093" max="3328" width="9.140625" style="2"/>
    <col min="3329" max="3329" width="28" style="2" customWidth="1"/>
    <col min="3330" max="3330" width="10.85546875" style="2" customWidth="1"/>
    <col min="3331" max="3331" width="8.28515625" style="2" customWidth="1"/>
    <col min="3332" max="3332" width="11" style="2" customWidth="1"/>
    <col min="3333" max="3333" width="9.85546875" style="2" customWidth="1"/>
    <col min="3334" max="3334" width="9.140625" style="2" customWidth="1"/>
    <col min="3335" max="3335" width="13" style="2" customWidth="1"/>
    <col min="3336" max="3336" width="11.5703125" style="2" bestFit="1" customWidth="1"/>
    <col min="3337" max="3337" width="11.28515625" style="2" customWidth="1"/>
    <col min="3338" max="3338" width="11.5703125" style="2" customWidth="1"/>
    <col min="3339" max="3339" width="9.85546875" style="2" customWidth="1"/>
    <col min="3340" max="3340" width="12.5703125" style="2" customWidth="1"/>
    <col min="3341" max="3341" width="11.28515625" style="2" customWidth="1"/>
    <col min="3342" max="3342" width="8.7109375" style="2" bestFit="1" customWidth="1"/>
    <col min="3343" max="3343" width="10.85546875" style="2" customWidth="1"/>
    <col min="3344" max="3344" width="11" style="2" bestFit="1" customWidth="1"/>
    <col min="3345" max="3345" width="9.42578125" style="2" customWidth="1"/>
    <col min="3346" max="3346" width="9" style="2" customWidth="1"/>
    <col min="3347" max="3347" width="8.140625" style="2" bestFit="1" customWidth="1"/>
    <col min="3348" max="3348" width="8.85546875" style="2" customWidth="1"/>
    <col min="3349" max="3584" width="9.140625" style="2"/>
    <col min="3585" max="3585" width="28" style="2" customWidth="1"/>
    <col min="3586" max="3586" width="10.85546875" style="2" customWidth="1"/>
    <col min="3587" max="3587" width="8.28515625" style="2" customWidth="1"/>
    <col min="3588" max="3588" width="11" style="2" customWidth="1"/>
    <col min="3589" max="3589" width="9.85546875" style="2" customWidth="1"/>
    <col min="3590" max="3590" width="9.140625" style="2" customWidth="1"/>
    <col min="3591" max="3591" width="13" style="2" customWidth="1"/>
    <col min="3592" max="3592" width="11.5703125" style="2" bestFit="1" customWidth="1"/>
    <col min="3593" max="3593" width="11.28515625" style="2" customWidth="1"/>
    <col min="3594" max="3594" width="11.5703125" style="2" customWidth="1"/>
    <col min="3595" max="3595" width="9.85546875" style="2" customWidth="1"/>
    <col min="3596" max="3596" width="12.5703125" style="2" customWidth="1"/>
    <col min="3597" max="3597" width="11.28515625" style="2" customWidth="1"/>
    <col min="3598" max="3598" width="8.7109375" style="2" bestFit="1" customWidth="1"/>
    <col min="3599" max="3599" width="10.85546875" style="2" customWidth="1"/>
    <col min="3600" max="3600" width="11" style="2" bestFit="1" customWidth="1"/>
    <col min="3601" max="3601" width="9.42578125" style="2" customWidth="1"/>
    <col min="3602" max="3602" width="9" style="2" customWidth="1"/>
    <col min="3603" max="3603" width="8.140625" style="2" bestFit="1" customWidth="1"/>
    <col min="3604" max="3604" width="8.85546875" style="2" customWidth="1"/>
    <col min="3605" max="3840" width="9.140625" style="2"/>
    <col min="3841" max="3841" width="28" style="2" customWidth="1"/>
    <col min="3842" max="3842" width="10.85546875" style="2" customWidth="1"/>
    <col min="3843" max="3843" width="8.28515625" style="2" customWidth="1"/>
    <col min="3844" max="3844" width="11" style="2" customWidth="1"/>
    <col min="3845" max="3845" width="9.85546875" style="2" customWidth="1"/>
    <col min="3846" max="3846" width="9.140625" style="2" customWidth="1"/>
    <col min="3847" max="3847" width="13" style="2" customWidth="1"/>
    <col min="3848" max="3848" width="11.5703125" style="2" bestFit="1" customWidth="1"/>
    <col min="3849" max="3849" width="11.28515625" style="2" customWidth="1"/>
    <col min="3850" max="3850" width="11.5703125" style="2" customWidth="1"/>
    <col min="3851" max="3851" width="9.85546875" style="2" customWidth="1"/>
    <col min="3852" max="3852" width="12.5703125" style="2" customWidth="1"/>
    <col min="3853" max="3853" width="11.28515625" style="2" customWidth="1"/>
    <col min="3854" max="3854" width="8.7109375" style="2" bestFit="1" customWidth="1"/>
    <col min="3855" max="3855" width="10.85546875" style="2" customWidth="1"/>
    <col min="3856" max="3856" width="11" style="2" bestFit="1" customWidth="1"/>
    <col min="3857" max="3857" width="9.42578125" style="2" customWidth="1"/>
    <col min="3858" max="3858" width="9" style="2" customWidth="1"/>
    <col min="3859" max="3859" width="8.140625" style="2" bestFit="1" customWidth="1"/>
    <col min="3860" max="3860" width="8.85546875" style="2" customWidth="1"/>
    <col min="3861" max="4096" width="9.140625" style="2"/>
    <col min="4097" max="4097" width="28" style="2" customWidth="1"/>
    <col min="4098" max="4098" width="10.85546875" style="2" customWidth="1"/>
    <col min="4099" max="4099" width="8.28515625" style="2" customWidth="1"/>
    <col min="4100" max="4100" width="11" style="2" customWidth="1"/>
    <col min="4101" max="4101" width="9.85546875" style="2" customWidth="1"/>
    <col min="4102" max="4102" width="9.140625" style="2" customWidth="1"/>
    <col min="4103" max="4103" width="13" style="2" customWidth="1"/>
    <col min="4104" max="4104" width="11.5703125" style="2" bestFit="1" customWidth="1"/>
    <col min="4105" max="4105" width="11.28515625" style="2" customWidth="1"/>
    <col min="4106" max="4106" width="11.5703125" style="2" customWidth="1"/>
    <col min="4107" max="4107" width="9.85546875" style="2" customWidth="1"/>
    <col min="4108" max="4108" width="12.5703125" style="2" customWidth="1"/>
    <col min="4109" max="4109" width="11.28515625" style="2" customWidth="1"/>
    <col min="4110" max="4110" width="8.7109375" style="2" bestFit="1" customWidth="1"/>
    <col min="4111" max="4111" width="10.85546875" style="2" customWidth="1"/>
    <col min="4112" max="4112" width="11" style="2" bestFit="1" customWidth="1"/>
    <col min="4113" max="4113" width="9.42578125" style="2" customWidth="1"/>
    <col min="4114" max="4114" width="9" style="2" customWidth="1"/>
    <col min="4115" max="4115" width="8.140625" style="2" bestFit="1" customWidth="1"/>
    <col min="4116" max="4116" width="8.85546875" style="2" customWidth="1"/>
    <col min="4117" max="4352" width="9.140625" style="2"/>
    <col min="4353" max="4353" width="28" style="2" customWidth="1"/>
    <col min="4354" max="4354" width="10.85546875" style="2" customWidth="1"/>
    <col min="4355" max="4355" width="8.28515625" style="2" customWidth="1"/>
    <col min="4356" max="4356" width="11" style="2" customWidth="1"/>
    <col min="4357" max="4357" width="9.85546875" style="2" customWidth="1"/>
    <col min="4358" max="4358" width="9.140625" style="2" customWidth="1"/>
    <col min="4359" max="4359" width="13" style="2" customWidth="1"/>
    <col min="4360" max="4360" width="11.5703125" style="2" bestFit="1" customWidth="1"/>
    <col min="4361" max="4361" width="11.28515625" style="2" customWidth="1"/>
    <col min="4362" max="4362" width="11.5703125" style="2" customWidth="1"/>
    <col min="4363" max="4363" width="9.85546875" style="2" customWidth="1"/>
    <col min="4364" max="4364" width="12.5703125" style="2" customWidth="1"/>
    <col min="4365" max="4365" width="11.28515625" style="2" customWidth="1"/>
    <col min="4366" max="4366" width="8.7109375" style="2" bestFit="1" customWidth="1"/>
    <col min="4367" max="4367" width="10.85546875" style="2" customWidth="1"/>
    <col min="4368" max="4368" width="11" style="2" bestFit="1" customWidth="1"/>
    <col min="4369" max="4369" width="9.42578125" style="2" customWidth="1"/>
    <col min="4370" max="4370" width="9" style="2" customWidth="1"/>
    <col min="4371" max="4371" width="8.140625" style="2" bestFit="1" customWidth="1"/>
    <col min="4372" max="4372" width="8.85546875" style="2" customWidth="1"/>
    <col min="4373" max="4608" width="9.140625" style="2"/>
    <col min="4609" max="4609" width="28" style="2" customWidth="1"/>
    <col min="4610" max="4610" width="10.85546875" style="2" customWidth="1"/>
    <col min="4611" max="4611" width="8.28515625" style="2" customWidth="1"/>
    <col min="4612" max="4612" width="11" style="2" customWidth="1"/>
    <col min="4613" max="4613" width="9.85546875" style="2" customWidth="1"/>
    <col min="4614" max="4614" width="9.140625" style="2" customWidth="1"/>
    <col min="4615" max="4615" width="13" style="2" customWidth="1"/>
    <col min="4616" max="4616" width="11.5703125" style="2" bestFit="1" customWidth="1"/>
    <col min="4617" max="4617" width="11.28515625" style="2" customWidth="1"/>
    <col min="4618" max="4618" width="11.5703125" style="2" customWidth="1"/>
    <col min="4619" max="4619" width="9.85546875" style="2" customWidth="1"/>
    <col min="4620" max="4620" width="12.5703125" style="2" customWidth="1"/>
    <col min="4621" max="4621" width="11.28515625" style="2" customWidth="1"/>
    <col min="4622" max="4622" width="8.7109375" style="2" bestFit="1" customWidth="1"/>
    <col min="4623" max="4623" width="10.85546875" style="2" customWidth="1"/>
    <col min="4624" max="4624" width="11" style="2" bestFit="1" customWidth="1"/>
    <col min="4625" max="4625" width="9.42578125" style="2" customWidth="1"/>
    <col min="4626" max="4626" width="9" style="2" customWidth="1"/>
    <col min="4627" max="4627" width="8.140625" style="2" bestFit="1" customWidth="1"/>
    <col min="4628" max="4628" width="8.85546875" style="2" customWidth="1"/>
    <col min="4629" max="4864" width="9.140625" style="2"/>
    <col min="4865" max="4865" width="28" style="2" customWidth="1"/>
    <col min="4866" max="4866" width="10.85546875" style="2" customWidth="1"/>
    <col min="4867" max="4867" width="8.28515625" style="2" customWidth="1"/>
    <col min="4868" max="4868" width="11" style="2" customWidth="1"/>
    <col min="4869" max="4869" width="9.85546875" style="2" customWidth="1"/>
    <col min="4870" max="4870" width="9.140625" style="2" customWidth="1"/>
    <col min="4871" max="4871" width="13" style="2" customWidth="1"/>
    <col min="4872" max="4872" width="11.5703125" style="2" bestFit="1" customWidth="1"/>
    <col min="4873" max="4873" width="11.28515625" style="2" customWidth="1"/>
    <col min="4874" max="4874" width="11.5703125" style="2" customWidth="1"/>
    <col min="4875" max="4875" width="9.85546875" style="2" customWidth="1"/>
    <col min="4876" max="4876" width="12.5703125" style="2" customWidth="1"/>
    <col min="4877" max="4877" width="11.28515625" style="2" customWidth="1"/>
    <col min="4878" max="4878" width="8.7109375" style="2" bestFit="1" customWidth="1"/>
    <col min="4879" max="4879" width="10.85546875" style="2" customWidth="1"/>
    <col min="4880" max="4880" width="11" style="2" bestFit="1" customWidth="1"/>
    <col min="4881" max="4881" width="9.42578125" style="2" customWidth="1"/>
    <col min="4882" max="4882" width="9" style="2" customWidth="1"/>
    <col min="4883" max="4883" width="8.140625" style="2" bestFit="1" customWidth="1"/>
    <col min="4884" max="4884" width="8.85546875" style="2" customWidth="1"/>
    <col min="4885" max="5120" width="9.140625" style="2"/>
    <col min="5121" max="5121" width="28" style="2" customWidth="1"/>
    <col min="5122" max="5122" width="10.85546875" style="2" customWidth="1"/>
    <col min="5123" max="5123" width="8.28515625" style="2" customWidth="1"/>
    <col min="5124" max="5124" width="11" style="2" customWidth="1"/>
    <col min="5125" max="5125" width="9.85546875" style="2" customWidth="1"/>
    <col min="5126" max="5126" width="9.140625" style="2" customWidth="1"/>
    <col min="5127" max="5127" width="13" style="2" customWidth="1"/>
    <col min="5128" max="5128" width="11.5703125" style="2" bestFit="1" customWidth="1"/>
    <col min="5129" max="5129" width="11.28515625" style="2" customWidth="1"/>
    <col min="5130" max="5130" width="11.5703125" style="2" customWidth="1"/>
    <col min="5131" max="5131" width="9.85546875" style="2" customWidth="1"/>
    <col min="5132" max="5132" width="12.5703125" style="2" customWidth="1"/>
    <col min="5133" max="5133" width="11.28515625" style="2" customWidth="1"/>
    <col min="5134" max="5134" width="8.7109375" style="2" bestFit="1" customWidth="1"/>
    <col min="5135" max="5135" width="10.85546875" style="2" customWidth="1"/>
    <col min="5136" max="5136" width="11" style="2" bestFit="1" customWidth="1"/>
    <col min="5137" max="5137" width="9.42578125" style="2" customWidth="1"/>
    <col min="5138" max="5138" width="9" style="2" customWidth="1"/>
    <col min="5139" max="5139" width="8.140625" style="2" bestFit="1" customWidth="1"/>
    <col min="5140" max="5140" width="8.85546875" style="2" customWidth="1"/>
    <col min="5141" max="5376" width="9.140625" style="2"/>
    <col min="5377" max="5377" width="28" style="2" customWidth="1"/>
    <col min="5378" max="5378" width="10.85546875" style="2" customWidth="1"/>
    <col min="5379" max="5379" width="8.28515625" style="2" customWidth="1"/>
    <col min="5380" max="5380" width="11" style="2" customWidth="1"/>
    <col min="5381" max="5381" width="9.85546875" style="2" customWidth="1"/>
    <col min="5382" max="5382" width="9.140625" style="2" customWidth="1"/>
    <col min="5383" max="5383" width="13" style="2" customWidth="1"/>
    <col min="5384" max="5384" width="11.5703125" style="2" bestFit="1" customWidth="1"/>
    <col min="5385" max="5385" width="11.28515625" style="2" customWidth="1"/>
    <col min="5386" max="5386" width="11.5703125" style="2" customWidth="1"/>
    <col min="5387" max="5387" width="9.85546875" style="2" customWidth="1"/>
    <col min="5388" max="5388" width="12.5703125" style="2" customWidth="1"/>
    <col min="5389" max="5389" width="11.28515625" style="2" customWidth="1"/>
    <col min="5390" max="5390" width="8.7109375" style="2" bestFit="1" customWidth="1"/>
    <col min="5391" max="5391" width="10.85546875" style="2" customWidth="1"/>
    <col min="5392" max="5392" width="11" style="2" bestFit="1" customWidth="1"/>
    <col min="5393" max="5393" width="9.42578125" style="2" customWidth="1"/>
    <col min="5394" max="5394" width="9" style="2" customWidth="1"/>
    <col min="5395" max="5395" width="8.140625" style="2" bestFit="1" customWidth="1"/>
    <col min="5396" max="5396" width="8.85546875" style="2" customWidth="1"/>
    <col min="5397" max="5632" width="9.140625" style="2"/>
    <col min="5633" max="5633" width="28" style="2" customWidth="1"/>
    <col min="5634" max="5634" width="10.85546875" style="2" customWidth="1"/>
    <col min="5635" max="5635" width="8.28515625" style="2" customWidth="1"/>
    <col min="5636" max="5636" width="11" style="2" customWidth="1"/>
    <col min="5637" max="5637" width="9.85546875" style="2" customWidth="1"/>
    <col min="5638" max="5638" width="9.140625" style="2" customWidth="1"/>
    <col min="5639" max="5639" width="13" style="2" customWidth="1"/>
    <col min="5640" max="5640" width="11.5703125" style="2" bestFit="1" customWidth="1"/>
    <col min="5641" max="5641" width="11.28515625" style="2" customWidth="1"/>
    <col min="5642" max="5642" width="11.5703125" style="2" customWidth="1"/>
    <col min="5643" max="5643" width="9.85546875" style="2" customWidth="1"/>
    <col min="5644" max="5644" width="12.5703125" style="2" customWidth="1"/>
    <col min="5645" max="5645" width="11.28515625" style="2" customWidth="1"/>
    <col min="5646" max="5646" width="8.7109375" style="2" bestFit="1" customWidth="1"/>
    <col min="5647" max="5647" width="10.85546875" style="2" customWidth="1"/>
    <col min="5648" max="5648" width="11" style="2" bestFit="1" customWidth="1"/>
    <col min="5649" max="5649" width="9.42578125" style="2" customWidth="1"/>
    <col min="5650" max="5650" width="9" style="2" customWidth="1"/>
    <col min="5651" max="5651" width="8.140625" style="2" bestFit="1" customWidth="1"/>
    <col min="5652" max="5652" width="8.85546875" style="2" customWidth="1"/>
    <col min="5653" max="5888" width="9.140625" style="2"/>
    <col min="5889" max="5889" width="28" style="2" customWidth="1"/>
    <col min="5890" max="5890" width="10.85546875" style="2" customWidth="1"/>
    <col min="5891" max="5891" width="8.28515625" style="2" customWidth="1"/>
    <col min="5892" max="5892" width="11" style="2" customWidth="1"/>
    <col min="5893" max="5893" width="9.85546875" style="2" customWidth="1"/>
    <col min="5894" max="5894" width="9.140625" style="2" customWidth="1"/>
    <col min="5895" max="5895" width="13" style="2" customWidth="1"/>
    <col min="5896" max="5896" width="11.5703125" style="2" bestFit="1" customWidth="1"/>
    <col min="5897" max="5897" width="11.28515625" style="2" customWidth="1"/>
    <col min="5898" max="5898" width="11.5703125" style="2" customWidth="1"/>
    <col min="5899" max="5899" width="9.85546875" style="2" customWidth="1"/>
    <col min="5900" max="5900" width="12.5703125" style="2" customWidth="1"/>
    <col min="5901" max="5901" width="11.28515625" style="2" customWidth="1"/>
    <col min="5902" max="5902" width="8.7109375" style="2" bestFit="1" customWidth="1"/>
    <col min="5903" max="5903" width="10.85546875" style="2" customWidth="1"/>
    <col min="5904" max="5904" width="11" style="2" bestFit="1" customWidth="1"/>
    <col min="5905" max="5905" width="9.42578125" style="2" customWidth="1"/>
    <col min="5906" max="5906" width="9" style="2" customWidth="1"/>
    <col min="5907" max="5907" width="8.140625" style="2" bestFit="1" customWidth="1"/>
    <col min="5908" max="5908" width="8.85546875" style="2" customWidth="1"/>
    <col min="5909" max="6144" width="9.140625" style="2"/>
    <col min="6145" max="6145" width="28" style="2" customWidth="1"/>
    <col min="6146" max="6146" width="10.85546875" style="2" customWidth="1"/>
    <col min="6147" max="6147" width="8.28515625" style="2" customWidth="1"/>
    <col min="6148" max="6148" width="11" style="2" customWidth="1"/>
    <col min="6149" max="6149" width="9.85546875" style="2" customWidth="1"/>
    <col min="6150" max="6150" width="9.140625" style="2" customWidth="1"/>
    <col min="6151" max="6151" width="13" style="2" customWidth="1"/>
    <col min="6152" max="6152" width="11.5703125" style="2" bestFit="1" customWidth="1"/>
    <col min="6153" max="6153" width="11.28515625" style="2" customWidth="1"/>
    <col min="6154" max="6154" width="11.5703125" style="2" customWidth="1"/>
    <col min="6155" max="6155" width="9.85546875" style="2" customWidth="1"/>
    <col min="6156" max="6156" width="12.5703125" style="2" customWidth="1"/>
    <col min="6157" max="6157" width="11.28515625" style="2" customWidth="1"/>
    <col min="6158" max="6158" width="8.7109375" style="2" bestFit="1" customWidth="1"/>
    <col min="6159" max="6159" width="10.85546875" style="2" customWidth="1"/>
    <col min="6160" max="6160" width="11" style="2" bestFit="1" customWidth="1"/>
    <col min="6161" max="6161" width="9.42578125" style="2" customWidth="1"/>
    <col min="6162" max="6162" width="9" style="2" customWidth="1"/>
    <col min="6163" max="6163" width="8.140625" style="2" bestFit="1" customWidth="1"/>
    <col min="6164" max="6164" width="8.85546875" style="2" customWidth="1"/>
    <col min="6165" max="6400" width="9.140625" style="2"/>
    <col min="6401" max="6401" width="28" style="2" customWidth="1"/>
    <col min="6402" max="6402" width="10.85546875" style="2" customWidth="1"/>
    <col min="6403" max="6403" width="8.28515625" style="2" customWidth="1"/>
    <col min="6404" max="6404" width="11" style="2" customWidth="1"/>
    <col min="6405" max="6405" width="9.85546875" style="2" customWidth="1"/>
    <col min="6406" max="6406" width="9.140625" style="2" customWidth="1"/>
    <col min="6407" max="6407" width="13" style="2" customWidth="1"/>
    <col min="6408" max="6408" width="11.5703125" style="2" bestFit="1" customWidth="1"/>
    <col min="6409" max="6409" width="11.28515625" style="2" customWidth="1"/>
    <col min="6410" max="6410" width="11.5703125" style="2" customWidth="1"/>
    <col min="6411" max="6411" width="9.85546875" style="2" customWidth="1"/>
    <col min="6412" max="6412" width="12.5703125" style="2" customWidth="1"/>
    <col min="6413" max="6413" width="11.28515625" style="2" customWidth="1"/>
    <col min="6414" max="6414" width="8.7109375" style="2" bestFit="1" customWidth="1"/>
    <col min="6415" max="6415" width="10.85546875" style="2" customWidth="1"/>
    <col min="6416" max="6416" width="11" style="2" bestFit="1" customWidth="1"/>
    <col min="6417" max="6417" width="9.42578125" style="2" customWidth="1"/>
    <col min="6418" max="6418" width="9" style="2" customWidth="1"/>
    <col min="6419" max="6419" width="8.140625" style="2" bestFit="1" customWidth="1"/>
    <col min="6420" max="6420" width="8.85546875" style="2" customWidth="1"/>
    <col min="6421" max="6656" width="9.140625" style="2"/>
    <col min="6657" max="6657" width="28" style="2" customWidth="1"/>
    <col min="6658" max="6658" width="10.85546875" style="2" customWidth="1"/>
    <col min="6659" max="6659" width="8.28515625" style="2" customWidth="1"/>
    <col min="6660" max="6660" width="11" style="2" customWidth="1"/>
    <col min="6661" max="6661" width="9.85546875" style="2" customWidth="1"/>
    <col min="6662" max="6662" width="9.140625" style="2" customWidth="1"/>
    <col min="6663" max="6663" width="13" style="2" customWidth="1"/>
    <col min="6664" max="6664" width="11.5703125" style="2" bestFit="1" customWidth="1"/>
    <col min="6665" max="6665" width="11.28515625" style="2" customWidth="1"/>
    <col min="6666" max="6666" width="11.5703125" style="2" customWidth="1"/>
    <col min="6667" max="6667" width="9.85546875" style="2" customWidth="1"/>
    <col min="6668" max="6668" width="12.5703125" style="2" customWidth="1"/>
    <col min="6669" max="6669" width="11.28515625" style="2" customWidth="1"/>
    <col min="6670" max="6670" width="8.7109375" style="2" bestFit="1" customWidth="1"/>
    <col min="6671" max="6671" width="10.85546875" style="2" customWidth="1"/>
    <col min="6672" max="6672" width="11" style="2" bestFit="1" customWidth="1"/>
    <col min="6673" max="6673" width="9.42578125" style="2" customWidth="1"/>
    <col min="6674" max="6674" width="9" style="2" customWidth="1"/>
    <col min="6675" max="6675" width="8.140625" style="2" bestFit="1" customWidth="1"/>
    <col min="6676" max="6676" width="8.85546875" style="2" customWidth="1"/>
    <col min="6677" max="6912" width="9.140625" style="2"/>
    <col min="6913" max="6913" width="28" style="2" customWidth="1"/>
    <col min="6914" max="6914" width="10.85546875" style="2" customWidth="1"/>
    <col min="6915" max="6915" width="8.28515625" style="2" customWidth="1"/>
    <col min="6916" max="6916" width="11" style="2" customWidth="1"/>
    <col min="6917" max="6917" width="9.85546875" style="2" customWidth="1"/>
    <col min="6918" max="6918" width="9.140625" style="2" customWidth="1"/>
    <col min="6919" max="6919" width="13" style="2" customWidth="1"/>
    <col min="6920" max="6920" width="11.5703125" style="2" bestFit="1" customWidth="1"/>
    <col min="6921" max="6921" width="11.28515625" style="2" customWidth="1"/>
    <col min="6922" max="6922" width="11.5703125" style="2" customWidth="1"/>
    <col min="6923" max="6923" width="9.85546875" style="2" customWidth="1"/>
    <col min="6924" max="6924" width="12.5703125" style="2" customWidth="1"/>
    <col min="6925" max="6925" width="11.28515625" style="2" customWidth="1"/>
    <col min="6926" max="6926" width="8.7109375" style="2" bestFit="1" customWidth="1"/>
    <col min="6927" max="6927" width="10.85546875" style="2" customWidth="1"/>
    <col min="6928" max="6928" width="11" style="2" bestFit="1" customWidth="1"/>
    <col min="6929" max="6929" width="9.42578125" style="2" customWidth="1"/>
    <col min="6930" max="6930" width="9" style="2" customWidth="1"/>
    <col min="6931" max="6931" width="8.140625" style="2" bestFit="1" customWidth="1"/>
    <col min="6932" max="6932" width="8.85546875" style="2" customWidth="1"/>
    <col min="6933" max="7168" width="9.140625" style="2"/>
    <col min="7169" max="7169" width="28" style="2" customWidth="1"/>
    <col min="7170" max="7170" width="10.85546875" style="2" customWidth="1"/>
    <col min="7171" max="7171" width="8.28515625" style="2" customWidth="1"/>
    <col min="7172" max="7172" width="11" style="2" customWidth="1"/>
    <col min="7173" max="7173" width="9.85546875" style="2" customWidth="1"/>
    <col min="7174" max="7174" width="9.140625" style="2" customWidth="1"/>
    <col min="7175" max="7175" width="13" style="2" customWidth="1"/>
    <col min="7176" max="7176" width="11.5703125" style="2" bestFit="1" customWidth="1"/>
    <col min="7177" max="7177" width="11.28515625" style="2" customWidth="1"/>
    <col min="7178" max="7178" width="11.5703125" style="2" customWidth="1"/>
    <col min="7179" max="7179" width="9.85546875" style="2" customWidth="1"/>
    <col min="7180" max="7180" width="12.5703125" style="2" customWidth="1"/>
    <col min="7181" max="7181" width="11.28515625" style="2" customWidth="1"/>
    <col min="7182" max="7182" width="8.7109375" style="2" bestFit="1" customWidth="1"/>
    <col min="7183" max="7183" width="10.85546875" style="2" customWidth="1"/>
    <col min="7184" max="7184" width="11" style="2" bestFit="1" customWidth="1"/>
    <col min="7185" max="7185" width="9.42578125" style="2" customWidth="1"/>
    <col min="7186" max="7186" width="9" style="2" customWidth="1"/>
    <col min="7187" max="7187" width="8.140625" style="2" bestFit="1" customWidth="1"/>
    <col min="7188" max="7188" width="8.85546875" style="2" customWidth="1"/>
    <col min="7189" max="7424" width="9.140625" style="2"/>
    <col min="7425" max="7425" width="28" style="2" customWidth="1"/>
    <col min="7426" max="7426" width="10.85546875" style="2" customWidth="1"/>
    <col min="7427" max="7427" width="8.28515625" style="2" customWidth="1"/>
    <col min="7428" max="7428" width="11" style="2" customWidth="1"/>
    <col min="7429" max="7429" width="9.85546875" style="2" customWidth="1"/>
    <col min="7430" max="7430" width="9.140625" style="2" customWidth="1"/>
    <col min="7431" max="7431" width="13" style="2" customWidth="1"/>
    <col min="7432" max="7432" width="11.5703125" style="2" bestFit="1" customWidth="1"/>
    <col min="7433" max="7433" width="11.28515625" style="2" customWidth="1"/>
    <col min="7434" max="7434" width="11.5703125" style="2" customWidth="1"/>
    <col min="7435" max="7435" width="9.85546875" style="2" customWidth="1"/>
    <col min="7436" max="7436" width="12.5703125" style="2" customWidth="1"/>
    <col min="7437" max="7437" width="11.28515625" style="2" customWidth="1"/>
    <col min="7438" max="7438" width="8.7109375" style="2" bestFit="1" customWidth="1"/>
    <col min="7439" max="7439" width="10.85546875" style="2" customWidth="1"/>
    <col min="7440" max="7440" width="11" style="2" bestFit="1" customWidth="1"/>
    <col min="7441" max="7441" width="9.42578125" style="2" customWidth="1"/>
    <col min="7442" max="7442" width="9" style="2" customWidth="1"/>
    <col min="7443" max="7443" width="8.140625" style="2" bestFit="1" customWidth="1"/>
    <col min="7444" max="7444" width="8.85546875" style="2" customWidth="1"/>
    <col min="7445" max="7680" width="9.140625" style="2"/>
    <col min="7681" max="7681" width="28" style="2" customWidth="1"/>
    <col min="7682" max="7682" width="10.85546875" style="2" customWidth="1"/>
    <col min="7683" max="7683" width="8.28515625" style="2" customWidth="1"/>
    <col min="7684" max="7684" width="11" style="2" customWidth="1"/>
    <col min="7685" max="7685" width="9.85546875" style="2" customWidth="1"/>
    <col min="7686" max="7686" width="9.140625" style="2" customWidth="1"/>
    <col min="7687" max="7687" width="13" style="2" customWidth="1"/>
    <col min="7688" max="7688" width="11.5703125" style="2" bestFit="1" customWidth="1"/>
    <col min="7689" max="7689" width="11.28515625" style="2" customWidth="1"/>
    <col min="7690" max="7690" width="11.5703125" style="2" customWidth="1"/>
    <col min="7691" max="7691" width="9.85546875" style="2" customWidth="1"/>
    <col min="7692" max="7692" width="12.5703125" style="2" customWidth="1"/>
    <col min="7693" max="7693" width="11.28515625" style="2" customWidth="1"/>
    <col min="7694" max="7694" width="8.7109375" style="2" bestFit="1" customWidth="1"/>
    <col min="7695" max="7695" width="10.85546875" style="2" customWidth="1"/>
    <col min="7696" max="7696" width="11" style="2" bestFit="1" customWidth="1"/>
    <col min="7697" max="7697" width="9.42578125" style="2" customWidth="1"/>
    <col min="7698" max="7698" width="9" style="2" customWidth="1"/>
    <col min="7699" max="7699" width="8.140625" style="2" bestFit="1" customWidth="1"/>
    <col min="7700" max="7700" width="8.85546875" style="2" customWidth="1"/>
    <col min="7701" max="7936" width="9.140625" style="2"/>
    <col min="7937" max="7937" width="28" style="2" customWidth="1"/>
    <col min="7938" max="7938" width="10.85546875" style="2" customWidth="1"/>
    <col min="7939" max="7939" width="8.28515625" style="2" customWidth="1"/>
    <col min="7940" max="7940" width="11" style="2" customWidth="1"/>
    <col min="7941" max="7941" width="9.85546875" style="2" customWidth="1"/>
    <col min="7942" max="7942" width="9.140625" style="2" customWidth="1"/>
    <col min="7943" max="7943" width="13" style="2" customWidth="1"/>
    <col min="7944" max="7944" width="11.5703125" style="2" bestFit="1" customWidth="1"/>
    <col min="7945" max="7945" width="11.28515625" style="2" customWidth="1"/>
    <col min="7946" max="7946" width="11.5703125" style="2" customWidth="1"/>
    <col min="7947" max="7947" width="9.85546875" style="2" customWidth="1"/>
    <col min="7948" max="7948" width="12.5703125" style="2" customWidth="1"/>
    <col min="7949" max="7949" width="11.28515625" style="2" customWidth="1"/>
    <col min="7950" max="7950" width="8.7109375" style="2" bestFit="1" customWidth="1"/>
    <col min="7951" max="7951" width="10.85546875" style="2" customWidth="1"/>
    <col min="7952" max="7952" width="11" style="2" bestFit="1" customWidth="1"/>
    <col min="7953" max="7953" width="9.42578125" style="2" customWidth="1"/>
    <col min="7954" max="7954" width="9" style="2" customWidth="1"/>
    <col min="7955" max="7955" width="8.140625" style="2" bestFit="1" customWidth="1"/>
    <col min="7956" max="7956" width="8.85546875" style="2" customWidth="1"/>
    <col min="7957" max="8192" width="9.140625" style="2"/>
    <col min="8193" max="8193" width="28" style="2" customWidth="1"/>
    <col min="8194" max="8194" width="10.85546875" style="2" customWidth="1"/>
    <col min="8195" max="8195" width="8.28515625" style="2" customWidth="1"/>
    <col min="8196" max="8196" width="11" style="2" customWidth="1"/>
    <col min="8197" max="8197" width="9.85546875" style="2" customWidth="1"/>
    <col min="8198" max="8198" width="9.140625" style="2" customWidth="1"/>
    <col min="8199" max="8199" width="13" style="2" customWidth="1"/>
    <col min="8200" max="8200" width="11.5703125" style="2" bestFit="1" customWidth="1"/>
    <col min="8201" max="8201" width="11.28515625" style="2" customWidth="1"/>
    <col min="8202" max="8202" width="11.5703125" style="2" customWidth="1"/>
    <col min="8203" max="8203" width="9.85546875" style="2" customWidth="1"/>
    <col min="8204" max="8204" width="12.5703125" style="2" customWidth="1"/>
    <col min="8205" max="8205" width="11.28515625" style="2" customWidth="1"/>
    <col min="8206" max="8206" width="8.7109375" style="2" bestFit="1" customWidth="1"/>
    <col min="8207" max="8207" width="10.85546875" style="2" customWidth="1"/>
    <col min="8208" max="8208" width="11" style="2" bestFit="1" customWidth="1"/>
    <col min="8209" max="8209" width="9.42578125" style="2" customWidth="1"/>
    <col min="8210" max="8210" width="9" style="2" customWidth="1"/>
    <col min="8211" max="8211" width="8.140625" style="2" bestFit="1" customWidth="1"/>
    <col min="8212" max="8212" width="8.85546875" style="2" customWidth="1"/>
    <col min="8213" max="8448" width="9.140625" style="2"/>
    <col min="8449" max="8449" width="28" style="2" customWidth="1"/>
    <col min="8450" max="8450" width="10.85546875" style="2" customWidth="1"/>
    <col min="8451" max="8451" width="8.28515625" style="2" customWidth="1"/>
    <col min="8452" max="8452" width="11" style="2" customWidth="1"/>
    <col min="8453" max="8453" width="9.85546875" style="2" customWidth="1"/>
    <col min="8454" max="8454" width="9.140625" style="2" customWidth="1"/>
    <col min="8455" max="8455" width="13" style="2" customWidth="1"/>
    <col min="8456" max="8456" width="11.5703125" style="2" bestFit="1" customWidth="1"/>
    <col min="8457" max="8457" width="11.28515625" style="2" customWidth="1"/>
    <col min="8458" max="8458" width="11.5703125" style="2" customWidth="1"/>
    <col min="8459" max="8459" width="9.85546875" style="2" customWidth="1"/>
    <col min="8460" max="8460" width="12.5703125" style="2" customWidth="1"/>
    <col min="8461" max="8461" width="11.28515625" style="2" customWidth="1"/>
    <col min="8462" max="8462" width="8.7109375" style="2" bestFit="1" customWidth="1"/>
    <col min="8463" max="8463" width="10.85546875" style="2" customWidth="1"/>
    <col min="8464" max="8464" width="11" style="2" bestFit="1" customWidth="1"/>
    <col min="8465" max="8465" width="9.42578125" style="2" customWidth="1"/>
    <col min="8466" max="8466" width="9" style="2" customWidth="1"/>
    <col min="8467" max="8467" width="8.140625" style="2" bestFit="1" customWidth="1"/>
    <col min="8468" max="8468" width="8.85546875" style="2" customWidth="1"/>
    <col min="8469" max="8704" width="9.140625" style="2"/>
    <col min="8705" max="8705" width="28" style="2" customWidth="1"/>
    <col min="8706" max="8706" width="10.85546875" style="2" customWidth="1"/>
    <col min="8707" max="8707" width="8.28515625" style="2" customWidth="1"/>
    <col min="8708" max="8708" width="11" style="2" customWidth="1"/>
    <col min="8709" max="8709" width="9.85546875" style="2" customWidth="1"/>
    <col min="8710" max="8710" width="9.140625" style="2" customWidth="1"/>
    <col min="8711" max="8711" width="13" style="2" customWidth="1"/>
    <col min="8712" max="8712" width="11.5703125" style="2" bestFit="1" customWidth="1"/>
    <col min="8713" max="8713" width="11.28515625" style="2" customWidth="1"/>
    <col min="8714" max="8714" width="11.5703125" style="2" customWidth="1"/>
    <col min="8715" max="8715" width="9.85546875" style="2" customWidth="1"/>
    <col min="8716" max="8716" width="12.5703125" style="2" customWidth="1"/>
    <col min="8717" max="8717" width="11.28515625" style="2" customWidth="1"/>
    <col min="8718" max="8718" width="8.7109375" style="2" bestFit="1" customWidth="1"/>
    <col min="8719" max="8719" width="10.85546875" style="2" customWidth="1"/>
    <col min="8720" max="8720" width="11" style="2" bestFit="1" customWidth="1"/>
    <col min="8721" max="8721" width="9.42578125" style="2" customWidth="1"/>
    <col min="8722" max="8722" width="9" style="2" customWidth="1"/>
    <col min="8723" max="8723" width="8.140625" style="2" bestFit="1" customWidth="1"/>
    <col min="8724" max="8724" width="8.85546875" style="2" customWidth="1"/>
    <col min="8725" max="8960" width="9.140625" style="2"/>
    <col min="8961" max="8961" width="28" style="2" customWidth="1"/>
    <col min="8962" max="8962" width="10.85546875" style="2" customWidth="1"/>
    <col min="8963" max="8963" width="8.28515625" style="2" customWidth="1"/>
    <col min="8964" max="8964" width="11" style="2" customWidth="1"/>
    <col min="8965" max="8965" width="9.85546875" style="2" customWidth="1"/>
    <col min="8966" max="8966" width="9.140625" style="2" customWidth="1"/>
    <col min="8967" max="8967" width="13" style="2" customWidth="1"/>
    <col min="8968" max="8968" width="11.5703125" style="2" bestFit="1" customWidth="1"/>
    <col min="8969" max="8969" width="11.28515625" style="2" customWidth="1"/>
    <col min="8970" max="8970" width="11.5703125" style="2" customWidth="1"/>
    <col min="8971" max="8971" width="9.85546875" style="2" customWidth="1"/>
    <col min="8972" max="8972" width="12.5703125" style="2" customWidth="1"/>
    <col min="8973" max="8973" width="11.28515625" style="2" customWidth="1"/>
    <col min="8974" max="8974" width="8.7109375" style="2" bestFit="1" customWidth="1"/>
    <col min="8975" max="8975" width="10.85546875" style="2" customWidth="1"/>
    <col min="8976" max="8976" width="11" style="2" bestFit="1" customWidth="1"/>
    <col min="8977" max="8977" width="9.42578125" style="2" customWidth="1"/>
    <col min="8978" max="8978" width="9" style="2" customWidth="1"/>
    <col min="8979" max="8979" width="8.140625" style="2" bestFit="1" customWidth="1"/>
    <col min="8980" max="8980" width="8.85546875" style="2" customWidth="1"/>
    <col min="8981" max="9216" width="9.140625" style="2"/>
    <col min="9217" max="9217" width="28" style="2" customWidth="1"/>
    <col min="9218" max="9218" width="10.85546875" style="2" customWidth="1"/>
    <col min="9219" max="9219" width="8.28515625" style="2" customWidth="1"/>
    <col min="9220" max="9220" width="11" style="2" customWidth="1"/>
    <col min="9221" max="9221" width="9.85546875" style="2" customWidth="1"/>
    <col min="9222" max="9222" width="9.140625" style="2" customWidth="1"/>
    <col min="9223" max="9223" width="13" style="2" customWidth="1"/>
    <col min="9224" max="9224" width="11.5703125" style="2" bestFit="1" customWidth="1"/>
    <col min="9225" max="9225" width="11.28515625" style="2" customWidth="1"/>
    <col min="9226" max="9226" width="11.5703125" style="2" customWidth="1"/>
    <col min="9227" max="9227" width="9.85546875" style="2" customWidth="1"/>
    <col min="9228" max="9228" width="12.5703125" style="2" customWidth="1"/>
    <col min="9229" max="9229" width="11.28515625" style="2" customWidth="1"/>
    <col min="9230" max="9230" width="8.7109375" style="2" bestFit="1" customWidth="1"/>
    <col min="9231" max="9231" width="10.85546875" style="2" customWidth="1"/>
    <col min="9232" max="9232" width="11" style="2" bestFit="1" customWidth="1"/>
    <col min="9233" max="9233" width="9.42578125" style="2" customWidth="1"/>
    <col min="9234" max="9234" width="9" style="2" customWidth="1"/>
    <col min="9235" max="9235" width="8.140625" style="2" bestFit="1" customWidth="1"/>
    <col min="9236" max="9236" width="8.85546875" style="2" customWidth="1"/>
    <col min="9237" max="9472" width="9.140625" style="2"/>
    <col min="9473" max="9473" width="28" style="2" customWidth="1"/>
    <col min="9474" max="9474" width="10.85546875" style="2" customWidth="1"/>
    <col min="9475" max="9475" width="8.28515625" style="2" customWidth="1"/>
    <col min="9476" max="9476" width="11" style="2" customWidth="1"/>
    <col min="9477" max="9477" width="9.85546875" style="2" customWidth="1"/>
    <col min="9478" max="9478" width="9.140625" style="2" customWidth="1"/>
    <col min="9479" max="9479" width="13" style="2" customWidth="1"/>
    <col min="9480" max="9480" width="11.5703125" style="2" bestFit="1" customWidth="1"/>
    <col min="9481" max="9481" width="11.28515625" style="2" customWidth="1"/>
    <col min="9482" max="9482" width="11.5703125" style="2" customWidth="1"/>
    <col min="9483" max="9483" width="9.85546875" style="2" customWidth="1"/>
    <col min="9484" max="9484" width="12.5703125" style="2" customWidth="1"/>
    <col min="9485" max="9485" width="11.28515625" style="2" customWidth="1"/>
    <col min="9486" max="9486" width="8.7109375" style="2" bestFit="1" customWidth="1"/>
    <col min="9487" max="9487" width="10.85546875" style="2" customWidth="1"/>
    <col min="9488" max="9488" width="11" style="2" bestFit="1" customWidth="1"/>
    <col min="9489" max="9489" width="9.42578125" style="2" customWidth="1"/>
    <col min="9490" max="9490" width="9" style="2" customWidth="1"/>
    <col min="9491" max="9491" width="8.140625" style="2" bestFit="1" customWidth="1"/>
    <col min="9492" max="9492" width="8.85546875" style="2" customWidth="1"/>
    <col min="9493" max="9728" width="9.140625" style="2"/>
    <col min="9729" max="9729" width="28" style="2" customWidth="1"/>
    <col min="9730" max="9730" width="10.85546875" style="2" customWidth="1"/>
    <col min="9731" max="9731" width="8.28515625" style="2" customWidth="1"/>
    <col min="9732" max="9732" width="11" style="2" customWidth="1"/>
    <col min="9733" max="9733" width="9.85546875" style="2" customWidth="1"/>
    <col min="9734" max="9734" width="9.140625" style="2" customWidth="1"/>
    <col min="9735" max="9735" width="13" style="2" customWidth="1"/>
    <col min="9736" max="9736" width="11.5703125" style="2" bestFit="1" customWidth="1"/>
    <col min="9737" max="9737" width="11.28515625" style="2" customWidth="1"/>
    <col min="9738" max="9738" width="11.5703125" style="2" customWidth="1"/>
    <col min="9739" max="9739" width="9.85546875" style="2" customWidth="1"/>
    <col min="9740" max="9740" width="12.5703125" style="2" customWidth="1"/>
    <col min="9741" max="9741" width="11.28515625" style="2" customWidth="1"/>
    <col min="9742" max="9742" width="8.7109375" style="2" bestFit="1" customWidth="1"/>
    <col min="9743" max="9743" width="10.85546875" style="2" customWidth="1"/>
    <col min="9744" max="9744" width="11" style="2" bestFit="1" customWidth="1"/>
    <col min="9745" max="9745" width="9.42578125" style="2" customWidth="1"/>
    <col min="9746" max="9746" width="9" style="2" customWidth="1"/>
    <col min="9747" max="9747" width="8.140625" style="2" bestFit="1" customWidth="1"/>
    <col min="9748" max="9748" width="8.85546875" style="2" customWidth="1"/>
    <col min="9749" max="9984" width="9.140625" style="2"/>
    <col min="9985" max="9985" width="28" style="2" customWidth="1"/>
    <col min="9986" max="9986" width="10.85546875" style="2" customWidth="1"/>
    <col min="9987" max="9987" width="8.28515625" style="2" customWidth="1"/>
    <col min="9988" max="9988" width="11" style="2" customWidth="1"/>
    <col min="9989" max="9989" width="9.85546875" style="2" customWidth="1"/>
    <col min="9990" max="9990" width="9.140625" style="2" customWidth="1"/>
    <col min="9991" max="9991" width="13" style="2" customWidth="1"/>
    <col min="9992" max="9992" width="11.5703125" style="2" bestFit="1" customWidth="1"/>
    <col min="9993" max="9993" width="11.28515625" style="2" customWidth="1"/>
    <col min="9994" max="9994" width="11.5703125" style="2" customWidth="1"/>
    <col min="9995" max="9995" width="9.85546875" style="2" customWidth="1"/>
    <col min="9996" max="9996" width="12.5703125" style="2" customWidth="1"/>
    <col min="9997" max="9997" width="11.28515625" style="2" customWidth="1"/>
    <col min="9998" max="9998" width="8.7109375" style="2" bestFit="1" customWidth="1"/>
    <col min="9999" max="9999" width="10.85546875" style="2" customWidth="1"/>
    <col min="10000" max="10000" width="11" style="2" bestFit="1" customWidth="1"/>
    <col min="10001" max="10001" width="9.42578125" style="2" customWidth="1"/>
    <col min="10002" max="10002" width="9" style="2" customWidth="1"/>
    <col min="10003" max="10003" width="8.140625" style="2" bestFit="1" customWidth="1"/>
    <col min="10004" max="10004" width="8.85546875" style="2" customWidth="1"/>
    <col min="10005" max="10240" width="9.140625" style="2"/>
    <col min="10241" max="10241" width="28" style="2" customWidth="1"/>
    <col min="10242" max="10242" width="10.85546875" style="2" customWidth="1"/>
    <col min="10243" max="10243" width="8.28515625" style="2" customWidth="1"/>
    <col min="10244" max="10244" width="11" style="2" customWidth="1"/>
    <col min="10245" max="10245" width="9.85546875" style="2" customWidth="1"/>
    <col min="10246" max="10246" width="9.140625" style="2" customWidth="1"/>
    <col min="10247" max="10247" width="13" style="2" customWidth="1"/>
    <col min="10248" max="10248" width="11.5703125" style="2" bestFit="1" customWidth="1"/>
    <col min="10249" max="10249" width="11.28515625" style="2" customWidth="1"/>
    <col min="10250" max="10250" width="11.5703125" style="2" customWidth="1"/>
    <col min="10251" max="10251" width="9.85546875" style="2" customWidth="1"/>
    <col min="10252" max="10252" width="12.5703125" style="2" customWidth="1"/>
    <col min="10253" max="10253" width="11.28515625" style="2" customWidth="1"/>
    <col min="10254" max="10254" width="8.7109375" style="2" bestFit="1" customWidth="1"/>
    <col min="10255" max="10255" width="10.85546875" style="2" customWidth="1"/>
    <col min="10256" max="10256" width="11" style="2" bestFit="1" customWidth="1"/>
    <col min="10257" max="10257" width="9.42578125" style="2" customWidth="1"/>
    <col min="10258" max="10258" width="9" style="2" customWidth="1"/>
    <col min="10259" max="10259" width="8.140625" style="2" bestFit="1" customWidth="1"/>
    <col min="10260" max="10260" width="8.85546875" style="2" customWidth="1"/>
    <col min="10261" max="10496" width="9.140625" style="2"/>
    <col min="10497" max="10497" width="28" style="2" customWidth="1"/>
    <col min="10498" max="10498" width="10.85546875" style="2" customWidth="1"/>
    <col min="10499" max="10499" width="8.28515625" style="2" customWidth="1"/>
    <col min="10500" max="10500" width="11" style="2" customWidth="1"/>
    <col min="10501" max="10501" width="9.85546875" style="2" customWidth="1"/>
    <col min="10502" max="10502" width="9.140625" style="2" customWidth="1"/>
    <col min="10503" max="10503" width="13" style="2" customWidth="1"/>
    <col min="10504" max="10504" width="11.5703125" style="2" bestFit="1" customWidth="1"/>
    <col min="10505" max="10505" width="11.28515625" style="2" customWidth="1"/>
    <col min="10506" max="10506" width="11.5703125" style="2" customWidth="1"/>
    <col min="10507" max="10507" width="9.85546875" style="2" customWidth="1"/>
    <col min="10508" max="10508" width="12.5703125" style="2" customWidth="1"/>
    <col min="10509" max="10509" width="11.28515625" style="2" customWidth="1"/>
    <col min="10510" max="10510" width="8.7109375" style="2" bestFit="1" customWidth="1"/>
    <col min="10511" max="10511" width="10.85546875" style="2" customWidth="1"/>
    <col min="10512" max="10512" width="11" style="2" bestFit="1" customWidth="1"/>
    <col min="10513" max="10513" width="9.42578125" style="2" customWidth="1"/>
    <col min="10514" max="10514" width="9" style="2" customWidth="1"/>
    <col min="10515" max="10515" width="8.140625" style="2" bestFit="1" customWidth="1"/>
    <col min="10516" max="10516" width="8.85546875" style="2" customWidth="1"/>
    <col min="10517" max="10752" width="9.140625" style="2"/>
    <col min="10753" max="10753" width="28" style="2" customWidth="1"/>
    <col min="10754" max="10754" width="10.85546875" style="2" customWidth="1"/>
    <col min="10755" max="10755" width="8.28515625" style="2" customWidth="1"/>
    <col min="10756" max="10756" width="11" style="2" customWidth="1"/>
    <col min="10757" max="10757" width="9.85546875" style="2" customWidth="1"/>
    <col min="10758" max="10758" width="9.140625" style="2" customWidth="1"/>
    <col min="10759" max="10759" width="13" style="2" customWidth="1"/>
    <col min="10760" max="10760" width="11.5703125" style="2" bestFit="1" customWidth="1"/>
    <col min="10761" max="10761" width="11.28515625" style="2" customWidth="1"/>
    <col min="10762" max="10762" width="11.5703125" style="2" customWidth="1"/>
    <col min="10763" max="10763" width="9.85546875" style="2" customWidth="1"/>
    <col min="10764" max="10764" width="12.5703125" style="2" customWidth="1"/>
    <col min="10765" max="10765" width="11.28515625" style="2" customWidth="1"/>
    <col min="10766" max="10766" width="8.7109375" style="2" bestFit="1" customWidth="1"/>
    <col min="10767" max="10767" width="10.85546875" style="2" customWidth="1"/>
    <col min="10768" max="10768" width="11" style="2" bestFit="1" customWidth="1"/>
    <col min="10769" max="10769" width="9.42578125" style="2" customWidth="1"/>
    <col min="10770" max="10770" width="9" style="2" customWidth="1"/>
    <col min="10771" max="10771" width="8.140625" style="2" bestFit="1" customWidth="1"/>
    <col min="10772" max="10772" width="8.85546875" style="2" customWidth="1"/>
    <col min="10773" max="11008" width="9.140625" style="2"/>
    <col min="11009" max="11009" width="28" style="2" customWidth="1"/>
    <col min="11010" max="11010" width="10.85546875" style="2" customWidth="1"/>
    <col min="11011" max="11011" width="8.28515625" style="2" customWidth="1"/>
    <col min="11012" max="11012" width="11" style="2" customWidth="1"/>
    <col min="11013" max="11013" width="9.85546875" style="2" customWidth="1"/>
    <col min="11014" max="11014" width="9.140625" style="2" customWidth="1"/>
    <col min="11015" max="11015" width="13" style="2" customWidth="1"/>
    <col min="11016" max="11016" width="11.5703125" style="2" bestFit="1" customWidth="1"/>
    <col min="11017" max="11017" width="11.28515625" style="2" customWidth="1"/>
    <col min="11018" max="11018" width="11.5703125" style="2" customWidth="1"/>
    <col min="11019" max="11019" width="9.85546875" style="2" customWidth="1"/>
    <col min="11020" max="11020" width="12.5703125" style="2" customWidth="1"/>
    <col min="11021" max="11021" width="11.28515625" style="2" customWidth="1"/>
    <col min="11022" max="11022" width="8.7109375" style="2" bestFit="1" customWidth="1"/>
    <col min="11023" max="11023" width="10.85546875" style="2" customWidth="1"/>
    <col min="11024" max="11024" width="11" style="2" bestFit="1" customWidth="1"/>
    <col min="11025" max="11025" width="9.42578125" style="2" customWidth="1"/>
    <col min="11026" max="11026" width="9" style="2" customWidth="1"/>
    <col min="11027" max="11027" width="8.140625" style="2" bestFit="1" customWidth="1"/>
    <col min="11028" max="11028" width="8.85546875" style="2" customWidth="1"/>
    <col min="11029" max="11264" width="9.140625" style="2"/>
    <col min="11265" max="11265" width="28" style="2" customWidth="1"/>
    <col min="11266" max="11266" width="10.85546875" style="2" customWidth="1"/>
    <col min="11267" max="11267" width="8.28515625" style="2" customWidth="1"/>
    <col min="11268" max="11268" width="11" style="2" customWidth="1"/>
    <col min="11269" max="11269" width="9.85546875" style="2" customWidth="1"/>
    <col min="11270" max="11270" width="9.140625" style="2" customWidth="1"/>
    <col min="11271" max="11271" width="13" style="2" customWidth="1"/>
    <col min="11272" max="11272" width="11.5703125" style="2" bestFit="1" customWidth="1"/>
    <col min="11273" max="11273" width="11.28515625" style="2" customWidth="1"/>
    <col min="11274" max="11274" width="11.5703125" style="2" customWidth="1"/>
    <col min="11275" max="11275" width="9.85546875" style="2" customWidth="1"/>
    <col min="11276" max="11276" width="12.5703125" style="2" customWidth="1"/>
    <col min="11277" max="11277" width="11.28515625" style="2" customWidth="1"/>
    <col min="11278" max="11278" width="8.7109375" style="2" bestFit="1" customWidth="1"/>
    <col min="11279" max="11279" width="10.85546875" style="2" customWidth="1"/>
    <col min="11280" max="11280" width="11" style="2" bestFit="1" customWidth="1"/>
    <col min="11281" max="11281" width="9.42578125" style="2" customWidth="1"/>
    <col min="11282" max="11282" width="9" style="2" customWidth="1"/>
    <col min="11283" max="11283" width="8.140625" style="2" bestFit="1" customWidth="1"/>
    <col min="11284" max="11284" width="8.85546875" style="2" customWidth="1"/>
    <col min="11285" max="11520" width="9.140625" style="2"/>
    <col min="11521" max="11521" width="28" style="2" customWidth="1"/>
    <col min="11522" max="11522" width="10.85546875" style="2" customWidth="1"/>
    <col min="11523" max="11523" width="8.28515625" style="2" customWidth="1"/>
    <col min="11524" max="11524" width="11" style="2" customWidth="1"/>
    <col min="11525" max="11525" width="9.85546875" style="2" customWidth="1"/>
    <col min="11526" max="11526" width="9.140625" style="2" customWidth="1"/>
    <col min="11527" max="11527" width="13" style="2" customWidth="1"/>
    <col min="11528" max="11528" width="11.5703125" style="2" bestFit="1" customWidth="1"/>
    <col min="11529" max="11529" width="11.28515625" style="2" customWidth="1"/>
    <col min="11530" max="11530" width="11.5703125" style="2" customWidth="1"/>
    <col min="11531" max="11531" width="9.85546875" style="2" customWidth="1"/>
    <col min="11532" max="11532" width="12.5703125" style="2" customWidth="1"/>
    <col min="11533" max="11533" width="11.28515625" style="2" customWidth="1"/>
    <col min="11534" max="11534" width="8.7109375" style="2" bestFit="1" customWidth="1"/>
    <col min="11535" max="11535" width="10.85546875" style="2" customWidth="1"/>
    <col min="11536" max="11536" width="11" style="2" bestFit="1" customWidth="1"/>
    <col min="11537" max="11537" width="9.42578125" style="2" customWidth="1"/>
    <col min="11538" max="11538" width="9" style="2" customWidth="1"/>
    <col min="11539" max="11539" width="8.140625" style="2" bestFit="1" customWidth="1"/>
    <col min="11540" max="11540" width="8.85546875" style="2" customWidth="1"/>
    <col min="11541" max="11776" width="9.140625" style="2"/>
    <col min="11777" max="11777" width="28" style="2" customWidth="1"/>
    <col min="11778" max="11778" width="10.85546875" style="2" customWidth="1"/>
    <col min="11779" max="11779" width="8.28515625" style="2" customWidth="1"/>
    <col min="11780" max="11780" width="11" style="2" customWidth="1"/>
    <col min="11781" max="11781" width="9.85546875" style="2" customWidth="1"/>
    <col min="11782" max="11782" width="9.140625" style="2" customWidth="1"/>
    <col min="11783" max="11783" width="13" style="2" customWidth="1"/>
    <col min="11784" max="11784" width="11.5703125" style="2" bestFit="1" customWidth="1"/>
    <col min="11785" max="11785" width="11.28515625" style="2" customWidth="1"/>
    <col min="11786" max="11786" width="11.5703125" style="2" customWidth="1"/>
    <col min="11787" max="11787" width="9.85546875" style="2" customWidth="1"/>
    <col min="11788" max="11788" width="12.5703125" style="2" customWidth="1"/>
    <col min="11789" max="11789" width="11.28515625" style="2" customWidth="1"/>
    <col min="11790" max="11790" width="8.7109375" style="2" bestFit="1" customWidth="1"/>
    <col min="11791" max="11791" width="10.85546875" style="2" customWidth="1"/>
    <col min="11792" max="11792" width="11" style="2" bestFit="1" customWidth="1"/>
    <col min="11793" max="11793" width="9.42578125" style="2" customWidth="1"/>
    <col min="11794" max="11794" width="9" style="2" customWidth="1"/>
    <col min="11795" max="11795" width="8.140625" style="2" bestFit="1" customWidth="1"/>
    <col min="11796" max="11796" width="8.85546875" style="2" customWidth="1"/>
    <col min="11797" max="12032" width="9.140625" style="2"/>
    <col min="12033" max="12033" width="28" style="2" customWidth="1"/>
    <col min="12034" max="12034" width="10.85546875" style="2" customWidth="1"/>
    <col min="12035" max="12035" width="8.28515625" style="2" customWidth="1"/>
    <col min="12036" max="12036" width="11" style="2" customWidth="1"/>
    <col min="12037" max="12037" width="9.85546875" style="2" customWidth="1"/>
    <col min="12038" max="12038" width="9.140625" style="2" customWidth="1"/>
    <col min="12039" max="12039" width="13" style="2" customWidth="1"/>
    <col min="12040" max="12040" width="11.5703125" style="2" bestFit="1" customWidth="1"/>
    <col min="12041" max="12041" width="11.28515625" style="2" customWidth="1"/>
    <col min="12042" max="12042" width="11.5703125" style="2" customWidth="1"/>
    <col min="12043" max="12043" width="9.85546875" style="2" customWidth="1"/>
    <col min="12044" max="12044" width="12.5703125" style="2" customWidth="1"/>
    <col min="12045" max="12045" width="11.28515625" style="2" customWidth="1"/>
    <col min="12046" max="12046" width="8.7109375" style="2" bestFit="1" customWidth="1"/>
    <col min="12047" max="12047" width="10.85546875" style="2" customWidth="1"/>
    <col min="12048" max="12048" width="11" style="2" bestFit="1" customWidth="1"/>
    <col min="12049" max="12049" width="9.42578125" style="2" customWidth="1"/>
    <col min="12050" max="12050" width="9" style="2" customWidth="1"/>
    <col min="12051" max="12051" width="8.140625" style="2" bestFit="1" customWidth="1"/>
    <col min="12052" max="12052" width="8.85546875" style="2" customWidth="1"/>
    <col min="12053" max="12288" width="9.140625" style="2"/>
    <col min="12289" max="12289" width="28" style="2" customWidth="1"/>
    <col min="12290" max="12290" width="10.85546875" style="2" customWidth="1"/>
    <col min="12291" max="12291" width="8.28515625" style="2" customWidth="1"/>
    <col min="12292" max="12292" width="11" style="2" customWidth="1"/>
    <col min="12293" max="12293" width="9.85546875" style="2" customWidth="1"/>
    <col min="12294" max="12294" width="9.140625" style="2" customWidth="1"/>
    <col min="12295" max="12295" width="13" style="2" customWidth="1"/>
    <col min="12296" max="12296" width="11.5703125" style="2" bestFit="1" customWidth="1"/>
    <col min="12297" max="12297" width="11.28515625" style="2" customWidth="1"/>
    <col min="12298" max="12298" width="11.5703125" style="2" customWidth="1"/>
    <col min="12299" max="12299" width="9.85546875" style="2" customWidth="1"/>
    <col min="12300" max="12300" width="12.5703125" style="2" customWidth="1"/>
    <col min="12301" max="12301" width="11.28515625" style="2" customWidth="1"/>
    <col min="12302" max="12302" width="8.7109375" style="2" bestFit="1" customWidth="1"/>
    <col min="12303" max="12303" width="10.85546875" style="2" customWidth="1"/>
    <col min="12304" max="12304" width="11" style="2" bestFit="1" customWidth="1"/>
    <col min="12305" max="12305" width="9.42578125" style="2" customWidth="1"/>
    <col min="12306" max="12306" width="9" style="2" customWidth="1"/>
    <col min="12307" max="12307" width="8.140625" style="2" bestFit="1" customWidth="1"/>
    <col min="12308" max="12308" width="8.85546875" style="2" customWidth="1"/>
    <col min="12309" max="12544" width="9.140625" style="2"/>
    <col min="12545" max="12545" width="28" style="2" customWidth="1"/>
    <col min="12546" max="12546" width="10.85546875" style="2" customWidth="1"/>
    <col min="12547" max="12547" width="8.28515625" style="2" customWidth="1"/>
    <col min="12548" max="12548" width="11" style="2" customWidth="1"/>
    <col min="12549" max="12549" width="9.85546875" style="2" customWidth="1"/>
    <col min="12550" max="12550" width="9.140625" style="2" customWidth="1"/>
    <col min="12551" max="12551" width="13" style="2" customWidth="1"/>
    <col min="12552" max="12552" width="11.5703125" style="2" bestFit="1" customWidth="1"/>
    <col min="12553" max="12553" width="11.28515625" style="2" customWidth="1"/>
    <col min="12554" max="12554" width="11.5703125" style="2" customWidth="1"/>
    <col min="12555" max="12555" width="9.85546875" style="2" customWidth="1"/>
    <col min="12556" max="12556" width="12.5703125" style="2" customWidth="1"/>
    <col min="12557" max="12557" width="11.28515625" style="2" customWidth="1"/>
    <col min="12558" max="12558" width="8.7109375" style="2" bestFit="1" customWidth="1"/>
    <col min="12559" max="12559" width="10.85546875" style="2" customWidth="1"/>
    <col min="12560" max="12560" width="11" style="2" bestFit="1" customWidth="1"/>
    <col min="12561" max="12561" width="9.42578125" style="2" customWidth="1"/>
    <col min="12562" max="12562" width="9" style="2" customWidth="1"/>
    <col min="12563" max="12563" width="8.140625" style="2" bestFit="1" customWidth="1"/>
    <col min="12564" max="12564" width="8.85546875" style="2" customWidth="1"/>
    <col min="12565" max="12800" width="9.140625" style="2"/>
    <col min="12801" max="12801" width="28" style="2" customWidth="1"/>
    <col min="12802" max="12802" width="10.85546875" style="2" customWidth="1"/>
    <col min="12803" max="12803" width="8.28515625" style="2" customWidth="1"/>
    <col min="12804" max="12804" width="11" style="2" customWidth="1"/>
    <col min="12805" max="12805" width="9.85546875" style="2" customWidth="1"/>
    <col min="12806" max="12806" width="9.140625" style="2" customWidth="1"/>
    <col min="12807" max="12807" width="13" style="2" customWidth="1"/>
    <col min="12808" max="12808" width="11.5703125" style="2" bestFit="1" customWidth="1"/>
    <col min="12809" max="12809" width="11.28515625" style="2" customWidth="1"/>
    <col min="12810" max="12810" width="11.5703125" style="2" customWidth="1"/>
    <col min="12811" max="12811" width="9.85546875" style="2" customWidth="1"/>
    <col min="12812" max="12812" width="12.5703125" style="2" customWidth="1"/>
    <col min="12813" max="12813" width="11.28515625" style="2" customWidth="1"/>
    <col min="12814" max="12814" width="8.7109375" style="2" bestFit="1" customWidth="1"/>
    <col min="12815" max="12815" width="10.85546875" style="2" customWidth="1"/>
    <col min="12816" max="12816" width="11" style="2" bestFit="1" customWidth="1"/>
    <col min="12817" max="12817" width="9.42578125" style="2" customWidth="1"/>
    <col min="12818" max="12818" width="9" style="2" customWidth="1"/>
    <col min="12819" max="12819" width="8.140625" style="2" bestFit="1" customWidth="1"/>
    <col min="12820" max="12820" width="8.85546875" style="2" customWidth="1"/>
    <col min="12821" max="13056" width="9.140625" style="2"/>
    <col min="13057" max="13057" width="28" style="2" customWidth="1"/>
    <col min="13058" max="13058" width="10.85546875" style="2" customWidth="1"/>
    <col min="13059" max="13059" width="8.28515625" style="2" customWidth="1"/>
    <col min="13060" max="13060" width="11" style="2" customWidth="1"/>
    <col min="13061" max="13061" width="9.85546875" style="2" customWidth="1"/>
    <col min="13062" max="13062" width="9.140625" style="2" customWidth="1"/>
    <col min="13063" max="13063" width="13" style="2" customWidth="1"/>
    <col min="13064" max="13064" width="11.5703125" style="2" bestFit="1" customWidth="1"/>
    <col min="13065" max="13065" width="11.28515625" style="2" customWidth="1"/>
    <col min="13066" max="13066" width="11.5703125" style="2" customWidth="1"/>
    <col min="13067" max="13067" width="9.85546875" style="2" customWidth="1"/>
    <col min="13068" max="13068" width="12.5703125" style="2" customWidth="1"/>
    <col min="13069" max="13069" width="11.28515625" style="2" customWidth="1"/>
    <col min="13070" max="13070" width="8.7109375" style="2" bestFit="1" customWidth="1"/>
    <col min="13071" max="13071" width="10.85546875" style="2" customWidth="1"/>
    <col min="13072" max="13072" width="11" style="2" bestFit="1" customWidth="1"/>
    <col min="13073" max="13073" width="9.42578125" style="2" customWidth="1"/>
    <col min="13074" max="13074" width="9" style="2" customWidth="1"/>
    <col min="13075" max="13075" width="8.140625" style="2" bestFit="1" customWidth="1"/>
    <col min="13076" max="13076" width="8.85546875" style="2" customWidth="1"/>
    <col min="13077" max="13312" width="9.140625" style="2"/>
    <col min="13313" max="13313" width="28" style="2" customWidth="1"/>
    <col min="13314" max="13314" width="10.85546875" style="2" customWidth="1"/>
    <col min="13315" max="13315" width="8.28515625" style="2" customWidth="1"/>
    <col min="13316" max="13316" width="11" style="2" customWidth="1"/>
    <col min="13317" max="13317" width="9.85546875" style="2" customWidth="1"/>
    <col min="13318" max="13318" width="9.140625" style="2" customWidth="1"/>
    <col min="13319" max="13319" width="13" style="2" customWidth="1"/>
    <col min="13320" max="13320" width="11.5703125" style="2" bestFit="1" customWidth="1"/>
    <col min="13321" max="13321" width="11.28515625" style="2" customWidth="1"/>
    <col min="13322" max="13322" width="11.5703125" style="2" customWidth="1"/>
    <col min="13323" max="13323" width="9.85546875" style="2" customWidth="1"/>
    <col min="13324" max="13324" width="12.5703125" style="2" customWidth="1"/>
    <col min="13325" max="13325" width="11.28515625" style="2" customWidth="1"/>
    <col min="13326" max="13326" width="8.7109375" style="2" bestFit="1" customWidth="1"/>
    <col min="13327" max="13327" width="10.85546875" style="2" customWidth="1"/>
    <col min="13328" max="13328" width="11" style="2" bestFit="1" customWidth="1"/>
    <col min="13329" max="13329" width="9.42578125" style="2" customWidth="1"/>
    <col min="13330" max="13330" width="9" style="2" customWidth="1"/>
    <col min="13331" max="13331" width="8.140625" style="2" bestFit="1" customWidth="1"/>
    <col min="13332" max="13332" width="8.85546875" style="2" customWidth="1"/>
    <col min="13333" max="13568" width="9.140625" style="2"/>
    <col min="13569" max="13569" width="28" style="2" customWidth="1"/>
    <col min="13570" max="13570" width="10.85546875" style="2" customWidth="1"/>
    <col min="13571" max="13571" width="8.28515625" style="2" customWidth="1"/>
    <col min="13572" max="13572" width="11" style="2" customWidth="1"/>
    <col min="13573" max="13573" width="9.85546875" style="2" customWidth="1"/>
    <col min="13574" max="13574" width="9.140625" style="2" customWidth="1"/>
    <col min="13575" max="13575" width="13" style="2" customWidth="1"/>
    <col min="13576" max="13576" width="11.5703125" style="2" bestFit="1" customWidth="1"/>
    <col min="13577" max="13577" width="11.28515625" style="2" customWidth="1"/>
    <col min="13578" max="13578" width="11.5703125" style="2" customWidth="1"/>
    <col min="13579" max="13579" width="9.85546875" style="2" customWidth="1"/>
    <col min="13580" max="13580" width="12.5703125" style="2" customWidth="1"/>
    <col min="13581" max="13581" width="11.28515625" style="2" customWidth="1"/>
    <col min="13582" max="13582" width="8.7109375" style="2" bestFit="1" customWidth="1"/>
    <col min="13583" max="13583" width="10.85546875" style="2" customWidth="1"/>
    <col min="13584" max="13584" width="11" style="2" bestFit="1" customWidth="1"/>
    <col min="13585" max="13585" width="9.42578125" style="2" customWidth="1"/>
    <col min="13586" max="13586" width="9" style="2" customWidth="1"/>
    <col min="13587" max="13587" width="8.140625" style="2" bestFit="1" customWidth="1"/>
    <col min="13588" max="13588" width="8.85546875" style="2" customWidth="1"/>
    <col min="13589" max="13824" width="9.140625" style="2"/>
    <col min="13825" max="13825" width="28" style="2" customWidth="1"/>
    <col min="13826" max="13826" width="10.85546875" style="2" customWidth="1"/>
    <col min="13827" max="13827" width="8.28515625" style="2" customWidth="1"/>
    <col min="13828" max="13828" width="11" style="2" customWidth="1"/>
    <col min="13829" max="13829" width="9.85546875" style="2" customWidth="1"/>
    <col min="13830" max="13830" width="9.140625" style="2" customWidth="1"/>
    <col min="13831" max="13831" width="13" style="2" customWidth="1"/>
    <col min="13832" max="13832" width="11.5703125" style="2" bestFit="1" customWidth="1"/>
    <col min="13833" max="13833" width="11.28515625" style="2" customWidth="1"/>
    <col min="13834" max="13834" width="11.5703125" style="2" customWidth="1"/>
    <col min="13835" max="13835" width="9.85546875" style="2" customWidth="1"/>
    <col min="13836" max="13836" width="12.5703125" style="2" customWidth="1"/>
    <col min="13837" max="13837" width="11.28515625" style="2" customWidth="1"/>
    <col min="13838" max="13838" width="8.7109375" style="2" bestFit="1" customWidth="1"/>
    <col min="13839" max="13839" width="10.85546875" style="2" customWidth="1"/>
    <col min="13840" max="13840" width="11" style="2" bestFit="1" customWidth="1"/>
    <col min="13841" max="13841" width="9.42578125" style="2" customWidth="1"/>
    <col min="13842" max="13842" width="9" style="2" customWidth="1"/>
    <col min="13843" max="13843" width="8.140625" style="2" bestFit="1" customWidth="1"/>
    <col min="13844" max="13844" width="8.85546875" style="2" customWidth="1"/>
    <col min="13845" max="14080" width="9.140625" style="2"/>
    <col min="14081" max="14081" width="28" style="2" customWidth="1"/>
    <col min="14082" max="14082" width="10.85546875" style="2" customWidth="1"/>
    <col min="14083" max="14083" width="8.28515625" style="2" customWidth="1"/>
    <col min="14084" max="14084" width="11" style="2" customWidth="1"/>
    <col min="14085" max="14085" width="9.85546875" style="2" customWidth="1"/>
    <col min="14086" max="14086" width="9.140625" style="2" customWidth="1"/>
    <col min="14087" max="14087" width="13" style="2" customWidth="1"/>
    <col min="14088" max="14088" width="11.5703125" style="2" bestFit="1" customWidth="1"/>
    <col min="14089" max="14089" width="11.28515625" style="2" customWidth="1"/>
    <col min="14090" max="14090" width="11.5703125" style="2" customWidth="1"/>
    <col min="14091" max="14091" width="9.85546875" style="2" customWidth="1"/>
    <col min="14092" max="14092" width="12.5703125" style="2" customWidth="1"/>
    <col min="14093" max="14093" width="11.28515625" style="2" customWidth="1"/>
    <col min="14094" max="14094" width="8.7109375" style="2" bestFit="1" customWidth="1"/>
    <col min="14095" max="14095" width="10.85546875" style="2" customWidth="1"/>
    <col min="14096" max="14096" width="11" style="2" bestFit="1" customWidth="1"/>
    <col min="14097" max="14097" width="9.42578125" style="2" customWidth="1"/>
    <col min="14098" max="14098" width="9" style="2" customWidth="1"/>
    <col min="14099" max="14099" width="8.140625" style="2" bestFit="1" customWidth="1"/>
    <col min="14100" max="14100" width="8.85546875" style="2" customWidth="1"/>
    <col min="14101" max="14336" width="9.140625" style="2"/>
    <col min="14337" max="14337" width="28" style="2" customWidth="1"/>
    <col min="14338" max="14338" width="10.85546875" style="2" customWidth="1"/>
    <col min="14339" max="14339" width="8.28515625" style="2" customWidth="1"/>
    <col min="14340" max="14340" width="11" style="2" customWidth="1"/>
    <col min="14341" max="14341" width="9.85546875" style="2" customWidth="1"/>
    <col min="14342" max="14342" width="9.140625" style="2" customWidth="1"/>
    <col min="14343" max="14343" width="13" style="2" customWidth="1"/>
    <col min="14344" max="14344" width="11.5703125" style="2" bestFit="1" customWidth="1"/>
    <col min="14345" max="14345" width="11.28515625" style="2" customWidth="1"/>
    <col min="14346" max="14346" width="11.5703125" style="2" customWidth="1"/>
    <col min="14347" max="14347" width="9.85546875" style="2" customWidth="1"/>
    <col min="14348" max="14348" width="12.5703125" style="2" customWidth="1"/>
    <col min="14349" max="14349" width="11.28515625" style="2" customWidth="1"/>
    <col min="14350" max="14350" width="8.7109375" style="2" bestFit="1" customWidth="1"/>
    <col min="14351" max="14351" width="10.85546875" style="2" customWidth="1"/>
    <col min="14352" max="14352" width="11" style="2" bestFit="1" customWidth="1"/>
    <col min="14353" max="14353" width="9.42578125" style="2" customWidth="1"/>
    <col min="14354" max="14354" width="9" style="2" customWidth="1"/>
    <col min="14355" max="14355" width="8.140625" style="2" bestFit="1" customWidth="1"/>
    <col min="14356" max="14356" width="8.85546875" style="2" customWidth="1"/>
    <col min="14357" max="14592" width="9.140625" style="2"/>
    <col min="14593" max="14593" width="28" style="2" customWidth="1"/>
    <col min="14594" max="14594" width="10.85546875" style="2" customWidth="1"/>
    <col min="14595" max="14595" width="8.28515625" style="2" customWidth="1"/>
    <col min="14596" max="14596" width="11" style="2" customWidth="1"/>
    <col min="14597" max="14597" width="9.85546875" style="2" customWidth="1"/>
    <col min="14598" max="14598" width="9.140625" style="2" customWidth="1"/>
    <col min="14599" max="14599" width="13" style="2" customWidth="1"/>
    <col min="14600" max="14600" width="11.5703125" style="2" bestFit="1" customWidth="1"/>
    <col min="14601" max="14601" width="11.28515625" style="2" customWidth="1"/>
    <col min="14602" max="14602" width="11.5703125" style="2" customWidth="1"/>
    <col min="14603" max="14603" width="9.85546875" style="2" customWidth="1"/>
    <col min="14604" max="14604" width="12.5703125" style="2" customWidth="1"/>
    <col min="14605" max="14605" width="11.28515625" style="2" customWidth="1"/>
    <col min="14606" max="14606" width="8.7109375" style="2" bestFit="1" customWidth="1"/>
    <col min="14607" max="14607" width="10.85546875" style="2" customWidth="1"/>
    <col min="14608" max="14608" width="11" style="2" bestFit="1" customWidth="1"/>
    <col min="14609" max="14609" width="9.42578125" style="2" customWidth="1"/>
    <col min="14610" max="14610" width="9" style="2" customWidth="1"/>
    <col min="14611" max="14611" width="8.140625" style="2" bestFit="1" customWidth="1"/>
    <col min="14612" max="14612" width="8.85546875" style="2" customWidth="1"/>
    <col min="14613" max="14848" width="9.140625" style="2"/>
    <col min="14849" max="14849" width="28" style="2" customWidth="1"/>
    <col min="14850" max="14850" width="10.85546875" style="2" customWidth="1"/>
    <col min="14851" max="14851" width="8.28515625" style="2" customWidth="1"/>
    <col min="14852" max="14852" width="11" style="2" customWidth="1"/>
    <col min="14853" max="14853" width="9.85546875" style="2" customWidth="1"/>
    <col min="14854" max="14854" width="9.140625" style="2" customWidth="1"/>
    <col min="14855" max="14855" width="13" style="2" customWidth="1"/>
    <col min="14856" max="14856" width="11.5703125" style="2" bestFit="1" customWidth="1"/>
    <col min="14857" max="14857" width="11.28515625" style="2" customWidth="1"/>
    <col min="14858" max="14858" width="11.5703125" style="2" customWidth="1"/>
    <col min="14859" max="14859" width="9.85546875" style="2" customWidth="1"/>
    <col min="14860" max="14860" width="12.5703125" style="2" customWidth="1"/>
    <col min="14861" max="14861" width="11.28515625" style="2" customWidth="1"/>
    <col min="14862" max="14862" width="8.7109375" style="2" bestFit="1" customWidth="1"/>
    <col min="14863" max="14863" width="10.85546875" style="2" customWidth="1"/>
    <col min="14864" max="14864" width="11" style="2" bestFit="1" customWidth="1"/>
    <col min="14865" max="14865" width="9.42578125" style="2" customWidth="1"/>
    <col min="14866" max="14866" width="9" style="2" customWidth="1"/>
    <col min="14867" max="14867" width="8.140625" style="2" bestFit="1" customWidth="1"/>
    <col min="14868" max="14868" width="8.85546875" style="2" customWidth="1"/>
    <col min="14869" max="15104" width="9.140625" style="2"/>
    <col min="15105" max="15105" width="28" style="2" customWidth="1"/>
    <col min="15106" max="15106" width="10.85546875" style="2" customWidth="1"/>
    <col min="15107" max="15107" width="8.28515625" style="2" customWidth="1"/>
    <col min="15108" max="15108" width="11" style="2" customWidth="1"/>
    <col min="15109" max="15109" width="9.85546875" style="2" customWidth="1"/>
    <col min="15110" max="15110" width="9.140625" style="2" customWidth="1"/>
    <col min="15111" max="15111" width="13" style="2" customWidth="1"/>
    <col min="15112" max="15112" width="11.5703125" style="2" bestFit="1" customWidth="1"/>
    <col min="15113" max="15113" width="11.28515625" style="2" customWidth="1"/>
    <col min="15114" max="15114" width="11.5703125" style="2" customWidth="1"/>
    <col min="15115" max="15115" width="9.85546875" style="2" customWidth="1"/>
    <col min="15116" max="15116" width="12.5703125" style="2" customWidth="1"/>
    <col min="15117" max="15117" width="11.28515625" style="2" customWidth="1"/>
    <col min="15118" max="15118" width="8.7109375" style="2" bestFit="1" customWidth="1"/>
    <col min="15119" max="15119" width="10.85546875" style="2" customWidth="1"/>
    <col min="15120" max="15120" width="11" style="2" bestFit="1" customWidth="1"/>
    <col min="15121" max="15121" width="9.42578125" style="2" customWidth="1"/>
    <col min="15122" max="15122" width="9" style="2" customWidth="1"/>
    <col min="15123" max="15123" width="8.140625" style="2" bestFit="1" customWidth="1"/>
    <col min="15124" max="15124" width="8.85546875" style="2" customWidth="1"/>
    <col min="15125" max="15360" width="9.140625" style="2"/>
    <col min="15361" max="15361" width="28" style="2" customWidth="1"/>
    <col min="15362" max="15362" width="10.85546875" style="2" customWidth="1"/>
    <col min="15363" max="15363" width="8.28515625" style="2" customWidth="1"/>
    <col min="15364" max="15364" width="11" style="2" customWidth="1"/>
    <col min="15365" max="15365" width="9.85546875" style="2" customWidth="1"/>
    <col min="15366" max="15366" width="9.140625" style="2" customWidth="1"/>
    <col min="15367" max="15367" width="13" style="2" customWidth="1"/>
    <col min="15368" max="15368" width="11.5703125" style="2" bestFit="1" customWidth="1"/>
    <col min="15369" max="15369" width="11.28515625" style="2" customWidth="1"/>
    <col min="15370" max="15370" width="11.5703125" style="2" customWidth="1"/>
    <col min="15371" max="15371" width="9.85546875" style="2" customWidth="1"/>
    <col min="15372" max="15372" width="12.5703125" style="2" customWidth="1"/>
    <col min="15373" max="15373" width="11.28515625" style="2" customWidth="1"/>
    <col min="15374" max="15374" width="8.7109375" style="2" bestFit="1" customWidth="1"/>
    <col min="15375" max="15375" width="10.85546875" style="2" customWidth="1"/>
    <col min="15376" max="15376" width="11" style="2" bestFit="1" customWidth="1"/>
    <col min="15377" max="15377" width="9.42578125" style="2" customWidth="1"/>
    <col min="15378" max="15378" width="9" style="2" customWidth="1"/>
    <col min="15379" max="15379" width="8.140625" style="2" bestFit="1" customWidth="1"/>
    <col min="15380" max="15380" width="8.85546875" style="2" customWidth="1"/>
    <col min="15381" max="15616" width="9.140625" style="2"/>
    <col min="15617" max="15617" width="28" style="2" customWidth="1"/>
    <col min="15618" max="15618" width="10.85546875" style="2" customWidth="1"/>
    <col min="15619" max="15619" width="8.28515625" style="2" customWidth="1"/>
    <col min="15620" max="15620" width="11" style="2" customWidth="1"/>
    <col min="15621" max="15621" width="9.85546875" style="2" customWidth="1"/>
    <col min="15622" max="15622" width="9.140625" style="2" customWidth="1"/>
    <col min="15623" max="15623" width="13" style="2" customWidth="1"/>
    <col min="15624" max="15624" width="11.5703125" style="2" bestFit="1" customWidth="1"/>
    <col min="15625" max="15625" width="11.28515625" style="2" customWidth="1"/>
    <col min="15626" max="15626" width="11.5703125" style="2" customWidth="1"/>
    <col min="15627" max="15627" width="9.85546875" style="2" customWidth="1"/>
    <col min="15628" max="15628" width="12.5703125" style="2" customWidth="1"/>
    <col min="15629" max="15629" width="11.28515625" style="2" customWidth="1"/>
    <col min="15630" max="15630" width="8.7109375" style="2" bestFit="1" customWidth="1"/>
    <col min="15631" max="15631" width="10.85546875" style="2" customWidth="1"/>
    <col min="15632" max="15632" width="11" style="2" bestFit="1" customWidth="1"/>
    <col min="15633" max="15633" width="9.42578125" style="2" customWidth="1"/>
    <col min="15634" max="15634" width="9" style="2" customWidth="1"/>
    <col min="15635" max="15635" width="8.140625" style="2" bestFit="1" customWidth="1"/>
    <col min="15636" max="15636" width="8.85546875" style="2" customWidth="1"/>
    <col min="15637" max="15872" width="9.140625" style="2"/>
    <col min="15873" max="15873" width="28" style="2" customWidth="1"/>
    <col min="15874" max="15874" width="10.85546875" style="2" customWidth="1"/>
    <col min="15875" max="15875" width="8.28515625" style="2" customWidth="1"/>
    <col min="15876" max="15876" width="11" style="2" customWidth="1"/>
    <col min="15877" max="15877" width="9.85546875" style="2" customWidth="1"/>
    <col min="15878" max="15878" width="9.140625" style="2" customWidth="1"/>
    <col min="15879" max="15879" width="13" style="2" customWidth="1"/>
    <col min="15880" max="15880" width="11.5703125" style="2" bestFit="1" customWidth="1"/>
    <col min="15881" max="15881" width="11.28515625" style="2" customWidth="1"/>
    <col min="15882" max="15882" width="11.5703125" style="2" customWidth="1"/>
    <col min="15883" max="15883" width="9.85546875" style="2" customWidth="1"/>
    <col min="15884" max="15884" width="12.5703125" style="2" customWidth="1"/>
    <col min="15885" max="15885" width="11.28515625" style="2" customWidth="1"/>
    <col min="15886" max="15886" width="8.7109375" style="2" bestFit="1" customWidth="1"/>
    <col min="15887" max="15887" width="10.85546875" style="2" customWidth="1"/>
    <col min="15888" max="15888" width="11" style="2" bestFit="1" customWidth="1"/>
    <col min="15889" max="15889" width="9.42578125" style="2" customWidth="1"/>
    <col min="15890" max="15890" width="9" style="2" customWidth="1"/>
    <col min="15891" max="15891" width="8.140625" style="2" bestFit="1" customWidth="1"/>
    <col min="15892" max="15892" width="8.85546875" style="2" customWidth="1"/>
    <col min="15893" max="16128" width="9.140625" style="2"/>
    <col min="16129" max="16129" width="28" style="2" customWidth="1"/>
    <col min="16130" max="16130" width="10.85546875" style="2" customWidth="1"/>
    <col min="16131" max="16131" width="8.28515625" style="2" customWidth="1"/>
    <col min="16132" max="16132" width="11" style="2" customWidth="1"/>
    <col min="16133" max="16133" width="9.85546875" style="2" customWidth="1"/>
    <col min="16134" max="16134" width="9.140625" style="2" customWidth="1"/>
    <col min="16135" max="16135" width="13" style="2" customWidth="1"/>
    <col min="16136" max="16136" width="11.5703125" style="2" bestFit="1" customWidth="1"/>
    <col min="16137" max="16137" width="11.28515625" style="2" customWidth="1"/>
    <col min="16138" max="16138" width="11.5703125" style="2" customWidth="1"/>
    <col min="16139" max="16139" width="9.85546875" style="2" customWidth="1"/>
    <col min="16140" max="16140" width="12.5703125" style="2" customWidth="1"/>
    <col min="16141" max="16141" width="11.28515625" style="2" customWidth="1"/>
    <col min="16142" max="16142" width="8.7109375" style="2" bestFit="1" customWidth="1"/>
    <col min="16143" max="16143" width="10.85546875" style="2" customWidth="1"/>
    <col min="16144" max="16144" width="11" style="2" bestFit="1" customWidth="1"/>
    <col min="16145" max="16145" width="9.42578125" style="2" customWidth="1"/>
    <col min="16146" max="16146" width="9" style="2" customWidth="1"/>
    <col min="16147" max="16147" width="8.140625" style="2" bestFit="1" customWidth="1"/>
    <col min="16148" max="16148" width="8.85546875" style="2" customWidth="1"/>
    <col min="16149" max="16384" width="9.140625" style="2"/>
  </cols>
  <sheetData>
    <row r="2" spans="1:20" x14ac:dyDescent="0.2"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0" s="4" customFormat="1" x14ac:dyDescent="0.2">
      <c r="B3" s="5" t="s">
        <v>31</v>
      </c>
      <c r="C3" s="5" t="s">
        <v>32</v>
      </c>
      <c r="D3" s="5" t="s">
        <v>31</v>
      </c>
      <c r="E3" s="5"/>
      <c r="G3" s="4" t="s">
        <v>33</v>
      </c>
      <c r="I3" s="4" t="s">
        <v>34</v>
      </c>
      <c r="J3" s="4" t="s">
        <v>35</v>
      </c>
      <c r="K3" s="4" t="s">
        <v>1</v>
      </c>
      <c r="L3" s="4" t="s">
        <v>36</v>
      </c>
      <c r="M3" s="4" t="s">
        <v>33</v>
      </c>
      <c r="O3" s="4" t="s">
        <v>37</v>
      </c>
      <c r="Q3" s="4" t="s">
        <v>38</v>
      </c>
      <c r="R3" s="4" t="s">
        <v>38</v>
      </c>
    </row>
    <row r="4" spans="1:20" s="4" customFormat="1" x14ac:dyDescent="0.2">
      <c r="B4" s="5" t="s">
        <v>39</v>
      </c>
      <c r="C4" s="5" t="s">
        <v>40</v>
      </c>
      <c r="D4" s="5" t="s">
        <v>41</v>
      </c>
      <c r="E4" s="5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3</v>
      </c>
      <c r="K4" s="4" t="s">
        <v>47</v>
      </c>
      <c r="L4" s="4" t="s">
        <v>48</v>
      </c>
      <c r="M4" s="4" t="s">
        <v>49</v>
      </c>
      <c r="N4" s="4" t="s">
        <v>33</v>
      </c>
      <c r="O4" s="4" t="s">
        <v>36</v>
      </c>
      <c r="P4" s="4" t="s">
        <v>50</v>
      </c>
      <c r="Q4" s="4" t="s">
        <v>51</v>
      </c>
      <c r="R4" s="4" t="s">
        <v>51</v>
      </c>
      <c r="S4" s="4" t="s">
        <v>52</v>
      </c>
      <c r="T4" s="4" t="s">
        <v>53</v>
      </c>
    </row>
    <row r="5" spans="1:20" s="4" customFormat="1" x14ac:dyDescent="0.2">
      <c r="B5" s="5" t="s">
        <v>40</v>
      </c>
      <c r="C5" s="5" t="s">
        <v>54</v>
      </c>
      <c r="D5" s="5" t="s">
        <v>40</v>
      </c>
      <c r="E5" s="5" t="s">
        <v>54</v>
      </c>
      <c r="F5" s="4" t="s">
        <v>55</v>
      </c>
      <c r="G5" s="4" t="s">
        <v>56</v>
      </c>
      <c r="H5" s="4" t="s">
        <v>47</v>
      </c>
      <c r="I5" s="4" t="s">
        <v>57</v>
      </c>
      <c r="J5" s="4" t="s">
        <v>58</v>
      </c>
      <c r="K5" s="4" t="s">
        <v>59</v>
      </c>
      <c r="L5" s="4" t="s">
        <v>60</v>
      </c>
      <c r="M5" s="4" t="s">
        <v>61</v>
      </c>
      <c r="N5" s="4" t="s">
        <v>62</v>
      </c>
      <c r="O5" s="4" t="s">
        <v>63</v>
      </c>
      <c r="P5" s="4" t="s">
        <v>64</v>
      </c>
      <c r="Q5" s="4" t="s">
        <v>65</v>
      </c>
      <c r="R5" s="4" t="s">
        <v>65</v>
      </c>
      <c r="S5" s="4" t="s">
        <v>62</v>
      </c>
      <c r="T5" s="4" t="s">
        <v>52</v>
      </c>
    </row>
    <row r="6" spans="1:20" s="4" customFormat="1" x14ac:dyDescent="0.2">
      <c r="B6" s="5" t="s">
        <v>66</v>
      </c>
      <c r="C6" s="5" t="s">
        <v>67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5" t="s">
        <v>70</v>
      </c>
      <c r="Q6" s="5" t="s">
        <v>71</v>
      </c>
      <c r="R6" s="5" t="s">
        <v>70</v>
      </c>
      <c r="S6" s="5" t="s">
        <v>70</v>
      </c>
      <c r="T6" s="4" t="s">
        <v>62</v>
      </c>
    </row>
    <row r="7" spans="1:20" x14ac:dyDescent="0.2">
      <c r="A7" s="2" t="s">
        <v>72</v>
      </c>
      <c r="C7" s="3">
        <f>B7*6</f>
        <v>0</v>
      </c>
      <c r="D7" s="6">
        <f>'[1]S-U&amp;U'!$AJ$4</f>
        <v>26310</v>
      </c>
      <c r="E7" s="3">
        <f>D7*8</f>
        <v>210480</v>
      </c>
      <c r="F7" s="7">
        <f>(C7+E7)/5280</f>
        <v>39.863636363636367</v>
      </c>
      <c r="G7" s="3">
        <f>F7*500*365/1000</f>
        <v>7275.1136363636369</v>
      </c>
      <c r="H7" s="8">
        <f>'[2]F-1'!$E$34</f>
        <v>32360.2</v>
      </c>
      <c r="I7" s="9">
        <f>'[2]F-8'!$F$23</f>
        <v>637.33333333333337</v>
      </c>
      <c r="J7" s="9">
        <f>'[2]F-8'!$F$37</f>
        <v>382.91666666666669</v>
      </c>
      <c r="K7" s="7">
        <f>J7/I7</f>
        <v>0.60081066945606698</v>
      </c>
      <c r="L7" s="3">
        <f>K7*H7</f>
        <v>19442.353425732221</v>
      </c>
      <c r="M7" s="3">
        <f>L7*0.1</f>
        <v>1944.2353425732222</v>
      </c>
      <c r="N7" s="10">
        <f>M7+G7</f>
        <v>9219.3489789368596</v>
      </c>
      <c r="O7" s="10">
        <f>L7*0.8</f>
        <v>15553.882740585777</v>
      </c>
      <c r="P7" s="10">
        <f>N7+O7</f>
        <v>24773.231719522635</v>
      </c>
      <c r="Q7" s="11">
        <f>'[3]Arredondo Farms'!D7</f>
        <v>46000</v>
      </c>
      <c r="R7" s="3">
        <f>Q7*365/1000</f>
        <v>16790</v>
      </c>
      <c r="S7" s="3">
        <f>R7-P7</f>
        <v>-7983.2317195226351</v>
      </c>
      <c r="T7" s="12">
        <f>IF(S7&lt;0,0,S7/R7)</f>
        <v>0</v>
      </c>
    </row>
    <row r="8" spans="1:20" x14ac:dyDescent="0.2">
      <c r="A8" s="2" t="s">
        <v>73</v>
      </c>
      <c r="B8" s="3" t="s">
        <v>74</v>
      </c>
      <c r="D8" s="6"/>
      <c r="F8" s="7"/>
      <c r="G8" s="3"/>
      <c r="H8" s="13"/>
      <c r="I8" s="9"/>
      <c r="J8" s="9"/>
      <c r="K8" s="7"/>
      <c r="L8" s="7"/>
      <c r="Q8" s="11"/>
      <c r="R8" s="3"/>
      <c r="S8" s="3"/>
    </row>
    <row r="9" spans="1:20" x14ac:dyDescent="0.2">
      <c r="A9" s="2" t="s">
        <v>75</v>
      </c>
      <c r="C9" s="3">
        <f t="shared" ref="C9:C30" si="0">B9*6</f>
        <v>0</v>
      </c>
      <c r="D9" s="6">
        <f>'[1]S-U&amp;U'!$AJ$6</f>
        <v>32791</v>
      </c>
      <c r="E9" s="3">
        <f t="shared" ref="E9:E30" si="1">D9*8</f>
        <v>262328</v>
      </c>
      <c r="F9" s="7">
        <f t="shared" ref="F9:F30" si="2">(C9+E9)/5280</f>
        <v>49.68333333333333</v>
      </c>
      <c r="G9" s="3">
        <f>F9*500*365/1000</f>
        <v>9067.2083333333321</v>
      </c>
      <c r="H9" s="8">
        <f>'[4]F-1'!$E$34</f>
        <v>153222.29999999999</v>
      </c>
      <c r="I9" s="9">
        <f>'[4]F-8'!$F$23</f>
        <v>1496.9166666666667</v>
      </c>
      <c r="J9" s="9">
        <f>'[4]F-8'!$F$37</f>
        <v>606.91666666666663</v>
      </c>
      <c r="K9" s="7">
        <f>J9/I9</f>
        <v>0.40544452485664972</v>
      </c>
      <c r="L9" s="3">
        <f>K9*H9</f>
        <v>62123.142620943036</v>
      </c>
      <c r="M9" s="3">
        <f>L9*0.1</f>
        <v>6212.3142620943036</v>
      </c>
      <c r="N9" s="10">
        <f>M9+G9</f>
        <v>15279.522595427636</v>
      </c>
      <c r="O9" s="10">
        <f>L9*0.8</f>
        <v>49698.514096754428</v>
      </c>
      <c r="P9" s="10">
        <f>N9+O9</f>
        <v>64978.036692182068</v>
      </c>
      <c r="Q9" s="11">
        <f>[3]Chuluota!D7</f>
        <v>114000</v>
      </c>
      <c r="R9" s="3">
        <f>Q9*365/1000</f>
        <v>41610</v>
      </c>
      <c r="S9" s="3">
        <f>R9-P9</f>
        <v>-23368.036692182068</v>
      </c>
      <c r="T9" s="12">
        <f>IF(S9&lt;0,0,S9/R9)</f>
        <v>0</v>
      </c>
    </row>
    <row r="10" spans="1:20" x14ac:dyDescent="0.2">
      <c r="A10" s="2" t="s">
        <v>76</v>
      </c>
      <c r="C10" s="3">
        <f t="shared" si="0"/>
        <v>0</v>
      </c>
      <c r="D10" s="6">
        <f>'[1]S-U&amp;U'!$AJ$7</f>
        <v>7364</v>
      </c>
      <c r="E10" s="3">
        <f t="shared" si="1"/>
        <v>58912</v>
      </c>
      <c r="F10" s="7">
        <f t="shared" si="2"/>
        <v>11.157575757575758</v>
      </c>
      <c r="G10" s="3">
        <f t="shared" ref="G10:G30" si="3">F10*500*365/1000</f>
        <v>2036.257575757576</v>
      </c>
      <c r="H10" s="13" t="s">
        <v>77</v>
      </c>
      <c r="I10" s="9"/>
      <c r="J10" s="9"/>
      <c r="K10" s="7"/>
      <c r="L10" s="7"/>
      <c r="Q10" s="11"/>
      <c r="R10" s="3"/>
      <c r="S10" s="3"/>
    </row>
    <row r="11" spans="1:20" s="14" customFormat="1" x14ac:dyDescent="0.2">
      <c r="A11" s="14" t="s">
        <v>78</v>
      </c>
      <c r="B11" s="15"/>
      <c r="C11" s="15">
        <f t="shared" si="0"/>
        <v>0</v>
      </c>
      <c r="D11" s="16">
        <f>'[1]S-U&amp;U'!$AJ$8</f>
        <v>9808</v>
      </c>
      <c r="E11" s="15">
        <f t="shared" si="1"/>
        <v>78464</v>
      </c>
      <c r="F11" s="17">
        <f t="shared" si="2"/>
        <v>14.860606060606061</v>
      </c>
      <c r="G11" s="15">
        <f t="shared" si="3"/>
        <v>2712.0606060606065</v>
      </c>
      <c r="H11" s="18">
        <f>'[5]F-1'!$E$34</f>
        <v>4881.3</v>
      </c>
      <c r="I11" s="19">
        <f>'[5]F-8'!$F$23</f>
        <v>127.5</v>
      </c>
      <c r="J11" s="19">
        <f>'[5]F-8'!$F$37</f>
        <v>113.5</v>
      </c>
      <c r="K11" s="17">
        <f t="shared" ref="K11:K30" si="4">J11/I11</f>
        <v>0.8901960784313725</v>
      </c>
      <c r="L11" s="15">
        <f t="shared" ref="L11:L30" si="5">K11*H11</f>
        <v>4345.314117647059</v>
      </c>
      <c r="M11" s="15">
        <f t="shared" ref="M11:M30" si="6">L11*0.1</f>
        <v>434.53141176470592</v>
      </c>
      <c r="N11" s="20">
        <f>M11+G11</f>
        <v>3146.5920178253123</v>
      </c>
      <c r="O11" s="20">
        <f>L11*0.8</f>
        <v>3476.2512941176474</v>
      </c>
      <c r="P11" s="20">
        <f>N11+O11</f>
        <v>6622.8433119429592</v>
      </c>
      <c r="Q11" s="21">
        <f>'[3]Holiday Haven'!D7</f>
        <v>17000</v>
      </c>
      <c r="R11" s="15">
        <f t="shared" ref="R11:R30" si="7">Q11*365/1000</f>
        <v>6205</v>
      </c>
      <c r="S11" s="15">
        <f t="shared" ref="S11:S30" si="8">R11-P11</f>
        <v>-417.84331194295919</v>
      </c>
      <c r="T11" s="22">
        <f t="shared" ref="T11:T30" si="9">IF(S11&lt;0,0,S11/R11)</f>
        <v>0</v>
      </c>
    </row>
    <row r="12" spans="1:20" x14ac:dyDescent="0.2">
      <c r="A12" s="2" t="s">
        <v>79</v>
      </c>
      <c r="C12" s="3">
        <f t="shared" si="0"/>
        <v>0</v>
      </c>
      <c r="D12" s="6">
        <f>'[1]S-U&amp;U'!$AJ$18</f>
        <v>1363</v>
      </c>
      <c r="E12" s="3">
        <f t="shared" si="1"/>
        <v>10904</v>
      </c>
      <c r="F12" s="7">
        <f t="shared" si="2"/>
        <v>2.065151515151515</v>
      </c>
      <c r="G12" s="3">
        <f t="shared" si="3"/>
        <v>376.8901515151515</v>
      </c>
      <c r="H12" s="8">
        <f>'[6]F-1'!$E$34</f>
        <v>11304.7</v>
      </c>
      <c r="I12" s="9">
        <f>'[6]F-8'!$F$23</f>
        <v>294.5</v>
      </c>
      <c r="J12" s="9">
        <f>'[6]F-8'!$F$37</f>
        <v>31</v>
      </c>
      <c r="K12" s="7">
        <f t="shared" si="4"/>
        <v>0.10526315789473684</v>
      </c>
      <c r="L12" s="3">
        <f t="shared" si="5"/>
        <v>1189.9684210526316</v>
      </c>
      <c r="M12" s="3">
        <f t="shared" si="6"/>
        <v>118.99684210526317</v>
      </c>
      <c r="N12" s="10">
        <f>M12+G12</f>
        <v>495.88699362041467</v>
      </c>
      <c r="O12" s="10">
        <f>L12*0.8</f>
        <v>951.97473684210536</v>
      </c>
      <c r="P12" s="10">
        <f>N12+O12</f>
        <v>1447.86173046252</v>
      </c>
      <c r="Q12" s="11">
        <f>'[3]Interlachen-Park Manor'!E7</f>
        <v>4000</v>
      </c>
      <c r="R12" s="3">
        <f t="shared" si="7"/>
        <v>1460</v>
      </c>
      <c r="S12" s="3">
        <f t="shared" si="8"/>
        <v>12.138269537480028</v>
      </c>
      <c r="T12" s="12">
        <f t="shared" si="9"/>
        <v>8.3138832448493346E-3</v>
      </c>
    </row>
    <row r="13" spans="1:20" x14ac:dyDescent="0.2">
      <c r="A13" s="2" t="s">
        <v>80</v>
      </c>
      <c r="C13" s="3">
        <f t="shared" si="0"/>
        <v>0</v>
      </c>
      <c r="D13" s="6">
        <f>'[1]S-U&amp;U'!$AJ$9</f>
        <v>63269</v>
      </c>
      <c r="E13" s="3">
        <f t="shared" si="1"/>
        <v>506152</v>
      </c>
      <c r="F13" s="7">
        <f t="shared" si="2"/>
        <v>95.86212121212121</v>
      </c>
      <c r="G13" s="3">
        <f t="shared" si="3"/>
        <v>17494.83712121212</v>
      </c>
      <c r="H13" s="8">
        <f>'[7]F-1'!$E$34</f>
        <v>92262.5</v>
      </c>
      <c r="I13" s="9">
        <f>'[7]F-8'!$F$23</f>
        <v>1617.75</v>
      </c>
      <c r="J13" s="9">
        <f>'[7]F-8'!$F$37</f>
        <v>1603.5833333333333</v>
      </c>
      <c r="K13" s="7">
        <f t="shared" si="4"/>
        <v>0.99124298150723733</v>
      </c>
      <c r="L13" s="3">
        <f t="shared" si="5"/>
        <v>91454.555581311477</v>
      </c>
      <c r="M13" s="3">
        <f t="shared" si="6"/>
        <v>9145.4555581311488</v>
      </c>
      <c r="N13" s="10">
        <f>M13+G13</f>
        <v>26640.292679343271</v>
      </c>
      <c r="O13" s="10">
        <f>L13*0.8</f>
        <v>73163.64446504919</v>
      </c>
      <c r="P13" s="10">
        <f>N13+O13</f>
        <v>99803.937144392461</v>
      </c>
      <c r="Q13" s="11">
        <f>'[3]Jasmine Lakes'!D7</f>
        <v>205000</v>
      </c>
      <c r="R13" s="3">
        <f t="shared" si="7"/>
        <v>74825</v>
      </c>
      <c r="S13" s="3">
        <f t="shared" si="8"/>
        <v>-24978.937144392461</v>
      </c>
      <c r="T13" s="12">
        <f t="shared" si="9"/>
        <v>0</v>
      </c>
    </row>
    <row r="14" spans="1:20" x14ac:dyDescent="0.2">
      <c r="A14" s="2" t="s">
        <v>81</v>
      </c>
      <c r="C14" s="3">
        <f t="shared" si="0"/>
        <v>0</v>
      </c>
      <c r="D14" s="6">
        <f>'[1]S-U&amp;U'!$AJ$10</f>
        <v>4704</v>
      </c>
      <c r="E14" s="3">
        <f t="shared" si="1"/>
        <v>37632</v>
      </c>
      <c r="F14" s="7">
        <f t="shared" si="2"/>
        <v>7.127272727272727</v>
      </c>
      <c r="G14" s="3">
        <f t="shared" si="3"/>
        <v>1300.7272727272727</v>
      </c>
      <c r="H14" s="8">
        <f>'[8]F-1'!$E$34</f>
        <v>1669.3</v>
      </c>
      <c r="I14" s="9">
        <f>'[8]F-8'!$F$23</f>
        <v>115</v>
      </c>
      <c r="J14" s="9">
        <f>'[8]F-8'!$F$37</f>
        <v>137</v>
      </c>
      <c r="K14" s="7">
        <f t="shared" si="4"/>
        <v>1.191304347826087</v>
      </c>
      <c r="L14" s="3">
        <f t="shared" si="5"/>
        <v>1988.6443478260869</v>
      </c>
      <c r="M14" s="3">
        <f t="shared" si="6"/>
        <v>198.8644347826087</v>
      </c>
      <c r="N14" s="10">
        <f>M14+G14</f>
        <v>1499.5917075098814</v>
      </c>
      <c r="O14" s="10">
        <f>L14*0.8</f>
        <v>1590.9154782608696</v>
      </c>
      <c r="P14" s="10">
        <f>N14+O14</f>
        <v>3090.5071857707508</v>
      </c>
      <c r="Q14" s="11">
        <f>'[3]Jungle Den'!D7</f>
        <v>15000</v>
      </c>
      <c r="R14" s="3">
        <f t="shared" si="7"/>
        <v>5475</v>
      </c>
      <c r="S14" s="3">
        <f t="shared" si="8"/>
        <v>2384.4928142292492</v>
      </c>
      <c r="T14" s="12">
        <f t="shared" si="9"/>
        <v>0.43552380168570765</v>
      </c>
    </row>
    <row r="15" spans="1:20" x14ac:dyDescent="0.2">
      <c r="A15" s="2" t="s">
        <v>82</v>
      </c>
      <c r="C15" s="3">
        <f t="shared" si="0"/>
        <v>0</v>
      </c>
      <c r="D15" s="6">
        <f>'[1]S-U&amp;U'!$AJ$11</f>
        <v>11905</v>
      </c>
      <c r="E15" s="3">
        <f t="shared" si="1"/>
        <v>95240</v>
      </c>
      <c r="F15" s="7">
        <f t="shared" si="2"/>
        <v>18.037878787878789</v>
      </c>
      <c r="G15" s="3">
        <f t="shared" si="3"/>
        <v>3291.912878787879</v>
      </c>
      <c r="H15" s="8">
        <f>'[9]F-1'!$E$34</f>
        <v>31887</v>
      </c>
      <c r="I15" s="9">
        <f>'[9]F-8'!$F$23</f>
        <v>209</v>
      </c>
      <c r="J15" s="9">
        <f>'[9]F-8'!$F$37</f>
        <v>201</v>
      </c>
      <c r="K15" s="7">
        <f t="shared" si="4"/>
        <v>0.96172248803827753</v>
      </c>
      <c r="L15" s="3">
        <f t="shared" si="5"/>
        <v>30666.444976076556</v>
      </c>
      <c r="M15" s="3">
        <f t="shared" si="6"/>
        <v>3066.6444976076559</v>
      </c>
      <c r="N15" s="10">
        <f>M15+G15</f>
        <v>6358.5573763955344</v>
      </c>
      <c r="O15" s="10">
        <f>L15*0.8</f>
        <v>24533.155980861247</v>
      </c>
      <c r="P15" s="10">
        <f>N15+O15</f>
        <v>30891.713357256784</v>
      </c>
      <c r="Q15" s="11">
        <f>'[3]Kings Cove'!D7</f>
        <v>30100</v>
      </c>
      <c r="R15" s="3">
        <f t="shared" si="7"/>
        <v>10986.5</v>
      </c>
      <c r="S15" s="3">
        <f t="shared" si="8"/>
        <v>-19905.213357256784</v>
      </c>
      <c r="T15" s="12">
        <f t="shared" si="9"/>
        <v>0</v>
      </c>
    </row>
    <row r="16" spans="1:20" s="14" customFormat="1" x14ac:dyDescent="0.2">
      <c r="A16" s="14" t="s">
        <v>83</v>
      </c>
      <c r="B16" s="15" t="s">
        <v>74</v>
      </c>
      <c r="C16" s="15"/>
      <c r="D16" s="16"/>
      <c r="E16" s="15"/>
      <c r="F16" s="17"/>
      <c r="G16" s="15"/>
      <c r="H16" s="23"/>
      <c r="I16" s="19"/>
      <c r="J16" s="19"/>
      <c r="K16" s="17"/>
      <c r="L16" s="17"/>
      <c r="Q16" s="21"/>
      <c r="R16" s="15"/>
      <c r="S16" s="15"/>
    </row>
    <row r="17" spans="1:20" x14ac:dyDescent="0.2">
      <c r="A17" s="2" t="s">
        <v>84</v>
      </c>
      <c r="C17" s="3">
        <f t="shared" si="0"/>
        <v>0</v>
      </c>
      <c r="D17" s="6">
        <f>'[1]S-U&amp;U'!$AJ$13</f>
        <v>18747</v>
      </c>
      <c r="E17" s="3">
        <f t="shared" si="1"/>
        <v>149976</v>
      </c>
      <c r="F17" s="7">
        <f t="shared" si="2"/>
        <v>28.404545454545456</v>
      </c>
      <c r="G17" s="3">
        <f t="shared" si="3"/>
        <v>5183.829545454546</v>
      </c>
      <c r="H17" s="8">
        <f>'[10]F-1'!$E$34</f>
        <v>37404.9</v>
      </c>
      <c r="I17" s="9">
        <f>'[10]F-8'!$F$23</f>
        <v>807.33333333333337</v>
      </c>
      <c r="J17" s="9">
        <f>'[10]F-8'!$F$37</f>
        <v>498.66666666666669</v>
      </c>
      <c r="K17" s="7">
        <f t="shared" si="4"/>
        <v>0.61767134599504536</v>
      </c>
      <c r="L17" s="3">
        <f t="shared" si="5"/>
        <v>23103.934929810071</v>
      </c>
      <c r="M17" s="3">
        <f t="shared" si="6"/>
        <v>2310.3934929810071</v>
      </c>
      <c r="N17" s="10">
        <f t="shared" ref="N17:N23" si="10">M17+G17</f>
        <v>7494.2230384355535</v>
      </c>
      <c r="O17" s="10">
        <f t="shared" ref="O17:O23" si="11">L17*0.8</f>
        <v>18483.147943848056</v>
      </c>
      <c r="P17" s="10">
        <f t="shared" ref="P17:P23" si="12">N17+O17</f>
        <v>25977.37098228361</v>
      </c>
      <c r="Q17" s="11">
        <f>'[3]Lake Suzy'!D7</f>
        <v>56000</v>
      </c>
      <c r="R17" s="3">
        <f t="shared" si="7"/>
        <v>20440</v>
      </c>
      <c r="S17" s="3">
        <f t="shared" si="8"/>
        <v>-5537.3709822836099</v>
      </c>
      <c r="T17" s="12">
        <f t="shared" si="9"/>
        <v>0</v>
      </c>
    </row>
    <row r="18" spans="1:20" x14ac:dyDescent="0.2">
      <c r="A18" s="2" t="s">
        <v>85</v>
      </c>
      <c r="C18" s="3">
        <f t="shared" si="0"/>
        <v>0</v>
      </c>
      <c r="D18" s="6">
        <f>'[1]S-U&amp;U'!$AJ$14</f>
        <v>13567</v>
      </c>
      <c r="E18" s="3">
        <f t="shared" si="1"/>
        <v>108536</v>
      </c>
      <c r="F18" s="7">
        <f t="shared" si="2"/>
        <v>20.556060606060605</v>
      </c>
      <c r="G18" s="3">
        <f t="shared" si="3"/>
        <v>3751.4810606060601</v>
      </c>
      <c r="H18" s="8">
        <f>'[11]F-1'!$E$34</f>
        <v>6532.9</v>
      </c>
      <c r="I18" s="9">
        <f>'[11]F-8'!$F$23</f>
        <v>291.66666666666669</v>
      </c>
      <c r="J18" s="9">
        <f>'[11]F-8'!$F$37</f>
        <v>283.58333333333331</v>
      </c>
      <c r="K18" s="7">
        <f t="shared" si="4"/>
        <v>0.9722857142857142</v>
      </c>
      <c r="L18" s="3">
        <f t="shared" si="5"/>
        <v>6351.845342857142</v>
      </c>
      <c r="M18" s="3">
        <f t="shared" si="6"/>
        <v>635.18453428571422</v>
      </c>
      <c r="N18" s="10">
        <f t="shared" si="10"/>
        <v>4386.6655948917742</v>
      </c>
      <c r="O18" s="10">
        <f t="shared" si="11"/>
        <v>5081.4762742857138</v>
      </c>
      <c r="P18" s="10">
        <f t="shared" si="12"/>
        <v>9468.1418691774888</v>
      </c>
      <c r="Q18" s="11">
        <f>'[3]Leisure Lakes'!D7</f>
        <v>19000</v>
      </c>
      <c r="R18" s="3">
        <f t="shared" si="7"/>
        <v>6935</v>
      </c>
      <c r="S18" s="3">
        <f t="shared" si="8"/>
        <v>-2533.1418691774888</v>
      </c>
      <c r="T18" s="12">
        <f t="shared" si="9"/>
        <v>0</v>
      </c>
    </row>
    <row r="19" spans="1:20" x14ac:dyDescent="0.2">
      <c r="A19" s="2" t="s">
        <v>86</v>
      </c>
      <c r="C19" s="3">
        <f t="shared" si="0"/>
        <v>0</v>
      </c>
      <c r="D19" s="6">
        <f>'[1]S-U&amp;U'!$AJ$15</f>
        <v>2856</v>
      </c>
      <c r="E19" s="3">
        <f t="shared" si="1"/>
        <v>22848</v>
      </c>
      <c r="F19" s="7">
        <f t="shared" si="2"/>
        <v>4.3272727272727272</v>
      </c>
      <c r="G19" s="3">
        <f t="shared" si="3"/>
        <v>789.72727272727275</v>
      </c>
      <c r="H19" s="8">
        <f>'[12]F-1'!$E$34</f>
        <v>2274.3000000000002</v>
      </c>
      <c r="I19" s="9">
        <f>'[12]F-8'!$F$23</f>
        <v>46.416666666666664</v>
      </c>
      <c r="J19" s="9">
        <f>'[12]F-8'!$F$37</f>
        <v>44.5</v>
      </c>
      <c r="K19" s="7">
        <f t="shared" si="4"/>
        <v>0.95870736086175945</v>
      </c>
      <c r="L19" s="3">
        <f t="shared" si="5"/>
        <v>2180.3881508078998</v>
      </c>
      <c r="M19" s="3">
        <f t="shared" si="6"/>
        <v>218.03881508078999</v>
      </c>
      <c r="N19" s="10">
        <f t="shared" si="10"/>
        <v>1007.7660878080627</v>
      </c>
      <c r="O19" s="10">
        <f t="shared" si="11"/>
        <v>1744.3105206463199</v>
      </c>
      <c r="P19" s="10">
        <f t="shared" si="12"/>
        <v>2752.0766084543825</v>
      </c>
      <c r="Q19" s="11">
        <f>[3]Morningview!D7</f>
        <v>5000</v>
      </c>
      <c r="R19" s="3">
        <f t="shared" si="7"/>
        <v>1825</v>
      </c>
      <c r="S19" s="3">
        <f t="shared" si="8"/>
        <v>-927.07660845438249</v>
      </c>
      <c r="T19" s="12">
        <f t="shared" si="9"/>
        <v>0</v>
      </c>
    </row>
    <row r="20" spans="1:20" x14ac:dyDescent="0.2">
      <c r="A20" s="2" t="s">
        <v>87</v>
      </c>
      <c r="B20" s="6">
        <f>'[1]S-U&amp;U'!$AL$16</f>
        <v>2558</v>
      </c>
      <c r="C20" s="3">
        <f t="shared" si="0"/>
        <v>15348</v>
      </c>
      <c r="D20" s="6">
        <f>'[1]S-U&amp;U'!$AJ$16</f>
        <v>5191</v>
      </c>
      <c r="E20" s="3">
        <f t="shared" si="1"/>
        <v>41528</v>
      </c>
      <c r="F20" s="7">
        <f t="shared" si="2"/>
        <v>10.771969696969697</v>
      </c>
      <c r="G20" s="3">
        <f t="shared" si="3"/>
        <v>1965.8844696969695</v>
      </c>
      <c r="H20" s="8">
        <f>'[13]F-1'!$E$34</f>
        <v>4597</v>
      </c>
      <c r="I20" s="9">
        <f>'[13]F-8'!$F$23</f>
        <v>110.58333333333333</v>
      </c>
      <c r="J20" s="9">
        <f>'[13]F-8'!$F$37</f>
        <v>107.91666666666667</v>
      </c>
      <c r="K20" s="7">
        <f t="shared" si="4"/>
        <v>0.97588545591559916</v>
      </c>
      <c r="L20" s="3">
        <f t="shared" si="5"/>
        <v>4486.1454408440095</v>
      </c>
      <c r="M20" s="3">
        <f t="shared" si="6"/>
        <v>448.61454408440096</v>
      </c>
      <c r="N20" s="10">
        <f t="shared" si="10"/>
        <v>2414.4990137813706</v>
      </c>
      <c r="O20" s="10">
        <f t="shared" si="11"/>
        <v>3588.9163526752077</v>
      </c>
      <c r="P20" s="10">
        <f t="shared" si="12"/>
        <v>6003.4153664565783</v>
      </c>
      <c r="Q20" s="11">
        <f>'[3]Palm Port'!D7</f>
        <v>15000</v>
      </c>
      <c r="R20" s="3">
        <f t="shared" si="7"/>
        <v>5475</v>
      </c>
      <c r="S20" s="3">
        <f t="shared" si="8"/>
        <v>-528.41536645657834</v>
      </c>
      <c r="T20" s="12">
        <f t="shared" si="9"/>
        <v>0</v>
      </c>
    </row>
    <row r="21" spans="1:20" s="14" customFormat="1" x14ac:dyDescent="0.2">
      <c r="A21" s="14" t="s">
        <v>88</v>
      </c>
      <c r="B21" s="15"/>
      <c r="C21" s="15">
        <f t="shared" si="0"/>
        <v>0</v>
      </c>
      <c r="D21" s="16">
        <f>'[1]S-U&amp;U'!$AJ$17</f>
        <v>41118</v>
      </c>
      <c r="E21" s="15">
        <f t="shared" si="1"/>
        <v>328944</v>
      </c>
      <c r="F21" s="17">
        <f t="shared" si="2"/>
        <v>62.3</v>
      </c>
      <c r="G21" s="15">
        <f t="shared" si="3"/>
        <v>11369.75</v>
      </c>
      <c r="H21" s="18">
        <f>'[14]F-1'!$E$34</f>
        <v>60710.6</v>
      </c>
      <c r="I21" s="19">
        <f>'[14]F-8'!$F$23</f>
        <v>1203.9166666666667</v>
      </c>
      <c r="J21" s="19">
        <f>'[14]F-8'!$F$37</f>
        <v>1033</v>
      </c>
      <c r="K21" s="17">
        <f t="shared" si="4"/>
        <v>0.85803280957984351</v>
      </c>
      <c r="L21" s="15">
        <f t="shared" si="5"/>
        <v>52091.686689278045</v>
      </c>
      <c r="M21" s="15">
        <f t="shared" si="6"/>
        <v>5209.1686689278049</v>
      </c>
      <c r="N21" s="20">
        <f t="shared" si="10"/>
        <v>16578.918668927807</v>
      </c>
      <c r="O21" s="20">
        <f t="shared" si="11"/>
        <v>41673.349351422439</v>
      </c>
      <c r="P21" s="20">
        <f t="shared" si="12"/>
        <v>58252.268020350246</v>
      </c>
      <c r="Q21" s="21">
        <f>'[3]Palm Terrace'!D7</f>
        <v>123000</v>
      </c>
      <c r="R21" s="15">
        <f t="shared" si="7"/>
        <v>44895</v>
      </c>
      <c r="S21" s="15">
        <f t="shared" si="8"/>
        <v>-13357.268020350246</v>
      </c>
      <c r="T21" s="22">
        <f t="shared" si="9"/>
        <v>0</v>
      </c>
    </row>
    <row r="22" spans="1:20" x14ac:dyDescent="0.2">
      <c r="A22" s="2" t="s">
        <v>89</v>
      </c>
      <c r="C22" s="3">
        <f t="shared" si="0"/>
        <v>0</v>
      </c>
      <c r="D22" s="6">
        <f>'[1]S-U&amp;U'!$AJ$19</f>
        <v>4162</v>
      </c>
      <c r="E22" s="3">
        <f t="shared" si="1"/>
        <v>33296</v>
      </c>
      <c r="F22" s="7">
        <f t="shared" si="2"/>
        <v>6.3060606060606057</v>
      </c>
      <c r="G22" s="3">
        <f t="shared" si="3"/>
        <v>1150.8560606060605</v>
      </c>
      <c r="H22" s="8">
        <f>'[15]F-1'!$E$34</f>
        <v>2335.3000000000002</v>
      </c>
      <c r="I22" s="9">
        <f>'[15]F-8'!$F$23</f>
        <v>97</v>
      </c>
      <c r="J22" s="9">
        <f>'[15]F-8'!$F$37</f>
        <v>98</v>
      </c>
      <c r="K22" s="7">
        <f t="shared" si="4"/>
        <v>1.0103092783505154</v>
      </c>
      <c r="L22" s="3">
        <f t="shared" si="5"/>
        <v>2359.3752577319588</v>
      </c>
      <c r="M22" s="3">
        <f t="shared" si="6"/>
        <v>235.93752577319589</v>
      </c>
      <c r="N22" s="10">
        <f t="shared" si="10"/>
        <v>1386.7935863792563</v>
      </c>
      <c r="O22" s="10">
        <f t="shared" si="11"/>
        <v>1887.5002061855671</v>
      </c>
      <c r="P22" s="10">
        <f t="shared" si="12"/>
        <v>3274.2937925648234</v>
      </c>
      <c r="Q22" s="11">
        <f>'[3]Rosalie Oaks'!D7</f>
        <v>10000</v>
      </c>
      <c r="R22" s="3">
        <f t="shared" si="7"/>
        <v>3650</v>
      </c>
      <c r="S22" s="3">
        <f t="shared" si="8"/>
        <v>375.70620743517657</v>
      </c>
      <c r="T22" s="12">
        <f t="shared" si="9"/>
        <v>0.10293320751648673</v>
      </c>
    </row>
    <row r="23" spans="1:20" x14ac:dyDescent="0.2">
      <c r="A23" s="2" t="s">
        <v>90</v>
      </c>
      <c r="C23" s="3">
        <f t="shared" si="0"/>
        <v>0</v>
      </c>
      <c r="D23" s="6">
        <f>'[1]S-U&amp;U'!$AJ$20</f>
        <v>1722</v>
      </c>
      <c r="E23" s="3">
        <f t="shared" si="1"/>
        <v>13776</v>
      </c>
      <c r="F23" s="7">
        <f t="shared" si="2"/>
        <v>2.6090909090909089</v>
      </c>
      <c r="G23" s="3">
        <f t="shared" si="3"/>
        <v>476.15909090909088</v>
      </c>
      <c r="H23" s="8">
        <f>'[16]F-1'!$E$34</f>
        <v>1709.7</v>
      </c>
      <c r="I23" s="9">
        <f>'[16]F-8'!$F$23</f>
        <v>46</v>
      </c>
      <c r="J23" s="9">
        <f>'[16]F-8'!$F$37</f>
        <v>45</v>
      </c>
      <c r="K23" s="7">
        <f t="shared" si="4"/>
        <v>0.97826086956521741</v>
      </c>
      <c r="L23" s="3">
        <f t="shared" si="5"/>
        <v>1672.5326086956522</v>
      </c>
      <c r="M23" s="3">
        <f t="shared" si="6"/>
        <v>167.25326086956522</v>
      </c>
      <c r="N23" s="10">
        <f t="shared" si="10"/>
        <v>643.4123517786561</v>
      </c>
      <c r="O23" s="10">
        <f t="shared" si="11"/>
        <v>1338.0260869565218</v>
      </c>
      <c r="P23" s="10">
        <f t="shared" si="12"/>
        <v>1981.4384387351779</v>
      </c>
      <c r="Q23" s="11">
        <f>'[3]Silver Lake Oaks'!D7</f>
        <v>5000</v>
      </c>
      <c r="R23" s="3">
        <f t="shared" si="7"/>
        <v>1825</v>
      </c>
      <c r="S23" s="3">
        <f t="shared" si="8"/>
        <v>-156.4384387351779</v>
      </c>
      <c r="T23" s="12">
        <f t="shared" si="9"/>
        <v>0</v>
      </c>
    </row>
    <row r="24" spans="1:20" x14ac:dyDescent="0.2">
      <c r="A24" s="2" t="s">
        <v>91</v>
      </c>
      <c r="C24" s="3">
        <f t="shared" si="0"/>
        <v>0</v>
      </c>
      <c r="D24" s="6">
        <f>'[1]S-U&amp;U'!$AJ$21</f>
        <v>9180</v>
      </c>
      <c r="E24" s="3">
        <f t="shared" si="1"/>
        <v>73440</v>
      </c>
      <c r="F24" s="7">
        <f t="shared" si="2"/>
        <v>13.909090909090908</v>
      </c>
      <c r="G24" s="3">
        <f t="shared" si="3"/>
        <v>2538.409090909091</v>
      </c>
      <c r="H24" s="13" t="s">
        <v>77</v>
      </c>
      <c r="I24" s="9"/>
      <c r="J24" s="9"/>
      <c r="K24" s="7"/>
      <c r="L24" s="7"/>
      <c r="Q24" s="11"/>
      <c r="R24" s="3"/>
      <c r="S24" s="3"/>
    </row>
    <row r="25" spans="1:20" x14ac:dyDescent="0.2">
      <c r="A25" s="2" t="s">
        <v>92</v>
      </c>
      <c r="C25" s="3">
        <f t="shared" si="0"/>
        <v>0</v>
      </c>
      <c r="D25" s="6">
        <f>'[1]S-U&amp;U'!$AJ$22</f>
        <v>6039</v>
      </c>
      <c r="E25" s="3">
        <f t="shared" si="1"/>
        <v>48312</v>
      </c>
      <c r="F25" s="7">
        <f t="shared" si="2"/>
        <v>9.15</v>
      </c>
      <c r="G25" s="3">
        <f t="shared" si="3"/>
        <v>1669.875</v>
      </c>
      <c r="H25" s="8">
        <f>'[17]F-1'!$E$34</f>
        <v>7194.7</v>
      </c>
      <c r="I25" s="9">
        <f>'[17]F-8'!$F$23</f>
        <v>221</v>
      </c>
      <c r="J25" s="9">
        <f>'[17]F-8'!$F$37</f>
        <v>218</v>
      </c>
      <c r="K25" s="7">
        <f t="shared" si="4"/>
        <v>0.98642533936651589</v>
      </c>
      <c r="L25" s="3">
        <f t="shared" si="5"/>
        <v>7097.0343891402717</v>
      </c>
      <c r="M25" s="3">
        <f t="shared" si="6"/>
        <v>709.70343891402717</v>
      </c>
      <c r="N25" s="10">
        <f t="shared" ref="N25:N30" si="13">M25+G25</f>
        <v>2379.5784389140272</v>
      </c>
      <c r="O25" s="10">
        <f t="shared" ref="O25:O30" si="14">L25*0.8</f>
        <v>5677.6275113122174</v>
      </c>
      <c r="P25" s="10">
        <f t="shared" ref="P25:P30" si="15">N25+O25</f>
        <v>8057.2059502262446</v>
      </c>
      <c r="Q25" s="11">
        <f>'[3]Summit Chase'!D7</f>
        <v>29000</v>
      </c>
      <c r="R25" s="3">
        <f t="shared" si="7"/>
        <v>10585</v>
      </c>
      <c r="S25" s="3">
        <f t="shared" si="8"/>
        <v>2527.7940497737554</v>
      </c>
      <c r="T25" s="12">
        <f t="shared" si="9"/>
        <v>0.2388090741401753</v>
      </c>
    </row>
    <row r="26" spans="1:20" s="14" customFormat="1" x14ac:dyDescent="0.2">
      <c r="A26" s="14" t="s">
        <v>93</v>
      </c>
      <c r="B26" s="15"/>
      <c r="C26" s="15">
        <f t="shared" si="0"/>
        <v>0</v>
      </c>
      <c r="D26" s="16">
        <f>'[1]S-U&amp;U'!$AJ$23</f>
        <v>25791</v>
      </c>
      <c r="E26" s="15">
        <f t="shared" si="1"/>
        <v>206328</v>
      </c>
      <c r="F26" s="17">
        <f t="shared" si="2"/>
        <v>39.077272727272728</v>
      </c>
      <c r="G26" s="15">
        <f t="shared" si="3"/>
        <v>7131.6022727272721</v>
      </c>
      <c r="H26" s="19">
        <f>'[18]F-1'!$E$34</f>
        <v>42721.3</v>
      </c>
      <c r="I26" s="23">
        <f>'[18]F-8'!$F$23</f>
        <v>648</v>
      </c>
      <c r="J26" s="19">
        <f>'[19]F-8'!$F$37</f>
        <v>182</v>
      </c>
      <c r="K26" s="17">
        <f t="shared" si="4"/>
        <v>0.28086419753086422</v>
      </c>
      <c r="L26" s="15">
        <f t="shared" si="5"/>
        <v>11998.88364197531</v>
      </c>
      <c r="M26" s="15">
        <f t="shared" si="6"/>
        <v>1199.888364197531</v>
      </c>
      <c r="N26" s="20">
        <f t="shared" si="13"/>
        <v>8331.4906369248038</v>
      </c>
      <c r="O26" s="20">
        <f t="shared" si="14"/>
        <v>9599.1069135802481</v>
      </c>
      <c r="P26" s="20">
        <f t="shared" si="15"/>
        <v>17930.597550505052</v>
      </c>
      <c r="Q26" s="21">
        <f>'[3]Sunny Hills'!D7</f>
        <v>23000</v>
      </c>
      <c r="R26" s="15">
        <f t="shared" si="7"/>
        <v>8395</v>
      </c>
      <c r="S26" s="15">
        <f t="shared" si="8"/>
        <v>-9535.5975505050519</v>
      </c>
      <c r="T26" s="22">
        <f t="shared" si="9"/>
        <v>0</v>
      </c>
    </row>
    <row r="27" spans="1:20" x14ac:dyDescent="0.2">
      <c r="A27" s="2" t="s">
        <v>94</v>
      </c>
      <c r="C27" s="3">
        <f t="shared" si="0"/>
        <v>0</v>
      </c>
      <c r="D27" s="6">
        <f>'[1]S-U&amp;U'!$AJ$25</f>
        <v>14941</v>
      </c>
      <c r="E27" s="3">
        <f t="shared" si="1"/>
        <v>119528</v>
      </c>
      <c r="F27" s="7">
        <f t="shared" si="2"/>
        <v>22.637878787878787</v>
      </c>
      <c r="G27" s="3">
        <f t="shared" si="3"/>
        <v>4131.412878787879</v>
      </c>
      <c r="H27" s="8">
        <f>'[20]F-1'!$E$34</f>
        <v>23375.1</v>
      </c>
      <c r="I27" s="9">
        <f>'[20]F-8'!$F$23</f>
        <v>386.33333333333331</v>
      </c>
      <c r="J27" s="9">
        <f>'[20]F-8'!$F$37</f>
        <v>372.33333333333331</v>
      </c>
      <c r="K27" s="7">
        <f t="shared" si="4"/>
        <v>0.96376186367558236</v>
      </c>
      <c r="L27" s="3">
        <f t="shared" si="5"/>
        <v>22528.029939603104</v>
      </c>
      <c r="M27" s="3">
        <f t="shared" si="6"/>
        <v>2252.8029939603107</v>
      </c>
      <c r="N27" s="10">
        <f t="shared" si="13"/>
        <v>6384.2158727481892</v>
      </c>
      <c r="O27" s="10">
        <f t="shared" si="14"/>
        <v>18022.423951682485</v>
      </c>
      <c r="P27" s="10">
        <f t="shared" si="15"/>
        <v>24406.639824430677</v>
      </c>
      <c r="Q27" s="11">
        <f>'[3]Valencia Terrace'!D7</f>
        <v>36000</v>
      </c>
      <c r="R27" s="3">
        <f t="shared" si="7"/>
        <v>13140</v>
      </c>
      <c r="S27" s="3">
        <f t="shared" si="8"/>
        <v>-11266.639824430677</v>
      </c>
      <c r="T27" s="12">
        <f t="shared" si="9"/>
        <v>0</v>
      </c>
    </row>
    <row r="28" spans="1:20" x14ac:dyDescent="0.2">
      <c r="A28" s="2" t="s">
        <v>95</v>
      </c>
      <c r="C28" s="3">
        <f t="shared" si="0"/>
        <v>0</v>
      </c>
      <c r="D28" s="6">
        <f>'[1]S-U&amp;U'!$AJ$26</f>
        <v>7408</v>
      </c>
      <c r="E28" s="3">
        <f t="shared" si="1"/>
        <v>59264</v>
      </c>
      <c r="F28" s="7">
        <f t="shared" si="2"/>
        <v>11.224242424242425</v>
      </c>
      <c r="G28" s="3">
        <f t="shared" si="3"/>
        <v>2048.4242424242425</v>
      </c>
      <c r="H28" s="8">
        <f>'[21]F-1'!$E$34</f>
        <v>9935.1</v>
      </c>
      <c r="I28" s="9">
        <f>'[21]F-8'!$F$23</f>
        <v>168.75</v>
      </c>
      <c r="J28" s="9">
        <f>'[21]F-8'!$F$37</f>
        <v>95.5</v>
      </c>
      <c r="K28" s="7">
        <f t="shared" si="4"/>
        <v>0.56592592592592594</v>
      </c>
      <c r="L28" s="3">
        <f t="shared" si="5"/>
        <v>5622.5306666666675</v>
      </c>
      <c r="M28" s="3">
        <f t="shared" si="6"/>
        <v>562.25306666666677</v>
      </c>
      <c r="N28" s="10">
        <f t="shared" si="13"/>
        <v>2610.6773090909091</v>
      </c>
      <c r="O28" s="10">
        <f t="shared" si="14"/>
        <v>4498.0245333333341</v>
      </c>
      <c r="P28" s="10">
        <f t="shared" si="15"/>
        <v>7108.7018424242433</v>
      </c>
      <c r="Q28" s="11">
        <f>'[3]Venetian Village'!D7</f>
        <v>10000</v>
      </c>
      <c r="R28" s="3">
        <f t="shared" si="7"/>
        <v>3650</v>
      </c>
      <c r="S28" s="3">
        <f t="shared" si="8"/>
        <v>-3458.7018424242433</v>
      </c>
      <c r="T28" s="12">
        <f t="shared" si="9"/>
        <v>0</v>
      </c>
    </row>
    <row r="29" spans="1:20" x14ac:dyDescent="0.2">
      <c r="A29" s="2" t="s">
        <v>96</v>
      </c>
      <c r="C29" s="3">
        <f t="shared" si="0"/>
        <v>0</v>
      </c>
      <c r="D29" s="6">
        <f>'[1]S-U&amp;U'!$AJ$27</f>
        <v>17445</v>
      </c>
      <c r="E29" s="3">
        <f t="shared" si="1"/>
        <v>139560</v>
      </c>
      <c r="F29" s="7">
        <f t="shared" si="2"/>
        <v>26.431818181818183</v>
      </c>
      <c r="G29" s="3">
        <f t="shared" si="3"/>
        <v>4823.806818181818</v>
      </c>
      <c r="H29" s="8">
        <f>'[22]F-1'!$E$34</f>
        <v>22275.5</v>
      </c>
      <c r="I29" s="9">
        <f>'[22]F-8'!$F$23</f>
        <v>333.33333333333331</v>
      </c>
      <c r="J29" s="9">
        <f>'[22]F-8'!$F$37</f>
        <v>174.5</v>
      </c>
      <c r="K29" s="7">
        <f t="shared" si="4"/>
        <v>0.52350000000000008</v>
      </c>
      <c r="L29" s="3">
        <f t="shared" si="5"/>
        <v>11661.224250000001</v>
      </c>
      <c r="M29" s="3">
        <f t="shared" si="6"/>
        <v>1166.1224250000002</v>
      </c>
      <c r="N29" s="10">
        <f t="shared" si="13"/>
        <v>5989.9292431818185</v>
      </c>
      <c r="O29" s="10">
        <f t="shared" si="14"/>
        <v>9328.979400000002</v>
      </c>
      <c r="P29" s="10">
        <f t="shared" si="15"/>
        <v>15318.908643181821</v>
      </c>
      <c r="Q29" s="11">
        <f>'[3]Village Water'!D7</f>
        <v>34000</v>
      </c>
      <c r="R29" s="3">
        <f t="shared" si="7"/>
        <v>12410</v>
      </c>
      <c r="S29" s="3">
        <f t="shared" si="8"/>
        <v>-2908.9086431818214</v>
      </c>
      <c r="T29" s="12">
        <f t="shared" si="9"/>
        <v>0</v>
      </c>
    </row>
    <row r="30" spans="1:20" x14ac:dyDescent="0.2">
      <c r="A30" s="2" t="s">
        <v>97</v>
      </c>
      <c r="B30" s="6">
        <f>'[1]S-U&amp;U'!$AL$24</f>
        <v>4850</v>
      </c>
      <c r="C30" s="3">
        <f t="shared" si="0"/>
        <v>29100</v>
      </c>
      <c r="E30" s="3">
        <f t="shared" si="1"/>
        <v>0</v>
      </c>
      <c r="F30" s="7">
        <f t="shared" si="2"/>
        <v>5.5113636363636367</v>
      </c>
      <c r="G30" s="3">
        <f t="shared" si="3"/>
        <v>1005.8238636363637</v>
      </c>
      <c r="H30" s="8">
        <f>'[23]F-1'!$E$34</f>
        <v>3728.6</v>
      </c>
      <c r="I30" s="9">
        <f>'[23]F-8'!$F$23</f>
        <v>78</v>
      </c>
      <c r="J30" s="9">
        <f>'[23]F-8'!$F$37</f>
        <v>74</v>
      </c>
      <c r="K30" s="7">
        <f t="shared" si="4"/>
        <v>0.94871794871794868</v>
      </c>
      <c r="L30" s="3">
        <f t="shared" si="5"/>
        <v>3537.3897435897434</v>
      </c>
      <c r="M30" s="3">
        <f t="shared" si="6"/>
        <v>353.73897435897436</v>
      </c>
      <c r="N30" s="10">
        <f t="shared" si="13"/>
        <v>1359.5628379953382</v>
      </c>
      <c r="O30" s="10">
        <f t="shared" si="14"/>
        <v>2829.9117948717949</v>
      </c>
      <c r="P30" s="10">
        <f t="shared" si="15"/>
        <v>4189.4746328671336</v>
      </c>
      <c r="Q30" s="11">
        <f>'[3]The Woods'!D7</f>
        <v>9000</v>
      </c>
      <c r="R30" s="3">
        <f t="shared" si="7"/>
        <v>3285</v>
      </c>
      <c r="S30" s="3">
        <f t="shared" si="8"/>
        <v>-904.47463286713355</v>
      </c>
      <c r="T30" s="12">
        <f t="shared" si="9"/>
        <v>0</v>
      </c>
    </row>
    <row r="31" spans="1:20" x14ac:dyDescent="0.2">
      <c r="A31" s="2" t="s">
        <v>98</v>
      </c>
      <c r="B31" s="3" t="s">
        <v>74</v>
      </c>
      <c r="F31" s="7"/>
      <c r="G31" s="3"/>
      <c r="I31" s="24"/>
      <c r="J31" s="24"/>
    </row>
    <row r="34" spans="2:3" x14ac:dyDescent="0.2">
      <c r="B34" s="3" t="s">
        <v>99</v>
      </c>
    </row>
    <row r="35" spans="2:3" x14ac:dyDescent="0.2">
      <c r="B35" s="3" t="s">
        <v>100</v>
      </c>
      <c r="C35" s="3" t="s">
        <v>101</v>
      </c>
    </row>
    <row r="36" spans="2:3" x14ac:dyDescent="0.2">
      <c r="B36" s="3" t="s">
        <v>102</v>
      </c>
      <c r="C36" s="3" t="s">
        <v>103</v>
      </c>
    </row>
    <row r="37" spans="2:3" x14ac:dyDescent="0.2">
      <c r="B37" s="25">
        <v>10</v>
      </c>
      <c r="C37" s="3" t="s">
        <v>104</v>
      </c>
    </row>
    <row r="38" spans="2:3" x14ac:dyDescent="0.2">
      <c r="B38" s="3">
        <v>14</v>
      </c>
      <c r="C38" s="3" t="s">
        <v>105</v>
      </c>
    </row>
    <row r="39" spans="2:3" x14ac:dyDescent="0.2">
      <c r="B39" s="3">
        <v>17</v>
      </c>
      <c r="C39" s="3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opLeftCell="A7" workbookViewId="0">
      <selection activeCell="A7" sqref="A1:XFD1048576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18</v>
      </c>
    </row>
    <row r="3" spans="1:6" x14ac:dyDescent="0.25">
      <c r="A3" t="s">
        <v>40</v>
      </c>
      <c r="B3" t="s">
        <v>144</v>
      </c>
      <c r="C3" s="32"/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136</v>
      </c>
      <c r="C5" s="26"/>
      <c r="D5" s="26"/>
      <c r="E5" s="26"/>
      <c r="F5" s="26"/>
    </row>
    <row r="6" spans="1:6" x14ac:dyDescent="0.25">
      <c r="A6">
        <v>3</v>
      </c>
      <c r="B6" s="35" t="s">
        <v>145</v>
      </c>
      <c r="C6" s="29"/>
      <c r="D6" s="29"/>
      <c r="E6" s="29"/>
      <c r="F6" s="29"/>
    </row>
    <row r="7" spans="1:6" x14ac:dyDescent="0.25">
      <c r="A7">
        <v>4</v>
      </c>
      <c r="B7" s="35"/>
      <c r="C7" s="29"/>
      <c r="D7" s="29"/>
      <c r="E7" s="29"/>
      <c r="F7" s="29"/>
    </row>
    <row r="8" spans="1:6" x14ac:dyDescent="0.25">
      <c r="A8">
        <v>5</v>
      </c>
      <c r="B8" t="s">
        <v>20</v>
      </c>
    </row>
    <row r="9" spans="1:6" ht="17.25" x14ac:dyDescent="0.25">
      <c r="A9">
        <v>6</v>
      </c>
      <c r="B9" s="35" t="s">
        <v>148</v>
      </c>
      <c r="D9" s="37"/>
      <c r="E9" s="37"/>
    </row>
    <row r="10" spans="1:6" ht="17.25" x14ac:dyDescent="0.25">
      <c r="A10">
        <v>7</v>
      </c>
      <c r="B10" s="35" t="s">
        <v>151</v>
      </c>
      <c r="D10" s="37"/>
      <c r="E10" s="37"/>
    </row>
    <row r="11" spans="1:6" x14ac:dyDescent="0.25">
      <c r="A11">
        <v>8</v>
      </c>
      <c r="B11" s="35" t="s">
        <v>140</v>
      </c>
    </row>
    <row r="12" spans="1:6" x14ac:dyDescent="0.25">
      <c r="A12">
        <v>9</v>
      </c>
      <c r="B12" s="35" t="s">
        <v>152</v>
      </c>
      <c r="C12" s="31"/>
      <c r="D12" s="37"/>
      <c r="E12" s="37"/>
      <c r="F12" s="31"/>
    </row>
    <row r="13" spans="1:6" x14ac:dyDescent="0.25">
      <c r="A13">
        <v>10</v>
      </c>
      <c r="B13" s="35" t="s">
        <v>153</v>
      </c>
      <c r="C13" s="31"/>
      <c r="D13" s="37"/>
      <c r="E13" s="37"/>
      <c r="F13" s="31"/>
    </row>
    <row r="14" spans="1:6" x14ac:dyDescent="0.25">
      <c r="A14">
        <v>11</v>
      </c>
      <c r="B14" s="35"/>
      <c r="C14" s="31"/>
      <c r="D14" s="37"/>
      <c r="E14" s="37"/>
      <c r="F14" s="31"/>
    </row>
    <row r="15" spans="1:6" x14ac:dyDescent="0.25">
      <c r="A15">
        <v>12</v>
      </c>
      <c r="B15" s="38" t="s">
        <v>154</v>
      </c>
      <c r="C15" s="30"/>
      <c r="D15" s="39"/>
      <c r="E15" s="39"/>
      <c r="F15" s="30"/>
    </row>
    <row r="16" spans="1:6" x14ac:dyDescent="0.25">
      <c r="A16">
        <v>13</v>
      </c>
    </row>
    <row r="17" spans="1:6" x14ac:dyDescent="0.25">
      <c r="A17">
        <v>14</v>
      </c>
      <c r="B17" t="s">
        <v>19</v>
      </c>
    </row>
    <row r="18" spans="1:6" x14ac:dyDescent="0.25">
      <c r="A18">
        <v>15</v>
      </c>
      <c r="B18" s="35" t="s">
        <v>137</v>
      </c>
      <c r="C18" s="29"/>
      <c r="D18" s="30"/>
      <c r="E18" s="30"/>
      <c r="F18" s="30"/>
    </row>
    <row r="19" spans="1:6" x14ac:dyDescent="0.25">
      <c r="A19">
        <v>16</v>
      </c>
      <c r="B19" s="35" t="s">
        <v>138</v>
      </c>
      <c r="C19" s="36"/>
      <c r="D19" s="36"/>
      <c r="E19" s="36"/>
      <c r="F19" s="36"/>
    </row>
    <row r="20" spans="1:6" x14ac:dyDescent="0.25">
      <c r="A20">
        <v>17</v>
      </c>
    </row>
    <row r="21" spans="1:6" x14ac:dyDescent="0.25">
      <c r="A21">
        <v>18</v>
      </c>
      <c r="B21" t="s">
        <v>155</v>
      </c>
      <c r="C21" s="30"/>
      <c r="D21" s="30"/>
      <c r="E21" s="30"/>
      <c r="F21" s="30"/>
    </row>
    <row r="22" spans="1:6" x14ac:dyDescent="0.25">
      <c r="A22">
        <v>19</v>
      </c>
    </row>
    <row r="23" spans="1:6" x14ac:dyDescent="0.25">
      <c r="A23">
        <v>20</v>
      </c>
      <c r="B23" t="s">
        <v>141</v>
      </c>
      <c r="C23" s="29"/>
      <c r="D23" s="29"/>
      <c r="E23" s="29"/>
      <c r="F23" s="29"/>
    </row>
    <row r="24" spans="1:6" x14ac:dyDescent="0.25">
      <c r="A24">
        <v>21</v>
      </c>
    </row>
    <row r="25" spans="1:6" x14ac:dyDescent="0.25">
      <c r="A25">
        <v>22</v>
      </c>
      <c r="B25" t="s">
        <v>142</v>
      </c>
      <c r="C25" s="41"/>
      <c r="D25" s="41"/>
      <c r="E25" s="41"/>
      <c r="F25" s="41"/>
    </row>
    <row r="26" spans="1:6" x14ac:dyDescent="0.25">
      <c r="A26">
        <v>23</v>
      </c>
      <c r="B26" t="s">
        <v>143</v>
      </c>
      <c r="C26" s="41"/>
      <c r="D26" s="41"/>
      <c r="E26" s="41"/>
      <c r="F26" s="41"/>
    </row>
    <row r="29" spans="1:6" x14ac:dyDescent="0.25">
      <c r="B29" t="s">
        <v>23</v>
      </c>
    </row>
    <row r="30" spans="1:6" x14ac:dyDescent="0.25">
      <c r="B30" t="s">
        <v>147</v>
      </c>
    </row>
    <row r="32" spans="1:6" x14ac:dyDescent="0.25">
      <c r="B32" t="s">
        <v>149</v>
      </c>
    </row>
    <row r="34" spans="2:6" x14ac:dyDescent="0.25">
      <c r="B34" t="s">
        <v>150</v>
      </c>
    </row>
    <row r="37" spans="2:6" x14ac:dyDescent="0.25">
      <c r="C37" s="37"/>
      <c r="D37" s="42"/>
      <c r="E37" s="42"/>
      <c r="F37" s="42"/>
    </row>
    <row r="38" spans="2:6" x14ac:dyDescent="0.25">
      <c r="C38" s="37"/>
      <c r="D38" s="40"/>
      <c r="E38" s="40"/>
      <c r="F38" s="40"/>
    </row>
    <row r="39" spans="2:6" x14ac:dyDescent="0.25">
      <c r="C39" s="37"/>
      <c r="D39" s="30"/>
      <c r="E39" s="30"/>
      <c r="F39" s="30"/>
    </row>
    <row r="40" spans="2:6" x14ac:dyDescent="0.25">
      <c r="C40" s="37"/>
      <c r="D40" s="30"/>
      <c r="E40" s="30"/>
      <c r="F40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9"/>
  <sheetViews>
    <sheetView workbookViewId="0">
      <selection activeCell="B20" sqref="B20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5</v>
      </c>
    </row>
    <row r="3" spans="1:6" x14ac:dyDescent="0.25">
      <c r="A3" t="s">
        <v>40</v>
      </c>
      <c r="B3" t="s">
        <v>144</v>
      </c>
      <c r="C3" s="32"/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164</v>
      </c>
      <c r="C5" s="29">
        <f>'Crownwood Flow'!C28*1000000</f>
        <v>20666.666666666668</v>
      </c>
      <c r="D5" s="26"/>
      <c r="E5" s="26"/>
      <c r="F5" s="26"/>
    </row>
    <row r="6" spans="1:6" x14ac:dyDescent="0.25">
      <c r="A6">
        <v>3</v>
      </c>
      <c r="B6" s="35"/>
      <c r="C6" s="29"/>
      <c r="D6" s="29"/>
      <c r="E6" s="29"/>
      <c r="F6" s="29"/>
    </row>
    <row r="7" spans="1:6" x14ac:dyDescent="0.25">
      <c r="A7">
        <v>4</v>
      </c>
      <c r="B7" t="s">
        <v>20</v>
      </c>
    </row>
    <row r="8" spans="1:6" ht="17.25" x14ac:dyDescent="0.25">
      <c r="A8">
        <v>5</v>
      </c>
      <c r="B8" s="35" t="s">
        <v>148</v>
      </c>
      <c r="C8">
        <v>573</v>
      </c>
      <c r="D8" s="37"/>
      <c r="E8" s="37"/>
    </row>
    <row r="9" spans="1:6" ht="17.25" x14ac:dyDescent="0.25">
      <c r="A9">
        <v>6</v>
      </c>
      <c r="B9" s="35" t="s">
        <v>151</v>
      </c>
      <c r="C9">
        <v>3</v>
      </c>
      <c r="D9" s="37"/>
      <c r="E9" s="37"/>
    </row>
    <row r="10" spans="1:6" x14ac:dyDescent="0.25">
      <c r="A10">
        <v>7</v>
      </c>
      <c r="B10" s="35" t="s">
        <v>140</v>
      </c>
      <c r="C10">
        <v>17</v>
      </c>
    </row>
    <row r="11" spans="1:6" x14ac:dyDescent="0.25">
      <c r="A11">
        <v>8</v>
      </c>
      <c r="B11" s="35" t="s">
        <v>165</v>
      </c>
      <c r="C11" s="30">
        <f>C5/C8</f>
        <v>36.067481093659104</v>
      </c>
      <c r="D11" s="37"/>
      <c r="E11" s="37"/>
      <c r="F11" s="31"/>
    </row>
    <row r="12" spans="1:6" x14ac:dyDescent="0.25">
      <c r="A12">
        <v>9</v>
      </c>
      <c r="B12" s="35" t="s">
        <v>166</v>
      </c>
      <c r="C12" s="30">
        <f>C10*C11</f>
        <v>613.1471785922048</v>
      </c>
      <c r="D12" s="37"/>
      <c r="E12" s="37"/>
      <c r="F12" s="31"/>
    </row>
    <row r="13" spans="1:6" x14ac:dyDescent="0.25">
      <c r="A13">
        <v>10</v>
      </c>
      <c r="B13" s="35"/>
      <c r="C13" s="31"/>
      <c r="D13" s="37"/>
      <c r="E13" s="37"/>
      <c r="F13" s="31"/>
    </row>
    <row r="14" spans="1:6" x14ac:dyDescent="0.25">
      <c r="A14">
        <v>11</v>
      </c>
      <c r="B14" s="38" t="s">
        <v>167</v>
      </c>
      <c r="C14" s="30">
        <f>C5+C12</f>
        <v>21279.813845258872</v>
      </c>
      <c r="D14" s="39"/>
      <c r="E14" s="39"/>
      <c r="F14" s="30"/>
    </row>
    <row r="15" spans="1:6" x14ac:dyDescent="0.25">
      <c r="A15">
        <v>12</v>
      </c>
    </row>
    <row r="16" spans="1:6" x14ac:dyDescent="0.25">
      <c r="A16">
        <v>13</v>
      </c>
      <c r="B16" t="s">
        <v>19</v>
      </c>
    </row>
    <row r="17" spans="1:6" x14ac:dyDescent="0.25">
      <c r="A17">
        <v>14</v>
      </c>
      <c r="B17" s="35" t="s">
        <v>137</v>
      </c>
      <c r="C17" s="29">
        <v>0</v>
      </c>
      <c r="D17" s="30"/>
      <c r="E17" s="30"/>
      <c r="F17" s="30"/>
    </row>
    <row r="18" spans="1:6" x14ac:dyDescent="0.25">
      <c r="A18">
        <v>15</v>
      </c>
      <c r="B18" s="35" t="s">
        <v>138</v>
      </c>
      <c r="C18" s="36">
        <v>0</v>
      </c>
      <c r="D18" s="36"/>
      <c r="E18" s="36"/>
      <c r="F18" s="36"/>
    </row>
    <row r="19" spans="1:6" x14ac:dyDescent="0.25">
      <c r="A19">
        <v>16</v>
      </c>
    </row>
    <row r="20" spans="1:6" x14ac:dyDescent="0.25">
      <c r="A20">
        <v>17</v>
      </c>
      <c r="B20" t="s">
        <v>179</v>
      </c>
      <c r="C20" s="30">
        <f>C14-C18</f>
        <v>21279.813845258872</v>
      </c>
      <c r="D20" s="30"/>
      <c r="E20" s="30"/>
      <c r="F20" s="30"/>
    </row>
    <row r="21" spans="1:6" x14ac:dyDescent="0.25">
      <c r="A21">
        <v>18</v>
      </c>
    </row>
    <row r="22" spans="1:6" x14ac:dyDescent="0.25">
      <c r="A22">
        <v>19</v>
      </c>
      <c r="B22" t="s">
        <v>141</v>
      </c>
      <c r="C22" s="29">
        <v>40000</v>
      </c>
      <c r="D22" s="29"/>
      <c r="E22" s="29"/>
      <c r="F22" s="29"/>
    </row>
    <row r="23" spans="1:6" x14ac:dyDescent="0.25">
      <c r="A23">
        <v>20</v>
      </c>
    </row>
    <row r="24" spans="1:6" x14ac:dyDescent="0.25">
      <c r="A24">
        <v>21</v>
      </c>
      <c r="B24" t="s">
        <v>142</v>
      </c>
      <c r="C24" s="41">
        <f>C20/C22</f>
        <v>0.53199534613147181</v>
      </c>
      <c r="D24" s="41"/>
      <c r="E24" s="41"/>
      <c r="F24" s="41"/>
    </row>
    <row r="25" spans="1:6" x14ac:dyDescent="0.25">
      <c r="A25">
        <v>22</v>
      </c>
      <c r="B25" t="s">
        <v>143</v>
      </c>
      <c r="C25" s="41">
        <f>1-C24</f>
        <v>0.46800465386852819</v>
      </c>
      <c r="D25" s="41"/>
      <c r="E25" s="41"/>
      <c r="F25" s="41"/>
    </row>
    <row r="28" spans="1:6" x14ac:dyDescent="0.25">
      <c r="B28" t="s">
        <v>23</v>
      </c>
    </row>
    <row r="29" spans="1:6" x14ac:dyDescent="0.25">
      <c r="B29" t="s">
        <v>168</v>
      </c>
    </row>
    <row r="31" spans="1:6" x14ac:dyDescent="0.25">
      <c r="B31" t="s">
        <v>149</v>
      </c>
    </row>
    <row r="33" spans="2:6" x14ac:dyDescent="0.25">
      <c r="B33" t="s">
        <v>173</v>
      </c>
    </row>
    <row r="36" spans="2:6" x14ac:dyDescent="0.25">
      <c r="C36" s="37"/>
      <c r="D36" s="42"/>
      <c r="E36" s="42"/>
      <c r="F36" s="42"/>
    </row>
    <row r="37" spans="2:6" x14ac:dyDescent="0.25">
      <c r="C37" s="37"/>
      <c r="D37" s="40"/>
      <c r="E37" s="40"/>
      <c r="F37" s="40"/>
    </row>
    <row r="38" spans="2:6" x14ac:dyDescent="0.25">
      <c r="C38" s="37"/>
      <c r="D38" s="30"/>
      <c r="E38" s="30"/>
      <c r="F38" s="30"/>
    </row>
    <row r="39" spans="2:6" x14ac:dyDescent="0.25">
      <c r="C39" s="37"/>
      <c r="D39" s="30"/>
      <c r="E39" s="30"/>
      <c r="F39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5" workbookViewId="0">
      <selection activeCell="I38" sqref="I38"/>
    </sheetView>
  </sheetViews>
  <sheetFormatPr defaultRowHeight="15" x14ac:dyDescent="0.25"/>
  <cols>
    <col min="4" max="4" width="9.140625" style="26"/>
  </cols>
  <sheetData>
    <row r="1" spans="1:4" x14ac:dyDescent="0.25">
      <c r="C1" t="s">
        <v>121</v>
      </c>
      <c r="D1" s="26" t="s">
        <v>122</v>
      </c>
    </row>
    <row r="2" spans="1:4" x14ac:dyDescent="0.25">
      <c r="A2">
        <v>2014</v>
      </c>
      <c r="B2" t="s">
        <v>107</v>
      </c>
      <c r="C2">
        <v>2.5000000000000001E-2</v>
      </c>
    </row>
    <row r="3" spans="1:4" x14ac:dyDescent="0.25">
      <c r="B3" t="s">
        <v>108</v>
      </c>
      <c r="C3">
        <v>2.5000000000000001E-2</v>
      </c>
    </row>
    <row r="4" spans="1:4" x14ac:dyDescent="0.25">
      <c r="B4" t="s">
        <v>109</v>
      </c>
      <c r="C4">
        <v>3.1E-2</v>
      </c>
      <c r="D4" s="26">
        <f>AVERAGE(C2:C4)</f>
        <v>2.7E-2</v>
      </c>
    </row>
    <row r="5" spans="1:4" x14ac:dyDescent="0.25">
      <c r="B5" t="s">
        <v>110</v>
      </c>
      <c r="C5">
        <v>1.7999999999999999E-2</v>
      </c>
      <c r="D5" s="26">
        <f t="shared" ref="D5:D25" si="0">AVERAGE(C3:C5)</f>
        <v>2.4666666666666667E-2</v>
      </c>
    </row>
    <row r="6" spans="1:4" x14ac:dyDescent="0.25">
      <c r="B6" t="s">
        <v>111</v>
      </c>
      <c r="C6">
        <v>1.6E-2</v>
      </c>
      <c r="D6" s="26">
        <f t="shared" si="0"/>
        <v>2.1666666666666667E-2</v>
      </c>
    </row>
    <row r="7" spans="1:4" x14ac:dyDescent="0.25">
      <c r="B7" t="s">
        <v>112</v>
      </c>
      <c r="C7">
        <v>1.9E-2</v>
      </c>
      <c r="D7" s="26">
        <f t="shared" si="0"/>
        <v>1.7666666666666667E-2</v>
      </c>
    </row>
    <row r="8" spans="1:4" x14ac:dyDescent="0.25">
      <c r="B8" t="s">
        <v>113</v>
      </c>
      <c r="C8">
        <v>1.7999999999999999E-2</v>
      </c>
      <c r="D8" s="26">
        <f t="shared" si="0"/>
        <v>1.7666666666666667E-2</v>
      </c>
    </row>
    <row r="9" spans="1:4" x14ac:dyDescent="0.25">
      <c r="B9" t="s">
        <v>114</v>
      </c>
      <c r="C9">
        <v>1.7999999999999999E-2</v>
      </c>
      <c r="D9" s="26">
        <f t="shared" si="0"/>
        <v>1.833333333333333E-2</v>
      </c>
    </row>
    <row r="10" spans="1:4" x14ac:dyDescent="0.25">
      <c r="B10" t="s">
        <v>115</v>
      </c>
      <c r="C10">
        <v>1.7000000000000001E-2</v>
      </c>
      <c r="D10" s="26">
        <f t="shared" si="0"/>
        <v>1.7666666666666667E-2</v>
      </c>
    </row>
    <row r="11" spans="1:4" x14ac:dyDescent="0.25">
      <c r="B11" t="s">
        <v>118</v>
      </c>
      <c r="C11">
        <v>1.7000000000000001E-2</v>
      </c>
      <c r="D11" s="26">
        <f t="shared" si="0"/>
        <v>1.7333333333333336E-2</v>
      </c>
    </row>
    <row r="12" spans="1:4" x14ac:dyDescent="0.25">
      <c r="B12" t="s">
        <v>116</v>
      </c>
      <c r="C12">
        <v>1.7000000000000001E-2</v>
      </c>
      <c r="D12" s="26">
        <f t="shared" si="0"/>
        <v>1.7000000000000001E-2</v>
      </c>
    </row>
    <row r="13" spans="1:4" x14ac:dyDescent="0.25">
      <c r="B13" t="s">
        <v>117</v>
      </c>
      <c r="C13">
        <v>1.7000000000000001E-2</v>
      </c>
      <c r="D13" s="26">
        <f t="shared" si="0"/>
        <v>1.7000000000000001E-2</v>
      </c>
    </row>
    <row r="14" spans="1:4" x14ac:dyDescent="0.25">
      <c r="A14">
        <v>2015</v>
      </c>
      <c r="B14" t="s">
        <v>107</v>
      </c>
      <c r="C14">
        <v>1.9E-2</v>
      </c>
      <c r="D14" s="26">
        <f t="shared" si="0"/>
        <v>1.7666666666666667E-2</v>
      </c>
    </row>
    <row r="15" spans="1:4" x14ac:dyDescent="0.25">
      <c r="B15" t="s">
        <v>108</v>
      </c>
      <c r="C15">
        <v>2.5000000000000001E-2</v>
      </c>
      <c r="D15" s="26">
        <f t="shared" si="0"/>
        <v>2.0333333333333335E-2</v>
      </c>
    </row>
    <row r="16" spans="1:4" x14ac:dyDescent="0.25">
      <c r="B16" t="s">
        <v>109</v>
      </c>
      <c r="C16">
        <v>1.7999999999999999E-2</v>
      </c>
      <c r="D16" s="26">
        <f t="shared" si="0"/>
        <v>2.0666666666666667E-2</v>
      </c>
    </row>
    <row r="17" spans="1:4" x14ac:dyDescent="0.25">
      <c r="B17" t="s">
        <v>110</v>
      </c>
      <c r="C17">
        <v>1.6E-2</v>
      </c>
      <c r="D17" s="26">
        <f t="shared" si="0"/>
        <v>1.9666666666666666E-2</v>
      </c>
    </row>
    <row r="18" spans="1:4" x14ac:dyDescent="0.25">
      <c r="B18" t="s">
        <v>111</v>
      </c>
      <c r="C18">
        <v>1.6E-2</v>
      </c>
      <c r="D18" s="26">
        <f t="shared" si="0"/>
        <v>1.6666666666666666E-2</v>
      </c>
    </row>
    <row r="19" spans="1:4" x14ac:dyDescent="0.25">
      <c r="B19" t="s">
        <v>112</v>
      </c>
      <c r="C19">
        <v>1.4E-2</v>
      </c>
      <c r="D19" s="26">
        <f t="shared" si="0"/>
        <v>1.5333333333333332E-2</v>
      </c>
    </row>
    <row r="20" spans="1:4" x14ac:dyDescent="0.25">
      <c r="B20" t="s">
        <v>113</v>
      </c>
      <c r="C20">
        <v>1.4999999999999999E-2</v>
      </c>
      <c r="D20" s="26">
        <f t="shared" si="0"/>
        <v>1.4999999999999999E-2</v>
      </c>
    </row>
    <row r="21" spans="1:4" x14ac:dyDescent="0.25">
      <c r="B21" t="s">
        <v>114</v>
      </c>
      <c r="C21">
        <v>1.4999999999999999E-2</v>
      </c>
      <c r="D21" s="26">
        <f t="shared" si="0"/>
        <v>1.4666666666666666E-2</v>
      </c>
    </row>
    <row r="22" spans="1:4" x14ac:dyDescent="0.25">
      <c r="B22" t="s">
        <v>115</v>
      </c>
      <c r="C22">
        <v>1.6E-2</v>
      </c>
      <c r="D22" s="26">
        <f t="shared" si="0"/>
        <v>1.5333333333333332E-2</v>
      </c>
    </row>
    <row r="23" spans="1:4" x14ac:dyDescent="0.25">
      <c r="B23" t="s">
        <v>118</v>
      </c>
      <c r="C23">
        <v>1.4E-2</v>
      </c>
      <c r="D23" s="26">
        <f t="shared" si="0"/>
        <v>1.4999999999999999E-2</v>
      </c>
    </row>
    <row r="24" spans="1:4" x14ac:dyDescent="0.25">
      <c r="B24" t="s">
        <v>116</v>
      </c>
      <c r="C24">
        <v>1.6E-2</v>
      </c>
      <c r="D24" s="26">
        <f t="shared" si="0"/>
        <v>1.5333333333333332E-2</v>
      </c>
    </row>
    <row r="25" spans="1:4" x14ac:dyDescent="0.25">
      <c r="B25" t="s">
        <v>117</v>
      </c>
      <c r="C25">
        <v>1.7000000000000001E-2</v>
      </c>
      <c r="D25" s="26">
        <f t="shared" si="0"/>
        <v>1.5666666666666666E-2</v>
      </c>
    </row>
    <row r="26" spans="1:4" x14ac:dyDescent="0.25">
      <c r="A26">
        <v>2015</v>
      </c>
      <c r="B26" t="s">
        <v>123</v>
      </c>
      <c r="C26" s="27">
        <f>AVERAGE(C14:C25)</f>
        <v>1.6750000000000004E-2</v>
      </c>
    </row>
    <row r="27" spans="1:4" x14ac:dyDescent="0.25">
      <c r="B27" t="s">
        <v>119</v>
      </c>
      <c r="C27">
        <f>MAX(C14:C25)</f>
        <v>2.5000000000000001E-2</v>
      </c>
    </row>
    <row r="28" spans="1:4" x14ac:dyDescent="0.25">
      <c r="B28" t="s">
        <v>120</v>
      </c>
      <c r="C28" s="28">
        <f>MAX(D14:D25)</f>
        <v>2.0666666666666667E-2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9"/>
  <sheetViews>
    <sheetView workbookViewId="0">
      <selection activeCell="B20" sqref="B20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13</v>
      </c>
    </row>
    <row r="3" spans="1:6" x14ac:dyDescent="0.25">
      <c r="A3" t="s">
        <v>40</v>
      </c>
      <c r="B3" t="s">
        <v>144</v>
      </c>
      <c r="C3" s="32"/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169</v>
      </c>
      <c r="C5" s="26">
        <f>'LUSI Flow'!C26</f>
        <v>0.45206989247311835</v>
      </c>
      <c r="D5" s="26"/>
      <c r="E5" s="26"/>
      <c r="F5" s="26"/>
    </row>
    <row r="6" spans="1:6" x14ac:dyDescent="0.25">
      <c r="A6">
        <v>3</v>
      </c>
      <c r="B6" s="35"/>
      <c r="C6" s="29"/>
      <c r="D6" s="29"/>
      <c r="E6" s="29"/>
      <c r="F6" s="29"/>
    </row>
    <row r="7" spans="1:6" x14ac:dyDescent="0.25">
      <c r="A7">
        <v>4</v>
      </c>
      <c r="B7" t="s">
        <v>20</v>
      </c>
    </row>
    <row r="8" spans="1:6" ht="17.25" x14ac:dyDescent="0.25">
      <c r="A8">
        <v>5</v>
      </c>
      <c r="B8" s="35" t="s">
        <v>148</v>
      </c>
      <c r="C8">
        <v>3441</v>
      </c>
      <c r="D8" s="37"/>
      <c r="E8" s="37"/>
    </row>
    <row r="9" spans="1:6" ht="17.25" x14ac:dyDescent="0.25">
      <c r="A9">
        <v>6</v>
      </c>
      <c r="B9" s="35" t="s">
        <v>151</v>
      </c>
      <c r="C9" s="43">
        <f>C10/5</f>
        <v>126.2</v>
      </c>
      <c r="D9" s="37"/>
      <c r="E9" s="37"/>
    </row>
    <row r="10" spans="1:6" x14ac:dyDescent="0.25">
      <c r="A10">
        <v>7</v>
      </c>
      <c r="B10" s="35" t="s">
        <v>140</v>
      </c>
      <c r="C10">
        <v>631</v>
      </c>
    </row>
    <row r="11" spans="1:6" x14ac:dyDescent="0.25">
      <c r="A11">
        <v>8</v>
      </c>
      <c r="B11" s="35" t="s">
        <v>165</v>
      </c>
      <c r="C11" s="30">
        <f>C5*1000000/C8</f>
        <v>131.37747529006637</v>
      </c>
      <c r="D11" s="37"/>
      <c r="E11" s="37"/>
      <c r="F11" s="31"/>
    </row>
    <row r="12" spans="1:6" x14ac:dyDescent="0.25">
      <c r="A12">
        <v>9</v>
      </c>
      <c r="B12" s="35" t="s">
        <v>170</v>
      </c>
      <c r="C12" s="28">
        <f>C10*C11/1000000</f>
        <v>8.2899186908031886E-2</v>
      </c>
      <c r="D12" s="37"/>
      <c r="E12" s="37"/>
      <c r="F12" s="31"/>
    </row>
    <row r="13" spans="1:6" x14ac:dyDescent="0.25">
      <c r="A13">
        <v>10</v>
      </c>
      <c r="B13" s="35"/>
      <c r="C13" s="31"/>
      <c r="D13" s="37"/>
      <c r="E13" s="37"/>
      <c r="F13" s="31"/>
    </row>
    <row r="14" spans="1:6" x14ac:dyDescent="0.25">
      <c r="A14">
        <v>11</v>
      </c>
      <c r="B14" s="38" t="s">
        <v>167</v>
      </c>
      <c r="C14" s="28">
        <f>C5+C12</f>
        <v>0.53496907938115024</v>
      </c>
      <c r="D14" s="39"/>
      <c r="E14" s="39"/>
      <c r="F14" s="30"/>
    </row>
    <row r="15" spans="1:6" x14ac:dyDescent="0.25">
      <c r="A15">
        <v>12</v>
      </c>
    </row>
    <row r="16" spans="1:6" x14ac:dyDescent="0.25">
      <c r="A16">
        <v>13</v>
      </c>
      <c r="B16" t="s">
        <v>19</v>
      </c>
    </row>
    <row r="17" spans="1:6" x14ac:dyDescent="0.25">
      <c r="A17">
        <v>14</v>
      </c>
      <c r="B17" s="35" t="s">
        <v>137</v>
      </c>
      <c r="C17" s="29">
        <v>0</v>
      </c>
      <c r="D17" s="30"/>
      <c r="E17" s="30"/>
      <c r="F17" s="30"/>
    </row>
    <row r="18" spans="1:6" x14ac:dyDescent="0.25">
      <c r="A18">
        <v>15</v>
      </c>
      <c r="B18" s="35" t="s">
        <v>138</v>
      </c>
      <c r="C18" s="36">
        <v>0</v>
      </c>
      <c r="D18" s="36"/>
      <c r="E18" s="36"/>
      <c r="F18" s="36"/>
    </row>
    <row r="19" spans="1:6" x14ac:dyDescent="0.25">
      <c r="A19">
        <v>16</v>
      </c>
    </row>
    <row r="20" spans="1:6" x14ac:dyDescent="0.25">
      <c r="A20">
        <v>17</v>
      </c>
      <c r="B20" t="s">
        <v>179</v>
      </c>
      <c r="C20" s="28">
        <f>C14-C18</f>
        <v>0.53496907938115024</v>
      </c>
      <c r="D20" s="30"/>
      <c r="E20" s="30"/>
      <c r="F20" s="30"/>
    </row>
    <row r="21" spans="1:6" x14ac:dyDescent="0.25">
      <c r="A21">
        <v>18</v>
      </c>
    </row>
    <row r="22" spans="1:6" x14ac:dyDescent="0.25">
      <c r="A22">
        <v>19</v>
      </c>
      <c r="B22" t="s">
        <v>171</v>
      </c>
      <c r="C22" s="26">
        <v>0.999</v>
      </c>
      <c r="D22" s="29"/>
      <c r="E22" s="29"/>
      <c r="F22" s="29"/>
    </row>
    <row r="23" spans="1:6" x14ac:dyDescent="0.25">
      <c r="A23">
        <v>20</v>
      </c>
    </row>
    <row r="24" spans="1:6" x14ac:dyDescent="0.25">
      <c r="A24">
        <v>21</v>
      </c>
      <c r="B24" t="s">
        <v>142</v>
      </c>
      <c r="C24" s="41">
        <f>C20/C22</f>
        <v>0.53550458396511535</v>
      </c>
      <c r="D24" s="41"/>
      <c r="E24" s="41"/>
      <c r="F24" s="41"/>
    </row>
    <row r="25" spans="1:6" x14ac:dyDescent="0.25">
      <c r="A25">
        <v>22</v>
      </c>
      <c r="B25" t="s">
        <v>143</v>
      </c>
      <c r="C25" s="41">
        <f>1-C24</f>
        <v>0.46449541603488465</v>
      </c>
      <c r="D25" s="41"/>
      <c r="E25" s="41"/>
      <c r="F25" s="41"/>
    </row>
    <row r="28" spans="1:6" x14ac:dyDescent="0.25">
      <c r="B28" t="s">
        <v>23</v>
      </c>
    </row>
    <row r="29" spans="1:6" x14ac:dyDescent="0.25">
      <c r="B29" t="s">
        <v>168</v>
      </c>
    </row>
    <row r="31" spans="1:6" x14ac:dyDescent="0.25">
      <c r="B31" t="s">
        <v>149</v>
      </c>
    </row>
    <row r="33" spans="2:6" x14ac:dyDescent="0.25">
      <c r="B33" t="s">
        <v>173</v>
      </c>
    </row>
    <row r="36" spans="2:6" x14ac:dyDescent="0.25">
      <c r="C36" s="37"/>
      <c r="D36" s="42"/>
      <c r="E36" s="42"/>
      <c r="F36" s="42"/>
    </row>
    <row r="37" spans="2:6" x14ac:dyDescent="0.25">
      <c r="C37" s="37"/>
      <c r="D37" s="40"/>
      <c r="E37" s="40"/>
      <c r="F37" s="40"/>
    </row>
    <row r="38" spans="2:6" x14ac:dyDescent="0.25">
      <c r="C38" s="37"/>
      <c r="D38" s="30"/>
      <c r="E38" s="30"/>
      <c r="F38" s="30"/>
    </row>
    <row r="39" spans="2:6" x14ac:dyDescent="0.25">
      <c r="C39" s="37"/>
      <c r="D39" s="30"/>
      <c r="E39" s="30"/>
      <c r="F39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3" workbookViewId="0">
      <selection activeCell="C26" sqref="C26"/>
    </sheetView>
  </sheetViews>
  <sheetFormatPr defaultRowHeight="15" x14ac:dyDescent="0.25"/>
  <cols>
    <col min="4" max="4" width="9.140625" style="26"/>
  </cols>
  <sheetData>
    <row r="1" spans="1:4" x14ac:dyDescent="0.25">
      <c r="C1" t="s">
        <v>121</v>
      </c>
      <c r="D1" s="26" t="s">
        <v>122</v>
      </c>
    </row>
    <row r="2" spans="1:4" x14ac:dyDescent="0.25">
      <c r="A2">
        <v>2014</v>
      </c>
      <c r="B2" t="s">
        <v>107</v>
      </c>
      <c r="C2">
        <v>0.38400000000000001</v>
      </c>
    </row>
    <row r="3" spans="1:4" x14ac:dyDescent="0.25">
      <c r="B3" t="s">
        <v>108</v>
      </c>
      <c r="C3">
        <v>0.42199999999999999</v>
      </c>
    </row>
    <row r="4" spans="1:4" x14ac:dyDescent="0.25">
      <c r="B4" t="s">
        <v>109</v>
      </c>
      <c r="C4">
        <v>0.44400000000000001</v>
      </c>
      <c r="D4" s="26">
        <f>AVERAGE(C2:C4)</f>
        <v>0.41666666666666669</v>
      </c>
    </row>
    <row r="5" spans="1:4" x14ac:dyDescent="0.25">
      <c r="B5" t="s">
        <v>110</v>
      </c>
      <c r="C5">
        <v>0.42199999999999999</v>
      </c>
      <c r="D5" s="26">
        <f t="shared" ref="D5:D25" si="0">AVERAGE(C3:C5)</f>
        <v>0.42933333333333334</v>
      </c>
    </row>
    <row r="6" spans="1:4" x14ac:dyDescent="0.25">
      <c r="B6" t="s">
        <v>111</v>
      </c>
      <c r="C6">
        <v>0.40200000000000002</v>
      </c>
      <c r="D6" s="26">
        <f t="shared" si="0"/>
        <v>0.42266666666666669</v>
      </c>
    </row>
    <row r="7" spans="1:4" x14ac:dyDescent="0.25">
      <c r="B7" t="s">
        <v>112</v>
      </c>
      <c r="C7">
        <v>0.40400000000000003</v>
      </c>
      <c r="D7" s="26">
        <f t="shared" si="0"/>
        <v>0.40933333333333338</v>
      </c>
    </row>
    <row r="8" spans="1:4" x14ac:dyDescent="0.25">
      <c r="B8" t="s">
        <v>113</v>
      </c>
      <c r="C8">
        <v>0.42399999999999999</v>
      </c>
      <c r="D8" s="26">
        <f t="shared" si="0"/>
        <v>0.41</v>
      </c>
    </row>
    <row r="9" spans="1:4" x14ac:dyDescent="0.25">
      <c r="B9" t="s">
        <v>114</v>
      </c>
      <c r="C9">
        <v>0.41599999999999998</v>
      </c>
      <c r="D9" s="26">
        <f t="shared" si="0"/>
        <v>0.41466666666666668</v>
      </c>
    </row>
    <row r="10" spans="1:4" x14ac:dyDescent="0.25">
      <c r="B10" t="s">
        <v>115</v>
      </c>
      <c r="C10">
        <v>0.39500000000000002</v>
      </c>
      <c r="D10" s="26">
        <f t="shared" si="0"/>
        <v>0.41166666666666663</v>
      </c>
    </row>
    <row r="11" spans="1:4" x14ac:dyDescent="0.25">
      <c r="B11" t="s">
        <v>118</v>
      </c>
      <c r="C11">
        <v>0.39600000000000002</v>
      </c>
      <c r="D11" s="26">
        <f t="shared" si="0"/>
        <v>0.40233333333333327</v>
      </c>
    </row>
    <row r="12" spans="1:4" x14ac:dyDescent="0.25">
      <c r="B12" t="s">
        <v>116</v>
      </c>
      <c r="C12">
        <v>0.41099999999999998</v>
      </c>
      <c r="D12" s="26">
        <f t="shared" si="0"/>
        <v>0.40066666666666667</v>
      </c>
    </row>
    <row r="13" spans="1:4" x14ac:dyDescent="0.25">
      <c r="B13" t="s">
        <v>117</v>
      </c>
      <c r="C13">
        <v>0.44600000000000001</v>
      </c>
      <c r="D13" s="26">
        <f t="shared" si="0"/>
        <v>0.41766666666666663</v>
      </c>
    </row>
    <row r="14" spans="1:4" x14ac:dyDescent="0.25">
      <c r="A14">
        <v>2015</v>
      </c>
      <c r="B14" t="s">
        <v>107</v>
      </c>
      <c r="C14" s="27">
        <f>15.03/31</f>
        <v>0.48483870967741932</v>
      </c>
      <c r="D14" s="26">
        <f t="shared" si="0"/>
        <v>0.44727956989247314</v>
      </c>
    </row>
    <row r="15" spans="1:4" x14ac:dyDescent="0.25">
      <c r="B15" t="s">
        <v>108</v>
      </c>
      <c r="C15">
        <v>0.495</v>
      </c>
      <c r="D15" s="26">
        <f t="shared" si="0"/>
        <v>0.47527956989247305</v>
      </c>
    </row>
    <row r="16" spans="1:4" x14ac:dyDescent="0.25">
      <c r="B16" t="s">
        <v>109</v>
      </c>
      <c r="C16">
        <v>0.53100000000000003</v>
      </c>
      <c r="D16" s="26">
        <f t="shared" si="0"/>
        <v>0.50361290322580643</v>
      </c>
    </row>
    <row r="17" spans="1:4" x14ac:dyDescent="0.25">
      <c r="B17" t="s">
        <v>110</v>
      </c>
      <c r="C17">
        <v>0.45</v>
      </c>
      <c r="D17" s="26">
        <f t="shared" si="0"/>
        <v>0.49199999999999999</v>
      </c>
    </row>
    <row r="18" spans="1:4" x14ac:dyDescent="0.25">
      <c r="B18" t="s">
        <v>111</v>
      </c>
      <c r="C18">
        <v>0.40899999999999997</v>
      </c>
      <c r="D18" s="26">
        <f t="shared" si="0"/>
        <v>0.46333333333333337</v>
      </c>
    </row>
    <row r="19" spans="1:4" x14ac:dyDescent="0.25">
      <c r="B19" t="s">
        <v>112</v>
      </c>
      <c r="C19">
        <v>0.41099999999999998</v>
      </c>
      <c r="D19" s="26">
        <f t="shared" si="0"/>
        <v>0.42333333333333334</v>
      </c>
    </row>
    <row r="20" spans="1:4" x14ac:dyDescent="0.25">
      <c r="B20" t="s">
        <v>113</v>
      </c>
      <c r="C20">
        <v>0.48399999999999999</v>
      </c>
      <c r="D20" s="26">
        <f t="shared" si="0"/>
        <v>0.43466666666666659</v>
      </c>
    </row>
    <row r="21" spans="1:4" x14ac:dyDescent="0.25">
      <c r="B21" t="s">
        <v>114</v>
      </c>
      <c r="C21">
        <v>0.45</v>
      </c>
      <c r="D21" s="26">
        <f t="shared" si="0"/>
        <v>0.44833333333333331</v>
      </c>
    </row>
    <row r="22" spans="1:4" x14ac:dyDescent="0.25">
      <c r="B22" t="s">
        <v>115</v>
      </c>
      <c r="C22">
        <v>0.40799999999999997</v>
      </c>
      <c r="D22" s="26">
        <f t="shared" si="0"/>
        <v>0.44733333333333331</v>
      </c>
    </row>
    <row r="23" spans="1:4" x14ac:dyDescent="0.25">
      <c r="B23" t="s">
        <v>118</v>
      </c>
      <c r="C23">
        <v>0.442</v>
      </c>
      <c r="D23" s="26">
        <f t="shared" si="0"/>
        <v>0.43333333333333335</v>
      </c>
    </row>
    <row r="24" spans="1:4" x14ac:dyDescent="0.25">
      <c r="B24" t="s">
        <v>116</v>
      </c>
      <c r="C24">
        <v>0.47399999999999998</v>
      </c>
      <c r="D24" s="26">
        <f t="shared" si="0"/>
        <v>0.4413333333333333</v>
      </c>
    </row>
    <row r="25" spans="1:4" x14ac:dyDescent="0.25">
      <c r="B25" t="s">
        <v>117</v>
      </c>
      <c r="C25">
        <v>0.38600000000000001</v>
      </c>
      <c r="D25" s="26">
        <f t="shared" si="0"/>
        <v>0.434</v>
      </c>
    </row>
    <row r="26" spans="1:4" x14ac:dyDescent="0.25">
      <c r="A26">
        <v>2015</v>
      </c>
      <c r="B26" t="s">
        <v>123</v>
      </c>
      <c r="C26" s="27">
        <f>AVERAGE(C14:C25)</f>
        <v>0.45206989247311835</v>
      </c>
    </row>
    <row r="27" spans="1:4" x14ac:dyDescent="0.25">
      <c r="B27" t="s">
        <v>119</v>
      </c>
      <c r="C27">
        <f>MAX(C14:C25)</f>
        <v>0.53100000000000003</v>
      </c>
    </row>
    <row r="28" spans="1:4" x14ac:dyDescent="0.25">
      <c r="B28" t="s">
        <v>120</v>
      </c>
      <c r="C28" s="28">
        <f>MAX(D14:D25)</f>
        <v>0.50361290322580643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9"/>
  <sheetViews>
    <sheetView workbookViewId="0">
      <selection activeCell="B20" sqref="B20"/>
    </sheetView>
  </sheetViews>
  <sheetFormatPr defaultRowHeight="15" x14ac:dyDescent="0.25"/>
  <cols>
    <col min="2" max="2" width="59" customWidth="1"/>
    <col min="3" max="3" width="13" customWidth="1"/>
    <col min="4" max="4" width="13.28515625" bestFit="1" customWidth="1"/>
    <col min="5" max="6" width="11.5703125" bestFit="1" customWidth="1"/>
  </cols>
  <sheetData>
    <row r="2" spans="1:6" x14ac:dyDescent="0.25">
      <c r="B2" t="s">
        <v>17</v>
      </c>
    </row>
    <row r="3" spans="1:6" x14ac:dyDescent="0.25">
      <c r="A3" t="s">
        <v>40</v>
      </c>
      <c r="B3" t="s">
        <v>144</v>
      </c>
      <c r="C3" s="32"/>
      <c r="D3" s="32"/>
      <c r="E3" s="32"/>
      <c r="F3" s="32"/>
    </row>
    <row r="4" spans="1:6" ht="17.25" x14ac:dyDescent="0.25">
      <c r="A4">
        <v>1</v>
      </c>
      <c r="B4" t="s">
        <v>146</v>
      </c>
    </row>
    <row r="5" spans="1:6" x14ac:dyDescent="0.25">
      <c r="A5">
        <v>2</v>
      </c>
      <c r="B5" s="35" t="s">
        <v>169</v>
      </c>
      <c r="C5" s="26">
        <f>'Mid County Flow'!C26</f>
        <v>0.78941666666666654</v>
      </c>
      <c r="D5" s="26"/>
      <c r="E5" s="26"/>
      <c r="F5" s="26"/>
    </row>
    <row r="6" spans="1:6" x14ac:dyDescent="0.25">
      <c r="A6">
        <v>3</v>
      </c>
      <c r="B6" s="35"/>
      <c r="C6" s="29"/>
      <c r="D6" s="29"/>
      <c r="E6" s="29"/>
      <c r="F6" s="29"/>
    </row>
    <row r="7" spans="1:6" x14ac:dyDescent="0.25">
      <c r="A7">
        <v>4</v>
      </c>
      <c r="B7" t="s">
        <v>20</v>
      </c>
    </row>
    <row r="8" spans="1:6" ht="17.25" x14ac:dyDescent="0.25">
      <c r="A8">
        <v>5</v>
      </c>
      <c r="B8" s="35" t="s">
        <v>148</v>
      </c>
      <c r="C8">
        <v>2001</v>
      </c>
      <c r="D8" s="37"/>
      <c r="E8" s="37"/>
    </row>
    <row r="9" spans="1:6" ht="17.25" x14ac:dyDescent="0.25">
      <c r="A9">
        <v>6</v>
      </c>
      <c r="B9" s="35" t="s">
        <v>151</v>
      </c>
      <c r="C9" s="43">
        <f>C10/5</f>
        <v>27.2</v>
      </c>
      <c r="D9" s="37"/>
      <c r="E9" s="37"/>
    </row>
    <row r="10" spans="1:6" x14ac:dyDescent="0.25">
      <c r="A10">
        <v>7</v>
      </c>
      <c r="B10" s="35" t="s">
        <v>140</v>
      </c>
      <c r="C10">
        <v>136</v>
      </c>
    </row>
    <row r="11" spans="1:6" x14ac:dyDescent="0.25">
      <c r="A11">
        <v>8</v>
      </c>
      <c r="B11" s="35" t="s">
        <v>165</v>
      </c>
      <c r="C11" s="30">
        <f>C5*1000000/C8</f>
        <v>394.51107779443606</v>
      </c>
      <c r="D11" s="37"/>
      <c r="E11" s="37"/>
      <c r="F11" s="31"/>
    </row>
    <row r="12" spans="1:6" x14ac:dyDescent="0.25">
      <c r="A12">
        <v>9</v>
      </c>
      <c r="B12" s="35" t="s">
        <v>170</v>
      </c>
      <c r="C12" s="28">
        <f>C10*C11/1000000</f>
        <v>5.3653506580043309E-2</v>
      </c>
      <c r="D12" s="37"/>
      <c r="E12" s="37"/>
      <c r="F12" s="31"/>
    </row>
    <row r="13" spans="1:6" x14ac:dyDescent="0.25">
      <c r="A13">
        <v>10</v>
      </c>
      <c r="B13" s="35"/>
      <c r="C13" s="31"/>
      <c r="D13" s="37"/>
      <c r="E13" s="37"/>
      <c r="F13" s="31"/>
    </row>
    <row r="14" spans="1:6" x14ac:dyDescent="0.25">
      <c r="A14">
        <v>11</v>
      </c>
      <c r="B14" s="38" t="s">
        <v>167</v>
      </c>
      <c r="C14" s="28">
        <f>C5+C12</f>
        <v>0.84307017324670985</v>
      </c>
      <c r="D14" s="39"/>
      <c r="E14" s="39"/>
      <c r="F14" s="30"/>
    </row>
    <row r="15" spans="1:6" x14ac:dyDescent="0.25">
      <c r="A15">
        <v>12</v>
      </c>
    </row>
    <row r="16" spans="1:6" x14ac:dyDescent="0.25">
      <c r="A16">
        <v>13</v>
      </c>
      <c r="B16" t="s">
        <v>19</v>
      </c>
    </row>
    <row r="17" spans="1:6" x14ac:dyDescent="0.25">
      <c r="A17">
        <v>14</v>
      </c>
      <c r="B17" s="35" t="s">
        <v>137</v>
      </c>
      <c r="C17" s="29">
        <v>0</v>
      </c>
      <c r="D17" s="30"/>
      <c r="E17" s="30"/>
      <c r="F17" s="30"/>
    </row>
    <row r="18" spans="1:6" x14ac:dyDescent="0.25">
      <c r="A18">
        <v>15</v>
      </c>
      <c r="B18" s="35" t="s">
        <v>138</v>
      </c>
      <c r="C18" s="36">
        <v>0</v>
      </c>
      <c r="D18" s="36"/>
      <c r="E18" s="36"/>
      <c r="F18" s="36"/>
    </row>
    <row r="19" spans="1:6" x14ac:dyDescent="0.25">
      <c r="A19">
        <v>16</v>
      </c>
    </row>
    <row r="20" spans="1:6" x14ac:dyDescent="0.25">
      <c r="A20">
        <v>17</v>
      </c>
      <c r="B20" t="s">
        <v>179</v>
      </c>
      <c r="C20" s="28">
        <f>C14-C18</f>
        <v>0.84307017324670985</v>
      </c>
      <c r="D20" s="30"/>
      <c r="E20" s="30"/>
      <c r="F20" s="30"/>
    </row>
    <row r="21" spans="1:6" x14ac:dyDescent="0.25">
      <c r="A21">
        <v>18</v>
      </c>
    </row>
    <row r="22" spans="1:6" x14ac:dyDescent="0.25">
      <c r="A22">
        <v>19</v>
      </c>
      <c r="B22" t="s">
        <v>141</v>
      </c>
      <c r="C22" s="26">
        <v>0.9</v>
      </c>
      <c r="D22" s="29"/>
      <c r="E22" s="29"/>
      <c r="F22" s="29"/>
    </row>
    <row r="23" spans="1:6" x14ac:dyDescent="0.25">
      <c r="A23">
        <v>20</v>
      </c>
    </row>
    <row r="24" spans="1:6" x14ac:dyDescent="0.25">
      <c r="A24">
        <v>21</v>
      </c>
      <c r="B24" t="s">
        <v>142</v>
      </c>
      <c r="C24" s="41">
        <f>C20/C22</f>
        <v>0.93674463694078869</v>
      </c>
      <c r="D24" s="41"/>
      <c r="E24" s="41"/>
      <c r="F24" s="41"/>
    </row>
    <row r="25" spans="1:6" x14ac:dyDescent="0.25">
      <c r="A25">
        <v>22</v>
      </c>
      <c r="B25" t="s">
        <v>143</v>
      </c>
      <c r="C25" s="41">
        <f>1-C24</f>
        <v>6.3255363059211311E-2</v>
      </c>
      <c r="D25" s="41"/>
      <c r="E25" s="41"/>
      <c r="F25" s="41"/>
    </row>
    <row r="28" spans="1:6" x14ac:dyDescent="0.25">
      <c r="B28" t="s">
        <v>23</v>
      </c>
    </row>
    <row r="29" spans="1:6" x14ac:dyDescent="0.25">
      <c r="B29" t="s">
        <v>168</v>
      </c>
    </row>
    <row r="31" spans="1:6" x14ac:dyDescent="0.25">
      <c r="B31" t="s">
        <v>149</v>
      </c>
    </row>
    <row r="33" spans="2:6" x14ac:dyDescent="0.25">
      <c r="B33" t="s">
        <v>173</v>
      </c>
    </row>
    <row r="36" spans="2:6" x14ac:dyDescent="0.25">
      <c r="C36" s="37"/>
      <c r="D36" s="42"/>
      <c r="E36" s="42"/>
      <c r="F36" s="42"/>
    </row>
    <row r="37" spans="2:6" x14ac:dyDescent="0.25">
      <c r="C37" s="37"/>
      <c r="D37" s="40"/>
      <c r="E37" s="40"/>
      <c r="F37" s="40"/>
    </row>
    <row r="38" spans="2:6" x14ac:dyDescent="0.25">
      <c r="C38" s="37"/>
      <c r="D38" s="30"/>
      <c r="E38" s="30"/>
      <c r="F38" s="30"/>
    </row>
    <row r="39" spans="2:6" x14ac:dyDescent="0.25">
      <c r="C39" s="37"/>
      <c r="D39" s="30"/>
      <c r="E39" s="30"/>
      <c r="F3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Initial List</vt:lpstr>
      <vt:lpstr>I&amp;I template</vt:lpstr>
      <vt:lpstr>Template</vt:lpstr>
      <vt:lpstr>Crownwood</vt:lpstr>
      <vt:lpstr>Crownwood Flow</vt:lpstr>
      <vt:lpstr>LUSI 2</vt:lpstr>
      <vt:lpstr>LUSI Flow</vt:lpstr>
      <vt:lpstr>Mid County 2</vt:lpstr>
      <vt:lpstr>Mid County Flow</vt:lpstr>
      <vt:lpstr>Sandalhaven</vt:lpstr>
      <vt:lpstr>Sandalhaven Flow</vt:lpstr>
      <vt:lpstr>Lake Placid 2</vt:lpstr>
      <vt:lpstr>Lake Placid flow</vt:lpstr>
      <vt:lpstr>Labrador 2</vt:lpstr>
      <vt:lpstr>Labrador Flow</vt:lpstr>
      <vt:lpstr>Eagle Ridge 2</vt:lpstr>
      <vt:lpstr>Eagle Ridge Flow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Woodcock, Andrew</dc:creator>
  <cp:lastModifiedBy>Woodcock, Andrew</cp:lastModifiedBy>
  <dcterms:created xsi:type="dcterms:W3CDTF">2017-01-09T19:27:12Z</dcterms:created>
  <dcterms:modified xsi:type="dcterms:W3CDTF">2017-03-02T19:12:17Z</dcterms:modified>
</cp:coreProperties>
</file>