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omments1.xml" ContentType="application/vnd.openxmlformats-officedocument.spreadsheetml.comments+xml"/>
  <Override PartName="/xl/worksheets/sheet2.xml" ContentType="application/vnd.openxmlformats-officedocument.spreadsheetml.worksheet+xml"/>
  <Override PartName="/xl/comments2.xml" ContentType="application/vnd.openxmlformats-officedocument.spreadsheetml.comments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codeName="ThisWorkbook" defaultThemeVersion="124226"/>
  <bookViews>
    <workbookView xWindow="-1695" yWindow="1965" windowWidth="18195" windowHeight="5370"/>
  </bookViews>
  <sheets>
    <sheet name="WACC" sheetId="11" r:id="rId1"/>
    <sheet name="Cost_of_Debt" sheetId="9" r:id="rId2"/>
    <sheet name="Bonds" sheetId="13" r:id="rId3"/>
  </sheets>
  <definedNames>
    <definedName name="_1D_1" localSheetId="1">#REF!</definedName>
    <definedName name="_1D_1" localSheetId="0">#REF!</definedName>
    <definedName name="_1D_1">#REF!</definedName>
    <definedName name="_2PG_1" localSheetId="1">#REF!</definedName>
    <definedName name="_2PG_1" localSheetId="0">#REF!</definedName>
    <definedName name="_2PG_1">#REF!</definedName>
    <definedName name="co_name_line1" localSheetId="1">#REF!</definedName>
    <definedName name="co_name_line1" localSheetId="0">#REF!</definedName>
    <definedName name="co_name_line1">#REF!</definedName>
    <definedName name="co_name_line2" localSheetId="1">#REF!</definedName>
    <definedName name="co_name_line2" localSheetId="0">#REF!</definedName>
    <definedName name="co_name_line2">#REF!</definedName>
    <definedName name="docket_num" localSheetId="1">#REF!</definedName>
    <definedName name="docket_num" localSheetId="0">#REF!</definedName>
    <definedName name="docket_num">#REF!</definedName>
    <definedName name="HISTORICAL_YEAR_DATE" localSheetId="1">#REF!</definedName>
    <definedName name="HISTORICAL_YEAR_DATE" localSheetId="0">#REF!</definedName>
    <definedName name="HISTORICAL_YEAR_DATE">#REF!</definedName>
    <definedName name="HISTORICAL_YEAR_X" localSheetId="1">#REF!</definedName>
    <definedName name="HISTORICAL_YEAR_X" localSheetId="0">#REF!</definedName>
    <definedName name="HISTORICAL_YEAR_X">#REF!</definedName>
    <definedName name="mnth_range" localSheetId="1">#REF!</definedName>
    <definedName name="mnth_range">#REF!</definedName>
    <definedName name="PAGE_1_END" localSheetId="1">#REF!</definedName>
    <definedName name="PAGE_1_END" localSheetId="0">#REF!</definedName>
    <definedName name="PAGE_1_END">#REF!</definedName>
    <definedName name="PAGE_1_START" localSheetId="1">#REF!</definedName>
    <definedName name="PAGE_1_START" localSheetId="0">#REF!</definedName>
    <definedName name="PAGE_1_START">#REF!</definedName>
    <definedName name="_xlnm.Print_Area" localSheetId="0">WACC!$A$1:$G$39</definedName>
    <definedName name="PRIOR_YEAR_DATE" localSheetId="1">#REF!</definedName>
    <definedName name="PRIOR_YEAR_DATE" localSheetId="0">#REF!</definedName>
    <definedName name="PRIOR_YEAR_DATE">#REF!</definedName>
    <definedName name="PRIOR_YEAR_X" localSheetId="1">#REF!</definedName>
    <definedName name="PRIOR_YEAR_X" localSheetId="0">#REF!</definedName>
    <definedName name="PRIOR_YEAR_X">#REF!</definedName>
    <definedName name="SUBSEQUENT_YEAR_DATE" localSheetId="1">#REF!</definedName>
    <definedName name="SUBSEQUENT_YEAR_DATE" localSheetId="0">#REF!</definedName>
    <definedName name="SUBSEQUENT_YEAR_DATE">#REF!</definedName>
    <definedName name="SUBSEQUENT_YEAR_X" localSheetId="1">#REF!</definedName>
    <definedName name="SUBSEQUENT_YEAR_X" localSheetId="0">#REF!</definedName>
    <definedName name="SUBSEQUENT_YEAR_X">#REF!</definedName>
    <definedName name="TEST_YEAR_DATE" localSheetId="1">#REF!</definedName>
    <definedName name="TEST_YEAR_DATE" localSheetId="0">#REF!</definedName>
    <definedName name="TEST_YEAR_DATE">#REF!</definedName>
    <definedName name="TEST_YEAR_X" localSheetId="1">#REF!</definedName>
    <definedName name="TEST_YEAR_X" localSheetId="0">#REF!</definedName>
    <definedName name="TEST_YEAR_X">#REF!</definedName>
  </definedNames>
  <calcPr calcId="162913"/>
</workbook>
</file>

<file path=xl/calcChain.xml><?xml version="1.0" encoding="utf-8"?>
<calcChain xmlns="http://schemas.openxmlformats.org/spreadsheetml/2006/main">
  <c r="Q23" i="9" l="1"/>
  <c r="B19" i="13" l="1"/>
  <c r="B13" i="13"/>
  <c r="L28" i="13" l="1"/>
  <c r="M28" i="13" s="1"/>
  <c r="L27" i="13"/>
  <c r="M27" i="13" s="1"/>
  <c r="L23" i="13"/>
  <c r="L22" i="13"/>
  <c r="M22" i="13" s="1"/>
  <c r="L21" i="13"/>
  <c r="M21" i="13" s="1"/>
  <c r="L19" i="13"/>
  <c r="L18" i="13"/>
  <c r="M18" i="13" s="1"/>
  <c r="L17" i="13"/>
  <c r="M17" i="13" s="1"/>
  <c r="L16" i="13"/>
  <c r="M16" i="13" s="1"/>
  <c r="M19" i="13" s="1"/>
  <c r="B29" i="13"/>
  <c r="L26" i="13" s="1"/>
  <c r="M26" i="13" s="1"/>
  <c r="M29" i="13" s="1"/>
  <c r="B23" i="13"/>
  <c r="D36" i="11"/>
  <c r="D35" i="11"/>
  <c r="F35" i="11" s="1"/>
  <c r="M23" i="13" l="1"/>
  <c r="L29" i="13"/>
  <c r="E36" i="11"/>
  <c r="P23" i="9" l="1"/>
  <c r="O23" i="9"/>
  <c r="N23" i="9"/>
  <c r="F23" i="9" l="1"/>
  <c r="E13" i="9"/>
  <c r="E24" i="9" s="1"/>
  <c r="B3" i="9"/>
  <c r="Q13" i="9"/>
  <c r="N13" i="9" l="1"/>
  <c r="P24" i="9"/>
  <c r="P25" i="9" s="1"/>
  <c r="O24" i="9"/>
  <c r="O25" i="9" s="1"/>
  <c r="N24" i="9"/>
  <c r="N25" i="9" s="1"/>
  <c r="R13" i="9"/>
  <c r="U13" i="9"/>
  <c r="S24" i="9"/>
  <c r="T24" i="9"/>
  <c r="O13" i="9"/>
  <c r="S13" i="9"/>
  <c r="P13" i="9"/>
  <c r="T13" i="9"/>
  <c r="Q24" i="9"/>
  <c r="Q25" i="9" s="1"/>
  <c r="U24" i="9"/>
  <c r="R24" i="9"/>
  <c r="C12" i="9"/>
  <c r="L23" i="9" l="1"/>
  <c r="K23" i="9"/>
  <c r="J23" i="9"/>
  <c r="I23" i="9"/>
  <c r="H23" i="9"/>
  <c r="U23" i="9"/>
  <c r="U25" i="9" s="1"/>
  <c r="T23" i="9"/>
  <c r="T25" i="9" s="1"/>
  <c r="S23" i="9"/>
  <c r="S25" i="9" s="1"/>
  <c r="R23" i="9"/>
  <c r="R25" i="9" s="1"/>
  <c r="U19" i="9"/>
  <c r="T19" i="9"/>
  <c r="S19" i="9"/>
  <c r="N19" i="9"/>
  <c r="O19" i="9"/>
  <c r="P19" i="9"/>
  <c r="Q19" i="9"/>
  <c r="R19" i="9"/>
  <c r="G22" i="9"/>
  <c r="F22" i="9"/>
  <c r="G21" i="9"/>
  <c r="F21" i="9"/>
  <c r="H46" i="9"/>
  <c r="H45" i="9" s="1"/>
  <c r="H44" i="9" s="1"/>
  <c r="F11" i="9"/>
  <c r="F10" i="9"/>
  <c r="G11" i="9"/>
  <c r="G10" i="9"/>
  <c r="R5" i="9"/>
  <c r="G5" i="9" s="1"/>
  <c r="G23" i="9" l="1"/>
  <c r="G20" i="9"/>
  <c r="G28" i="9"/>
  <c r="R20" i="9"/>
  <c r="R18" i="9" s="1"/>
  <c r="H5" i="9"/>
  <c r="H28" i="9" s="1"/>
  <c r="F5" i="9"/>
  <c r="R3" i="9"/>
  <c r="S5" i="9"/>
  <c r="N5" i="9"/>
  <c r="H43" i="9"/>
  <c r="H42" i="9" s="1"/>
  <c r="H41" i="9" s="1"/>
  <c r="H40" i="9" s="1"/>
  <c r="H39" i="9" s="1"/>
  <c r="H36" i="9"/>
  <c r="F13" i="9" l="1"/>
  <c r="I36" i="9"/>
  <c r="U12" i="9" s="1"/>
  <c r="U14" i="9" s="1"/>
  <c r="F28" i="9"/>
  <c r="F20" i="9"/>
  <c r="N3" i="9"/>
  <c r="N20" i="9"/>
  <c r="N18" i="9" s="1"/>
  <c r="I5" i="9"/>
  <c r="I28" i="9" s="1"/>
  <c r="H20" i="9"/>
  <c r="O5" i="9"/>
  <c r="T5" i="9"/>
  <c r="S20" i="9"/>
  <c r="G12" i="9" l="1"/>
  <c r="N12" i="9"/>
  <c r="N14" i="9" s="1"/>
  <c r="O12" i="9"/>
  <c r="O14" i="9" s="1"/>
  <c r="J12" i="9"/>
  <c r="Q12" i="9"/>
  <c r="Q14" i="9" s="1"/>
  <c r="K12" i="9"/>
  <c r="S12" i="9"/>
  <c r="S14" i="9" s="1"/>
  <c r="I12" i="9"/>
  <c r="R12" i="9"/>
  <c r="R14" i="9" s="1"/>
  <c r="P12" i="9"/>
  <c r="P14" i="9" s="1"/>
  <c r="H12" i="9"/>
  <c r="T12" i="9"/>
  <c r="T14" i="9" s="1"/>
  <c r="L12" i="9"/>
  <c r="F24" i="9"/>
  <c r="F25" i="9" s="1"/>
  <c r="F12" i="9"/>
  <c r="F14" i="9" s="1"/>
  <c r="U5" i="9"/>
  <c r="U20" i="9" s="1"/>
  <c r="T20" i="9"/>
  <c r="P5" i="9"/>
  <c r="O20" i="9"/>
  <c r="J5" i="9"/>
  <c r="J28" i="9" s="1"/>
  <c r="I20" i="9"/>
  <c r="G24" i="9"/>
  <c r="G25" i="9" s="1"/>
  <c r="H24" i="9" l="1"/>
  <c r="H25" i="9" s="1"/>
  <c r="K5" i="9"/>
  <c r="K28" i="9" s="1"/>
  <c r="J20" i="9"/>
  <c r="Q5" i="9"/>
  <c r="Q20" i="9" s="1"/>
  <c r="P20" i="9"/>
  <c r="B16" i="11"/>
  <c r="F26" i="9" l="1"/>
  <c r="G26" i="9" s="1"/>
  <c r="H26" i="9" s="1"/>
  <c r="I26" i="9" s="1"/>
  <c r="J26" i="9" s="1"/>
  <c r="K26" i="9" s="1"/>
  <c r="L26" i="9" s="1"/>
  <c r="G15" i="9"/>
  <c r="H15" i="9" s="1"/>
  <c r="I15" i="9" s="1"/>
  <c r="J15" i="9" s="1"/>
  <c r="K15" i="9" s="1"/>
  <c r="L15" i="9" s="1"/>
  <c r="G13" i="9"/>
  <c r="G14" i="9" s="1"/>
  <c r="L5" i="9"/>
  <c r="K20" i="9"/>
  <c r="I24" i="9"/>
  <c r="I25" i="9" s="1"/>
  <c r="H13" i="9"/>
  <c r="F29" i="9" l="1"/>
  <c r="I13" i="9"/>
  <c r="H14" i="9"/>
  <c r="L20" i="9"/>
  <c r="L28" i="9"/>
  <c r="J24" i="9"/>
  <c r="J25" i="9" s="1"/>
  <c r="D25" i="9"/>
  <c r="J13" i="9" l="1"/>
  <c r="J14" i="9" s="1"/>
  <c r="I14" i="9"/>
  <c r="G29" i="9"/>
  <c r="K24" i="9"/>
  <c r="K25" i="9" s="1"/>
  <c r="D37" i="11"/>
  <c r="B37" i="11"/>
  <c r="D17" i="11"/>
  <c r="D9" i="11"/>
  <c r="K13" i="9" l="1"/>
  <c r="K14" i="9" s="1"/>
  <c r="F36" i="11"/>
  <c r="F37" i="11" s="1"/>
  <c r="E35" i="11"/>
  <c r="E37" i="11" s="1"/>
  <c r="E39" i="11" s="1"/>
  <c r="L24" i="9"/>
  <c r="L25" i="9" s="1"/>
  <c r="F17" i="11"/>
  <c r="E17" i="11"/>
  <c r="B18" i="11"/>
  <c r="L13" i="9" l="1"/>
  <c r="L14" i="9" s="1"/>
  <c r="H29" i="9"/>
  <c r="I29" i="9"/>
  <c r="D29" i="9" l="1"/>
  <c r="C16" i="11" s="1"/>
  <c r="D14" i="9"/>
  <c r="J29" i="9"/>
  <c r="D16" i="11" l="1"/>
  <c r="D18" i="11" s="1"/>
  <c r="K29" i="9"/>
  <c r="F16" i="11" l="1"/>
  <c r="F18" i="11" s="1"/>
  <c r="E16" i="11"/>
  <c r="E18" i="11" s="1"/>
  <c r="E20" i="11" s="1"/>
  <c r="E41" i="11" s="1"/>
  <c r="L29" i="9" l="1"/>
</calcChain>
</file>

<file path=xl/comments1.xml><?xml version="1.0" encoding="utf-8"?>
<comments xmlns="http://schemas.openxmlformats.org/spreadsheetml/2006/main">
  <authors>
    <author>Author</author>
  </authors>
  <commentList>
    <comment ref="C36" authorId="0" shapeId="0">
      <text>
        <r>
          <rPr>
            <b/>
            <sz val="8"/>
            <color indexed="81"/>
            <rFont val="Tahoma"/>
            <family val="2"/>
          </rPr>
          <t>Author:</t>
        </r>
        <r>
          <rPr>
            <sz val="8"/>
            <color indexed="81"/>
            <rFont val="Tahoma"/>
            <family val="2"/>
          </rPr>
          <t xml:space="preserve">
Per FPSC Order PSC-13-0023-S-EI dated January 14, 2013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H10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 2016 Blue Chip Financial Forecast</t>
        </r>
      </text>
    </comment>
    <comment ref="I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Jun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Sep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Feb 2017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10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11" authorId="0" shapeId="0">
      <text>
        <r>
          <rPr>
            <b/>
            <sz val="10"/>
            <color indexed="81"/>
            <rFont val="Tahoma"/>
            <family val="2"/>
          </rPr>
          <t>FPL_User:</t>
        </r>
        <r>
          <rPr>
            <sz val="10"/>
            <color indexed="81"/>
            <rFont val="Tahoma"/>
            <family val="2"/>
          </rPr>
          <t xml:space="preserve">
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1" authorId="0" shapeId="0">
      <text>
        <r>
          <rPr>
            <b/>
            <sz val="10"/>
            <color indexed="81"/>
            <rFont val="Tahoma"/>
            <family val="2"/>
          </rPr>
          <t>FPL_User:</t>
        </r>
        <r>
          <rPr>
            <sz val="10"/>
            <color indexed="81"/>
            <rFont val="Tahoma"/>
            <family val="2"/>
          </rPr>
          <t xml:space="preserve">
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K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L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N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Jun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O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Sep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P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Q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Feb 2017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T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U1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Dec 2016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H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 1, 2016  Blue Chip Financial Forecast</t>
        </r>
      </text>
    </comment>
    <comment ref="I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 1, 2016  Blue Chip Financial Forecast</t>
        </r>
      </text>
    </comment>
    <comment ref="J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 1, 2016  Blue Chip Financial Forecast</t>
        </r>
      </text>
    </comment>
    <comment ref="K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 1, 2016  Blue Chip Financial Forecast</t>
        </r>
      </text>
    </comment>
    <comment ref="L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 1, 2016  Blue Chip Financial Forecast</t>
        </r>
      </text>
    </comment>
    <comment ref="N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June 1, 2016
  Blue Chip Forecast</t>
        </r>
      </text>
    </comment>
    <comment ref="O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Sep. 1, 2016
  Blue Chip Forecast</t>
        </r>
      </text>
    </comment>
    <comment ref="P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Dec. 1, 2016
  Blue Chip Forecast</t>
        </r>
      </text>
    </comment>
    <comment ref="Q21" authorId="0" shapeId="0">
      <text>
        <r>
          <rPr>
            <b/>
            <sz val="8"/>
            <color indexed="81"/>
            <rFont val="Tahoma"/>
            <family val="2"/>
          </rPr>
          <t xml:space="preserve">FPL_User:
</t>
        </r>
        <r>
          <rPr>
            <sz val="10"/>
            <color indexed="81"/>
            <rFont val="Tahoma"/>
            <family val="2"/>
          </rPr>
          <t>From Feb 2017 Blue Chip Financial Forecast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R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 1, 2016  Blue Chip Financial Forecast</t>
        </r>
      </text>
    </comment>
    <comment ref="S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 1, 2016  Blue Chip Financial Forecast</t>
        </r>
      </text>
    </comment>
    <comment ref="T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 1, 2016  Blue Chip Financial Forecast</t>
        </r>
      </text>
    </comment>
    <comment ref="U21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From Dec 1, 2016  Blue Chip Financial Forecast</t>
        </r>
      </text>
    </comment>
  </commentList>
</comments>
</file>

<file path=xl/sharedStrings.xml><?xml version="1.0" encoding="utf-8"?>
<sst xmlns="http://schemas.openxmlformats.org/spreadsheetml/2006/main" count="134" uniqueCount="95">
  <si>
    <t>INTEREST RATE ASSUMPTIONS</t>
  </si>
  <si>
    <t>Q1</t>
  </si>
  <si>
    <t>Q2</t>
  </si>
  <si>
    <t>Q3</t>
  </si>
  <si>
    <t>Q4</t>
  </si>
  <si>
    <t>LONG TERM DEBT</t>
  </si>
  <si>
    <t>All-in Costs</t>
  </si>
  <si>
    <t>NOTES:</t>
  </si>
  <si>
    <t>FPL</t>
  </si>
  <si>
    <t>30 Year First Mortgage Bond Rates:</t>
  </si>
  <si>
    <t>Aaa</t>
  </si>
  <si>
    <t>Baa</t>
  </si>
  <si>
    <t>INTERPOLATE FPL</t>
  </si>
  <si>
    <t>A</t>
  </si>
  <si>
    <t>AAA</t>
  </si>
  <si>
    <t>AA+</t>
  </si>
  <si>
    <t>AA</t>
  </si>
  <si>
    <t>AA-</t>
  </si>
  <si>
    <t>A-</t>
  </si>
  <si>
    <t>BBB+</t>
  </si>
  <si>
    <t xml:space="preserve">BBB </t>
  </si>
  <si>
    <t>COMPOSITE INCOME TAX RATE</t>
  </si>
  <si>
    <t>SOURCE</t>
  </si>
  <si>
    <t>WEIGHT</t>
  </si>
  <si>
    <t>COST</t>
  </si>
  <si>
    <t>WTD COST</t>
  </si>
  <si>
    <t>AFTER TAX</t>
  </si>
  <si>
    <t>PRE TAX</t>
  </si>
  <si>
    <t>DEBT</t>
  </si>
  <si>
    <t>COMMON</t>
  </si>
  <si>
    <t>TOTAL</t>
  </si>
  <si>
    <t>DISCOUNT RATE/WACC:</t>
  </si>
  <si>
    <t>Aa1</t>
  </si>
  <si>
    <t>Aa2</t>
  </si>
  <si>
    <t>Aa3</t>
  </si>
  <si>
    <t>A1</t>
  </si>
  <si>
    <t>A2</t>
  </si>
  <si>
    <t>A3</t>
  </si>
  <si>
    <t>Baa1</t>
  </si>
  <si>
    <t>Baa2</t>
  </si>
  <si>
    <t>S&amp;P</t>
  </si>
  <si>
    <t>Moody's</t>
  </si>
  <si>
    <t>Actuals</t>
  </si>
  <si>
    <t>Annual Estimates</t>
  </si>
  <si>
    <t>A+</t>
  </si>
  <si>
    <t>10 Year First Mortgage Bonds</t>
  </si>
  <si>
    <t>BlueChip: Corporate Aaa</t>
  </si>
  <si>
    <t>BlueChip: Corporate Baa</t>
  </si>
  <si>
    <t>BlueChip: US Treasury, 10-yr</t>
  </si>
  <si>
    <t>FPL Spread</t>
  </si>
  <si>
    <t>Weighting of 30-yr Debt</t>
  </si>
  <si>
    <t>Weighting of 10-yr Debt</t>
  </si>
  <si>
    <t>WEIGHTED AVERAGE DEBT RATE</t>
  </si>
  <si>
    <t>FPL 10-yr Rate</t>
  </si>
  <si>
    <t xml:space="preserve"> AVERAGE</t>
  </si>
  <si>
    <t>Change</t>
  </si>
  <si>
    <t>2017 Plan</t>
  </si>
  <si>
    <t>Debt Issuance</t>
  </si>
  <si>
    <t>Date</t>
  </si>
  <si>
    <t xml:space="preserve">Amount </t>
  </si>
  <si>
    <t>Rate</t>
  </si>
  <si>
    <t>Tenor</t>
  </si>
  <si>
    <t>Notes</t>
  </si>
  <si>
    <t xml:space="preserve">Variable </t>
  </si>
  <si>
    <t>1 Yr Revolver</t>
  </si>
  <si>
    <t xml:space="preserve">Scotia - Originally term loan, reduced to $250M and amended to a revolver </t>
  </si>
  <si>
    <t>CIBC - Originally term loan converted to revolver</t>
  </si>
  <si>
    <t>3 Yr Revolver</t>
  </si>
  <si>
    <t>PNC</t>
  </si>
  <si>
    <t>SunTrust</t>
  </si>
  <si>
    <t>BB&amp;T</t>
  </si>
  <si>
    <t>30 Yr</t>
  </si>
  <si>
    <t>Tax Exempt Bond</t>
  </si>
  <si>
    <t>4Yr</t>
  </si>
  <si>
    <t>ICL Assumption of Debt</t>
  </si>
  <si>
    <t>Total</t>
  </si>
  <si>
    <t>WTD Issuance</t>
  </si>
  <si>
    <t>WTD Interest Rate</t>
  </si>
  <si>
    <t>WTD Average</t>
  </si>
  <si>
    <t>Reference: Cost of Capital in Effect for 2016</t>
  </si>
  <si>
    <t>COMMON EQUITY</t>
  </si>
  <si>
    <t>Underwriting Costs</t>
  </si>
  <si>
    <t>Bond Interpolation Table</t>
  </si>
  <si>
    <t>STATE INCOME TAX RATE</t>
  </si>
  <si>
    <t>FEDERAL INCOME TAX RATE</t>
  </si>
  <si>
    <t>AFTER-TAX WACC</t>
  </si>
  <si>
    <t>MODEL DATE:</t>
  </si>
  <si>
    <r>
      <t>WEIGHT</t>
    </r>
    <r>
      <rPr>
        <vertAlign val="superscript"/>
        <sz val="10"/>
        <color indexed="8"/>
        <rFont val="Arial"/>
        <family val="2"/>
      </rPr>
      <t>(1)</t>
    </r>
  </si>
  <si>
    <r>
      <t>COST</t>
    </r>
    <r>
      <rPr>
        <vertAlign val="superscript"/>
        <sz val="10"/>
        <color indexed="8"/>
        <rFont val="Arial"/>
        <family val="2"/>
      </rPr>
      <t>(2)</t>
    </r>
  </si>
  <si>
    <t>1)  FPL's planned capital structure can be found in MFR Schedule D-8 Projected Test Year 2017</t>
  </si>
  <si>
    <t xml:space="preserve">2)  The current allowed ROE can be found in FPSC Order 16-0560-AS-EI - Docket 160021, dated Dec. 15, 2016 </t>
  </si>
  <si>
    <t>WEIGHTED AVERAGE COST OF CAPITAL</t>
  </si>
  <si>
    <t>DBCEC 003949</t>
  </si>
  <si>
    <t>DBCEC 003950</t>
  </si>
  <si>
    <t>DBCEC 003951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</si>
</sst>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[$-409]mmm\-yy;@"/>
    <numFmt numFmtId="166" formatCode="0.0%"/>
    <numFmt numFmtId="167" formatCode="0.000%"/>
    <numFmt numFmtId="168" formatCode="_(* #,##0_);_(* \(#,##0\);_(* &quot;-&quot;??_);_(@_)"/>
    <numFmt numFmtId="169" formatCode="&quot;ESTIMATES STATED IN &quot;0&quot; DOLLARS&quot;"/>
    <numFmt numFmtId="170" formatCode="General_)"/>
    <numFmt numFmtId="171" formatCode="_(&quot;$&quot;* #,##0_);_(&quot;$&quot;* \(#,##0\);_(&quot;$&quot;* &quot;-&quot;??_);_(@_)"/>
  </numFmts>
  <fonts count="6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MS Sans Serif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color theme="1"/>
      <name val="Arial"/>
      <family val="2"/>
    </font>
    <font>
      <b/>
      <sz val="11"/>
      <color indexed="63"/>
      <name val="Calibri"/>
      <family val="2"/>
    </font>
    <font>
      <sz val="10"/>
      <color indexed="8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FF00"/>
      <name val="Arial"/>
      <family val="2"/>
    </font>
    <font>
      <sz val="10"/>
      <color indexed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0"/>
      <color rgb="FF000000"/>
      <name val="Arial"/>
      <family val="2"/>
    </font>
    <font>
      <b/>
      <sz val="10"/>
      <color indexed="8"/>
      <name val="Arial"/>
      <family val="2"/>
    </font>
    <font>
      <sz val="10"/>
      <color rgb="FF008000"/>
      <name val="Arial"/>
      <family val="2"/>
    </font>
    <font>
      <b/>
      <sz val="10"/>
      <color rgb="FF000000"/>
      <name val="Arial"/>
      <family val="2"/>
    </font>
    <font>
      <b/>
      <sz val="10"/>
      <color rgb="FF0000FF"/>
      <name val="Arial"/>
      <family val="2"/>
    </font>
    <font>
      <b/>
      <u/>
      <sz val="10"/>
      <color indexed="8"/>
      <name val="Arial"/>
      <family val="2"/>
    </font>
    <font>
      <b/>
      <sz val="10"/>
      <color rgb="FF008000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0"/>
      <color theme="1" tint="0.499984740745262"/>
      <name val="Arial"/>
      <family val="2"/>
    </font>
    <font>
      <b/>
      <sz val="10"/>
      <color theme="1" tint="0.499984740745262"/>
      <name val="Arial"/>
      <family val="2"/>
    </font>
    <font>
      <sz val="11"/>
      <color theme="1" tint="0.499984740745262"/>
      <name val="Arial"/>
      <family val="2"/>
    </font>
    <font>
      <sz val="10"/>
      <color theme="3" tint="0.3999755851924192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sz val="10"/>
      <color indexed="81"/>
      <name val="Tahoma"/>
      <family val="2"/>
    </font>
    <font>
      <b/>
      <sz val="10"/>
      <color indexed="81"/>
      <name val="Tahoma"/>
      <family val="2"/>
    </font>
    <font>
      <b/>
      <sz val="8"/>
      <color rgb="FF000000"/>
      <name val="Arial"/>
      <family val="2"/>
    </font>
    <font>
      <b/>
      <i/>
      <sz val="10"/>
      <color indexed="8"/>
      <name val="Arial"/>
      <family val="2"/>
    </font>
    <font>
      <i/>
      <sz val="10"/>
      <name val="Arial"/>
      <family val="2"/>
    </font>
    <font>
      <i/>
      <sz val="10"/>
      <color indexed="8"/>
      <name val="Arial"/>
      <family val="2"/>
    </font>
    <font>
      <i/>
      <sz val="10"/>
      <color rgb="FF0000FF"/>
      <name val="Arial"/>
      <family val="2"/>
    </font>
    <font>
      <i/>
      <sz val="10"/>
      <color rgb="FF000000"/>
      <name val="Arial"/>
      <family val="2"/>
    </font>
    <font>
      <i/>
      <sz val="10"/>
      <color indexed="12"/>
      <name val="Arial"/>
      <family val="2"/>
    </font>
    <font>
      <vertAlign val="superscript"/>
      <sz val="10"/>
      <color indexed="8"/>
      <name val="Arial"/>
      <family val="2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8" tint="0.7999816888943144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9" fontId="2" fillId="0" borderId="0" applyFont="0" applyFill="0" applyBorder="0" applyAlignment="0" applyProtection="0"/>
    <xf numFmtId="0" fontId="4" fillId="0" borderId="0"/>
    <xf numFmtId="0" fontId="9" fillId="0" borderId="0"/>
    <xf numFmtId="9" fontId="4" fillId="0" borderId="0" applyFont="0" applyFill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10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5" borderId="0" applyNumberFormat="0" applyBorder="0" applyAlignment="0" applyProtection="0"/>
    <xf numFmtId="0" fontId="11" fillId="16" borderId="0" applyNumberFormat="0" applyBorder="0" applyAlignment="0" applyProtection="0"/>
    <xf numFmtId="0" fontId="11" fillId="17" borderId="0" applyNumberFormat="0" applyBorder="0" applyAlignment="0" applyProtection="0"/>
    <xf numFmtId="0" fontId="11" fillId="18" borderId="0" applyNumberFormat="0" applyBorder="0" applyAlignment="0" applyProtection="0"/>
    <xf numFmtId="0" fontId="11" fillId="13" borderId="0" applyNumberFormat="0" applyBorder="0" applyAlignment="0" applyProtection="0"/>
    <xf numFmtId="0" fontId="11" fillId="14" borderId="0" applyNumberFormat="0" applyBorder="0" applyAlignment="0" applyProtection="0"/>
    <xf numFmtId="0" fontId="11" fillId="19" borderId="0" applyNumberFormat="0" applyBorder="0" applyAlignment="0" applyProtection="0"/>
    <xf numFmtId="0" fontId="12" fillId="3" borderId="0" applyNumberFormat="0" applyBorder="0" applyAlignment="0" applyProtection="0"/>
    <xf numFmtId="0" fontId="13" fillId="20" borderId="6" applyNumberFormat="0" applyAlignment="0" applyProtection="0"/>
    <xf numFmtId="0" fontId="14" fillId="21" borderId="7" applyNumberFormat="0" applyAlignment="0" applyProtection="0"/>
    <xf numFmtId="40" fontId="15" fillId="0" borderId="0" applyFont="0" applyFill="0" applyBorder="0" applyAlignment="0" applyProtection="0"/>
    <xf numFmtId="43" fontId="4" fillId="0" borderId="0" applyFont="0" applyFill="0" applyBorder="0" applyAlignment="0" applyProtection="0"/>
    <xf numFmtId="8" fontId="15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4" borderId="0" applyNumberFormat="0" applyBorder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20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6" applyNumberFormat="0" applyAlignment="0" applyProtection="0"/>
    <xf numFmtId="0" fontId="22" fillId="0" borderId="11" applyNumberFormat="0" applyFill="0" applyAlignment="0" applyProtection="0"/>
    <xf numFmtId="0" fontId="23" fillId="22" borderId="0" applyNumberFormat="0" applyBorder="0" applyAlignment="0" applyProtection="0"/>
    <xf numFmtId="0" fontId="15" fillId="0" borderId="0"/>
    <xf numFmtId="0" fontId="4" fillId="0" borderId="0"/>
    <xf numFmtId="0" fontId="4" fillId="0" borderId="0"/>
    <xf numFmtId="0" fontId="24" fillId="0" borderId="0"/>
    <xf numFmtId="0" fontId="4" fillId="0" borderId="0"/>
    <xf numFmtId="0" fontId="4" fillId="0" borderId="0"/>
    <xf numFmtId="0" fontId="4" fillId="23" borderId="12" applyNumberFormat="0" applyFont="0" applyAlignment="0" applyProtection="0"/>
    <xf numFmtId="0" fontId="25" fillId="20" borderId="13" applyNumberFormat="0" applyAlignment="0" applyProtection="0"/>
    <xf numFmtId="9" fontId="15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14" applyNumberFormat="0" applyFill="0" applyAlignment="0" applyProtection="0"/>
    <xf numFmtId="0" fontId="29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4" fillId="0" borderId="0"/>
    <xf numFmtId="9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5">
    <xf numFmtId="0" fontId="0" fillId="0" borderId="0" xfId="0"/>
    <xf numFmtId="10" fontId="5" fillId="0" borderId="1" xfId="0" applyNumberFormat="1" applyFont="1" applyBorder="1" applyAlignment="1">
      <alignment horizontal="center"/>
    </xf>
    <xf numFmtId="10" fontId="5" fillId="0" borderId="0" xfId="0" applyNumberFormat="1" applyFont="1" applyAlignment="1">
      <alignment horizontal="center"/>
    </xf>
    <xf numFmtId="10" fontId="5" fillId="0" borderId="0" xfId="3" applyNumberFormat="1" applyFont="1" applyAlignment="1">
      <alignment horizontal="center"/>
    </xf>
    <xf numFmtId="0" fontId="4" fillId="0" borderId="0" xfId="44" quotePrefix="1" applyFont="1" applyAlignment="1">
      <alignment horizontal="right"/>
    </xf>
    <xf numFmtId="166" fontId="31" fillId="0" borderId="18" xfId="44" applyNumberFormat="1" applyFont="1" applyBorder="1"/>
    <xf numFmtId="0" fontId="4" fillId="0" borderId="0" xfId="45" applyFont="1"/>
    <xf numFmtId="10" fontId="3" fillId="0" borderId="0" xfId="44" applyNumberFormat="1" applyFont="1" applyFill="1" applyBorder="1" applyProtection="1"/>
    <xf numFmtId="0" fontId="6" fillId="0" borderId="0" xfId="44" applyFont="1" applyBorder="1" applyAlignment="1">
      <alignment wrapText="1"/>
    </xf>
    <xf numFmtId="15" fontId="4" fillId="0" borderId="0" xfId="45" applyNumberFormat="1" applyFont="1"/>
    <xf numFmtId="0" fontId="4" fillId="0" borderId="0" xfId="45" applyFont="1" applyAlignment="1">
      <alignment wrapText="1"/>
    </xf>
    <xf numFmtId="0" fontId="26" fillId="0" borderId="0" xfId="44" quotePrefix="1" applyFont="1" applyAlignment="1">
      <alignment horizontal="right"/>
    </xf>
    <xf numFmtId="0" fontId="26" fillId="0" borderId="18" xfId="44" applyFont="1" applyBorder="1" applyAlignment="1">
      <alignment horizontal="right"/>
    </xf>
    <xf numFmtId="10" fontId="34" fillId="0" borderId="0" xfId="44" applyNumberFormat="1" applyFont="1" applyFill="1" applyProtection="1"/>
    <xf numFmtId="10" fontId="36" fillId="0" borderId="0" xfId="44" applyNumberFormat="1" applyFont="1" applyFill="1" applyProtection="1"/>
    <xf numFmtId="10" fontId="34" fillId="0" borderId="0" xfId="44" applyNumberFormat="1" applyFont="1" applyProtection="1"/>
    <xf numFmtId="10" fontId="34" fillId="0" borderId="18" xfId="44" applyNumberFormat="1" applyFont="1" applyFill="1" applyBorder="1" applyProtection="1"/>
    <xf numFmtId="10" fontId="34" fillId="0" borderId="18" xfId="44" applyNumberFormat="1" applyFont="1" applyBorder="1" applyProtection="1"/>
    <xf numFmtId="10" fontId="5" fillId="0" borderId="18" xfId="44" applyNumberFormat="1" applyFont="1" applyFill="1" applyBorder="1" applyProtection="1"/>
    <xf numFmtId="0" fontId="26" fillId="0" borderId="0" xfId="3" applyFont="1" applyFill="1" applyAlignment="1">
      <alignment horizontal="center"/>
    </xf>
    <xf numFmtId="0" fontId="37" fillId="0" borderId="0" xfId="3" applyFont="1" applyFill="1" applyAlignment="1">
      <alignment horizontal="center"/>
    </xf>
    <xf numFmtId="0" fontId="3" fillId="0" borderId="0" xfId="3" applyFont="1" applyFill="1" applyAlignment="1">
      <alignment horizontal="center"/>
    </xf>
    <xf numFmtId="0" fontId="30" fillId="0" borderId="0" xfId="3" applyFont="1" applyFill="1" applyAlignment="1">
      <alignment horizontal="center"/>
    </xf>
    <xf numFmtId="165" fontId="26" fillId="0" borderId="0" xfId="3" applyNumberFormat="1" applyFont="1" applyFill="1" applyAlignment="1">
      <alignment horizontal="center"/>
    </xf>
    <xf numFmtId="10" fontId="5" fillId="0" borderId="0" xfId="3" applyNumberFormat="1" applyFont="1" applyFill="1" applyAlignment="1">
      <alignment horizontal="center"/>
    </xf>
    <xf numFmtId="10" fontId="37" fillId="0" borderId="0" xfId="3" applyNumberFormat="1" applyFont="1" applyFill="1" applyAlignment="1">
      <alignment horizontal="center"/>
    </xf>
    <xf numFmtId="10" fontId="34" fillId="0" borderId="0" xfId="3" applyNumberFormat="1" applyFont="1" applyFill="1" applyAlignment="1">
      <alignment horizontal="center"/>
    </xf>
    <xf numFmtId="10" fontId="37" fillId="0" borderId="0" xfId="3" applyNumberFormat="1" applyFont="1" applyFill="1" applyBorder="1" applyAlignment="1">
      <alignment horizontal="center"/>
    </xf>
    <xf numFmtId="0" fontId="4" fillId="0" borderId="0" xfId="3" applyFont="1" applyFill="1" applyAlignment="1">
      <alignment horizontal="center"/>
    </xf>
    <xf numFmtId="10" fontId="34" fillId="0" borderId="0" xfId="3" applyNumberFormat="1" applyFont="1" applyFill="1" applyBorder="1" applyAlignment="1">
      <alignment horizontal="center"/>
    </xf>
    <xf numFmtId="0" fontId="4" fillId="0" borderId="0" xfId="3" applyFont="1" applyFill="1" applyBorder="1" applyAlignment="1">
      <alignment horizontal="center"/>
    </xf>
    <xf numFmtId="0" fontId="26" fillId="0" borderId="0" xfId="3" applyFont="1" applyFill="1" applyBorder="1" applyAlignment="1">
      <alignment horizontal="center"/>
    </xf>
    <xf numFmtId="10" fontId="5" fillId="0" borderId="0" xfId="3" applyNumberFormat="1" applyFont="1" applyFill="1" applyBorder="1" applyAlignment="1">
      <alignment horizontal="center"/>
    </xf>
    <xf numFmtId="0" fontId="26" fillId="0" borderId="4" xfId="3" applyFont="1" applyFill="1" applyBorder="1" applyAlignment="1">
      <alignment horizontal="center"/>
    </xf>
    <xf numFmtId="0" fontId="26" fillId="0" borderId="24" xfId="3" applyFont="1" applyFill="1" applyBorder="1" applyAlignment="1">
      <alignment horizontal="center"/>
    </xf>
    <xf numFmtId="0" fontId="37" fillId="0" borderId="24" xfId="3" applyFont="1" applyFill="1" applyBorder="1" applyAlignment="1">
      <alignment horizontal="center"/>
    </xf>
    <xf numFmtId="10" fontId="34" fillId="0" borderId="24" xfId="3" applyNumberFormat="1" applyFont="1" applyFill="1" applyBorder="1" applyAlignment="1">
      <alignment horizontal="center"/>
    </xf>
    <xf numFmtId="10" fontId="5" fillId="0" borderId="24" xfId="3" applyNumberFormat="1" applyFont="1" applyFill="1" applyBorder="1" applyAlignment="1">
      <alignment horizontal="center"/>
    </xf>
    <xf numFmtId="10" fontId="37" fillId="0" borderId="26" xfId="3" applyNumberFormat="1" applyFont="1" applyFill="1" applyBorder="1" applyAlignment="1">
      <alignment horizontal="center"/>
    </xf>
    <xf numFmtId="0" fontId="37" fillId="0" borderId="1" xfId="3" applyFont="1" applyFill="1" applyBorder="1" applyAlignment="1">
      <alignment horizontal="center"/>
    </xf>
    <xf numFmtId="0" fontId="37" fillId="0" borderId="25" xfId="3" applyFont="1" applyFill="1" applyBorder="1" applyAlignment="1">
      <alignment horizontal="center"/>
    </xf>
    <xf numFmtId="0" fontId="40" fillId="0" borderId="1" xfId="3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/>
    </xf>
    <xf numFmtId="0" fontId="4" fillId="0" borderId="0" xfId="3" applyFont="1" applyFill="1" applyAlignment="1"/>
    <xf numFmtId="0" fontId="3" fillId="0" borderId="21" xfId="3" applyFont="1" applyFill="1" applyBorder="1" applyAlignment="1">
      <alignment horizontal="centerContinuous"/>
    </xf>
    <xf numFmtId="0" fontId="3" fillId="0" borderId="22" xfId="3" applyFont="1" applyFill="1" applyBorder="1" applyAlignment="1">
      <alignment horizontal="centerContinuous"/>
    </xf>
    <xf numFmtId="0" fontId="3" fillId="0" borderId="23" xfId="3" applyFont="1" applyFill="1" applyBorder="1" applyAlignment="1">
      <alignment horizontal="centerContinuous"/>
    </xf>
    <xf numFmtId="10" fontId="37" fillId="0" borderId="27" xfId="3" applyNumberFormat="1" applyFont="1" applyFill="1" applyBorder="1" applyAlignment="1">
      <alignment horizontal="center"/>
    </xf>
    <xf numFmtId="10" fontId="37" fillId="0" borderId="28" xfId="3" applyNumberFormat="1" applyFont="1" applyFill="1" applyBorder="1" applyAlignment="1">
      <alignment horizontal="center"/>
    </xf>
    <xf numFmtId="10" fontId="26" fillId="0" borderId="0" xfId="3" applyNumberFormat="1" applyFont="1" applyFill="1" applyBorder="1" applyAlignment="1">
      <alignment horizontal="center"/>
    </xf>
    <xf numFmtId="0" fontId="26" fillId="0" borderId="30" xfId="3" applyFont="1" applyFill="1" applyBorder="1" applyAlignment="1">
      <alignment horizontal="center"/>
    </xf>
    <xf numFmtId="166" fontId="26" fillId="0" borderId="4" xfId="3" applyNumberFormat="1" applyFont="1" applyFill="1" applyBorder="1" applyAlignment="1">
      <alignment horizontal="center"/>
    </xf>
    <xf numFmtId="0" fontId="26" fillId="0" borderId="33" xfId="3" applyFont="1" applyFill="1" applyBorder="1" applyAlignment="1">
      <alignment horizontal="center"/>
    </xf>
    <xf numFmtId="0" fontId="37" fillId="0" borderId="34" xfId="3" applyFont="1" applyFill="1" applyBorder="1" applyAlignment="1">
      <alignment horizontal="center"/>
    </xf>
    <xf numFmtId="0" fontId="3" fillId="0" borderId="33" xfId="3" applyFont="1" applyFill="1" applyBorder="1" applyAlignment="1">
      <alignment horizontal="center"/>
    </xf>
    <xf numFmtId="0" fontId="30" fillId="0" borderId="33" xfId="3" applyFont="1" applyFill="1" applyBorder="1" applyAlignment="1">
      <alignment horizontal="center"/>
    </xf>
    <xf numFmtId="10" fontId="34" fillId="0" borderId="33" xfId="3" applyNumberFormat="1" applyFont="1" applyFill="1" applyBorder="1" applyAlignment="1">
      <alignment horizontal="center"/>
    </xf>
    <xf numFmtId="10" fontId="37" fillId="0" borderId="35" xfId="3" applyNumberFormat="1" applyFont="1" applyFill="1" applyBorder="1" applyAlignment="1">
      <alignment horizontal="center"/>
    </xf>
    <xf numFmtId="10" fontId="37" fillId="0" borderId="36" xfId="3" applyNumberFormat="1" applyFont="1" applyFill="1" applyBorder="1" applyAlignment="1">
      <alignment horizontal="center"/>
    </xf>
    <xf numFmtId="0" fontId="37" fillId="0" borderId="0" xfId="3" applyFont="1" applyFill="1" applyBorder="1" applyAlignment="1">
      <alignment horizontal="center"/>
    </xf>
    <xf numFmtId="165" fontId="26" fillId="0" borderId="0" xfId="3" applyNumberFormat="1" applyFont="1" applyFill="1" applyBorder="1" applyAlignment="1">
      <alignment horizontal="center"/>
    </xf>
    <xf numFmtId="0" fontId="3" fillId="0" borderId="24" xfId="3" applyFont="1" applyFill="1" applyBorder="1" applyAlignment="1">
      <alignment horizontal="center"/>
    </xf>
    <xf numFmtId="0" fontId="30" fillId="0" borderId="24" xfId="3" applyFont="1" applyFill="1" applyBorder="1" applyAlignment="1">
      <alignment horizontal="center"/>
    </xf>
    <xf numFmtId="0" fontId="5" fillId="0" borderId="17" xfId="3" applyFont="1" applyFill="1" applyBorder="1" applyAlignment="1">
      <alignment horizontal="center"/>
    </xf>
    <xf numFmtId="0" fontId="37" fillId="24" borderId="0" xfId="3" applyFont="1" applyFill="1" applyAlignment="1">
      <alignment horizontal="center"/>
    </xf>
    <xf numFmtId="165" fontId="26" fillId="24" borderId="0" xfId="3" applyNumberFormat="1" applyFont="1" applyFill="1" applyAlignment="1">
      <alignment horizontal="center"/>
    </xf>
    <xf numFmtId="0" fontId="38" fillId="0" borderId="30" xfId="3" applyFont="1" applyFill="1" applyBorder="1" applyAlignment="1"/>
    <xf numFmtId="0" fontId="3" fillId="0" borderId="0" xfId="3" applyFont="1" applyFill="1" applyAlignment="1"/>
    <xf numFmtId="0" fontId="26" fillId="0" borderId="30" xfId="3" applyFont="1" applyFill="1" applyBorder="1" applyAlignment="1"/>
    <xf numFmtId="0" fontId="30" fillId="0" borderId="0" xfId="3" applyFont="1" applyFill="1" applyAlignment="1"/>
    <xf numFmtId="0" fontId="3" fillId="0" borderId="32" xfId="3" applyFont="1" applyFill="1" applyBorder="1" applyAlignment="1">
      <alignment horizontal="center"/>
    </xf>
    <xf numFmtId="0" fontId="41" fillId="0" borderId="0" xfId="0" applyFont="1" applyFill="1" applyBorder="1" applyAlignment="1">
      <alignment horizontal="center"/>
    </xf>
    <xf numFmtId="0" fontId="41" fillId="0" borderId="0" xfId="0" applyFont="1" applyFill="1" applyAlignment="1">
      <alignment horizontal="center"/>
    </xf>
    <xf numFmtId="10" fontId="41" fillId="0" borderId="0" xfId="4" applyNumberFormat="1" applyFont="1" applyFill="1" applyAlignment="1">
      <alignment horizontal="center"/>
    </xf>
    <xf numFmtId="0" fontId="41" fillId="24" borderId="0" xfId="0" applyFont="1" applyFill="1" applyAlignment="1">
      <alignment horizontal="center"/>
    </xf>
    <xf numFmtId="168" fontId="43" fillId="0" borderId="0" xfId="58" applyNumberFormat="1" applyFont="1" applyAlignment="1">
      <alignment horizontal="center"/>
    </xf>
    <xf numFmtId="0" fontId="41" fillId="0" borderId="0" xfId="0" applyFont="1" applyAlignment="1">
      <alignment horizontal="center" wrapText="1"/>
    </xf>
    <xf numFmtId="168" fontId="43" fillId="0" borderId="0" xfId="58" applyNumberFormat="1" applyFont="1" applyAlignment="1"/>
    <xf numFmtId="168" fontId="42" fillId="0" borderId="0" xfId="58" applyNumberFormat="1" applyFont="1" applyAlignment="1"/>
    <xf numFmtId="0" fontId="35" fillId="0" borderId="0" xfId="3" applyFont="1" applyFill="1" applyAlignment="1"/>
    <xf numFmtId="0" fontId="4" fillId="0" borderId="1" xfId="3" applyFont="1" applyFill="1" applyBorder="1" applyAlignment="1"/>
    <xf numFmtId="0" fontId="4" fillId="0" borderId="33" xfId="3" applyFont="1" applyFill="1" applyBorder="1" applyAlignment="1"/>
    <xf numFmtId="0" fontId="4" fillId="0" borderId="24" xfId="3" applyFont="1" applyFill="1" applyBorder="1" applyAlignment="1"/>
    <xf numFmtId="0" fontId="4" fillId="0" borderId="0" xfId="3" applyFont="1" applyFill="1" applyBorder="1" applyAlignment="1"/>
    <xf numFmtId="0" fontId="4" fillId="24" borderId="0" xfId="3" applyFont="1" applyFill="1" applyAlignment="1"/>
    <xf numFmtId="0" fontId="26" fillId="0" borderId="0" xfId="3" applyFont="1" applyFill="1" applyAlignment="1"/>
    <xf numFmtId="0" fontId="39" fillId="0" borderId="0" xfId="3" applyFont="1" applyFill="1" applyAlignment="1"/>
    <xf numFmtId="15" fontId="4" fillId="0" borderId="0" xfId="3" applyNumberFormat="1" applyFont="1" applyFill="1" applyAlignment="1"/>
    <xf numFmtId="10" fontId="42" fillId="0" borderId="0" xfId="4" applyNumberFormat="1" applyFont="1" applyFill="1" applyAlignment="1"/>
    <xf numFmtId="166" fontId="26" fillId="0" borderId="0" xfId="3" applyNumberFormat="1" applyFont="1" applyFill="1" applyBorder="1" applyAlignment="1"/>
    <xf numFmtId="167" fontId="4" fillId="0" borderId="0" xfId="3" applyNumberFormat="1" applyFont="1" applyFill="1" applyBorder="1" applyAlignment="1"/>
    <xf numFmtId="0" fontId="41" fillId="0" borderId="0" xfId="0" applyFont="1" applyAlignment="1">
      <alignment horizontal="left"/>
    </xf>
    <xf numFmtId="0" fontId="42" fillId="0" borderId="0" xfId="0" applyFont="1" applyAlignment="1"/>
    <xf numFmtId="0" fontId="43" fillId="0" borderId="0" xfId="0" applyFont="1" applyAlignment="1"/>
    <xf numFmtId="0" fontId="3" fillId="0" borderId="2" xfId="3" applyFont="1" applyFill="1" applyBorder="1" applyAlignment="1">
      <alignment horizontal="center" wrapText="1"/>
    </xf>
    <xf numFmtId="0" fontId="3" fillId="0" borderId="2" xfId="3" applyFont="1" applyFill="1" applyBorder="1" applyAlignment="1">
      <alignment horizontal="center"/>
    </xf>
    <xf numFmtId="10" fontId="44" fillId="24" borderId="0" xfId="3" applyNumberFormat="1" applyFont="1" applyFill="1" applyAlignment="1">
      <alignment horizontal="center"/>
    </xf>
    <xf numFmtId="10" fontId="45" fillId="24" borderId="27" xfId="3" applyNumberFormat="1" applyFont="1" applyFill="1" applyBorder="1" applyAlignment="1">
      <alignment horizontal="center"/>
    </xf>
    <xf numFmtId="10" fontId="45" fillId="24" borderId="2" xfId="3" applyNumberFormat="1" applyFont="1" applyFill="1" applyBorder="1" applyAlignment="1">
      <alignment horizontal="center"/>
    </xf>
    <xf numFmtId="0" fontId="44" fillId="0" borderId="0" xfId="3" applyFont="1" applyFill="1" applyAlignment="1"/>
    <xf numFmtId="0" fontId="45" fillId="0" borderId="22" xfId="3" applyFont="1" applyFill="1" applyBorder="1" applyAlignment="1">
      <alignment horizontal="centerContinuous"/>
    </xf>
    <xf numFmtId="0" fontId="46" fillId="24" borderId="0" xfId="0" applyFont="1" applyFill="1" applyAlignment="1">
      <alignment horizontal="center"/>
    </xf>
    <xf numFmtId="0" fontId="44" fillId="24" borderId="0" xfId="3" applyFont="1" applyFill="1" applyAlignment="1"/>
    <xf numFmtId="0" fontId="45" fillId="24" borderId="1" xfId="0" applyFont="1" applyFill="1" applyBorder="1" applyAlignment="1">
      <alignment horizontal="center"/>
    </xf>
    <xf numFmtId="0" fontId="45" fillId="24" borderId="2" xfId="3" applyFont="1" applyFill="1" applyBorder="1" applyAlignment="1">
      <alignment horizontal="center"/>
    </xf>
    <xf numFmtId="10" fontId="45" fillId="24" borderId="36" xfId="3" applyNumberFormat="1" applyFont="1" applyFill="1" applyBorder="1" applyAlignment="1">
      <alignment horizontal="center"/>
    </xf>
    <xf numFmtId="10" fontId="47" fillId="24" borderId="0" xfId="0" applyNumberFormat="1" applyFont="1" applyFill="1" applyAlignment="1">
      <alignment horizontal="center"/>
    </xf>
    <xf numFmtId="10" fontId="47" fillId="24" borderId="1" xfId="0" applyNumberFormat="1" applyFont="1" applyFill="1" applyBorder="1" applyAlignment="1">
      <alignment horizontal="center"/>
    </xf>
    <xf numFmtId="10" fontId="47" fillId="24" borderId="0" xfId="3" applyNumberFormat="1" applyFont="1" applyFill="1" applyAlignment="1">
      <alignment horizontal="center"/>
    </xf>
    <xf numFmtId="10" fontId="47" fillId="24" borderId="0" xfId="3" applyNumberFormat="1" applyFont="1" applyFill="1" applyBorder="1" applyAlignment="1">
      <alignment horizontal="center"/>
    </xf>
    <xf numFmtId="0" fontId="4" fillId="0" borderId="30" xfId="3" applyFont="1" applyFill="1" applyBorder="1" applyAlignment="1"/>
    <xf numFmtId="0" fontId="5" fillId="0" borderId="0" xfId="3" applyFont="1" applyFill="1" applyAlignment="1">
      <alignment horizontal="center"/>
    </xf>
    <xf numFmtId="14" fontId="40" fillId="0" borderId="0" xfId="3" applyNumberFormat="1" applyFont="1" applyFill="1" applyAlignment="1">
      <alignment horizontal="left"/>
    </xf>
    <xf numFmtId="0" fontId="4" fillId="0" borderId="0" xfId="44" applyFont="1"/>
    <xf numFmtId="10" fontId="4" fillId="0" borderId="0" xfId="4" applyNumberFormat="1" applyFont="1"/>
    <xf numFmtId="167" fontId="34" fillId="0" borderId="0" xfId="4" applyNumberFormat="1" applyFont="1"/>
    <xf numFmtId="10" fontId="4" fillId="0" borderId="2" xfId="3" applyNumberFormat="1" applyFont="1" applyFill="1" applyBorder="1" applyAlignment="1"/>
    <xf numFmtId="0" fontId="48" fillId="0" borderId="0" xfId="61" applyFont="1"/>
    <xf numFmtId="0" fontId="1" fillId="0" borderId="0" xfId="61"/>
    <xf numFmtId="0" fontId="49" fillId="0" borderId="0" xfId="61" applyFont="1" applyAlignment="1">
      <alignment horizontal="center"/>
    </xf>
    <xf numFmtId="17" fontId="1" fillId="0" borderId="0" xfId="61" applyNumberFormat="1" applyFont="1" applyAlignment="1">
      <alignment horizontal="center"/>
    </xf>
    <xf numFmtId="171" fontId="0" fillId="0" borderId="0" xfId="62" applyNumberFormat="1" applyFont="1"/>
    <xf numFmtId="0" fontId="1" fillId="0" borderId="0" xfId="61" applyFont="1" applyAlignment="1">
      <alignment horizontal="center"/>
    </xf>
    <xf numFmtId="0" fontId="1" fillId="0" borderId="0" xfId="61" applyAlignment="1">
      <alignment horizontal="center"/>
    </xf>
    <xf numFmtId="171" fontId="0" fillId="0" borderId="37" xfId="62" applyNumberFormat="1" applyFont="1" applyBorder="1"/>
    <xf numFmtId="17" fontId="1" fillId="0" borderId="0" xfId="61" applyNumberFormat="1"/>
    <xf numFmtId="10" fontId="0" fillId="0" borderId="0" xfId="63" applyNumberFormat="1" applyFont="1" applyAlignment="1">
      <alignment horizontal="center"/>
    </xf>
    <xf numFmtId="171" fontId="1" fillId="0" borderId="37" xfId="61" applyNumberFormat="1" applyBorder="1"/>
    <xf numFmtId="166" fontId="1" fillId="0" borderId="0" xfId="1" applyNumberFormat="1" applyFont="1"/>
    <xf numFmtId="0" fontId="1" fillId="0" borderId="0" xfId="61" applyAlignment="1">
      <alignment horizontal="center" wrapText="1"/>
    </xf>
    <xf numFmtId="166" fontId="1" fillId="0" borderId="0" xfId="1" applyNumberFormat="1" applyFont="1" applyBorder="1"/>
    <xf numFmtId="166" fontId="1" fillId="0" borderId="27" xfId="1" applyNumberFormat="1" applyFont="1" applyFill="1" applyBorder="1"/>
    <xf numFmtId="10" fontId="1" fillId="0" borderId="27" xfId="1" applyNumberFormat="1" applyFont="1" applyFill="1" applyBorder="1"/>
    <xf numFmtId="0" fontId="35" fillId="0" borderId="31" xfId="3" applyFont="1" applyFill="1" applyBorder="1" applyAlignment="1">
      <alignment horizontal="center"/>
    </xf>
    <xf numFmtId="0" fontId="35" fillId="0" borderId="5" xfId="3" applyFont="1" applyFill="1" applyBorder="1" applyAlignment="1">
      <alignment horizontal="center"/>
    </xf>
    <xf numFmtId="0" fontId="35" fillId="0" borderId="29" xfId="3" applyFont="1" applyFill="1" applyBorder="1" applyAlignment="1">
      <alignment horizontal="center"/>
    </xf>
    <xf numFmtId="166" fontId="35" fillId="0" borderId="3" xfId="3" applyNumberFormat="1" applyFont="1" applyFill="1" applyBorder="1" applyAlignment="1">
      <alignment horizontal="center"/>
    </xf>
    <xf numFmtId="10" fontId="52" fillId="0" borderId="0" xfId="3" applyNumberFormat="1" applyFont="1" applyFill="1" applyAlignment="1">
      <alignment horizontal="left"/>
    </xf>
    <xf numFmtId="10" fontId="37" fillId="0" borderId="38" xfId="3" applyNumberFormat="1" applyFont="1" applyFill="1" applyBorder="1" applyAlignment="1">
      <alignment horizontal="center"/>
    </xf>
    <xf numFmtId="10" fontId="37" fillId="0" borderId="3" xfId="3" applyNumberFormat="1" applyFont="1" applyFill="1" applyBorder="1" applyAlignment="1">
      <alignment horizontal="center"/>
    </xf>
    <xf numFmtId="10" fontId="5" fillId="0" borderId="25" xfId="0" applyNumberFormat="1" applyFont="1" applyFill="1" applyBorder="1" applyAlignment="1">
      <alignment horizontal="center"/>
    </xf>
    <xf numFmtId="10" fontId="38" fillId="0" borderId="0" xfId="3" applyNumberFormat="1" applyFont="1" applyFill="1" applyBorder="1" applyAlignment="1">
      <alignment horizontal="center"/>
    </xf>
    <xf numFmtId="0" fontId="54" fillId="0" borderId="0" xfId="45" applyFont="1"/>
    <xf numFmtId="0" fontId="54" fillId="0" borderId="0" xfId="44" applyFont="1"/>
    <xf numFmtId="0" fontId="55" fillId="0" borderId="0" xfId="44" quotePrefix="1" applyFont="1" applyAlignment="1">
      <alignment horizontal="right"/>
    </xf>
    <xf numFmtId="0" fontId="54" fillId="0" borderId="0" xfId="44" quotePrefix="1" applyFont="1" applyAlignment="1">
      <alignment horizontal="right"/>
    </xf>
    <xf numFmtId="0" fontId="55" fillId="0" borderId="18" xfId="44" applyFont="1" applyBorder="1" applyAlignment="1">
      <alignment horizontal="right"/>
    </xf>
    <xf numFmtId="0" fontId="55" fillId="0" borderId="18" xfId="44" quotePrefix="1" applyFont="1" applyBorder="1" applyAlignment="1">
      <alignment horizontal="right"/>
    </xf>
    <xf numFmtId="10" fontId="56" fillId="0" borderId="0" xfId="44" applyNumberFormat="1" applyFont="1" applyFill="1" applyProtection="1"/>
    <xf numFmtId="10" fontId="56" fillId="0" borderId="0" xfId="44" applyNumberFormat="1" applyFont="1" applyProtection="1"/>
    <xf numFmtId="10" fontId="56" fillId="0" borderId="18" xfId="44" applyNumberFormat="1" applyFont="1" applyFill="1" applyBorder="1" applyProtection="1"/>
    <xf numFmtId="10" fontId="56" fillId="0" borderId="18" xfId="44" applyNumberFormat="1" applyFont="1" applyBorder="1" applyProtection="1"/>
    <xf numFmtId="10" fontId="57" fillId="0" borderId="18" xfId="44" applyNumberFormat="1" applyFont="1" applyBorder="1" applyProtection="1"/>
    <xf numFmtId="166" fontId="58" fillId="0" borderId="18" xfId="44" applyNumberFormat="1" applyFont="1" applyBorder="1"/>
    <xf numFmtId="10" fontId="57" fillId="0" borderId="20" xfId="44" applyNumberFormat="1" applyFont="1" applyFill="1" applyBorder="1" applyProtection="1"/>
    <xf numFmtId="10" fontId="54" fillId="0" borderId="0" xfId="45" applyNumberFormat="1" applyFont="1"/>
    <xf numFmtId="0" fontId="26" fillId="0" borderId="0" xfId="3" applyFont="1" applyFill="1" applyAlignment="1">
      <alignment horizontal="left" indent="1"/>
    </xf>
    <xf numFmtId="0" fontId="35" fillId="0" borderId="0" xfId="3" applyFont="1" applyFill="1" applyAlignment="1">
      <alignment horizontal="left" indent="2"/>
    </xf>
    <xf numFmtId="0" fontId="3" fillId="0" borderId="0" xfId="3" applyFont="1" applyFill="1" applyAlignment="1">
      <alignment horizontal="left" indent="1"/>
    </xf>
    <xf numFmtId="10" fontId="3" fillId="25" borderId="2" xfId="3" applyNumberFormat="1" applyFont="1" applyFill="1" applyBorder="1" applyAlignment="1"/>
    <xf numFmtId="164" fontId="5" fillId="0" borderId="17" xfId="44" quotePrefix="1" applyNumberFormat="1" applyFont="1" applyFill="1" applyBorder="1" applyAlignment="1" applyProtection="1">
      <alignment horizontal="right"/>
    </xf>
    <xf numFmtId="10" fontId="5" fillId="0" borderId="15" xfId="44" applyNumberFormat="1" applyFont="1" applyFill="1" applyBorder="1" applyProtection="1"/>
    <xf numFmtId="10" fontId="5" fillId="0" borderId="16" xfId="44" applyNumberFormat="1" applyFont="1" applyFill="1" applyBorder="1" applyProtection="1"/>
    <xf numFmtId="0" fontId="35" fillId="0" borderId="0" xfId="45" applyFont="1" applyAlignment="1">
      <alignment horizontal="left" indent="1"/>
    </xf>
    <xf numFmtId="0" fontId="4" fillId="0" borderId="0" xfId="44" applyFont="1" applyAlignment="1">
      <alignment horizontal="left" indent="1"/>
    </xf>
    <xf numFmtId="0" fontId="26" fillId="0" borderId="0" xfId="44" applyFont="1" applyAlignment="1">
      <alignment horizontal="left" indent="1"/>
    </xf>
    <xf numFmtId="0" fontId="26" fillId="0" borderId="18" xfId="44" applyFont="1" applyBorder="1" applyAlignment="1">
      <alignment horizontal="left" indent="1"/>
    </xf>
    <xf numFmtId="170" fontId="26" fillId="0" borderId="18" xfId="44" applyNumberFormat="1" applyFont="1" applyBorder="1" applyAlignment="1" applyProtection="1">
      <alignment horizontal="left" indent="1"/>
    </xf>
    <xf numFmtId="0" fontId="26" fillId="0" borderId="0" xfId="44" quotePrefix="1" applyFont="1" applyAlignment="1">
      <alignment horizontal="left" indent="1"/>
    </xf>
    <xf numFmtId="0" fontId="4" fillId="0" borderId="0" xfId="44" quotePrefix="1" applyFont="1" applyAlignment="1">
      <alignment horizontal="left" indent="1"/>
    </xf>
    <xf numFmtId="0" fontId="53" fillId="0" borderId="0" xfId="45" applyFont="1" applyAlignment="1">
      <alignment horizontal="left" indent="1"/>
    </xf>
    <xf numFmtId="0" fontId="54" fillId="0" borderId="0" xfId="45" applyFont="1" applyAlignment="1">
      <alignment horizontal="left" indent="1"/>
    </xf>
    <xf numFmtId="0" fontId="54" fillId="0" borderId="0" xfId="44" applyFont="1" applyAlignment="1">
      <alignment horizontal="left" indent="1"/>
    </xf>
    <xf numFmtId="0" fontId="55" fillId="0" borderId="18" xfId="44" applyFont="1" applyBorder="1" applyAlignment="1">
      <alignment horizontal="left" indent="1"/>
    </xf>
    <xf numFmtId="0" fontId="55" fillId="0" borderId="0" xfId="44" applyFont="1" applyAlignment="1">
      <alignment horizontal="left" indent="1"/>
    </xf>
    <xf numFmtId="170" fontId="55" fillId="0" borderId="18" xfId="44" applyNumberFormat="1" applyFont="1" applyBorder="1" applyAlignment="1" applyProtection="1">
      <alignment horizontal="left" indent="1"/>
    </xf>
    <xf numFmtId="0" fontId="55" fillId="0" borderId="0" xfId="44" quotePrefix="1" applyFont="1" applyAlignment="1">
      <alignment horizontal="left" indent="1"/>
    </xf>
    <xf numFmtId="0" fontId="4" fillId="0" borderId="0" xfId="45" applyFont="1" applyAlignment="1">
      <alignment horizontal="left" indent="1"/>
    </xf>
    <xf numFmtId="10" fontId="37" fillId="0" borderId="18" xfId="44" applyNumberFormat="1" applyFont="1" applyBorder="1" applyProtection="1"/>
    <xf numFmtId="10" fontId="37" fillId="25" borderId="19" xfId="44" applyNumberFormat="1" applyFont="1" applyFill="1" applyBorder="1" applyProtection="1"/>
    <xf numFmtId="0" fontId="26" fillId="0" borderId="0" xfId="44" quotePrefix="1" applyFont="1" applyBorder="1" applyAlignment="1">
      <alignment horizontal="right"/>
    </xf>
    <xf numFmtId="0" fontId="26" fillId="0" borderId="18" xfId="44" applyFont="1" applyFill="1" applyBorder="1" applyAlignment="1">
      <alignment horizontal="right"/>
    </xf>
    <xf numFmtId="0" fontId="3" fillId="0" borderId="0" xfId="45" applyFont="1"/>
    <xf numFmtId="169" fontId="5" fillId="0" borderId="0" xfId="44" quotePrefix="1" applyNumberFormat="1" applyFont="1" applyAlignment="1">
      <alignment horizontal="left"/>
    </xf>
    <xf numFmtId="169" fontId="4" fillId="0" borderId="0" xfId="44" quotePrefix="1" applyNumberFormat="1" applyFont="1" applyAlignment="1">
      <alignment horizontal="left"/>
    </xf>
  </cellXfs>
  <cellStyles count="64">
    <cellStyle name="20% - Accent1 2" xfId="5"/>
    <cellStyle name="20% - Accent2 2" xfId="6"/>
    <cellStyle name="20% - Accent3 2" xfId="7"/>
    <cellStyle name="20% - Accent4 2" xfId="8"/>
    <cellStyle name="20% - Accent5 2" xfId="9"/>
    <cellStyle name="20% - Accent6 2" xfId="10"/>
    <cellStyle name="40% - Accent1 2" xfId="11"/>
    <cellStyle name="40% - Accent2 2" xfId="12"/>
    <cellStyle name="40% - Accent3 2" xfId="13"/>
    <cellStyle name="40% - Accent4 2" xfId="14"/>
    <cellStyle name="40% - Accent5 2" xfId="15"/>
    <cellStyle name="40% - Accent6 2" xfId="16"/>
    <cellStyle name="60% - Accent1 2" xfId="17"/>
    <cellStyle name="60% - Accent2 2" xfId="18"/>
    <cellStyle name="60% - Accent3 2" xfId="19"/>
    <cellStyle name="60% - Accent4 2" xfId="20"/>
    <cellStyle name="60% - Accent5 2" xfId="21"/>
    <cellStyle name="60% - Accent6 2" xfId="22"/>
    <cellStyle name="Accent1 2" xfId="23"/>
    <cellStyle name="Accent2 2" xfId="24"/>
    <cellStyle name="Accent3 2" xfId="25"/>
    <cellStyle name="Accent4 2" xfId="26"/>
    <cellStyle name="Accent5 2" xfId="27"/>
    <cellStyle name="Accent6 2" xfId="28"/>
    <cellStyle name="Bad 2" xfId="29"/>
    <cellStyle name="Calculation 2" xfId="30"/>
    <cellStyle name="Check Cell 2" xfId="31"/>
    <cellStyle name="Comma" xfId="58" builtinId="3"/>
    <cellStyle name="Comma 2" xfId="32"/>
    <cellStyle name="Comma 3" xfId="33"/>
    <cellStyle name="Currency 2" xfId="34"/>
    <cellStyle name="Currency 3" xfId="62"/>
    <cellStyle name="Explanatory Text 2" xfId="35"/>
    <cellStyle name="Good 2" xfId="36"/>
    <cellStyle name="Heading 1 2" xfId="37"/>
    <cellStyle name="Heading 2 2" xfId="38"/>
    <cellStyle name="Heading 3 2" xfId="39"/>
    <cellStyle name="Heading 4 2" xfId="40"/>
    <cellStyle name="Input 2" xfId="41"/>
    <cellStyle name="Linked Cell 2" xfId="42"/>
    <cellStyle name="Neutral 2" xfId="43"/>
    <cellStyle name="Normal" xfId="0" builtinId="0"/>
    <cellStyle name="Normal 2" xfId="44"/>
    <cellStyle name="Normal 2 2" xfId="45"/>
    <cellStyle name="Normal 3" xfId="46"/>
    <cellStyle name="Normal 4" xfId="47"/>
    <cellStyle name="Normal 4 2" xfId="59"/>
    <cellStyle name="Normal 5" xfId="2"/>
    <cellStyle name="Normal 5 2" xfId="48"/>
    <cellStyle name="Normal 6" xfId="3"/>
    <cellStyle name="Normal 6 2" xfId="49"/>
    <cellStyle name="Normal 7" xfId="61"/>
    <cellStyle name="Note 2" xfId="50"/>
    <cellStyle name="Output 2" xfId="51"/>
    <cellStyle name="Percent" xfId="1" builtinId="5"/>
    <cellStyle name="Percent 2" xfId="52"/>
    <cellStyle name="Percent 2 2" xfId="4"/>
    <cellStyle name="Percent 3" xfId="53"/>
    <cellStyle name="Percent 3 2" xfId="60"/>
    <cellStyle name="Percent 4" xfId="54"/>
    <cellStyle name="Percent 5" xfId="63"/>
    <cellStyle name="Title 2" xfId="55"/>
    <cellStyle name="Total 2" xfId="56"/>
    <cellStyle name="Warning Text 2" xfId="57"/>
  </cellStyles>
  <dxfs count="0"/>
  <tableStyles count="0" defaultTableStyle="TableStyleMedium2" defaultPivotStyle="PivotStyleLight16"/>
  <colors>
    <mruColors>
      <color rgb="FF0000FF"/>
      <color rgb="FFB7DEE8"/>
      <color rgb="FF00FF00"/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1.xml" />
  <Relationship Id="rId2" Type="http://schemas.openxmlformats.org/officeDocument/2006/relationships/vmlDrawing" Target="../drawings/vmlDrawing1.vml" /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3" Type="http://schemas.openxmlformats.org/officeDocument/2006/relationships/comments" Target="../comments2.xml" />
  <Relationship Id="rId2" Type="http://schemas.openxmlformats.org/officeDocument/2006/relationships/vmlDrawing" Target="../drawings/vmlDrawing2.vml" /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/>
  <dimension ref="A1:G41"/>
  <sheetViews>
    <sheetView showGridLines="0" tabSelected="1" zoomScaleNormal="100" workbookViewId="0">
      <selection activeCell="E1" sqref="E1"/>
    </sheetView>
  </sheetViews>
  <sheetFormatPr defaultRowHeight="12.75" x14ac:dyDescent="0.2"/>
  <cols>
    <col min="1" max="1" width="19.42578125" style="177" customWidth="1"/>
    <col min="2" max="2" width="10.5703125" style="6" bestFit="1" customWidth="1"/>
    <col min="3" max="3" width="12.140625" style="6" bestFit="1" customWidth="1"/>
    <col min="4" max="4" width="14.28515625" style="6" bestFit="1" customWidth="1"/>
    <col min="5" max="6" width="11.28515625" style="6" customWidth="1"/>
    <col min="7" max="16384" width="9.140625" style="6"/>
  </cols>
  <sheetData>
    <row r="1" spans="1:6" x14ac:dyDescent="0.2">
      <c r="A1" s="163" t="s">
        <v>8</v>
      </c>
      <c r="E1" s="182" t="s">
        <v>92</v>
      </c>
    </row>
    <row r="2" spans="1:6" x14ac:dyDescent="0.2">
      <c r="A2" s="163" t="s">
        <v>91</v>
      </c>
    </row>
    <row r="4" spans="1:6" x14ac:dyDescent="0.2">
      <c r="A4" s="183"/>
      <c r="B4" s="184"/>
      <c r="C4" s="184"/>
    </row>
    <row r="5" spans="1:6" x14ac:dyDescent="0.2">
      <c r="A5" s="164"/>
      <c r="B5" s="113"/>
      <c r="C5" s="113"/>
    </row>
    <row r="7" spans="1:6" x14ac:dyDescent="0.2">
      <c r="A7" s="165" t="s">
        <v>83</v>
      </c>
      <c r="B7" s="113"/>
      <c r="C7" s="113"/>
      <c r="D7" s="161">
        <v>5.5E-2</v>
      </c>
      <c r="E7" s="113"/>
      <c r="F7" s="113"/>
    </row>
    <row r="8" spans="1:6" x14ac:dyDescent="0.2">
      <c r="A8" s="165" t="s">
        <v>84</v>
      </c>
      <c r="B8" s="113"/>
      <c r="C8" s="113"/>
      <c r="D8" s="162">
        <v>0.35</v>
      </c>
    </row>
    <row r="9" spans="1:6" x14ac:dyDescent="0.2">
      <c r="A9" s="165" t="s">
        <v>21</v>
      </c>
      <c r="B9" s="113"/>
      <c r="C9" s="113"/>
      <c r="D9" s="115">
        <f>D8+D7*(1-D8)</f>
        <v>0.38574999999999998</v>
      </c>
      <c r="E9" s="113"/>
      <c r="F9" s="113"/>
    </row>
    <row r="10" spans="1:6" x14ac:dyDescent="0.2">
      <c r="A10" s="164"/>
      <c r="B10" s="113"/>
      <c r="C10" s="113"/>
    </row>
    <row r="11" spans="1:6" x14ac:dyDescent="0.2">
      <c r="A11" s="165" t="s">
        <v>86</v>
      </c>
      <c r="B11" s="113"/>
      <c r="C11" s="113"/>
      <c r="D11" s="160">
        <v>42736</v>
      </c>
      <c r="E11" s="9"/>
    </row>
    <row r="12" spans="1:6" x14ac:dyDescent="0.2">
      <c r="A12" s="164"/>
      <c r="B12" s="113"/>
      <c r="C12" s="113"/>
      <c r="D12" s="113"/>
    </row>
    <row r="13" spans="1:6" x14ac:dyDescent="0.2">
      <c r="A13" s="164"/>
      <c r="B13" s="113"/>
      <c r="C13" s="11"/>
      <c r="D13" s="4"/>
    </row>
    <row r="14" spans="1:6" x14ac:dyDescent="0.2">
      <c r="A14" s="164"/>
      <c r="B14" s="113"/>
      <c r="C14" s="11"/>
      <c r="D14" s="4"/>
      <c r="E14" s="180" t="s">
        <v>26</v>
      </c>
      <c r="F14" s="180" t="s">
        <v>27</v>
      </c>
    </row>
    <row r="15" spans="1:6" ht="15" thickBot="1" x14ac:dyDescent="0.25">
      <c r="A15" s="166" t="s">
        <v>22</v>
      </c>
      <c r="B15" s="12" t="s">
        <v>87</v>
      </c>
      <c r="C15" s="12" t="s">
        <v>88</v>
      </c>
      <c r="D15" s="12" t="s">
        <v>25</v>
      </c>
      <c r="E15" s="181" t="s">
        <v>25</v>
      </c>
      <c r="F15" s="181" t="s">
        <v>25</v>
      </c>
    </row>
    <row r="16" spans="1:6" x14ac:dyDescent="0.2">
      <c r="A16" s="165" t="s">
        <v>28</v>
      </c>
      <c r="B16" s="13">
        <f>1-SUM(B17:B17)</f>
        <v>0.40400000000000003</v>
      </c>
      <c r="C16" s="14">
        <f>Cost_of_Debt!D29</f>
        <v>5.1670572916666664E-2</v>
      </c>
      <c r="D16" s="15">
        <f>+B16*C16</f>
        <v>2.0874911458333333E-2</v>
      </c>
      <c r="E16" s="15">
        <f>D16*(1-D9)</f>
        <v>1.282241436328125E-2</v>
      </c>
      <c r="F16" s="15">
        <f>+D16</f>
        <v>2.0874911458333333E-2</v>
      </c>
    </row>
    <row r="17" spans="1:7" ht="13.5" thickBot="1" x14ac:dyDescent="0.25">
      <c r="A17" s="167" t="s">
        <v>80</v>
      </c>
      <c r="B17" s="18">
        <v>0.59599999999999997</v>
      </c>
      <c r="C17" s="18">
        <v>0.1055</v>
      </c>
      <c r="D17" s="16">
        <f>+B17*C17</f>
        <v>6.2877999999999989E-2</v>
      </c>
      <c r="E17" s="17">
        <f>+D17</f>
        <v>6.2877999999999989E-2</v>
      </c>
      <c r="F17" s="17">
        <f>+D17/(1-D9)</f>
        <v>0.10236548636548636</v>
      </c>
    </row>
    <row r="18" spans="1:7" ht="13.5" thickBot="1" x14ac:dyDescent="0.25">
      <c r="A18" s="167" t="s">
        <v>30</v>
      </c>
      <c r="B18" s="17">
        <f>SUM(B16:B17)</f>
        <v>1</v>
      </c>
      <c r="C18" s="5"/>
      <c r="D18" s="17">
        <f>SUM(D16:D17)</f>
        <v>8.3752911458333329E-2</v>
      </c>
      <c r="E18" s="178">
        <f>SUM(E16:E17)</f>
        <v>7.5700414363281232E-2</v>
      </c>
      <c r="F18" s="17">
        <f>SUM(F16:F17)</f>
        <v>0.12324039782381968</v>
      </c>
    </row>
    <row r="19" spans="1:7" x14ac:dyDescent="0.2">
      <c r="A19" s="164"/>
      <c r="B19" s="113"/>
      <c r="C19" s="113"/>
      <c r="D19" s="113"/>
      <c r="E19" s="114"/>
      <c r="F19" s="113"/>
    </row>
    <row r="20" spans="1:7" x14ac:dyDescent="0.2">
      <c r="A20" s="168" t="s">
        <v>85</v>
      </c>
      <c r="B20" s="113"/>
      <c r="C20" s="4"/>
      <c r="E20" s="179">
        <f>ROUND(+E18,4)</f>
        <v>7.5700000000000003E-2</v>
      </c>
      <c r="F20" s="10"/>
      <c r="G20" s="10"/>
    </row>
    <row r="21" spans="1:7" x14ac:dyDescent="0.2">
      <c r="A21" s="169"/>
      <c r="B21" s="113"/>
      <c r="C21" s="4"/>
      <c r="D21" s="7"/>
      <c r="E21" s="8"/>
      <c r="F21" s="10"/>
      <c r="G21" s="10"/>
    </row>
    <row r="22" spans="1:7" x14ac:dyDescent="0.2">
      <c r="A22" s="168" t="s">
        <v>7</v>
      </c>
      <c r="B22" s="113"/>
      <c r="C22" s="4"/>
      <c r="D22" s="7"/>
      <c r="E22" s="8"/>
      <c r="F22" s="10"/>
      <c r="G22" s="10"/>
    </row>
    <row r="23" spans="1:7" x14ac:dyDescent="0.2">
      <c r="A23" s="168" t="s">
        <v>89</v>
      </c>
      <c r="B23" s="113"/>
      <c r="C23" s="4"/>
      <c r="D23" s="7"/>
      <c r="E23" s="8"/>
      <c r="F23" s="10"/>
      <c r="G23" s="10"/>
    </row>
    <row r="24" spans="1:7" x14ac:dyDescent="0.2">
      <c r="A24" s="168" t="s">
        <v>90</v>
      </c>
      <c r="B24" s="113"/>
      <c r="C24" s="4"/>
      <c r="D24" s="7"/>
      <c r="E24" s="8"/>
      <c r="F24" s="10"/>
      <c r="G24" s="10"/>
    </row>
    <row r="30" spans="1:7" s="142" customFormat="1" x14ac:dyDescent="0.2">
      <c r="A30" s="170" t="s">
        <v>79</v>
      </c>
    </row>
    <row r="31" spans="1:7" s="142" customFormat="1" x14ac:dyDescent="0.2">
      <c r="A31" s="171"/>
    </row>
    <row r="32" spans="1:7" s="142" customFormat="1" x14ac:dyDescent="0.2">
      <c r="A32" s="172"/>
      <c r="B32" s="143"/>
      <c r="C32" s="144"/>
      <c r="D32" s="145"/>
    </row>
    <row r="33" spans="1:6" s="142" customFormat="1" x14ac:dyDescent="0.2">
      <c r="A33" s="172"/>
      <c r="B33" s="143"/>
      <c r="C33" s="144"/>
      <c r="D33" s="145"/>
      <c r="E33" s="145"/>
    </row>
    <row r="34" spans="1:6" s="142" customFormat="1" ht="13.5" thickBot="1" x14ac:dyDescent="0.25">
      <c r="A34" s="173" t="s">
        <v>22</v>
      </c>
      <c r="B34" s="146" t="s">
        <v>23</v>
      </c>
      <c r="C34" s="146" t="s">
        <v>24</v>
      </c>
      <c r="D34" s="146" t="s">
        <v>25</v>
      </c>
      <c r="E34" s="147" t="s">
        <v>26</v>
      </c>
      <c r="F34" s="147" t="s">
        <v>27</v>
      </c>
    </row>
    <row r="35" spans="1:6" s="142" customFormat="1" x14ac:dyDescent="0.2">
      <c r="A35" s="174" t="s">
        <v>28</v>
      </c>
      <c r="B35" s="148">
        <v>0.4038422678425842</v>
      </c>
      <c r="C35" s="148">
        <v>5.21E-2</v>
      </c>
      <c r="D35" s="149">
        <f>+B35*C35</f>
        <v>2.1040182154598637E-2</v>
      </c>
      <c r="E35" s="149">
        <f>D35*(1-D9)</f>
        <v>1.2923931888462211E-2</v>
      </c>
      <c r="F35" s="149">
        <f>+D35</f>
        <v>2.1040182154598637E-2</v>
      </c>
    </row>
    <row r="36" spans="1:6" s="142" customFormat="1" ht="13.5" thickBot="1" x14ac:dyDescent="0.25">
      <c r="A36" s="175" t="s">
        <v>29</v>
      </c>
      <c r="B36" s="150">
        <v>0.59615773215741585</v>
      </c>
      <c r="C36" s="150">
        <v>0.105</v>
      </c>
      <c r="D36" s="150">
        <f>+B36*C36</f>
        <v>6.2596561876528664E-2</v>
      </c>
      <c r="E36" s="151">
        <f>+D36</f>
        <v>6.2596561876528664E-2</v>
      </c>
      <c r="F36" s="151">
        <f>+D36/(1-D9)</f>
        <v>0.10190730464229332</v>
      </c>
    </row>
    <row r="37" spans="1:6" s="142" customFormat="1" ht="13.5" thickBot="1" x14ac:dyDescent="0.25">
      <c r="A37" s="175" t="s">
        <v>30</v>
      </c>
      <c r="B37" s="152">
        <f>SUM(B35:B36)</f>
        <v>1</v>
      </c>
      <c r="C37" s="153"/>
      <c r="D37" s="152">
        <f>SUM(D35:D36)</f>
        <v>8.3636744031127308E-2</v>
      </c>
      <c r="E37" s="152">
        <f>SUM(E35:E36)</f>
        <v>7.552049376499087E-2</v>
      </c>
      <c r="F37" s="152">
        <f>SUM(F35:F36)</f>
        <v>0.12294748679689196</v>
      </c>
    </row>
    <row r="38" spans="1:6" s="142" customFormat="1" x14ac:dyDescent="0.2">
      <c r="A38" s="172"/>
      <c r="B38" s="143"/>
      <c r="C38" s="143"/>
      <c r="D38" s="143"/>
      <c r="E38" s="143"/>
    </row>
    <row r="39" spans="1:6" s="142" customFormat="1" x14ac:dyDescent="0.2">
      <c r="A39" s="176" t="s">
        <v>31</v>
      </c>
      <c r="B39" s="143"/>
      <c r="C39" s="145"/>
      <c r="E39" s="154">
        <f>ROUND(+E37,4)</f>
        <v>7.5499999999999998E-2</v>
      </c>
    </row>
    <row r="40" spans="1:6" s="142" customFormat="1" x14ac:dyDescent="0.2">
      <c r="A40" s="171"/>
    </row>
    <row r="41" spans="1:6" s="142" customFormat="1" x14ac:dyDescent="0.2">
      <c r="A41" s="171" t="s">
        <v>55</v>
      </c>
      <c r="E41" s="155">
        <f>E20-E39</f>
        <v>2.0000000000000573E-4</v>
      </c>
    </row>
  </sheetData>
  <mergeCells count="1">
    <mergeCell ref="A4:C4"/>
  </mergeCells>
  <pageMargins left="0.7" right="0.7" top="0.75" bottom="0.75" header="0.3" footer="0.3"/>
  <pageSetup scale="68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>
    <tabColor theme="6" tint="-0.249977111117893"/>
    <pageSetUpPr fitToPage="1"/>
  </sheetPr>
  <dimension ref="A1:AC58"/>
  <sheetViews>
    <sheetView showGridLines="0" zoomScaleNormal="100" workbookViewId="0">
      <selection activeCell="D1" sqref="D1"/>
    </sheetView>
  </sheetViews>
  <sheetFormatPr defaultRowHeight="12.75" outlineLevelCol="1" x14ac:dyDescent="0.2"/>
  <cols>
    <col min="1" max="1" width="2.140625" style="43" customWidth="1"/>
    <col min="2" max="2" width="28.42578125" style="43" customWidth="1"/>
    <col min="3" max="3" width="4.28515625" style="43" bestFit="1" customWidth="1"/>
    <col min="4" max="4" width="10.42578125" style="43" bestFit="1" customWidth="1"/>
    <col min="5" max="5" width="6.28515625" style="43" bestFit="1" customWidth="1"/>
    <col min="6" max="8" width="8" style="43" bestFit="1" customWidth="1"/>
    <col min="9" max="9" width="8.28515625" style="43" customWidth="1"/>
    <col min="10" max="12" width="13.140625" style="43" hidden="1" customWidth="1" outlineLevel="1"/>
    <col min="13" max="13" width="3" style="43" customWidth="1" collapsed="1"/>
    <col min="14" max="21" width="7" style="43" customWidth="1"/>
    <col min="22" max="22" width="1.85546875" style="43" customWidth="1"/>
    <col min="23" max="24" width="9.5703125" style="43" customWidth="1"/>
    <col min="25" max="25" width="4.85546875" style="43" customWidth="1"/>
    <col min="26" max="27" width="9.5703125" style="43" customWidth="1"/>
    <col min="28" max="16384" width="9.140625" style="43"/>
  </cols>
  <sheetData>
    <row r="1" spans="1:29" x14ac:dyDescent="0.2">
      <c r="B1" s="79" t="s">
        <v>8</v>
      </c>
      <c r="D1" s="182" t="s">
        <v>93</v>
      </c>
    </row>
    <row r="2" spans="1:29" x14ac:dyDescent="0.2">
      <c r="B2" s="79" t="s">
        <v>0</v>
      </c>
    </row>
    <row r="3" spans="1:29" x14ac:dyDescent="0.2">
      <c r="B3" s="112">
        <f>WACC!D11</f>
        <v>42736</v>
      </c>
      <c r="D3" s="67"/>
      <c r="E3" s="67"/>
      <c r="F3" s="70" t="s">
        <v>42</v>
      </c>
      <c r="G3" s="45" t="s">
        <v>43</v>
      </c>
      <c r="H3" s="45"/>
      <c r="I3" s="45"/>
      <c r="J3" s="45"/>
      <c r="K3" s="45"/>
      <c r="L3" s="45"/>
      <c r="M3" s="110"/>
      <c r="N3" s="44" t="str">
        <f>N5&amp;" Quarterly Actuals"</f>
        <v>2016 Quarterly Actuals</v>
      </c>
      <c r="O3" s="45"/>
      <c r="P3" s="45"/>
      <c r="Q3" s="46"/>
      <c r="R3" s="44" t="str">
        <f>R5&amp;" Quarterly Estimates"</f>
        <v>2017 Quarterly Estimates</v>
      </c>
      <c r="S3" s="45"/>
      <c r="T3" s="45"/>
      <c r="U3" s="46"/>
      <c r="V3" s="67"/>
    </row>
    <row r="4" spans="1:29" ht="14.25" x14ac:dyDescent="0.2">
      <c r="D4" s="19"/>
      <c r="E4" s="19"/>
      <c r="F4" s="52"/>
      <c r="G4" s="34"/>
      <c r="H4" s="71"/>
      <c r="I4" s="72"/>
      <c r="J4" s="74"/>
      <c r="K4" s="74"/>
      <c r="L4" s="84"/>
      <c r="N4" s="19" t="s">
        <v>1</v>
      </c>
      <c r="O4" s="19" t="s">
        <v>2</v>
      </c>
      <c r="P4" s="19" t="s">
        <v>3</v>
      </c>
      <c r="Q4" s="34" t="s">
        <v>4</v>
      </c>
      <c r="R4" s="31" t="s">
        <v>1</v>
      </c>
      <c r="S4" s="19" t="s">
        <v>2</v>
      </c>
      <c r="T4" s="19" t="s">
        <v>3</v>
      </c>
      <c r="U4" s="19" t="s">
        <v>4</v>
      </c>
      <c r="V4" s="19"/>
    </row>
    <row r="5" spans="1:29" ht="15" customHeight="1" x14ac:dyDescent="0.2">
      <c r="A5" s="80"/>
      <c r="B5" s="80"/>
      <c r="C5" s="80"/>
      <c r="D5" s="39"/>
      <c r="E5" s="39"/>
      <c r="F5" s="53">
        <f>G5-1</f>
        <v>2016</v>
      </c>
      <c r="G5" s="40">
        <f>R5</f>
        <v>2017</v>
      </c>
      <c r="H5" s="42">
        <f>G5+1</f>
        <v>2018</v>
      </c>
      <c r="I5" s="42">
        <f t="shared" ref="I5:L5" si="0">H5+1</f>
        <v>2019</v>
      </c>
      <c r="J5" s="103">
        <f t="shared" si="0"/>
        <v>2020</v>
      </c>
      <c r="K5" s="103">
        <f t="shared" si="0"/>
        <v>2021</v>
      </c>
      <c r="L5" s="103">
        <f t="shared" si="0"/>
        <v>2022</v>
      </c>
      <c r="N5" s="39">
        <f>R5-1</f>
        <v>2016</v>
      </c>
      <c r="O5" s="39">
        <f>N5</f>
        <v>2016</v>
      </c>
      <c r="P5" s="39">
        <f>O5</f>
        <v>2016</v>
      </c>
      <c r="Q5" s="40">
        <f>P5</f>
        <v>2016</v>
      </c>
      <c r="R5" s="41">
        <f>YEAR(WACC!$D$11)</f>
        <v>2017</v>
      </c>
      <c r="S5" s="39">
        <f>R5</f>
        <v>2017</v>
      </c>
      <c r="T5" s="39">
        <f>S5</f>
        <v>2017</v>
      </c>
      <c r="U5" s="39">
        <f>T5</f>
        <v>2017</v>
      </c>
      <c r="V5" s="19"/>
    </row>
    <row r="6" spans="1:29" x14ac:dyDescent="0.2">
      <c r="F6" s="81"/>
      <c r="G6" s="82"/>
      <c r="H6" s="83"/>
      <c r="J6" s="84"/>
      <c r="K6" s="84"/>
      <c r="L6" s="84"/>
      <c r="Q6" s="82"/>
      <c r="R6" s="83"/>
      <c r="V6" s="19"/>
    </row>
    <row r="7" spans="1:29" ht="15" customHeight="1" x14ac:dyDescent="0.2">
      <c r="B7" s="85" t="s">
        <v>5</v>
      </c>
      <c r="F7" s="81"/>
      <c r="G7" s="82"/>
      <c r="H7" s="83"/>
      <c r="J7" s="84"/>
      <c r="K7" s="84"/>
      <c r="L7" s="84"/>
      <c r="Q7" s="82"/>
      <c r="R7" s="83"/>
    </row>
    <row r="8" spans="1:29" ht="15" customHeight="1" x14ac:dyDescent="0.2">
      <c r="D8" s="21"/>
      <c r="E8" s="21"/>
      <c r="F8" s="54"/>
      <c r="G8" s="61"/>
      <c r="H8" s="59"/>
      <c r="I8" s="20"/>
      <c r="J8" s="64"/>
      <c r="K8" s="64"/>
      <c r="L8" s="64"/>
      <c r="N8" s="20"/>
      <c r="O8" s="20"/>
      <c r="P8" s="20"/>
      <c r="Q8" s="35"/>
      <c r="R8" s="66"/>
      <c r="S8" s="67"/>
      <c r="T8" s="67"/>
      <c r="U8" s="67"/>
      <c r="V8" s="21"/>
    </row>
    <row r="9" spans="1:29" ht="15" customHeight="1" x14ac:dyDescent="0.2">
      <c r="B9" s="86" t="s">
        <v>9</v>
      </c>
      <c r="C9" s="87"/>
      <c r="D9" s="22"/>
      <c r="E9" s="111">
        <v>30</v>
      </c>
      <c r="F9" s="55"/>
      <c r="G9" s="62"/>
      <c r="H9" s="60"/>
      <c r="I9" s="23"/>
      <c r="J9" s="65"/>
      <c r="K9" s="65"/>
      <c r="L9" s="65"/>
      <c r="N9" s="19"/>
      <c r="O9" s="19"/>
      <c r="P9" s="19"/>
      <c r="Q9" s="34"/>
      <c r="R9" s="68"/>
      <c r="U9" s="69"/>
      <c r="V9" s="22"/>
    </row>
    <row r="10" spans="1:29" ht="15" customHeight="1" x14ac:dyDescent="0.2">
      <c r="B10" s="156" t="s">
        <v>46</v>
      </c>
      <c r="C10" s="85" t="s">
        <v>10</v>
      </c>
      <c r="D10" s="24"/>
      <c r="E10" s="24"/>
      <c r="F10" s="56">
        <f>AVERAGE(N10:Q10)</f>
        <v>3.7624999999999999E-2</v>
      </c>
      <c r="G10" s="36">
        <f>AVERAGE(R10:U10)</f>
        <v>4.1749999999999995E-2</v>
      </c>
      <c r="H10" s="32">
        <v>4.8000000000000001E-2</v>
      </c>
      <c r="I10" s="24">
        <v>5.1999999999999998E-2</v>
      </c>
      <c r="J10" s="108">
        <v>5.3999999999999999E-2</v>
      </c>
      <c r="K10" s="108">
        <v>5.5E-2</v>
      </c>
      <c r="L10" s="108">
        <v>5.5E-2</v>
      </c>
      <c r="N10" s="24">
        <v>3.9300000000000002E-2</v>
      </c>
      <c r="O10" s="24">
        <v>3.8199999999999998E-2</v>
      </c>
      <c r="P10" s="24">
        <v>3.3399999999999999E-2</v>
      </c>
      <c r="Q10" s="37">
        <v>3.9600000000000003E-2</v>
      </c>
      <c r="R10" s="24">
        <v>0.04</v>
      </c>
      <c r="S10" s="24">
        <v>4.1000000000000002E-2</v>
      </c>
      <c r="T10" s="24">
        <v>4.2000000000000003E-2</v>
      </c>
      <c r="U10" s="24">
        <v>4.3999999999999997E-2</v>
      </c>
      <c r="V10" s="24"/>
    </row>
    <row r="11" spans="1:29" ht="15" customHeight="1" x14ac:dyDescent="0.2">
      <c r="B11" s="156" t="s">
        <v>47</v>
      </c>
      <c r="C11" s="85" t="s">
        <v>11</v>
      </c>
      <c r="D11" s="24"/>
      <c r="E11" s="24"/>
      <c r="F11" s="56">
        <f>AVERAGE(N11:Q11)</f>
        <v>4.8149999999999998E-2</v>
      </c>
      <c r="G11" s="36">
        <f>AVERAGE(R11:U11)</f>
        <v>5.1249999999999997E-2</v>
      </c>
      <c r="H11" s="32">
        <v>5.8999999999999997E-2</v>
      </c>
      <c r="I11" s="24">
        <v>6.2E-2</v>
      </c>
      <c r="J11" s="109">
        <v>6.4000000000000001E-2</v>
      </c>
      <c r="K11" s="109">
        <v>6.4000000000000001E-2</v>
      </c>
      <c r="L11" s="109">
        <v>6.4000000000000001E-2</v>
      </c>
      <c r="N11" s="24">
        <v>5.2999999999999999E-2</v>
      </c>
      <c r="O11" s="24">
        <v>5.0999999999999997E-2</v>
      </c>
      <c r="P11" s="24">
        <v>4.2599999999999999E-2</v>
      </c>
      <c r="Q11" s="37">
        <v>4.5999999999999999E-2</v>
      </c>
      <c r="R11" s="24">
        <v>4.9000000000000002E-2</v>
      </c>
      <c r="S11" s="24">
        <v>5.0999999999999997E-2</v>
      </c>
      <c r="T11" s="24">
        <v>5.1999999999999998E-2</v>
      </c>
      <c r="U11" s="24">
        <v>5.2999999999999999E-2</v>
      </c>
      <c r="V11" s="24"/>
    </row>
    <row r="12" spans="1:29" ht="15" customHeight="1" x14ac:dyDescent="0.2">
      <c r="B12" s="157" t="s">
        <v>12</v>
      </c>
      <c r="C12" s="79" t="str">
        <f>F36</f>
        <v>A</v>
      </c>
      <c r="E12" s="25"/>
      <c r="F12" s="57">
        <f t="shared" ref="F12:L12" si="1">F11-((F11-F10)*($I$36))</f>
        <v>4.4203124999999996E-2</v>
      </c>
      <c r="G12" s="48">
        <f t="shared" si="1"/>
        <v>4.7687499999999994E-2</v>
      </c>
      <c r="H12" s="47">
        <f t="shared" si="1"/>
        <v>5.4875E-2</v>
      </c>
      <c r="I12" s="47">
        <f t="shared" si="1"/>
        <v>5.8249999999999996E-2</v>
      </c>
      <c r="J12" s="97">
        <f t="shared" si="1"/>
        <v>6.0249999999999998E-2</v>
      </c>
      <c r="K12" s="97">
        <f t="shared" si="1"/>
        <v>6.0624999999999998E-2</v>
      </c>
      <c r="L12" s="97">
        <f t="shared" si="1"/>
        <v>6.0624999999999998E-2</v>
      </c>
      <c r="N12" s="47">
        <f t="shared" ref="N12:U12" si="2">N11-((N11-N10)*($I$36))</f>
        <v>4.7862500000000002E-2</v>
      </c>
      <c r="O12" s="47">
        <f t="shared" si="2"/>
        <v>4.6199999999999998E-2</v>
      </c>
      <c r="P12" s="47">
        <f t="shared" si="2"/>
        <v>3.9149999999999997E-2</v>
      </c>
      <c r="Q12" s="48">
        <f t="shared" si="2"/>
        <v>4.36E-2</v>
      </c>
      <c r="R12" s="47">
        <f t="shared" si="2"/>
        <v>4.5624999999999999E-2</v>
      </c>
      <c r="S12" s="47">
        <f t="shared" si="2"/>
        <v>4.725E-2</v>
      </c>
      <c r="T12" s="47">
        <f t="shared" si="2"/>
        <v>4.8250000000000001E-2</v>
      </c>
      <c r="U12" s="47">
        <f t="shared" si="2"/>
        <v>4.9624999999999996E-2</v>
      </c>
      <c r="V12" s="25"/>
    </row>
    <row r="13" spans="1:29" ht="15" customHeight="1" thickBot="1" x14ac:dyDescent="0.25">
      <c r="B13" s="156" t="s">
        <v>81</v>
      </c>
      <c r="D13" s="26"/>
      <c r="E13" s="24">
        <f>1.25%</f>
        <v>1.2500000000000001E-2</v>
      </c>
      <c r="F13" s="56">
        <f>AVERAGE(N13:Q13)</f>
        <v>4.1666666666666669E-4</v>
      </c>
      <c r="G13" s="36">
        <f>AVERAGE(R13:U13)</f>
        <v>4.1666666666666669E-4</v>
      </c>
      <c r="H13" s="29">
        <f>U13</f>
        <v>4.1666666666666669E-4</v>
      </c>
      <c r="I13" s="26">
        <f t="shared" ref="I13:L13" si="3">H13</f>
        <v>4.1666666666666669E-4</v>
      </c>
      <c r="J13" s="96">
        <f t="shared" si="3"/>
        <v>4.1666666666666669E-4</v>
      </c>
      <c r="K13" s="96">
        <f t="shared" si="3"/>
        <v>4.1666666666666669E-4</v>
      </c>
      <c r="L13" s="96">
        <f t="shared" si="3"/>
        <v>4.1666666666666669E-4</v>
      </c>
      <c r="N13" s="26">
        <f>$E13/$E$9</f>
        <v>4.1666666666666669E-4</v>
      </c>
      <c r="O13" s="26">
        <f t="shared" ref="O13:U13" si="4">$E13/$E$9</f>
        <v>4.1666666666666669E-4</v>
      </c>
      <c r="P13" s="26">
        <f t="shared" si="4"/>
        <v>4.1666666666666669E-4</v>
      </c>
      <c r="Q13" s="36">
        <f t="shared" si="4"/>
        <v>4.1666666666666669E-4</v>
      </c>
      <c r="R13" s="29">
        <f t="shared" si="4"/>
        <v>4.1666666666666669E-4</v>
      </c>
      <c r="S13" s="26">
        <f t="shared" si="4"/>
        <v>4.1666666666666669E-4</v>
      </c>
      <c r="T13" s="26">
        <f t="shared" si="4"/>
        <v>4.1666666666666669E-4</v>
      </c>
      <c r="U13" s="26">
        <f t="shared" si="4"/>
        <v>4.1666666666666669E-4</v>
      </c>
      <c r="V13" s="26"/>
    </row>
    <row r="14" spans="1:29" ht="15" customHeight="1" thickBot="1" x14ac:dyDescent="0.25">
      <c r="B14" s="157" t="s">
        <v>6</v>
      </c>
      <c r="C14" s="83"/>
      <c r="D14" s="116">
        <f>AVERAGE(F14:I14)</f>
        <v>5.1670572916666664E-2</v>
      </c>
      <c r="E14" s="26"/>
      <c r="F14" s="58">
        <f>+F12+F13</f>
        <v>4.4619791666666665E-2</v>
      </c>
      <c r="G14" s="58">
        <f>+G12+G13</f>
        <v>4.8104166666666663E-2</v>
      </c>
      <c r="H14" s="58">
        <f>+H12+H13</f>
        <v>5.529166666666667E-2</v>
      </c>
      <c r="I14" s="58">
        <f>+I12+I13</f>
        <v>5.8666666666666666E-2</v>
      </c>
      <c r="J14" s="58">
        <f t="shared" ref="J14:L14" si="5">+J12+J13</f>
        <v>6.0666666666666667E-2</v>
      </c>
      <c r="K14" s="58">
        <f t="shared" si="5"/>
        <v>6.1041666666666668E-2</v>
      </c>
      <c r="L14" s="58">
        <f t="shared" si="5"/>
        <v>6.1041666666666668E-2</v>
      </c>
      <c r="N14" s="58">
        <f t="shared" ref="N14:U14" si="6">+N12+N13</f>
        <v>4.8279166666666672E-2</v>
      </c>
      <c r="O14" s="58">
        <f t="shared" si="6"/>
        <v>4.6616666666666667E-2</v>
      </c>
      <c r="P14" s="58">
        <f t="shared" si="6"/>
        <v>3.9566666666666667E-2</v>
      </c>
      <c r="Q14" s="58">
        <f t="shared" si="6"/>
        <v>4.4016666666666669E-2</v>
      </c>
      <c r="R14" s="58">
        <f t="shared" si="6"/>
        <v>4.6041666666666668E-2</v>
      </c>
      <c r="S14" s="58">
        <f t="shared" si="6"/>
        <v>4.766666666666667E-2</v>
      </c>
      <c r="T14" s="58">
        <f t="shared" si="6"/>
        <v>4.8666666666666671E-2</v>
      </c>
      <c r="U14" s="58">
        <f t="shared" si="6"/>
        <v>5.0041666666666665E-2</v>
      </c>
      <c r="V14" s="26"/>
    </row>
    <row r="15" spans="1:29" ht="15" customHeight="1" x14ac:dyDescent="0.2">
      <c r="B15" s="158" t="s">
        <v>50</v>
      </c>
      <c r="C15" s="83"/>
      <c r="D15" s="26"/>
      <c r="E15" s="26"/>
      <c r="F15" s="141">
        <v>1</v>
      </c>
      <c r="G15" s="29">
        <f>F15</f>
        <v>1</v>
      </c>
      <c r="H15" s="29">
        <f>G15</f>
        <v>1</v>
      </c>
      <c r="I15" s="29">
        <f>H15</f>
        <v>1</v>
      </c>
      <c r="J15" s="29">
        <f t="shared" ref="J15:L15" si="7">I15</f>
        <v>1</v>
      </c>
      <c r="K15" s="29">
        <f t="shared" si="7"/>
        <v>1</v>
      </c>
      <c r="L15" s="29">
        <f t="shared" si="7"/>
        <v>1</v>
      </c>
      <c r="N15" s="27"/>
      <c r="O15" s="27"/>
      <c r="P15" s="27"/>
      <c r="Q15" s="27"/>
      <c r="R15" s="27"/>
      <c r="S15" s="27"/>
      <c r="T15" s="27"/>
      <c r="U15" s="27"/>
      <c r="V15" s="26"/>
    </row>
    <row r="16" spans="1:29" ht="15" customHeight="1" x14ac:dyDescent="0.2">
      <c r="C16" s="83"/>
      <c r="D16" s="26"/>
      <c r="E16" s="26"/>
      <c r="J16" s="99"/>
      <c r="K16" s="99"/>
      <c r="L16" s="99"/>
      <c r="N16" s="88"/>
      <c r="O16" s="88"/>
      <c r="V16" s="26"/>
      <c r="AA16" s="31"/>
      <c r="AB16" s="31"/>
      <c r="AC16" s="30"/>
    </row>
    <row r="17" spans="1:29" ht="15" customHeight="1" x14ac:dyDescent="0.2">
      <c r="B17" s="137"/>
      <c r="C17" s="83"/>
      <c r="J17" s="99"/>
      <c r="K17" s="99"/>
      <c r="L17" s="99"/>
      <c r="N17" s="88"/>
      <c r="O17" s="88"/>
      <c r="P17" s="88"/>
      <c r="Q17" s="88"/>
      <c r="R17" s="89"/>
      <c r="S17" s="90"/>
      <c r="T17" s="27"/>
    </row>
    <row r="18" spans="1:29" ht="15" customHeight="1" x14ac:dyDescent="0.2">
      <c r="A18" s="85"/>
      <c r="F18" s="70" t="s">
        <v>42</v>
      </c>
      <c r="G18" s="45" t="s">
        <v>43</v>
      </c>
      <c r="H18" s="45"/>
      <c r="I18" s="45"/>
      <c r="J18" s="100"/>
      <c r="K18" s="100"/>
      <c r="L18" s="100"/>
      <c r="M18" s="110"/>
      <c r="N18" s="44" t="str">
        <f>N20&amp;" Quarterly Actuals"</f>
        <v>2016 Quarterly Actuals</v>
      </c>
      <c r="O18" s="45"/>
      <c r="P18" s="45"/>
      <c r="Q18" s="46"/>
      <c r="R18" s="44" t="str">
        <f>R20&amp;" Quarterly Estimates"</f>
        <v>2017 Quarterly Estimates</v>
      </c>
      <c r="S18" s="45"/>
      <c r="T18" s="45"/>
      <c r="U18" s="46"/>
    </row>
    <row r="19" spans="1:29" ht="15" customHeight="1" x14ac:dyDescent="0.2">
      <c r="D19" s="21"/>
      <c r="E19" s="21"/>
      <c r="F19" s="52"/>
      <c r="G19" s="34"/>
      <c r="H19" s="71"/>
      <c r="I19" s="72"/>
      <c r="J19" s="101"/>
      <c r="K19" s="101"/>
      <c r="L19" s="102"/>
      <c r="N19" s="19" t="str">
        <f t="shared" ref="N19:U20" si="8">N4</f>
        <v>Q1</v>
      </c>
      <c r="O19" s="19" t="str">
        <f t="shared" si="8"/>
        <v>Q2</v>
      </c>
      <c r="P19" s="19" t="str">
        <f t="shared" si="8"/>
        <v>Q3</v>
      </c>
      <c r="Q19" s="34" t="str">
        <f t="shared" si="8"/>
        <v>Q4</v>
      </c>
      <c r="R19" s="31" t="str">
        <f t="shared" si="8"/>
        <v>Q1</v>
      </c>
      <c r="S19" s="31" t="str">
        <f t="shared" si="8"/>
        <v>Q2</v>
      </c>
      <c r="T19" s="31" t="str">
        <f t="shared" si="8"/>
        <v>Q3</v>
      </c>
      <c r="U19" s="31" t="str">
        <f t="shared" si="8"/>
        <v>Q4</v>
      </c>
      <c r="V19" s="21"/>
    </row>
    <row r="20" spans="1:29" ht="15" customHeight="1" x14ac:dyDescent="0.2">
      <c r="B20" s="86" t="s">
        <v>45</v>
      </c>
      <c r="C20" s="87"/>
      <c r="D20" s="22"/>
      <c r="E20" s="111">
        <v>10</v>
      </c>
      <c r="F20" s="53">
        <f t="shared" ref="F20:L20" si="9">F5</f>
        <v>2016</v>
      </c>
      <c r="G20" s="40">
        <f t="shared" si="9"/>
        <v>2017</v>
      </c>
      <c r="H20" s="42">
        <f t="shared" si="9"/>
        <v>2018</v>
      </c>
      <c r="I20" s="42">
        <f t="shared" si="9"/>
        <v>2019</v>
      </c>
      <c r="J20" s="103">
        <f t="shared" si="9"/>
        <v>2020</v>
      </c>
      <c r="K20" s="103">
        <f t="shared" si="9"/>
        <v>2021</v>
      </c>
      <c r="L20" s="103">
        <f t="shared" si="9"/>
        <v>2022</v>
      </c>
      <c r="N20" s="39">
        <f t="shared" si="8"/>
        <v>2016</v>
      </c>
      <c r="O20" s="39">
        <f t="shared" si="8"/>
        <v>2016</v>
      </c>
      <c r="P20" s="39">
        <f t="shared" si="8"/>
        <v>2016</v>
      </c>
      <c r="Q20" s="40">
        <f t="shared" si="8"/>
        <v>2016</v>
      </c>
      <c r="R20" s="39">
        <f t="shared" si="8"/>
        <v>2017</v>
      </c>
      <c r="S20" s="39">
        <f t="shared" si="8"/>
        <v>2017</v>
      </c>
      <c r="T20" s="39">
        <f t="shared" si="8"/>
        <v>2017</v>
      </c>
      <c r="U20" s="39">
        <f t="shared" si="8"/>
        <v>2017</v>
      </c>
      <c r="V20" s="22"/>
    </row>
    <row r="21" spans="1:29" ht="15" customHeight="1" x14ac:dyDescent="0.2">
      <c r="B21" s="156" t="s">
        <v>48</v>
      </c>
      <c r="C21" s="85"/>
      <c r="D21" s="24"/>
      <c r="E21" s="24"/>
      <c r="F21" s="56">
        <f t="shared" ref="F21:F24" si="10">AVERAGE(N21:Q21)</f>
        <v>1.8599999999999998E-2</v>
      </c>
      <c r="G21" s="36">
        <f>AVERAGE(R21:U21)</f>
        <v>2.4999999999999998E-2</v>
      </c>
      <c r="H21" s="2">
        <v>3.1E-2</v>
      </c>
      <c r="I21" s="2">
        <v>3.5000000000000003E-2</v>
      </c>
      <c r="J21" s="106">
        <v>3.7999999999999999E-2</v>
      </c>
      <c r="K21" s="106">
        <v>3.9E-2</v>
      </c>
      <c r="L21" s="106">
        <v>3.9E-2</v>
      </c>
      <c r="N21" s="3">
        <v>1.9199999999999998E-2</v>
      </c>
      <c r="O21" s="3">
        <v>1.84E-2</v>
      </c>
      <c r="P21" s="3">
        <v>1.5599999999999999E-2</v>
      </c>
      <c r="Q21" s="37">
        <v>2.12E-2</v>
      </c>
      <c r="R21" s="2">
        <v>2.3E-2</v>
      </c>
      <c r="S21" s="2">
        <v>2.4E-2</v>
      </c>
      <c r="T21" s="2">
        <v>2.5999999999999999E-2</v>
      </c>
      <c r="U21" s="2">
        <v>2.7E-2</v>
      </c>
      <c r="V21" s="24"/>
    </row>
    <row r="22" spans="1:29" ht="15" customHeight="1" x14ac:dyDescent="0.2">
      <c r="B22" s="156" t="s">
        <v>49</v>
      </c>
      <c r="C22" s="85"/>
      <c r="D22" s="24"/>
      <c r="E22" s="24"/>
      <c r="F22" s="56">
        <f t="shared" si="10"/>
        <v>8.7500000000000008E-3</v>
      </c>
      <c r="G22" s="36">
        <f>AVERAGE(R22:U22)</f>
        <v>7.4999999999999997E-3</v>
      </c>
      <c r="H22" s="1">
        <v>7.4999999999999997E-3</v>
      </c>
      <c r="I22" s="1">
        <v>7.4999999999999997E-3</v>
      </c>
      <c r="J22" s="107">
        <v>7.4999999999999997E-3</v>
      </c>
      <c r="K22" s="107">
        <v>7.4999999999999997E-3</v>
      </c>
      <c r="L22" s="107">
        <v>7.4999999999999997E-3</v>
      </c>
      <c r="N22" s="1">
        <v>8.7500000000000008E-3</v>
      </c>
      <c r="O22" s="1">
        <v>8.7500000000000008E-3</v>
      </c>
      <c r="P22" s="1">
        <v>8.7500000000000008E-3</v>
      </c>
      <c r="Q22" s="140">
        <v>8.7500000000000008E-3</v>
      </c>
      <c r="R22" s="1">
        <v>7.4999999999999997E-3</v>
      </c>
      <c r="S22" s="1">
        <v>7.4999999999999997E-3</v>
      </c>
      <c r="T22" s="1">
        <v>7.4999999999999997E-3</v>
      </c>
      <c r="U22" s="1">
        <v>7.4999999999999997E-3</v>
      </c>
      <c r="V22" s="24"/>
    </row>
    <row r="23" spans="1:29" ht="15" customHeight="1" x14ac:dyDescent="0.2">
      <c r="B23" s="157" t="s">
        <v>53</v>
      </c>
      <c r="C23" s="79"/>
      <c r="D23" s="25"/>
      <c r="E23" s="25"/>
      <c r="F23" s="57">
        <f t="shared" si="10"/>
        <v>2.7349999999999999E-2</v>
      </c>
      <c r="G23" s="48">
        <f t="shared" ref="G23" si="11">SUM(G21:G22)</f>
        <v>3.2500000000000001E-2</v>
      </c>
      <c r="H23" s="47">
        <f t="shared" ref="H23" si="12">SUM(H21:H22)</f>
        <v>3.85E-2</v>
      </c>
      <c r="I23" s="47">
        <f t="shared" ref="I23" si="13">SUM(I21:I22)</f>
        <v>4.2500000000000003E-2</v>
      </c>
      <c r="J23" s="97">
        <f t="shared" ref="J23" si="14">SUM(J21:J22)</f>
        <v>4.5499999999999999E-2</v>
      </c>
      <c r="K23" s="97">
        <f t="shared" ref="K23" si="15">SUM(K21:K22)</f>
        <v>4.65E-2</v>
      </c>
      <c r="L23" s="97">
        <f t="shared" ref="L23" si="16">SUM(L21:L22)</f>
        <v>4.65E-2</v>
      </c>
      <c r="N23" s="47">
        <f t="shared" ref="N23:Q23" si="17">SUM(N21:N22)</f>
        <v>2.7949999999999999E-2</v>
      </c>
      <c r="O23" s="47">
        <f t="shared" si="17"/>
        <v>2.7150000000000001E-2</v>
      </c>
      <c r="P23" s="47">
        <f t="shared" si="17"/>
        <v>2.435E-2</v>
      </c>
      <c r="Q23" s="139">
        <f t="shared" si="17"/>
        <v>2.9950000000000001E-2</v>
      </c>
      <c r="R23" s="47">
        <f t="shared" ref="R23:U23" si="18">SUM(R21:R22)</f>
        <v>3.0499999999999999E-2</v>
      </c>
      <c r="S23" s="47">
        <f t="shared" si="18"/>
        <v>3.15E-2</v>
      </c>
      <c r="T23" s="47">
        <f t="shared" si="18"/>
        <v>3.3500000000000002E-2</v>
      </c>
      <c r="U23" s="47">
        <f t="shared" si="18"/>
        <v>3.4500000000000003E-2</v>
      </c>
      <c r="V23" s="25"/>
    </row>
    <row r="24" spans="1:29" ht="15" customHeight="1" thickBot="1" x14ac:dyDescent="0.25">
      <c r="B24" s="156" t="s">
        <v>81</v>
      </c>
      <c r="D24" s="26"/>
      <c r="E24" s="26">
        <f>E13</f>
        <v>1.2500000000000001E-2</v>
      </c>
      <c r="F24" s="56">
        <f t="shared" si="10"/>
        <v>1.25E-3</v>
      </c>
      <c r="G24" s="36">
        <f>AVERAGE(R24:U24)</f>
        <v>1.25E-3</v>
      </c>
      <c r="H24" s="29">
        <f>G24</f>
        <v>1.25E-3</v>
      </c>
      <c r="I24" s="26">
        <f t="shared" ref="I24" si="19">H24</f>
        <v>1.25E-3</v>
      </c>
      <c r="J24" s="96">
        <f t="shared" ref="J24" si="20">I24</f>
        <v>1.25E-3</v>
      </c>
      <c r="K24" s="96">
        <f t="shared" ref="K24" si="21">J24</f>
        <v>1.25E-3</v>
      </c>
      <c r="L24" s="96">
        <f t="shared" ref="L24" si="22">K24</f>
        <v>1.25E-3</v>
      </c>
      <c r="N24" s="26">
        <f t="shared" ref="N24:U24" si="23">$E24/$E$20</f>
        <v>1.25E-3</v>
      </c>
      <c r="O24" s="26">
        <f t="shared" si="23"/>
        <v>1.25E-3</v>
      </c>
      <c r="P24" s="26">
        <f t="shared" si="23"/>
        <v>1.25E-3</v>
      </c>
      <c r="Q24" s="36">
        <f t="shared" si="23"/>
        <v>1.25E-3</v>
      </c>
      <c r="R24" s="29">
        <f t="shared" si="23"/>
        <v>1.25E-3</v>
      </c>
      <c r="S24" s="26">
        <f t="shared" si="23"/>
        <v>1.25E-3</v>
      </c>
      <c r="T24" s="26">
        <f t="shared" si="23"/>
        <v>1.25E-3</v>
      </c>
      <c r="U24" s="26">
        <f t="shared" si="23"/>
        <v>1.25E-3</v>
      </c>
      <c r="V24" s="26"/>
    </row>
    <row r="25" spans="1:29" ht="15" customHeight="1" thickBot="1" x14ac:dyDescent="0.25">
      <c r="B25" s="157" t="s">
        <v>6</v>
      </c>
      <c r="C25" s="83"/>
      <c r="D25" s="116">
        <f>AVERAGE(F25:I25)</f>
        <v>3.6462500000000002E-2</v>
      </c>
      <c r="E25" s="26"/>
      <c r="F25" s="138">
        <f>+F23+F24</f>
        <v>2.86E-2</v>
      </c>
      <c r="G25" s="38">
        <f>+G23+G24</f>
        <v>3.3750000000000002E-2</v>
      </c>
      <c r="H25" s="38">
        <f>+H23+H24</f>
        <v>3.9750000000000001E-2</v>
      </c>
      <c r="I25" s="38">
        <f>+I23+I24</f>
        <v>4.3750000000000004E-2</v>
      </c>
      <c r="J25" s="98">
        <f t="shared" ref="J25:L25" si="24">+J23+J24</f>
        <v>4.675E-2</v>
      </c>
      <c r="K25" s="98">
        <f t="shared" si="24"/>
        <v>4.7750000000000001E-2</v>
      </c>
      <c r="L25" s="98">
        <f t="shared" si="24"/>
        <v>4.7750000000000001E-2</v>
      </c>
      <c r="M25" s="83"/>
      <c r="N25" s="38">
        <f t="shared" ref="N25:U25" si="25">+N23+N24</f>
        <v>2.92E-2</v>
      </c>
      <c r="O25" s="38">
        <f t="shared" si="25"/>
        <v>2.8400000000000002E-2</v>
      </c>
      <c r="P25" s="38">
        <f t="shared" si="25"/>
        <v>2.5600000000000001E-2</v>
      </c>
      <c r="Q25" s="38">
        <f t="shared" si="25"/>
        <v>3.1200000000000002E-2</v>
      </c>
      <c r="R25" s="38">
        <f t="shared" si="25"/>
        <v>3.175E-2</v>
      </c>
      <c r="S25" s="38">
        <f t="shared" si="25"/>
        <v>3.2750000000000001E-2</v>
      </c>
      <c r="T25" s="38">
        <f t="shared" si="25"/>
        <v>3.4750000000000003E-2</v>
      </c>
      <c r="U25" s="38">
        <f t="shared" si="25"/>
        <v>3.5750000000000004E-2</v>
      </c>
      <c r="V25" s="26"/>
    </row>
    <row r="26" spans="1:29" ht="15" customHeight="1" x14ac:dyDescent="0.2">
      <c r="B26" s="158" t="s">
        <v>51</v>
      </c>
      <c r="C26" s="83"/>
      <c r="D26" s="26"/>
      <c r="E26" s="26"/>
      <c r="F26" s="27">
        <f>1-F15</f>
        <v>0</v>
      </c>
      <c r="G26" s="29">
        <f>F26</f>
        <v>0</v>
      </c>
      <c r="H26" s="29">
        <f>G26</f>
        <v>0</v>
      </c>
      <c r="I26" s="29">
        <f>H26</f>
        <v>0</v>
      </c>
      <c r="J26" s="29">
        <f t="shared" ref="J26:L26" si="26">I26</f>
        <v>0</v>
      </c>
      <c r="K26" s="29">
        <f t="shared" si="26"/>
        <v>0</v>
      </c>
      <c r="L26" s="29">
        <f t="shared" si="26"/>
        <v>0</v>
      </c>
      <c r="N26" s="27"/>
      <c r="O26" s="27"/>
      <c r="P26" s="27"/>
      <c r="Q26" s="27"/>
      <c r="R26" s="27"/>
      <c r="S26" s="27"/>
      <c r="T26" s="27"/>
      <c r="U26" s="27"/>
      <c r="V26" s="26"/>
    </row>
    <row r="27" spans="1:29" ht="15" customHeight="1" thickBot="1" x14ac:dyDescent="0.25">
      <c r="C27" s="83"/>
      <c r="J27" s="99"/>
      <c r="K27" s="99"/>
      <c r="L27" s="99"/>
      <c r="N27" s="88"/>
      <c r="O27" s="88"/>
      <c r="P27" s="88"/>
      <c r="Q27" s="88"/>
      <c r="R27" s="89"/>
      <c r="S27" s="90"/>
      <c r="T27" s="27"/>
      <c r="AA27" s="31"/>
      <c r="AB27" s="31"/>
      <c r="AC27" s="30"/>
    </row>
    <row r="28" spans="1:29" ht="15" customHeight="1" thickBot="1" x14ac:dyDescent="0.25">
      <c r="C28" s="83"/>
      <c r="D28" s="94" t="s">
        <v>54</v>
      </c>
      <c r="F28" s="95">
        <f t="shared" ref="F28:L28" si="27">F5</f>
        <v>2016</v>
      </c>
      <c r="G28" s="95">
        <f t="shared" si="27"/>
        <v>2017</v>
      </c>
      <c r="H28" s="95">
        <f t="shared" si="27"/>
        <v>2018</v>
      </c>
      <c r="I28" s="95">
        <f t="shared" si="27"/>
        <v>2019</v>
      </c>
      <c r="J28" s="104">
        <f t="shared" si="27"/>
        <v>2020</v>
      </c>
      <c r="K28" s="104">
        <f t="shared" si="27"/>
        <v>2021</v>
      </c>
      <c r="L28" s="104">
        <f t="shared" si="27"/>
        <v>2022</v>
      </c>
      <c r="N28" s="88"/>
      <c r="O28" s="88"/>
      <c r="P28" s="88"/>
      <c r="Q28" s="88"/>
      <c r="R28" s="89"/>
      <c r="S28" s="90"/>
      <c r="T28" s="27"/>
    </row>
    <row r="29" spans="1:29" ht="15" thickBot="1" x14ac:dyDescent="0.25">
      <c r="B29" s="67" t="s">
        <v>52</v>
      </c>
      <c r="C29" s="83"/>
      <c r="D29" s="159">
        <f>AVERAGE(F29:I29)</f>
        <v>5.1670572916666664E-2</v>
      </c>
      <c r="F29" s="58">
        <f t="shared" ref="F29:L29" si="28">F14*F15+F25*F26</f>
        <v>4.4619791666666665E-2</v>
      </c>
      <c r="G29" s="58">
        <f t="shared" si="28"/>
        <v>4.8104166666666663E-2</v>
      </c>
      <c r="H29" s="58">
        <f t="shared" si="28"/>
        <v>5.529166666666667E-2</v>
      </c>
      <c r="I29" s="58">
        <f t="shared" si="28"/>
        <v>5.8666666666666666E-2</v>
      </c>
      <c r="J29" s="105">
        <f t="shared" si="28"/>
        <v>6.0666666666666667E-2</v>
      </c>
      <c r="K29" s="105">
        <f t="shared" si="28"/>
        <v>6.1041666666666668E-2</v>
      </c>
      <c r="L29" s="105">
        <f t="shared" si="28"/>
        <v>6.1041666666666668E-2</v>
      </c>
      <c r="N29" s="88"/>
      <c r="O29" s="88"/>
      <c r="P29" s="88"/>
      <c r="Q29" s="88"/>
      <c r="R29" s="89"/>
      <c r="S29" s="90"/>
      <c r="T29" s="27"/>
    </row>
    <row r="30" spans="1:29" ht="15" customHeight="1" x14ac:dyDescent="0.2">
      <c r="C30" s="83"/>
      <c r="N30" s="88"/>
      <c r="O30" s="88"/>
      <c r="P30" s="88"/>
      <c r="Q30" s="88"/>
      <c r="R30" s="89"/>
      <c r="S30" s="90"/>
      <c r="T30" s="27"/>
    </row>
    <row r="31" spans="1:29" ht="15" customHeight="1" x14ac:dyDescent="0.2">
      <c r="J31" s="77"/>
      <c r="N31" s="88"/>
      <c r="O31" s="88"/>
      <c r="P31" s="88"/>
      <c r="Q31" s="88"/>
      <c r="R31" s="89"/>
      <c r="S31" s="90"/>
      <c r="T31" s="27"/>
    </row>
    <row r="32" spans="1:29" ht="15" customHeight="1" x14ac:dyDescent="0.2">
      <c r="J32" s="77"/>
      <c r="K32" s="91"/>
      <c r="T32" s="27"/>
    </row>
    <row r="33" spans="1:20" ht="14.25" x14ac:dyDescent="0.2">
      <c r="A33" s="76"/>
      <c r="J33" s="77"/>
      <c r="K33" s="78"/>
      <c r="T33" s="27"/>
    </row>
    <row r="34" spans="1:20" ht="15" customHeight="1" x14ac:dyDescent="0.2">
      <c r="A34" s="76"/>
      <c r="C34" s="83"/>
      <c r="J34" s="77"/>
      <c r="K34" s="78"/>
      <c r="T34" s="27"/>
    </row>
    <row r="35" spans="1:20" ht="15" customHeight="1" x14ac:dyDescent="0.2">
      <c r="A35" s="76"/>
      <c r="F35" s="67" t="s">
        <v>82</v>
      </c>
      <c r="J35" s="77"/>
      <c r="K35" s="78"/>
      <c r="T35" s="27"/>
    </row>
    <row r="36" spans="1:20" ht="27" customHeight="1" x14ac:dyDescent="0.2">
      <c r="A36" s="76"/>
      <c r="F36" s="63" t="s">
        <v>13</v>
      </c>
      <c r="G36" s="28"/>
      <c r="H36" s="28">
        <f>INDEX($H$39:$H$47,MATCH(F36,$F$39:$F$47,0),1)</f>
        <v>3</v>
      </c>
      <c r="I36" s="43">
        <f>H36/$H$39</f>
        <v>0.375</v>
      </c>
      <c r="J36" s="77"/>
      <c r="K36" s="75"/>
      <c r="T36" s="27"/>
    </row>
    <row r="37" spans="1:20" ht="15" customHeight="1" x14ac:dyDescent="0.2">
      <c r="A37" s="76"/>
      <c r="F37" s="28"/>
      <c r="G37" s="28"/>
      <c r="J37" s="77"/>
      <c r="K37" s="75"/>
      <c r="T37" s="27"/>
    </row>
    <row r="38" spans="1:20" ht="15" customHeight="1" x14ac:dyDescent="0.2">
      <c r="B38" s="83"/>
      <c r="C38" s="92"/>
      <c r="F38" s="73" t="s">
        <v>40</v>
      </c>
      <c r="G38" s="49" t="s">
        <v>41</v>
      </c>
      <c r="J38" s="93"/>
      <c r="K38" s="92"/>
      <c r="T38" s="27"/>
    </row>
    <row r="39" spans="1:20" ht="15" customHeight="1" x14ac:dyDescent="0.2">
      <c r="C39" s="83"/>
      <c r="F39" s="135" t="s">
        <v>14</v>
      </c>
      <c r="G39" s="136" t="s">
        <v>10</v>
      </c>
      <c r="H39" s="30">
        <f t="shared" ref="H39:H45" si="29">H40+1</f>
        <v>8</v>
      </c>
      <c r="N39" s="88"/>
      <c r="O39" s="88"/>
      <c r="P39" s="88"/>
      <c r="Q39" s="88"/>
      <c r="R39" s="89"/>
      <c r="S39" s="90"/>
      <c r="T39" s="27"/>
    </row>
    <row r="40" spans="1:20" ht="15" customHeight="1" x14ac:dyDescent="0.2">
      <c r="C40" s="83"/>
      <c r="F40" s="50" t="s">
        <v>15</v>
      </c>
      <c r="G40" s="51" t="s">
        <v>32</v>
      </c>
      <c r="H40" s="30">
        <f t="shared" si="29"/>
        <v>7</v>
      </c>
      <c r="N40" s="88"/>
      <c r="O40" s="88"/>
      <c r="P40" s="88"/>
      <c r="Q40" s="88"/>
      <c r="R40" s="89"/>
      <c r="S40" s="90"/>
      <c r="T40" s="27"/>
    </row>
    <row r="41" spans="1:20" ht="15" customHeight="1" x14ac:dyDescent="0.2">
      <c r="C41" s="83"/>
      <c r="F41" s="50" t="s">
        <v>16</v>
      </c>
      <c r="G41" s="51" t="s">
        <v>33</v>
      </c>
      <c r="H41" s="30">
        <f t="shared" si="29"/>
        <v>6</v>
      </c>
      <c r="N41" s="88"/>
      <c r="O41" s="88"/>
      <c r="P41" s="88"/>
      <c r="Q41" s="88"/>
      <c r="R41" s="89"/>
      <c r="S41" s="90"/>
      <c r="T41" s="27"/>
    </row>
    <row r="42" spans="1:20" ht="15" customHeight="1" x14ac:dyDescent="0.2">
      <c r="C42" s="83"/>
      <c r="F42" s="50" t="s">
        <v>17</v>
      </c>
      <c r="G42" s="51" t="s">
        <v>34</v>
      </c>
      <c r="H42" s="30">
        <f t="shared" si="29"/>
        <v>5</v>
      </c>
      <c r="N42" s="88"/>
      <c r="O42" s="88"/>
      <c r="P42" s="88"/>
      <c r="Q42" s="88"/>
      <c r="R42" s="89"/>
      <c r="S42" s="90"/>
      <c r="T42" s="27"/>
    </row>
    <row r="43" spans="1:20" ht="15" customHeight="1" x14ac:dyDescent="0.2">
      <c r="C43" s="83"/>
      <c r="F43" s="50" t="s">
        <v>44</v>
      </c>
      <c r="G43" s="33" t="s">
        <v>35</v>
      </c>
      <c r="H43" s="30">
        <f t="shared" si="29"/>
        <v>4</v>
      </c>
      <c r="N43" s="88"/>
      <c r="O43" s="88"/>
      <c r="P43" s="88"/>
      <c r="Q43" s="88"/>
      <c r="R43" s="89"/>
      <c r="S43" s="90"/>
      <c r="T43" s="27"/>
    </row>
    <row r="44" spans="1:20" ht="15" customHeight="1" x14ac:dyDescent="0.2">
      <c r="C44" s="83"/>
      <c r="F44" s="50" t="s">
        <v>13</v>
      </c>
      <c r="G44" s="33" t="s">
        <v>36</v>
      </c>
      <c r="H44" s="30">
        <f t="shared" si="29"/>
        <v>3</v>
      </c>
      <c r="N44" s="88"/>
      <c r="O44" s="88"/>
      <c r="P44" s="88"/>
      <c r="Q44" s="88"/>
      <c r="R44" s="89"/>
      <c r="S44" s="90"/>
      <c r="T44" s="27"/>
    </row>
    <row r="45" spans="1:20" ht="15" customHeight="1" x14ac:dyDescent="0.2">
      <c r="C45" s="83"/>
      <c r="F45" s="50" t="s">
        <v>18</v>
      </c>
      <c r="G45" s="33" t="s">
        <v>37</v>
      </c>
      <c r="H45" s="30">
        <f t="shared" si="29"/>
        <v>2</v>
      </c>
      <c r="N45" s="88"/>
      <c r="O45" s="88"/>
      <c r="P45" s="88"/>
      <c r="Q45" s="88"/>
      <c r="R45" s="89"/>
      <c r="S45" s="90"/>
      <c r="T45" s="27"/>
    </row>
    <row r="46" spans="1:20" ht="15" customHeight="1" x14ac:dyDescent="0.2">
      <c r="C46" s="83"/>
      <c r="F46" s="50" t="s">
        <v>19</v>
      </c>
      <c r="G46" s="33" t="s">
        <v>38</v>
      </c>
      <c r="H46" s="30">
        <f>H47+1</f>
        <v>1</v>
      </c>
      <c r="N46" s="88"/>
      <c r="O46" s="88"/>
      <c r="P46" s="88"/>
      <c r="Q46" s="88"/>
      <c r="R46" s="89"/>
      <c r="S46" s="90"/>
      <c r="T46" s="27"/>
    </row>
    <row r="47" spans="1:20" ht="15" customHeight="1" x14ac:dyDescent="0.2">
      <c r="C47" s="83"/>
      <c r="F47" s="133" t="s">
        <v>20</v>
      </c>
      <c r="G47" s="134" t="s">
        <v>39</v>
      </c>
      <c r="H47" s="30">
        <v>0</v>
      </c>
      <c r="N47" s="88"/>
      <c r="O47" s="88"/>
      <c r="P47" s="88"/>
      <c r="Q47" s="88"/>
      <c r="R47" s="89"/>
      <c r="S47" s="90"/>
      <c r="T47" s="27"/>
    </row>
    <row r="48" spans="1:20" ht="15" customHeight="1" x14ac:dyDescent="0.2">
      <c r="C48" s="83"/>
      <c r="N48" s="88"/>
      <c r="O48" s="88"/>
      <c r="P48" s="88"/>
      <c r="Q48" s="88"/>
      <c r="R48" s="89"/>
      <c r="S48" s="90"/>
      <c r="T48" s="27"/>
    </row>
    <row r="49" spans="3:24" ht="15" customHeight="1" x14ac:dyDescent="0.2">
      <c r="C49" s="83"/>
      <c r="N49" s="88"/>
      <c r="O49" s="88"/>
      <c r="P49" s="88"/>
      <c r="Q49" s="88"/>
      <c r="R49" s="89"/>
      <c r="S49" s="90"/>
      <c r="T49" s="27"/>
    </row>
    <row r="50" spans="3:24" ht="15" customHeight="1" x14ac:dyDescent="0.2">
      <c r="C50" s="83"/>
      <c r="N50" s="88"/>
      <c r="O50" s="88"/>
      <c r="P50" s="88"/>
      <c r="Q50" s="88"/>
      <c r="R50" s="89"/>
      <c r="S50" s="90"/>
      <c r="T50" s="27"/>
    </row>
    <row r="51" spans="3:24" ht="15" customHeight="1" x14ac:dyDescent="0.2">
      <c r="C51" s="83"/>
      <c r="N51" s="88"/>
      <c r="O51" s="88"/>
      <c r="P51" s="88"/>
      <c r="Q51" s="88"/>
      <c r="R51" s="89"/>
      <c r="S51" s="90"/>
      <c r="T51" s="27"/>
    </row>
    <row r="52" spans="3:24" ht="15" customHeight="1" x14ac:dyDescent="0.2">
      <c r="C52" s="83"/>
      <c r="N52" s="88"/>
      <c r="O52" s="88"/>
      <c r="P52" s="88"/>
      <c r="Q52" s="88"/>
      <c r="R52" s="89"/>
      <c r="S52" s="90"/>
      <c r="T52" s="27"/>
    </row>
    <row r="53" spans="3:24" ht="15" customHeight="1" x14ac:dyDescent="0.2">
      <c r="C53" s="83"/>
      <c r="N53" s="88"/>
      <c r="O53" s="88"/>
      <c r="P53" s="88"/>
      <c r="Q53" s="88"/>
      <c r="R53" s="89"/>
      <c r="S53" s="90"/>
      <c r="T53" s="27"/>
    </row>
    <row r="54" spans="3:24" ht="15" customHeight="1" x14ac:dyDescent="0.2">
      <c r="C54" s="83"/>
      <c r="N54" s="88"/>
      <c r="O54" s="88"/>
      <c r="P54" s="88"/>
      <c r="Q54" s="88"/>
      <c r="R54" s="89"/>
      <c r="S54" s="90"/>
      <c r="T54" s="27"/>
    </row>
    <row r="55" spans="3:24" ht="15" customHeight="1" x14ac:dyDescent="0.2">
      <c r="C55" s="83"/>
      <c r="N55" s="88"/>
      <c r="O55" s="88"/>
      <c r="P55" s="88"/>
      <c r="Q55" s="88"/>
      <c r="R55" s="89"/>
      <c r="S55" s="90"/>
      <c r="T55" s="27"/>
    </row>
    <row r="56" spans="3:24" ht="15" customHeight="1" x14ac:dyDescent="0.2">
      <c r="C56" s="83"/>
      <c r="N56" s="88"/>
      <c r="O56" s="88"/>
      <c r="P56" s="88"/>
      <c r="Q56" s="88"/>
      <c r="R56" s="89"/>
      <c r="S56" s="90"/>
      <c r="T56" s="27"/>
    </row>
    <row r="57" spans="3:24" ht="15" customHeight="1" x14ac:dyDescent="0.2">
      <c r="C57" s="83"/>
      <c r="D57" s="83"/>
      <c r="E57" s="83"/>
      <c r="F57" s="83"/>
      <c r="G57" s="83"/>
      <c r="H57" s="83"/>
      <c r="I57" s="83"/>
      <c r="J57" s="83"/>
      <c r="K57" s="83"/>
      <c r="L57" s="83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3"/>
    </row>
    <row r="58" spans="3:24" x14ac:dyDescent="0.2">
      <c r="X58" s="83"/>
    </row>
  </sheetData>
  <dataValidations disablePrompts="1" count="1">
    <dataValidation type="list" allowBlank="1" showInputMessage="1" showErrorMessage="1" sqref="F36">
      <formula1>$F$39:$F$47</formula1>
    </dataValidation>
  </dataValidations>
  <pageMargins left="0.75" right="0.75" top="1" bottom="1" header="0.5" footer="0.5"/>
  <pageSetup scale="51" orientation="landscape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"/>
  <sheetViews>
    <sheetView zoomScale="115" zoomScaleNormal="115" workbookViewId="0">
      <selection activeCell="C1" sqref="C1"/>
    </sheetView>
  </sheetViews>
  <sheetFormatPr defaultRowHeight="12.75" x14ac:dyDescent="0.2"/>
  <cols>
    <col min="1" max="1" width="14.7109375" style="118" customWidth="1"/>
    <col min="2" max="4" width="16.140625" style="118" customWidth="1"/>
    <col min="5" max="5" width="20.42578125" style="118" bestFit="1" customWidth="1"/>
    <col min="6" max="16384" width="9.140625" style="118"/>
  </cols>
  <sheetData>
    <row r="1" spans="1:13" x14ac:dyDescent="0.2">
      <c r="A1" s="117" t="s">
        <v>56</v>
      </c>
      <c r="C1" s="182" t="s">
        <v>94</v>
      </c>
    </row>
    <row r="2" spans="1:13" x14ac:dyDescent="0.2">
      <c r="A2" s="117" t="s">
        <v>57</v>
      </c>
    </row>
    <row r="5" spans="1:13" x14ac:dyDescent="0.2">
      <c r="A5" s="119" t="s">
        <v>58</v>
      </c>
      <c r="B5" s="119" t="s">
        <v>59</v>
      </c>
      <c r="C5" s="119" t="s">
        <v>60</v>
      </c>
      <c r="D5" s="119" t="s">
        <v>61</v>
      </c>
      <c r="E5" s="119" t="s">
        <v>62</v>
      </c>
    </row>
    <row r="6" spans="1:13" x14ac:dyDescent="0.2">
      <c r="A6" s="119"/>
      <c r="B6" s="119"/>
      <c r="C6" s="119"/>
      <c r="D6" s="119"/>
    </row>
    <row r="7" spans="1:13" ht="15" x14ac:dyDescent="0.25">
      <c r="A7" s="120">
        <v>42430</v>
      </c>
      <c r="B7" s="121">
        <v>400000000</v>
      </c>
      <c r="C7" s="122" t="s">
        <v>63</v>
      </c>
      <c r="D7" s="122" t="s">
        <v>64</v>
      </c>
      <c r="E7" s="118" t="s">
        <v>65</v>
      </c>
    </row>
    <row r="8" spans="1:13" ht="15" x14ac:dyDescent="0.25">
      <c r="A8" s="120">
        <v>42430</v>
      </c>
      <c r="B8" s="121">
        <v>100000000</v>
      </c>
      <c r="C8" s="122" t="s">
        <v>63</v>
      </c>
      <c r="D8" s="122" t="s">
        <v>64</v>
      </c>
      <c r="E8" s="118" t="s">
        <v>66</v>
      </c>
    </row>
    <row r="9" spans="1:13" ht="15" x14ac:dyDescent="0.25">
      <c r="A9" s="120">
        <v>42614</v>
      </c>
      <c r="B9" s="121">
        <v>150000000</v>
      </c>
      <c r="C9" s="122" t="s">
        <v>63</v>
      </c>
      <c r="D9" s="122" t="s">
        <v>67</v>
      </c>
      <c r="E9" s="118" t="s">
        <v>68</v>
      </c>
    </row>
    <row r="10" spans="1:13" ht="15" x14ac:dyDescent="0.25">
      <c r="A10" s="120">
        <v>42675</v>
      </c>
      <c r="B10" s="121">
        <v>75000000</v>
      </c>
      <c r="C10" s="122" t="s">
        <v>63</v>
      </c>
      <c r="D10" s="122" t="s">
        <v>64</v>
      </c>
      <c r="E10" s="118" t="s">
        <v>69</v>
      </c>
    </row>
    <row r="11" spans="1:13" ht="15" x14ac:dyDescent="0.25">
      <c r="A11" s="120">
        <v>42705</v>
      </c>
      <c r="B11" s="121">
        <v>25000000</v>
      </c>
      <c r="C11" s="122" t="s">
        <v>63</v>
      </c>
      <c r="D11" s="122" t="s">
        <v>67</v>
      </c>
      <c r="E11" s="118" t="s">
        <v>70</v>
      </c>
    </row>
    <row r="12" spans="1:13" ht="15" x14ac:dyDescent="0.25">
      <c r="A12" s="120">
        <v>42705</v>
      </c>
      <c r="B12" s="121">
        <v>60000000</v>
      </c>
      <c r="C12" s="122" t="s">
        <v>63</v>
      </c>
      <c r="D12" s="123" t="s">
        <v>71</v>
      </c>
      <c r="E12" s="118" t="s">
        <v>72</v>
      </c>
    </row>
    <row r="13" spans="1:13" ht="15.75" thickBot="1" x14ac:dyDescent="0.3">
      <c r="A13" s="119"/>
      <c r="B13" s="124">
        <f>SUM(B7:B11)</f>
        <v>750000000</v>
      </c>
      <c r="C13" s="119"/>
      <c r="D13" s="119"/>
    </row>
    <row r="14" spans="1:13" ht="39" thickTop="1" x14ac:dyDescent="0.2">
      <c r="A14" s="119"/>
      <c r="B14" s="119"/>
      <c r="C14" s="119"/>
      <c r="D14" s="119"/>
      <c r="L14" s="129" t="s">
        <v>76</v>
      </c>
      <c r="M14" s="129" t="s">
        <v>77</v>
      </c>
    </row>
    <row r="15" spans="1:13" ht="15" x14ac:dyDescent="0.25">
      <c r="A15" s="125">
        <v>42736</v>
      </c>
      <c r="B15" s="121">
        <v>217000000</v>
      </c>
      <c r="C15" s="126">
        <v>2.9000000000000001E-2</v>
      </c>
      <c r="D15" s="123" t="s">
        <v>73</v>
      </c>
      <c r="E15" s="118" t="s">
        <v>74</v>
      </c>
    </row>
    <row r="16" spans="1:13" ht="15" x14ac:dyDescent="0.25">
      <c r="A16" s="125">
        <v>42795</v>
      </c>
      <c r="B16" s="121">
        <v>900000000</v>
      </c>
      <c r="C16" s="126">
        <v>4.6600000000000003E-2</v>
      </c>
      <c r="D16" s="123" t="s">
        <v>71</v>
      </c>
      <c r="L16" s="128">
        <f>B16/$B$19</f>
        <v>0.41860465116279072</v>
      </c>
      <c r="M16" s="128">
        <f>L16*C16</f>
        <v>1.9506976744186048E-2</v>
      </c>
    </row>
    <row r="17" spans="1:14" ht="15" x14ac:dyDescent="0.25">
      <c r="A17" s="125">
        <v>42887</v>
      </c>
      <c r="B17" s="121">
        <v>450000000</v>
      </c>
      <c r="C17" s="126">
        <v>4.8800000000000003E-2</v>
      </c>
      <c r="D17" s="123" t="s">
        <v>71</v>
      </c>
      <c r="L17" s="128">
        <f t="shared" ref="L17:L19" si="0">B17/$B$19</f>
        <v>0.20930232558139536</v>
      </c>
      <c r="M17" s="128">
        <f t="shared" ref="M17:M18" si="1">L17*C17</f>
        <v>1.0213953488372094E-2</v>
      </c>
    </row>
    <row r="18" spans="1:14" ht="15" x14ac:dyDescent="0.25">
      <c r="A18" s="125">
        <v>43040</v>
      </c>
      <c r="B18" s="121">
        <v>800000000</v>
      </c>
      <c r="C18" s="126">
        <v>5.0599999999999999E-2</v>
      </c>
      <c r="D18" s="123" t="s">
        <v>71</v>
      </c>
      <c r="L18" s="130">
        <f t="shared" si="0"/>
        <v>0.37209302325581395</v>
      </c>
      <c r="M18" s="130">
        <f t="shared" si="1"/>
        <v>1.8827906976744184E-2</v>
      </c>
    </row>
    <row r="19" spans="1:14" ht="15.75" thickBot="1" x14ac:dyDescent="0.3">
      <c r="A19" s="118" t="s">
        <v>75</v>
      </c>
      <c r="B19" s="124">
        <f>SUM(B16:B18)</f>
        <v>2150000000</v>
      </c>
      <c r="L19" s="131">
        <f t="shared" si="0"/>
        <v>1</v>
      </c>
      <c r="M19" s="132">
        <f>SUM(M16:M18)</f>
        <v>4.8548837209302323E-2</v>
      </c>
      <c r="N19" s="118" t="s">
        <v>78</v>
      </c>
    </row>
    <row r="20" spans="1:14" ht="15.75" thickTop="1" x14ac:dyDescent="0.25">
      <c r="B20" s="121"/>
    </row>
    <row r="21" spans="1:14" ht="15" x14ac:dyDescent="0.25">
      <c r="A21" s="125">
        <v>43132</v>
      </c>
      <c r="B21" s="121">
        <v>350000000</v>
      </c>
      <c r="C21" s="126">
        <v>5.16E-2</v>
      </c>
      <c r="D21" s="123" t="s">
        <v>71</v>
      </c>
      <c r="L21" s="128">
        <f>B21/$B$23</f>
        <v>0.4375</v>
      </c>
      <c r="M21" s="128">
        <f>L21*C21</f>
        <v>2.2575000000000001E-2</v>
      </c>
    </row>
    <row r="22" spans="1:14" ht="15" x14ac:dyDescent="0.25">
      <c r="A22" s="125">
        <v>43405</v>
      </c>
      <c r="B22" s="121">
        <v>450000000</v>
      </c>
      <c r="C22" s="126">
        <v>5.4899999999999997E-2</v>
      </c>
      <c r="D22" s="123" t="s">
        <v>71</v>
      </c>
      <c r="L22" s="130">
        <f>B22/$B$23</f>
        <v>0.5625</v>
      </c>
      <c r="M22" s="128">
        <f t="shared" ref="M22" si="2">L22*C22</f>
        <v>3.0881249999999999E-2</v>
      </c>
    </row>
    <row r="23" spans="1:14" ht="13.5" thickBot="1" x14ac:dyDescent="0.25">
      <c r="A23" s="118" t="s">
        <v>75</v>
      </c>
      <c r="B23" s="127">
        <f>SUM(B21:B22)</f>
        <v>800000000</v>
      </c>
      <c r="L23" s="131">
        <f>B23/$B$23</f>
        <v>1</v>
      </c>
      <c r="M23" s="132">
        <f>SUM(M20:M22)</f>
        <v>5.3456249999999997E-2</v>
      </c>
      <c r="N23" s="118" t="s">
        <v>78</v>
      </c>
    </row>
    <row r="24" spans="1:14" ht="13.5" thickTop="1" x14ac:dyDescent="0.2"/>
    <row r="26" spans="1:14" ht="15" x14ac:dyDescent="0.25">
      <c r="A26" s="125">
        <v>43525</v>
      </c>
      <c r="B26" s="121">
        <v>300000000</v>
      </c>
      <c r="C26" s="126">
        <v>5.8299999999999998E-2</v>
      </c>
      <c r="D26" s="123" t="s">
        <v>71</v>
      </c>
      <c r="L26" s="128">
        <f>B26/$B$29</f>
        <v>0.21428571428571427</v>
      </c>
      <c r="M26" s="128">
        <f>L26*C26</f>
        <v>1.2492857142857142E-2</v>
      </c>
    </row>
    <row r="27" spans="1:14" ht="15" x14ac:dyDescent="0.25">
      <c r="A27" s="125">
        <v>43617</v>
      </c>
      <c r="B27" s="121">
        <v>500000000</v>
      </c>
      <c r="C27" s="126">
        <v>5.8299999999999998E-2</v>
      </c>
      <c r="D27" s="123" t="s">
        <v>71</v>
      </c>
      <c r="L27" s="128">
        <f t="shared" ref="L27:L29" si="3">B27/$B$29</f>
        <v>0.35714285714285715</v>
      </c>
      <c r="M27" s="128">
        <f t="shared" ref="M27:M28" si="4">L27*C27</f>
        <v>2.0821428571428571E-2</v>
      </c>
    </row>
    <row r="28" spans="1:14" ht="15" x14ac:dyDescent="0.25">
      <c r="A28" s="125">
        <v>43770</v>
      </c>
      <c r="B28" s="121">
        <v>600000000</v>
      </c>
      <c r="C28" s="126">
        <v>5.8299999999999998E-2</v>
      </c>
      <c r="D28" s="123" t="s">
        <v>71</v>
      </c>
      <c r="L28" s="130">
        <f t="shared" si="3"/>
        <v>0.42857142857142855</v>
      </c>
      <c r="M28" s="130">
        <f t="shared" si="4"/>
        <v>2.4985714285714285E-2</v>
      </c>
    </row>
    <row r="29" spans="1:14" ht="13.5" thickBot="1" x14ac:dyDescent="0.25">
      <c r="A29" s="118" t="s">
        <v>75</v>
      </c>
      <c r="B29" s="127">
        <f>SUM(B26:B28)</f>
        <v>1400000000</v>
      </c>
      <c r="L29" s="131">
        <f t="shared" si="3"/>
        <v>1</v>
      </c>
      <c r="M29" s="132">
        <f>SUM(M26:M28)</f>
        <v>5.8299999999999998E-2</v>
      </c>
      <c r="N29" s="118" t="s">
        <v>78</v>
      </c>
    </row>
    <row r="30" spans="1:14" ht="13.5" thickTop="1" x14ac:dyDescent="0.2"/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WACC</vt:lpstr>
      <vt:lpstr>Cost_of_Debt</vt:lpstr>
      <vt:lpstr>Bonds</vt:lpstr>
      <vt:lpstr>WACC!Print_Area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